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o4\Downloads\"/>
    </mc:Choice>
  </mc:AlternateContent>
  <xr:revisionPtr revIDLastSave="0" documentId="13_ncr:1_{5E31D563-D138-4A93-BEB3-79B03EAD5966}" xr6:coauthVersionLast="47" xr6:coauthVersionMax="47" xr10:uidLastSave="{00000000-0000-0000-0000-000000000000}"/>
  <bookViews>
    <workbookView xWindow="-28920" yWindow="-120" windowWidth="29040" windowHeight="15720" tabRatio="500" firstSheet="9" activeTab="13" xr2:uid="{00000000-000D-0000-FFFF-FFFF00000000}"/>
  </bookViews>
  <sheets>
    <sheet name="Claude Log" sheetId="1" r:id="rId1"/>
    <sheet name="Inicio" sheetId="2" r:id="rId2"/>
    <sheet name="Guia_Carga" sheetId="3" r:id="rId3"/>
    <sheet name="Supuestos" sheetId="4" r:id="rId4"/>
    <sheet name="Productos" sheetId="5" r:id="rId5"/>
    <sheet name="Costos" sheetId="6" r:id="rId6"/>
    <sheet name="Inversion" sheetId="7" r:id="rId7"/>
    <sheet name="Detalle_24m" sheetId="8" r:id="rId8"/>
    <sheet name="Reales" sheetId="9" r:id="rId9"/>
    <sheet name="Calculo" sheetId="10" r:id="rId10"/>
    <sheet name="Proyeccion_24m" sheetId="11" r:id="rId11"/>
    <sheet name="Resultados" sheetId="12" r:id="rId12"/>
    <sheet name="Control" sheetId="13" r:id="rId13"/>
    <sheet name="Informe_Cierre_v6" sheetId="15" r:id="rId14"/>
    <sheet name="Esp_25Productos" sheetId="14" r:id="rId15"/>
  </sheets>
  <definedNames>
    <definedName name="Ap_MesO">Inversion!$C$50:$C$59</definedName>
    <definedName name="Ap_MesV">Inversion!$E$50:$E$59</definedName>
    <definedName name="Ap_MontoO">Inversion!$D$50:$D$59</definedName>
    <definedName name="Ap_MontoV">Inversion!$F$50:$F$59</definedName>
    <definedName name="c_Alertas">Control!$C$22</definedName>
    <definedName name="c_C01">Control!$E$5</definedName>
    <definedName name="c_C02">Control!$E$6</definedName>
    <definedName name="c_C03">Control!$E$7</definedName>
    <definedName name="c_C04">Control!$E$8</definedName>
    <definedName name="c_C05">Control!$E$9</definedName>
    <definedName name="c_C06">Control!$E$10</definedName>
    <definedName name="c_C07">Control!$E$11</definedName>
    <definedName name="c_C08">Control!$E$12</definedName>
    <definedName name="c_C09">Control!$E$13</definedName>
    <definedName name="c_C10">Control!$E$14</definedName>
    <definedName name="c_C11">Control!$E$15</definedName>
    <definedName name="c_C12">Control!$E$16</definedName>
    <definedName name="c_C13">Control!$E$17</definedName>
    <definedName name="c_C14">Control!$E$18</definedName>
    <definedName name="c_C15">Control!$E$19</definedName>
    <definedName name="c_C16">Control!$E$20</definedName>
    <definedName name="c_CapExceso">Productos!$N$92:$N$116</definedName>
    <definedName name="c_EscIdx">Supuestos!$D$72</definedName>
    <definedName name="c_Modificados">Control!$C$23</definedName>
    <definedName name="Cap_Amp">Productos!$E$6:$E$30</definedName>
    <definedName name="Cap_Anio">Productos!$F$6:$F$30</definedName>
    <definedName name="Cap_Ini">Productos!$D$6:$D$30</definedName>
    <definedName name="Corte">Supuestos!$D$119</definedName>
    <definedName name="Det_nDO">Detalle_24m!$F$184:$ES$184</definedName>
    <definedName name="Det_nFC">Detalle_24m!$F$245:$ES$245</definedName>
    <definedName name="Det_nIN">Detalle_24m!$F$123:$ES$123</definedName>
    <definedName name="Det_nMP">Detalle_24m!$F$95:$ES$95</definedName>
    <definedName name="Det_nOV">Detalle_24m!$F$151:$ES$151</definedName>
    <definedName name="Det_nP">Detalle_24m!$F$67:$ES$67</definedName>
    <definedName name="Det_nQ">Detalle_24m!$F$39:$ES$39</definedName>
    <definedName name="Det_nSA">Detalle_24m!$F$217:$ES$217</definedName>
    <definedName name="Det_nTC">Detalle_24m!$F$11:$ES$11</definedName>
    <definedName name="DiasMes">Supuestos!$D$121</definedName>
    <definedName name="dMP_O">Supuestos!$D$41:$M$41</definedName>
    <definedName name="dMP_V">Supuestos!$D$53:$M$53</definedName>
    <definedName name="Dot_O">Costos!$G$6:$P$35</definedName>
    <definedName name="Dot_V">Costos!$G$41:$P$70</definedName>
    <definedName name="dOV_O">Supuestos!$D$42:$M$42</definedName>
    <definedName name="dOV_V">Supuestos!$D$54:$M$54</definedName>
    <definedName name="dPrecio_O">Supuestos!$D$40:$M$40</definedName>
    <definedName name="dPrecio_V">Supuestos!$D$52:$M$52</definedName>
    <definedName name="dSal_O">Supuestos!$D$43:$M$43</definedName>
    <definedName name="dSal_V">Supuestos!$D$55:$M$55</definedName>
    <definedName name="e_Atraso">Supuestos!$G$68</definedName>
    <definedName name="e_dCapex">Supuestos!$G$69</definedName>
    <definedName name="e_DInvEsc">Supuestos!$G$71</definedName>
    <definedName name="e_dMat">Supuestos!$G$66</definedName>
    <definedName name="e_dPrecio">Supuestos!$G$65</definedName>
    <definedName name="e_DSOesc">Supuestos!$G$70</definedName>
    <definedName name="e_dTC">Supuestos!$G$67</definedName>
    <definedName name="e_dVol">Supuestos!$G$64</definedName>
    <definedName name="FC_Base">Costos!$J$75:$J$99</definedName>
    <definedName name="FC_Clase">Costos!$C$75:$C$99</definedName>
    <definedName name="FC_Desde">Costos!$H$75:$H$99</definedName>
    <definedName name="FC_g">Costos!$G$75:$G$99</definedName>
    <definedName name="FC_IVA">Costos!$I$75:$I$99</definedName>
    <definedName name="FC_Mon">Costos!$D$75:$D$99</definedName>
    <definedName name="FC_O">Costos!$E$75:$E$99</definedName>
    <definedName name="FC_V">Costos!$F$75:$F$99</definedName>
    <definedName name="Fin">Supuestos!$D$120</definedName>
    <definedName name="g_Mes">Guia_Carga!$C$4</definedName>
    <definedName name="g_Pendientes">Guia_Carga!$C$5</definedName>
    <definedName name="i_CapexP">Inversion!$D$26</definedName>
    <definedName name="i_CapexV">Inversion!$N$26</definedName>
    <definedName name="i_Pagado">Inversion!$H$26</definedName>
    <definedName name="IdxMP_O">Supuestos!$D$46:$M$46</definedName>
    <definedName name="IdxMP_V">Supuestos!$D$58:$M$58</definedName>
    <definedName name="IdxOV_O">Supuestos!$D$47:$M$47</definedName>
    <definedName name="IdxOV_V">Supuestos!$D$59:$M$59</definedName>
    <definedName name="IdxPrecio_O">Supuestos!$D$45:$M$45</definedName>
    <definedName name="IdxPrecio_V">Supuestos!$D$57:$M$57</definedName>
    <definedName name="IdxSal_O">Supuestos!$D$48:$M$48</definedName>
    <definedName name="IdxSal_V">Supuestos!$D$60:$M$60</definedName>
    <definedName name="INS_O">Productos!$K$6:$K$30</definedName>
    <definedName name="INS_V">Productos!$L$6:$L$30</definedName>
    <definedName name="Inv_BaseV">Inversion!$U$6:$U$25</definedName>
    <definedName name="Inv_CF">Inversion!$N$6:$N$25</definedName>
    <definedName name="Inv_D">Inversion!$D$6:$D$25</definedName>
    <definedName name="Inv_E">Inversion!$E$6:$E$25</definedName>
    <definedName name="Inv_F">Inversion!$F$6:$F$25</definedName>
    <definedName name="Inv_H">Inversion!$H$6:$H$25</definedName>
    <definedName name="Inv_M">Inversion!$M$6:$M$25</definedName>
    <definedName name="Inv_Q">Inversion!$Q$6:$Q$25</definedName>
    <definedName name="Inv_R">Inversion!$R$6:$R$25</definedName>
    <definedName name="Inv_SvcP">Inversion!$S$6:$S$25</definedName>
    <definedName name="Inv_SvcV">Inversion!$T$6:$T$25</definedName>
    <definedName name="MP_O">Productos!$I$6:$I$30</definedName>
    <definedName name="MP_V">Productos!$J$6:$J$30</definedName>
    <definedName name="n_Corte">Inicio!$C$11</definedName>
    <definedName name="n_Escenario">Inicio!$C$13</definedName>
    <definedName name="n_Etapa">Inicio!$C$9</definedName>
    <definedName name="n_Fecha1">Inicio!$C$10</definedName>
    <definedName name="n_FechaRev">Inicio!$C$16</definedName>
    <definedName name="n_Frecuencia">Inicio!$C$17</definedName>
    <definedName name="n_InicioReal">Inicio!$C$12</definedName>
    <definedName name="n_Negocio">Inicio!$C$6</definedName>
    <definedName name="n_Producto">Inicio!$C$8</definedName>
    <definedName name="n_Socios">Inicio!$C$7</definedName>
    <definedName name="n_Ventana">Inicio!$C$14</definedName>
    <definedName name="n_Version">Inicio!$C$15</definedName>
    <definedName name="o_Alim">Supuestos!$D$10</definedName>
    <definedName name="o_Anios">Supuestos!$D$7</definedName>
    <definedName name="o_CajaMin">Supuestos!$D$26</definedName>
    <definedName name="o_Cargas">Supuestos!$D$9</definedName>
    <definedName name="o_ComV">Supuestos!$D$19</definedName>
    <definedName name="o_Desp">Supuestos!$D$13</definedName>
    <definedName name="o_DInv">Supuestos!$D$22</definedName>
    <definedName name="o_DPOmp">Supuestos!$D$24</definedName>
    <definedName name="o_DPOot">Supuestos!$D$25</definedName>
    <definedName name="o_DPT">Supuestos!$D$23</definedName>
    <definedName name="o_DSO">Supuestos!$D$21</definedName>
    <definedName name="o_ImpA">Supuestos!$D$16</definedName>
    <definedName name="o_ImpP">Supuestos!$D$15</definedName>
    <definedName name="o_Inicio">Supuestos!$D$6</definedName>
    <definedName name="o_IRE">Supuestos!$D$20</definedName>
    <definedName name="o_IVAint">Supuestos!$D$29</definedName>
    <definedName name="o_IVAmeses">Supuestos!$D$28</definedName>
    <definedName name="o_IVArec">Supuestos!$D$27</definedName>
    <definedName name="o_Ke">Supuestos!$D$31</definedName>
    <definedName name="o_Merma">Supuestos!$D$8</definedName>
    <definedName name="o_MesDiv">Supuestos!$D$34</definedName>
    <definedName name="o_Pkg">Supuestos!$D$14</definedName>
    <definedName name="o_PreDir">Supuestos!$D$11</definedName>
    <definedName name="o_PreInd">Supuestos!$D$12</definedName>
    <definedName name="o_RealAF">Supuestos!$D$33</definedName>
    <definedName name="o_RealCT">Supuestos!$D$32</definedName>
    <definedName name="o_SegV">Supuestos!$D$18</definedName>
    <definedName name="o_Trib">Supuestos!$D$17</definedName>
    <definedName name="o_WACC">Supuestos!$D$30</definedName>
    <definedName name="OV_O">Productos!$M$6:$M$30</definedName>
    <definedName name="OV_V">Productos!$N$6:$N$30</definedName>
    <definedName name="P_Alim">Supuestos!$D$89</definedName>
    <definedName name="P_Anios">Supuestos!$D$86</definedName>
    <definedName name="P_CajaMin">Supuestos!$D$105</definedName>
    <definedName name="P_Cargas">Supuestos!$D$88</definedName>
    <definedName name="P_ComV">Supuestos!$D$98</definedName>
    <definedName name="P_dCapex">Supuestos!$D$118</definedName>
    <definedName name="P_Desp">Supuestos!$D$92</definedName>
    <definedName name="P_DInv">Supuestos!$D$101</definedName>
    <definedName name="P_dMat">Supuestos!$D$116</definedName>
    <definedName name="P_DPOmp">Supuestos!$D$103</definedName>
    <definedName name="P_DPOot">Supuestos!$D$104</definedName>
    <definedName name="P_dPrecio">Supuestos!$D$115</definedName>
    <definedName name="P_DPT">Supuestos!$D$102</definedName>
    <definedName name="P_DSO">Supuestos!$D$100</definedName>
    <definedName name="P_dTC">Supuestos!$D$117</definedName>
    <definedName name="P_dVol">Supuestos!$D$114</definedName>
    <definedName name="P_ImpA">Supuestos!$D$95</definedName>
    <definedName name="P_ImpP">Supuestos!$D$94</definedName>
    <definedName name="P_Inicio">Supuestos!$D$85</definedName>
    <definedName name="P_IRE">Supuestos!$D$99</definedName>
    <definedName name="P_IVAint">Supuestos!$D$108</definedName>
    <definedName name="P_IVAmeses">Supuestos!$D$107</definedName>
    <definedName name="P_IVArec">Supuestos!$D$106</definedName>
    <definedName name="P_Ke">Supuestos!$D$110</definedName>
    <definedName name="P_L1_Cuotas">Inversion!$D$36</definedName>
    <definedName name="P_L1_Gracia">Inversion!$D$35</definedName>
    <definedName name="P_L1_Mes">Inversion!$D$33</definedName>
    <definedName name="P_L1_Monto">Inversion!$D$32</definedName>
    <definedName name="P_L1_Tasa">Inversion!$D$34</definedName>
    <definedName name="P_L2_Cuotas">Inversion!$F$36</definedName>
    <definedName name="P_L2_Gracia">Inversion!$F$35</definedName>
    <definedName name="P_L2_Mes">Inversion!$F$33</definedName>
    <definedName name="P_L2_Monto">Inversion!$F$32</definedName>
    <definedName name="P_L2_Tasa">Inversion!$F$34</definedName>
    <definedName name="P_L3_Cuotas">Inversion!$H$36</definedName>
    <definedName name="P_L3_Gracia">Inversion!$H$35</definedName>
    <definedName name="P_L3_Mes">Inversion!$H$33</definedName>
    <definedName name="P_L3_Monto">Inversion!$H$32</definedName>
    <definedName name="P_L3_Tasa">Inversion!$H$34</definedName>
    <definedName name="P_LC_Desde">Inversion!$D$43</definedName>
    <definedName name="P_LC_Hasta">Inversion!$D$44</definedName>
    <definedName name="P_LC_Lim">Inversion!$D$41</definedName>
    <definedName name="P_LC_Tasa">Inversion!$D$42</definedName>
    <definedName name="P_Merma">Supuestos!$D$87</definedName>
    <definedName name="P_MesDiv">Supuestos!$D$113</definedName>
    <definedName name="P_Pkg">Supuestos!$D$93</definedName>
    <definedName name="P_PreDir">Supuestos!$D$90</definedName>
    <definedName name="P_PreInd">Supuestos!$D$91</definedName>
    <definedName name="P_RealAF">Supuestos!$D$112</definedName>
    <definedName name="P_RealCT">Supuestos!$D$111</definedName>
    <definedName name="P_SegV">Supuestos!$D$97</definedName>
    <definedName name="P_Trib">Supuestos!$D$96</definedName>
    <definedName name="P_WACC">Supuestos!$D$109</definedName>
    <definedName name="Payout_O">Supuestos!$D$44:$M$44</definedName>
    <definedName name="Payout_V">Supuestos!$D$56:$M$56</definedName>
    <definedName name="Per_Clase">Costos!$C$6:$C$35</definedName>
    <definedName name="Per_Mon">Costos!$D$6:$D$35</definedName>
    <definedName name="Precio_O">Productos!$G$6:$G$30</definedName>
    <definedName name="Precio_V">Productos!$H$6:$H$30</definedName>
    <definedName name="Prod_Nombre">Productos!$B$6:$B$30</definedName>
    <definedName name="pub_EBITDA">Supuestos!$D$77:$M$77</definedName>
    <definedName name="pub_TIR">Supuestos!$D$80</definedName>
    <definedName name="pub_Utilidad">Supuestos!$D$78:$M$78</definedName>
    <definedName name="pub_VAN">Supuestos!$D$79</definedName>
    <definedName name="pub_Ventas">Supuestos!$D$76:$M$76</definedName>
    <definedName name="py_Brecha">Proyeccion_24m!$E$33</definedName>
    <definedName name="r_BrechaV">Resultados!$D$22</definedName>
    <definedName name="r_ChkP">Resultados!$C$30</definedName>
    <definedName name="r_ChkV">Resultados!$D$30</definedName>
    <definedName name="r_DeudaFinP">Control!$C$24</definedName>
    <definedName name="Sal_O">Costos!$E$6:$E$35</definedName>
    <definedName name="Sal_V">Costos!$F$6:$F$35</definedName>
    <definedName name="TC_O">Supuestos!$D$39:$M$39</definedName>
    <definedName name="TC_V">Supuestos!$D$51:$M$51</definedName>
    <definedName name="V_Alim">Supuestos!$E$89</definedName>
    <definedName name="V_Anios">Supuestos!$E$86</definedName>
    <definedName name="V_CajaMin">Supuestos!$E$105</definedName>
    <definedName name="V_Cargas">Supuestos!$E$88</definedName>
    <definedName name="V_ComV">Supuestos!$E$98</definedName>
    <definedName name="V_dCapex">Supuestos!$E$118</definedName>
    <definedName name="V_Desp">Supuestos!$E$92</definedName>
    <definedName name="V_DInv">Supuestos!$E$101</definedName>
    <definedName name="V_dMat">Supuestos!$E$116</definedName>
    <definedName name="V_DPOmp">Supuestos!$E$103</definedName>
    <definedName name="V_DPOot">Supuestos!$E$104</definedName>
    <definedName name="V_dPrecio">Supuestos!$E$115</definedName>
    <definedName name="V_DPT">Supuestos!$E$102</definedName>
    <definedName name="V_DSO">Supuestos!$E$100</definedName>
    <definedName name="V_dTC">Supuestos!$E$117</definedName>
    <definedName name="V_dVol">Supuestos!$E$114</definedName>
    <definedName name="V_ImpA">Supuestos!$E$95</definedName>
    <definedName name="V_ImpP">Supuestos!$E$94</definedName>
    <definedName name="V_Inicio">Supuestos!$E$85</definedName>
    <definedName name="V_IRE">Supuestos!$E$99</definedName>
    <definedName name="V_IVAint">Supuestos!$E$108</definedName>
    <definedName name="V_IVAmeses">Supuestos!$E$107</definedName>
    <definedName name="V_IVArec">Supuestos!$E$106</definedName>
    <definedName name="V_Ke">Supuestos!$E$110</definedName>
    <definedName name="V_L1_Cuotas">Inversion!$E$36</definedName>
    <definedName name="V_L1_Gracia">Inversion!$E$35</definedName>
    <definedName name="V_L1_Mes">Inversion!$E$33</definedName>
    <definedName name="V_L1_Monto">Inversion!$E$32</definedName>
    <definedName name="V_L1_Tasa">Inversion!$E$34</definedName>
    <definedName name="V_L2_Cuotas">Inversion!$G$36</definedName>
    <definedName name="V_L2_Gracia">Inversion!$G$35</definedName>
    <definedName name="V_L2_Mes">Inversion!$G$33</definedName>
    <definedName name="V_L2_Monto">Inversion!$G$32</definedName>
    <definedName name="V_L2_Tasa">Inversion!$G$34</definedName>
    <definedName name="V_L3_Cuotas">Inversion!$I$36</definedName>
    <definedName name="V_L3_Gracia">Inversion!$I$35</definedName>
    <definedName name="V_L3_Mes">Inversion!$I$33</definedName>
    <definedName name="V_L3_Monto">Inversion!$I$32</definedName>
    <definedName name="V_L3_Tasa">Inversion!$I$34</definedName>
    <definedName name="V_LC_Desde">Inversion!$E$43</definedName>
    <definedName name="V_LC_Hasta">Inversion!$E$44</definedName>
    <definedName name="V_LC_Lim">Inversion!$E$41</definedName>
    <definedName name="V_LC_Saldo0">Inversion!$E$45</definedName>
    <definedName name="V_LC_Tasa">Inversion!$E$42</definedName>
    <definedName name="V_Merma">Supuestos!$E$87</definedName>
    <definedName name="V_MesDiv">Supuestos!$E$113</definedName>
    <definedName name="V_Pkg">Supuestos!$E$93</definedName>
    <definedName name="V_PreDir">Supuestos!$E$90</definedName>
    <definedName name="V_PreInd">Supuestos!$E$91</definedName>
    <definedName name="V_RealAF">Supuestos!$E$112</definedName>
    <definedName name="V_RealCT">Supuestos!$E$111</definedName>
    <definedName name="V_SegV">Supuestos!$E$97</definedName>
    <definedName name="V_Trib">Supuestos!$E$96</definedName>
    <definedName name="V_WACC">Supuestos!$E$109</definedName>
    <definedName name="vg_Alim">Supuestos!$E$10</definedName>
    <definedName name="vg_Anios">Supuestos!$E$7</definedName>
    <definedName name="vg_CajaMin">Supuestos!$E$26</definedName>
    <definedName name="vg_Cargas">Supuestos!$E$9</definedName>
    <definedName name="vg_ComV">Supuestos!$E$19</definedName>
    <definedName name="vg_Desp">Supuestos!$E$13</definedName>
    <definedName name="vg_DInv">Supuestos!$E$22</definedName>
    <definedName name="vg_DPOmp">Supuestos!$E$24</definedName>
    <definedName name="vg_DPOot">Supuestos!$E$25</definedName>
    <definedName name="vg_DPT">Supuestos!$E$23</definedName>
    <definedName name="vg_DSO">Supuestos!$E$21</definedName>
    <definedName name="vg_ImpA">Supuestos!$E$16</definedName>
    <definedName name="vg_ImpP">Supuestos!$E$15</definedName>
    <definedName name="vg_Inicio">Supuestos!$E$6</definedName>
    <definedName name="vg_IRE">Supuestos!$E$20</definedName>
    <definedName name="vg_IVAint">Supuestos!$E$29</definedName>
    <definedName name="vg_IVAmeses">Supuestos!$E$28</definedName>
    <definedName name="vg_IVArec">Supuestos!$E$27</definedName>
    <definedName name="vg_Ke">Supuestos!$E$31</definedName>
    <definedName name="vg_Merma">Supuestos!$E$8</definedName>
    <definedName name="vg_MesDiv">Supuestos!$E$34</definedName>
    <definedName name="vg_Pkg">Supuestos!$E$14</definedName>
    <definedName name="vg_PreDir">Supuestos!$E$11</definedName>
    <definedName name="vg_PreInd">Supuestos!$E$12</definedName>
    <definedName name="vg_RealAF">Supuestos!$E$33</definedName>
    <definedName name="vg_RealCT">Supuestos!$E$32</definedName>
    <definedName name="vg_SegV">Supuestos!$E$18</definedName>
    <definedName name="vg_Trib">Supuestos!$E$17</definedName>
    <definedName name="vg_WACC">Supuestos!$E$30</definedName>
    <definedName name="Vol_O">Productos!$D$34:$M$58</definedName>
    <definedName name="Vol_V">Productos!$D$63:$M$87</definedName>
    <definedName name="VolTot_O">Productos!$N$34:$N$58</definedName>
    <definedName name="VolTot_V">Productos!$N$63:$N$87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O245" i="8" l="1"/>
  <c r="AN245" i="8"/>
  <c r="AM245" i="8"/>
  <c r="AL245" i="8"/>
  <c r="AK245" i="8"/>
  <c r="AJ245" i="8"/>
  <c r="AI245" i="8"/>
  <c r="AH245" i="8"/>
  <c r="AG245" i="8"/>
  <c r="AF245" i="8"/>
  <c r="AE245" i="8"/>
  <c r="AD245" i="8"/>
  <c r="AC245" i="8"/>
  <c r="AB245" i="8"/>
  <c r="AA245" i="8"/>
  <c r="Z245" i="8"/>
  <c r="Y245" i="8"/>
  <c r="X245" i="8"/>
  <c r="W245" i="8"/>
  <c r="V245" i="8"/>
  <c r="U245" i="8"/>
  <c r="T245" i="8"/>
  <c r="S245" i="8"/>
  <c r="R245" i="8"/>
  <c r="Q245" i="8"/>
  <c r="P245" i="8"/>
  <c r="O245" i="8"/>
  <c r="N245" i="8"/>
  <c r="M245" i="8"/>
  <c r="L245" i="8"/>
  <c r="K245" i="8"/>
  <c r="J245" i="8"/>
  <c r="I245" i="8"/>
  <c r="H245" i="8"/>
  <c r="G245" i="8"/>
  <c r="F245" i="8"/>
  <c r="AO217" i="8"/>
  <c r="AN217" i="8"/>
  <c r="AM217" i="8"/>
  <c r="AL217" i="8"/>
  <c r="AK217" i="8"/>
  <c r="AJ217" i="8"/>
  <c r="AI217" i="8"/>
  <c r="AH217" i="8"/>
  <c r="AG217" i="8"/>
  <c r="AF217" i="8"/>
  <c r="AE217" i="8"/>
  <c r="AD217" i="8"/>
  <c r="AC217" i="8"/>
  <c r="AB217" i="8"/>
  <c r="AA217" i="8"/>
  <c r="Z217" i="8"/>
  <c r="Y217" i="8"/>
  <c r="X217" i="8"/>
  <c r="W217" i="8"/>
  <c r="V217" i="8"/>
  <c r="U217" i="8"/>
  <c r="T217" i="8"/>
  <c r="S217" i="8"/>
  <c r="R217" i="8"/>
  <c r="Q217" i="8"/>
  <c r="P217" i="8"/>
  <c r="O217" i="8"/>
  <c r="N217" i="8"/>
  <c r="M217" i="8"/>
  <c r="L217" i="8"/>
  <c r="K217" i="8"/>
  <c r="J217" i="8"/>
  <c r="I217" i="8"/>
  <c r="H217" i="8"/>
  <c r="G217" i="8"/>
  <c r="F217" i="8"/>
  <c r="AO184" i="8"/>
  <c r="AN184" i="8"/>
  <c r="AM184" i="8"/>
  <c r="AL184" i="8"/>
  <c r="AK184"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AO151" i="8"/>
  <c r="AN151" i="8"/>
  <c r="AM151" i="8"/>
  <c r="AL151" i="8"/>
  <c r="AK151"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AO123" i="8"/>
  <c r="AN123" i="8"/>
  <c r="AM123" i="8"/>
  <c r="AL123" i="8"/>
  <c r="AK123"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AO95" i="8"/>
  <c r="AN95" i="8"/>
  <c r="AM95" i="8"/>
  <c r="AL95"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AO67" i="8"/>
  <c r="AN67" i="8"/>
  <c r="AM67" i="8"/>
  <c r="AL67" i="8"/>
  <c r="AK67" i="8"/>
  <c r="AJ67" i="8"/>
  <c r="AI67" i="8"/>
  <c r="AH67" i="8"/>
  <c r="AG67" i="8"/>
  <c r="AF67" i="8"/>
  <c r="AE67" i="8"/>
  <c r="AD67" i="8"/>
  <c r="AC67" i="8"/>
  <c r="AB67" i="8"/>
  <c r="AA67" i="8"/>
  <c r="Z67" i="8"/>
  <c r="Y67" i="8"/>
  <c r="X67" i="8"/>
  <c r="W67" i="8"/>
  <c r="V67" i="8"/>
  <c r="U67" i="8"/>
  <c r="T67" i="8"/>
  <c r="S67" i="8"/>
  <c r="R67" i="8"/>
  <c r="Q67" i="8"/>
  <c r="P67" i="8"/>
  <c r="O67" i="8"/>
  <c r="N67" i="8"/>
  <c r="M67" i="8"/>
  <c r="L67" i="8"/>
  <c r="K67" i="8"/>
  <c r="J67" i="8"/>
  <c r="I67" i="8"/>
  <c r="H67" i="8"/>
  <c r="G67" i="8"/>
  <c r="F67"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AO11" i="8"/>
  <c r="AN11" i="8"/>
  <c r="AM11" i="8"/>
  <c r="AL11" i="8"/>
  <c r="AK11" i="8"/>
  <c r="AJ11" i="8"/>
  <c r="AI11" i="8"/>
  <c r="AH11" i="8"/>
  <c r="AG11" i="8"/>
  <c r="AF11" i="8"/>
  <c r="AE11" i="8"/>
  <c r="AD11" i="8"/>
  <c r="AC11" i="8"/>
  <c r="AB11" i="8"/>
  <c r="AA11" i="8"/>
  <c r="Z11" i="8"/>
  <c r="Y11" i="8"/>
  <c r="X11" i="8"/>
  <c r="W11" i="8"/>
  <c r="V11" i="8"/>
  <c r="U11" i="8"/>
  <c r="T11" i="8"/>
  <c r="S11" i="8"/>
  <c r="R11" i="8"/>
  <c r="Q11" i="8"/>
  <c r="P11" i="8"/>
  <c r="O11" i="8"/>
  <c r="N11" i="8"/>
  <c r="M11" i="8"/>
  <c r="L11" i="8"/>
  <c r="K11" i="8"/>
  <c r="J11" i="8"/>
  <c r="I11" i="8"/>
  <c r="H11" i="8"/>
  <c r="G11" i="8"/>
  <c r="F11" i="8"/>
  <c r="D51" i="4"/>
  <c r="E51" i="4"/>
  <c r="F51" i="4"/>
  <c r="G51" i="4"/>
  <c r="H51" i="4"/>
  <c r="I51" i="4"/>
  <c r="J51" i="4"/>
  <c r="K51" i="4"/>
  <c r="L51" i="4"/>
  <c r="M51" i="4"/>
  <c r="G32" i="7"/>
  <c r="G33" i="7"/>
  <c r="G34" i="7"/>
  <c r="G35" i="7"/>
  <c r="G36" i="7"/>
  <c r="E44" i="7"/>
  <c r="E43" i="7"/>
  <c r="E42" i="7"/>
  <c r="E41" i="7"/>
  <c r="E32" i="7"/>
  <c r="E36" i="7"/>
  <c r="E35" i="7"/>
  <c r="E6" i="4"/>
  <c r="H6" i="5"/>
  <c r="H7" i="5"/>
  <c r="D64" i="5"/>
  <c r="E64" i="5"/>
  <c r="F64" i="5"/>
  <c r="G64" i="5"/>
  <c r="H64" i="5"/>
  <c r="I64" i="5"/>
  <c r="J64" i="5"/>
  <c r="K64" i="5"/>
  <c r="L64" i="5"/>
  <c r="M64" i="5"/>
  <c r="D63" i="5"/>
  <c r="E63" i="5"/>
  <c r="F63" i="5"/>
  <c r="G63" i="5"/>
  <c r="H63" i="5"/>
  <c r="I63" i="5"/>
  <c r="J63" i="5"/>
  <c r="K63" i="5"/>
  <c r="L63" i="5"/>
  <c r="M63" i="5"/>
  <c r="M6" i="7"/>
  <c r="M7" i="7"/>
  <c r="M8" i="7"/>
  <c r="M9" i="7"/>
  <c r="M10" i="7"/>
  <c r="M11" i="7"/>
  <c r="M12" i="7"/>
  <c r="M13" i="7"/>
  <c r="M14" i="7"/>
  <c r="M15" i="7"/>
  <c r="M16" i="7"/>
  <c r="M17" i="7"/>
  <c r="M18" i="7"/>
  <c r="M19" i="7"/>
  <c r="F75" i="6"/>
  <c r="F76" i="6"/>
  <c r="F77" i="6"/>
  <c r="F78" i="6"/>
  <c r="F79" i="6"/>
  <c r="F80" i="6"/>
  <c r="F81" i="6"/>
  <c r="F82" i="6"/>
  <c r="F83" i="6"/>
  <c r="F6" i="6"/>
  <c r="F7" i="6"/>
  <c r="F8" i="6"/>
  <c r="F9" i="6"/>
  <c r="F10" i="6"/>
  <c r="F11" i="6"/>
  <c r="F12" i="6"/>
  <c r="F13" i="6"/>
  <c r="F14" i="6"/>
  <c r="F15" i="6"/>
  <c r="F16" i="6"/>
  <c r="F17" i="6"/>
  <c r="F18" i="6"/>
  <c r="F19" i="6"/>
  <c r="F20" i="6"/>
  <c r="F21" i="6"/>
  <c r="F22" i="6"/>
  <c r="F23" i="6"/>
  <c r="F24" i="6"/>
  <c r="F25" i="6"/>
  <c r="F26" i="6"/>
  <c r="F27" i="6"/>
  <c r="F28" i="6"/>
  <c r="F29" i="6"/>
  <c r="F30" i="6"/>
  <c r="F31" i="6"/>
  <c r="N6" i="5"/>
  <c r="N7" i="5"/>
  <c r="L6" i="5"/>
  <c r="D98" i="8" s="1"/>
  <c r="L7" i="5"/>
  <c r="D99" i="8" s="1"/>
  <c r="J6" i="5"/>
  <c r="J7" i="5"/>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71" i="8"/>
  <c r="D70" i="8"/>
  <c r="E21" i="4"/>
  <c r="D87" i="5"/>
  <c r="E87" i="5"/>
  <c r="F87" i="5"/>
  <c r="G87" i="5"/>
  <c r="H87" i="5"/>
  <c r="I87" i="5"/>
  <c r="J87" i="5"/>
  <c r="K87" i="5"/>
  <c r="L87" i="5"/>
  <c r="M87" i="5"/>
  <c r="J30" i="5"/>
  <c r="D94" i="8" s="1"/>
  <c r="D75" i="5"/>
  <c r="E75" i="5"/>
  <c r="F75" i="5"/>
  <c r="G75" i="5"/>
  <c r="H75" i="5"/>
  <c r="I75" i="5"/>
  <c r="J75" i="5"/>
  <c r="K75" i="5"/>
  <c r="L75" i="5"/>
  <c r="M75" i="5"/>
  <c r="D65" i="5"/>
  <c r="E65" i="5"/>
  <c r="F65" i="5"/>
  <c r="G65" i="5"/>
  <c r="H65" i="5"/>
  <c r="I65" i="5"/>
  <c r="J65" i="5"/>
  <c r="K65" i="5"/>
  <c r="L65" i="5"/>
  <c r="M65" i="5"/>
  <c r="N30" i="5"/>
  <c r="D150" i="8" s="1"/>
  <c r="L30" i="5"/>
  <c r="D122" i="8" s="1"/>
  <c r="H30" i="5"/>
  <c r="D66" i="8" s="1"/>
  <c r="N18" i="5"/>
  <c r="D138" i="8" s="1"/>
  <c r="L18" i="5"/>
  <c r="D110" i="8" s="1"/>
  <c r="J18" i="5"/>
  <c r="D82" i="8" s="1"/>
  <c r="H18" i="5"/>
  <c r="D54" i="8" s="1"/>
  <c r="N8" i="5"/>
  <c r="D128" i="8" s="1"/>
  <c r="L8" i="5"/>
  <c r="D100" i="8" s="1"/>
  <c r="J8" i="5"/>
  <c r="D72" i="8" s="1"/>
  <c r="H8" i="5"/>
  <c r="D44" i="8" s="1"/>
  <c r="E20" i="13"/>
  <c r="D19" i="13"/>
  <c r="D18" i="13"/>
  <c r="D17" i="13"/>
  <c r="D16" i="13"/>
  <c r="D15" i="13"/>
  <c r="D14" i="13"/>
  <c r="D13" i="13"/>
  <c r="D12" i="13"/>
  <c r="D11" i="13"/>
  <c r="D10" i="13"/>
  <c r="D9" i="13"/>
  <c r="D8" i="13"/>
  <c r="D7" i="13"/>
  <c r="D6" i="13"/>
  <c r="D5" i="13"/>
  <c r="M164" i="12"/>
  <c r="L164" i="12"/>
  <c r="K164" i="12"/>
  <c r="J164" i="12"/>
  <c r="I164" i="12"/>
  <c r="H164" i="12"/>
  <c r="G164" i="12"/>
  <c r="F164" i="12"/>
  <c r="E164" i="12"/>
  <c r="D164" i="12"/>
  <c r="M162" i="12"/>
  <c r="L162" i="12"/>
  <c r="K162" i="12"/>
  <c r="J162" i="12"/>
  <c r="I162" i="12"/>
  <c r="H162" i="12"/>
  <c r="G162" i="12"/>
  <c r="F162" i="12"/>
  <c r="E162" i="12"/>
  <c r="D162" i="12"/>
  <c r="C162" i="12"/>
  <c r="M160" i="12"/>
  <c r="L160" i="12"/>
  <c r="K160" i="12"/>
  <c r="J160" i="12"/>
  <c r="I160" i="12"/>
  <c r="H160" i="12"/>
  <c r="G160" i="12"/>
  <c r="F160" i="12"/>
  <c r="E160" i="12"/>
  <c r="D160" i="12"/>
  <c r="O159" i="12"/>
  <c r="N159" i="12"/>
  <c r="M159" i="12"/>
  <c r="L159" i="12"/>
  <c r="K159" i="12"/>
  <c r="J159" i="12"/>
  <c r="I159" i="12"/>
  <c r="H159" i="12"/>
  <c r="G159" i="12"/>
  <c r="F159" i="12"/>
  <c r="E159" i="12"/>
  <c r="D159" i="12"/>
  <c r="O146" i="12"/>
  <c r="N146" i="12"/>
  <c r="M146" i="12"/>
  <c r="L146" i="12"/>
  <c r="K146" i="12"/>
  <c r="J146" i="12"/>
  <c r="I146" i="12"/>
  <c r="H146" i="12"/>
  <c r="G146" i="12"/>
  <c r="F146" i="12"/>
  <c r="E146" i="12"/>
  <c r="D146"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O100" i="12"/>
  <c r="N100" i="12"/>
  <c r="M100" i="12"/>
  <c r="L100" i="12"/>
  <c r="K100" i="12"/>
  <c r="J100" i="12"/>
  <c r="I100" i="12"/>
  <c r="H100" i="12"/>
  <c r="G100" i="12"/>
  <c r="F100" i="12"/>
  <c r="E100" i="12"/>
  <c r="D100"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O69" i="12"/>
  <c r="N69" i="12"/>
  <c r="M69" i="12"/>
  <c r="L69" i="12"/>
  <c r="K69" i="12"/>
  <c r="J69" i="12"/>
  <c r="I69" i="12"/>
  <c r="H69" i="12"/>
  <c r="G69" i="12"/>
  <c r="F69" i="12"/>
  <c r="E69" i="12"/>
  <c r="D69" i="12"/>
  <c r="O37" i="12"/>
  <c r="N37" i="12"/>
  <c r="M37" i="12"/>
  <c r="L37" i="12"/>
  <c r="K37" i="12"/>
  <c r="J37" i="12"/>
  <c r="I37" i="12"/>
  <c r="H37" i="12"/>
  <c r="G37" i="12"/>
  <c r="F37" i="12"/>
  <c r="E37" i="12"/>
  <c r="D37" i="12"/>
  <c r="D32" i="12"/>
  <c r="C32" i="12"/>
  <c r="F319" i="10"/>
  <c r="F30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F163" i="10"/>
  <c r="F15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ES7" i="10"/>
  <c r="ER7" i="10"/>
  <c r="EQ7" i="10"/>
  <c r="EP7" i="10"/>
  <c r="EO7" i="10"/>
  <c r="EN7" i="10"/>
  <c r="EM7" i="10"/>
  <c r="EL7" i="10"/>
  <c r="EK7" i="10"/>
  <c r="EJ7" i="10"/>
  <c r="EI7" i="10"/>
  <c r="EH7" i="10"/>
  <c r="EG7" i="10"/>
  <c r="EF7" i="10"/>
  <c r="EE7" i="10"/>
  <c r="ED7" i="10"/>
  <c r="EC7" i="10"/>
  <c r="EB7" i="10"/>
  <c r="EA7" i="10"/>
  <c r="DZ7" i="10"/>
  <c r="DY7" i="10"/>
  <c r="DX7" i="10"/>
  <c r="DW7" i="10"/>
  <c r="DV7" i="10"/>
  <c r="DU7" i="10"/>
  <c r="DT7" i="10"/>
  <c r="DS7" i="10"/>
  <c r="DR7" i="10"/>
  <c r="DQ7" i="10"/>
  <c r="DP7" i="10"/>
  <c r="DO7" i="10"/>
  <c r="DN7" i="10"/>
  <c r="DM7" i="10"/>
  <c r="DL7" i="10"/>
  <c r="DK7" i="10"/>
  <c r="DJ7" i="10"/>
  <c r="DI7" i="10"/>
  <c r="DH7" i="10"/>
  <c r="DG7" i="10"/>
  <c r="DF7" i="10"/>
  <c r="DE7" i="10"/>
  <c r="DD7" i="10"/>
  <c r="DC7" i="10"/>
  <c r="DB7" i="10"/>
  <c r="DA7" i="10"/>
  <c r="CZ7" i="10"/>
  <c r="CY7" i="10"/>
  <c r="CX7" i="10"/>
  <c r="CW7" i="10"/>
  <c r="CV7" i="10"/>
  <c r="CU7" i="10"/>
  <c r="CT7" i="10"/>
  <c r="CS7" i="10"/>
  <c r="CR7" i="10"/>
  <c r="CQ7" i="10"/>
  <c r="CP7" i="10"/>
  <c r="CO7" i="10"/>
  <c r="CN7" i="10"/>
  <c r="CM7" i="10"/>
  <c r="CL7" i="10"/>
  <c r="CK7" i="10"/>
  <c r="CJ7" i="10"/>
  <c r="CI7" i="10"/>
  <c r="CH7" i="10"/>
  <c r="CG7" i="10"/>
  <c r="CF7" i="10"/>
  <c r="CE7" i="10"/>
  <c r="CD7" i="10"/>
  <c r="CC7" i="10"/>
  <c r="CB7" i="10"/>
  <c r="CA7" i="10"/>
  <c r="BZ7" i="10"/>
  <c r="BY7" i="10"/>
  <c r="BX7" i="10"/>
  <c r="BW7" i="10"/>
  <c r="BV7" i="10"/>
  <c r="BU7" i="10"/>
  <c r="BT7" i="10"/>
  <c r="BS7" i="10"/>
  <c r="BR7" i="10"/>
  <c r="BQ7" i="10"/>
  <c r="BP7" i="10"/>
  <c r="BO7" i="10"/>
  <c r="BN7" i="10"/>
  <c r="BM7" i="10"/>
  <c r="BL7" i="10"/>
  <c r="BK7" i="10"/>
  <c r="BJ7" i="10"/>
  <c r="BI7" i="10"/>
  <c r="BH7" i="10"/>
  <c r="BG7" i="10"/>
  <c r="BF7" i="10"/>
  <c r="BE7" i="10"/>
  <c r="BD7" i="10"/>
  <c r="BC7" i="10"/>
  <c r="BB7" i="10"/>
  <c r="BA7" i="10"/>
  <c r="AZ7" i="10"/>
  <c r="AY7" i="10"/>
  <c r="AX7" i="10"/>
  <c r="AW7" i="10"/>
  <c r="AV7" i="10"/>
  <c r="AU7" i="10"/>
  <c r="AT7" i="10"/>
  <c r="AS7" i="10"/>
  <c r="AR7" i="10"/>
  <c r="AQ7" i="10"/>
  <c r="AP7" i="10"/>
  <c r="AO7" i="10"/>
  <c r="AN7"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S6" i="10"/>
  <c r="ER6" i="10"/>
  <c r="EQ6" i="10"/>
  <c r="EP6" i="10"/>
  <c r="EO6" i="10"/>
  <c r="EN6" i="10"/>
  <c r="EM6" i="10"/>
  <c r="EL6" i="10"/>
  <c r="EK6" i="10"/>
  <c r="EJ6" i="10"/>
  <c r="EI6" i="10"/>
  <c r="EH6" i="10"/>
  <c r="EG6" i="10"/>
  <c r="EF6" i="10"/>
  <c r="EE6" i="10"/>
  <c r="ED6" i="10"/>
  <c r="EC6" i="10"/>
  <c r="EB6" i="10"/>
  <c r="EA6" i="10"/>
  <c r="DZ6" i="10"/>
  <c r="DY6" i="10"/>
  <c r="DX6" i="10"/>
  <c r="DW6" i="10"/>
  <c r="DV6" i="10"/>
  <c r="DU6" i="10"/>
  <c r="DT6" i="10"/>
  <c r="DS6" i="10"/>
  <c r="DR6" i="10"/>
  <c r="DQ6" i="10"/>
  <c r="DP6" i="10"/>
  <c r="DO6" i="10"/>
  <c r="DN6" i="10"/>
  <c r="DM6" i="10"/>
  <c r="DL6" i="10"/>
  <c r="DK6" i="10"/>
  <c r="DJ6" i="10"/>
  <c r="DI6" i="10"/>
  <c r="DH6" i="10"/>
  <c r="DG6" i="10"/>
  <c r="DF6" i="10"/>
  <c r="DE6" i="10"/>
  <c r="DD6" i="10"/>
  <c r="DC6" i="10"/>
  <c r="DB6" i="10"/>
  <c r="DA6" i="10"/>
  <c r="CZ6" i="10"/>
  <c r="CY6" i="10"/>
  <c r="CX6" i="10"/>
  <c r="CW6" i="10"/>
  <c r="CV6" i="10"/>
  <c r="CU6" i="10"/>
  <c r="CT6" i="10"/>
  <c r="CS6" i="10"/>
  <c r="CR6" i="10"/>
  <c r="CQ6" i="10"/>
  <c r="CP6" i="10"/>
  <c r="CO6" i="10"/>
  <c r="CN6" i="10"/>
  <c r="CM6" i="10"/>
  <c r="CL6" i="10"/>
  <c r="CK6" i="10"/>
  <c r="CJ6" i="10"/>
  <c r="CI6" i="10"/>
  <c r="CH6" i="10"/>
  <c r="CG6" i="10"/>
  <c r="CF6" i="10"/>
  <c r="CE6" i="10"/>
  <c r="CD6" i="10"/>
  <c r="CC6" i="10"/>
  <c r="CB6" i="10"/>
  <c r="CA6" i="10"/>
  <c r="BZ6" i="10"/>
  <c r="BY6" i="10"/>
  <c r="BX6" i="10"/>
  <c r="BW6" i="10"/>
  <c r="BV6" i="10"/>
  <c r="BU6" i="10"/>
  <c r="BT6" i="10"/>
  <c r="BS6" i="10"/>
  <c r="BR6" i="10"/>
  <c r="BQ6" i="10"/>
  <c r="BP6" i="10"/>
  <c r="BO6" i="10"/>
  <c r="BN6" i="10"/>
  <c r="BM6" i="10"/>
  <c r="BL6" i="10"/>
  <c r="BK6" i="10"/>
  <c r="BJ6" i="10"/>
  <c r="BI6" i="10"/>
  <c r="BH6" i="10"/>
  <c r="BG6" i="10"/>
  <c r="BF6" i="10"/>
  <c r="BE6" i="10"/>
  <c r="BD6" i="10"/>
  <c r="BC6" i="10"/>
  <c r="BB6" i="10"/>
  <c r="BA6" i="10"/>
  <c r="AZ6"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S5" i="10"/>
  <c r="ER5" i="10"/>
  <c r="EQ5" i="10"/>
  <c r="EP5" i="10"/>
  <c r="EO5" i="10"/>
  <c r="EN5" i="10"/>
  <c r="EM5" i="10"/>
  <c r="EL5" i="10"/>
  <c r="EK5" i="10"/>
  <c r="EJ5" i="10"/>
  <c r="EI5" i="10"/>
  <c r="EH5" i="10"/>
  <c r="EG5" i="10"/>
  <c r="EF5" i="10"/>
  <c r="EE5" i="10"/>
  <c r="ED5" i="10"/>
  <c r="EC5" i="10"/>
  <c r="EB5" i="10"/>
  <c r="EA5" i="10"/>
  <c r="DZ5" i="10"/>
  <c r="DY5" i="10"/>
  <c r="DX5" i="10"/>
  <c r="DW5" i="10"/>
  <c r="DV5" i="10"/>
  <c r="DU5" i="10"/>
  <c r="DT5" i="10"/>
  <c r="DS5" i="10"/>
  <c r="DR5" i="10"/>
  <c r="DQ5" i="10"/>
  <c r="DP5" i="10"/>
  <c r="DO5" i="10"/>
  <c r="DN5" i="10"/>
  <c r="DM5" i="10"/>
  <c r="DL5" i="10"/>
  <c r="DK5" i="10"/>
  <c r="DJ5" i="10"/>
  <c r="DI5" i="10"/>
  <c r="DH5" i="10"/>
  <c r="DG5" i="10"/>
  <c r="DF5" i="10"/>
  <c r="DE5" i="10"/>
  <c r="DD5" i="10"/>
  <c r="DC5" i="10"/>
  <c r="DB5" i="10"/>
  <c r="DA5" i="10"/>
  <c r="CZ5" i="10"/>
  <c r="CY5" i="10"/>
  <c r="CX5" i="10"/>
  <c r="CW5" i="10"/>
  <c r="CV5" i="10"/>
  <c r="CU5" i="10"/>
  <c r="CT5" i="10"/>
  <c r="CS5" i="10"/>
  <c r="CR5" i="10"/>
  <c r="CQ5" i="10"/>
  <c r="CP5" i="10"/>
  <c r="CO5" i="10"/>
  <c r="CN5" i="10"/>
  <c r="CM5" i="10"/>
  <c r="CL5" i="10"/>
  <c r="CK5" i="10"/>
  <c r="CJ5" i="10"/>
  <c r="CI5" i="10"/>
  <c r="CH5" i="10"/>
  <c r="CG5" i="10"/>
  <c r="CF5" i="10"/>
  <c r="CE5" i="10"/>
  <c r="CD5" i="10"/>
  <c r="CC5" i="10"/>
  <c r="CB5" i="10"/>
  <c r="CA5" i="10"/>
  <c r="BZ5" i="10"/>
  <c r="BY5" i="10"/>
  <c r="BX5" i="10"/>
  <c r="BW5" i="10"/>
  <c r="BV5" i="10"/>
  <c r="BU5" i="10"/>
  <c r="BT5" i="10"/>
  <c r="BS5" i="10"/>
  <c r="BR5" i="10"/>
  <c r="BQ5" i="10"/>
  <c r="BP5" i="10"/>
  <c r="BO5" i="10"/>
  <c r="BN5" i="10"/>
  <c r="BM5" i="10"/>
  <c r="BL5" i="10"/>
  <c r="BK5" i="10"/>
  <c r="BJ5" i="10"/>
  <c r="BI5" i="10"/>
  <c r="BH5" i="10"/>
  <c r="BG5" i="10"/>
  <c r="BF5" i="10"/>
  <c r="BE5" i="10"/>
  <c r="BD5" i="10"/>
  <c r="BC5" i="10"/>
  <c r="BB5" i="10"/>
  <c r="BA5" i="10"/>
  <c r="AZ5" i="10"/>
  <c r="AY5" i="10"/>
  <c r="AX5" i="10"/>
  <c r="AW5" i="10"/>
  <c r="AV5" i="10"/>
  <c r="AU5" i="10"/>
  <c r="AT5" i="10"/>
  <c r="AS5" i="10"/>
  <c r="AR5" i="10"/>
  <c r="AQ5" i="10"/>
  <c r="AP5" i="10"/>
  <c r="AO5" i="10"/>
  <c r="AN5" i="10"/>
  <c r="AM5" i="10"/>
  <c r="AL5" i="10"/>
  <c r="AK5" i="10"/>
  <c r="AJ5" i="10"/>
  <c r="AI5" i="10"/>
  <c r="AH5" i="10"/>
  <c r="AG5"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D77" i="9"/>
  <c r="D76" i="9"/>
  <c r="D75" i="9"/>
  <c r="D74" i="9"/>
  <c r="D73" i="9"/>
  <c r="D72" i="9"/>
  <c r="D70" i="9"/>
  <c r="D69" i="9"/>
  <c r="D68" i="9"/>
  <c r="D67" i="9"/>
  <c r="D66" i="9"/>
  <c r="D65" i="9"/>
  <c r="D64" i="9"/>
  <c r="D62" i="9"/>
  <c r="B62" i="9"/>
  <c r="D61" i="9"/>
  <c r="B61" i="9"/>
  <c r="D60" i="9"/>
  <c r="B60" i="9"/>
  <c r="D59" i="9"/>
  <c r="B59" i="9"/>
  <c r="D58" i="9"/>
  <c r="B58" i="9"/>
  <c r="D57" i="9"/>
  <c r="B57" i="9"/>
  <c r="D56" i="9"/>
  <c r="B56" i="9"/>
  <c r="D55" i="9"/>
  <c r="B55" i="9"/>
  <c r="D54" i="9"/>
  <c r="B54" i="9"/>
  <c r="D53" i="9"/>
  <c r="B53" i="9"/>
  <c r="D52" i="9"/>
  <c r="B52" i="9"/>
  <c r="D51" i="9"/>
  <c r="B51" i="9"/>
  <c r="D50" i="9"/>
  <c r="B50" i="9"/>
  <c r="D49" i="9"/>
  <c r="B49" i="9"/>
  <c r="D48" i="9"/>
  <c r="B48" i="9"/>
  <c r="D47" i="9"/>
  <c r="B47" i="9"/>
  <c r="D46" i="9"/>
  <c r="B46" i="9"/>
  <c r="D45" i="9"/>
  <c r="B45" i="9"/>
  <c r="D44" i="9"/>
  <c r="B44" i="9"/>
  <c r="D43" i="9"/>
  <c r="B43" i="9"/>
  <c r="D42" i="9"/>
  <c r="B42" i="9"/>
  <c r="D41" i="9"/>
  <c r="B41" i="9"/>
  <c r="D40" i="9"/>
  <c r="B40" i="9"/>
  <c r="D39" i="9"/>
  <c r="B39" i="9"/>
  <c r="D38" i="9"/>
  <c r="B38" i="9"/>
  <c r="D36" i="9"/>
  <c r="B36" i="9"/>
  <c r="D35" i="9"/>
  <c r="B35" i="9"/>
  <c r="D34" i="9"/>
  <c r="B34" i="9"/>
  <c r="D33" i="9"/>
  <c r="B33" i="9"/>
  <c r="D32" i="9"/>
  <c r="B32" i="9"/>
  <c r="D31" i="9"/>
  <c r="B31" i="9"/>
  <c r="D30" i="9"/>
  <c r="B30" i="9"/>
  <c r="D29" i="9"/>
  <c r="B29" i="9"/>
  <c r="D28" i="9"/>
  <c r="B28" i="9"/>
  <c r="D27" i="9"/>
  <c r="B27" i="9"/>
  <c r="D26" i="9"/>
  <c r="B26" i="9"/>
  <c r="D25" i="9"/>
  <c r="B25" i="9"/>
  <c r="D24" i="9"/>
  <c r="B24" i="9"/>
  <c r="D23" i="9"/>
  <c r="B23" i="9"/>
  <c r="D22" i="9"/>
  <c r="B22" i="9"/>
  <c r="D21" i="9"/>
  <c r="B21" i="9"/>
  <c r="D20" i="9"/>
  <c r="B20" i="9"/>
  <c r="D19" i="9"/>
  <c r="B19" i="9"/>
  <c r="D18" i="9"/>
  <c r="B18" i="9"/>
  <c r="D17" i="9"/>
  <c r="B17" i="9"/>
  <c r="D16" i="9"/>
  <c r="B16" i="9"/>
  <c r="D15" i="9"/>
  <c r="B15" i="9"/>
  <c r="D14" i="9"/>
  <c r="B14" i="9"/>
  <c r="D13" i="9"/>
  <c r="B13" i="9"/>
  <c r="D12" i="9"/>
  <c r="B12" i="9"/>
  <c r="ES6" i="9"/>
  <c r="ER6" i="9"/>
  <c r="EQ6" i="9"/>
  <c r="EP6" i="9"/>
  <c r="EO6" i="9"/>
  <c r="EN6" i="9"/>
  <c r="EM6" i="9"/>
  <c r="EL6" i="9"/>
  <c r="EK6" i="9"/>
  <c r="EJ6" i="9"/>
  <c r="EI6" i="9"/>
  <c r="EH6" i="9"/>
  <c r="EG6" i="9"/>
  <c r="EF6" i="9"/>
  <c r="EE6" i="9"/>
  <c r="ED6" i="9"/>
  <c r="EC6" i="9"/>
  <c r="EB6" i="9"/>
  <c r="EA6" i="9"/>
  <c r="DZ6" i="9"/>
  <c r="DY6" i="9"/>
  <c r="DX6" i="9"/>
  <c r="DW6" i="9"/>
  <c r="DV6" i="9"/>
  <c r="DU6" i="9"/>
  <c r="DT6" i="9"/>
  <c r="DS6" i="9"/>
  <c r="DR6" i="9"/>
  <c r="DQ6" i="9"/>
  <c r="DP6" i="9"/>
  <c r="DO6" i="9"/>
  <c r="DN6" i="9"/>
  <c r="DM6" i="9"/>
  <c r="DL6" i="9"/>
  <c r="DK6" i="9"/>
  <c r="DJ6" i="9"/>
  <c r="DI6" i="9"/>
  <c r="DH6" i="9"/>
  <c r="DG6" i="9"/>
  <c r="DF6" i="9"/>
  <c r="DE6" i="9"/>
  <c r="DD6" i="9"/>
  <c r="DC6" i="9"/>
  <c r="DB6" i="9"/>
  <c r="DA6" i="9"/>
  <c r="CZ6" i="9"/>
  <c r="CY6" i="9"/>
  <c r="CX6" i="9"/>
  <c r="CW6" i="9"/>
  <c r="CV6" i="9"/>
  <c r="CU6" i="9"/>
  <c r="CT6" i="9"/>
  <c r="CS6" i="9"/>
  <c r="CR6" i="9"/>
  <c r="CQ6" i="9"/>
  <c r="CP6" i="9"/>
  <c r="CO6" i="9"/>
  <c r="CN6" i="9"/>
  <c r="CM6" i="9"/>
  <c r="CL6" i="9"/>
  <c r="CK6" i="9"/>
  <c r="CJ6" i="9"/>
  <c r="CI6" i="9"/>
  <c r="CH6" i="9"/>
  <c r="CG6" i="9"/>
  <c r="CF6" i="9"/>
  <c r="CE6" i="9"/>
  <c r="CD6" i="9"/>
  <c r="CC6" i="9"/>
  <c r="CB6" i="9"/>
  <c r="CA6" i="9"/>
  <c r="BZ6" i="9"/>
  <c r="BY6" i="9"/>
  <c r="BX6" i="9"/>
  <c r="BW6" i="9"/>
  <c r="BV6" i="9"/>
  <c r="BU6" i="9"/>
  <c r="BT6" i="9"/>
  <c r="BS6" i="9"/>
  <c r="BR6" i="9"/>
  <c r="BQ6" i="9"/>
  <c r="BP6" i="9"/>
  <c r="BO6" i="9"/>
  <c r="BN6" i="9"/>
  <c r="BM6" i="9"/>
  <c r="BL6" i="9"/>
  <c r="BK6" i="9"/>
  <c r="BJ6" i="9"/>
  <c r="BI6" i="9"/>
  <c r="BH6" i="9"/>
  <c r="BG6" i="9"/>
  <c r="BF6" i="9"/>
  <c r="BE6" i="9"/>
  <c r="BD6" i="9"/>
  <c r="BC6" i="9"/>
  <c r="BB6" i="9"/>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S5" i="9"/>
  <c r="ER5" i="9"/>
  <c r="EQ5" i="9"/>
  <c r="EP5" i="9"/>
  <c r="EO5" i="9"/>
  <c r="EN5" i="9"/>
  <c r="EM5" i="9"/>
  <c r="EL5" i="9"/>
  <c r="EK5" i="9"/>
  <c r="EJ5" i="9"/>
  <c r="EI5" i="9"/>
  <c r="EH5" i="9"/>
  <c r="EG5" i="9"/>
  <c r="EF5" i="9"/>
  <c r="EE5" i="9"/>
  <c r="ED5" i="9"/>
  <c r="EC5" i="9"/>
  <c r="EB5" i="9"/>
  <c r="EA5" i="9"/>
  <c r="DZ5" i="9"/>
  <c r="DY5" i="9"/>
  <c r="DX5" i="9"/>
  <c r="DW5" i="9"/>
  <c r="DV5" i="9"/>
  <c r="DU5" i="9"/>
  <c r="DT5" i="9"/>
  <c r="DS5" i="9"/>
  <c r="DR5" i="9"/>
  <c r="DQ5" i="9"/>
  <c r="DP5" i="9"/>
  <c r="DO5" i="9"/>
  <c r="DN5" i="9"/>
  <c r="DM5" i="9"/>
  <c r="DL5" i="9"/>
  <c r="DK5" i="9"/>
  <c r="DJ5" i="9"/>
  <c r="DI5" i="9"/>
  <c r="DH5" i="9"/>
  <c r="DG5" i="9"/>
  <c r="DF5" i="9"/>
  <c r="DE5" i="9"/>
  <c r="DD5" i="9"/>
  <c r="DC5" i="9"/>
  <c r="DB5" i="9"/>
  <c r="DA5" i="9"/>
  <c r="CZ5" i="9"/>
  <c r="CY5" i="9"/>
  <c r="CX5" i="9"/>
  <c r="CW5" i="9"/>
  <c r="CV5" i="9"/>
  <c r="CU5" i="9"/>
  <c r="CT5" i="9"/>
  <c r="CS5" i="9"/>
  <c r="CR5" i="9"/>
  <c r="CQ5" i="9"/>
  <c r="CP5" i="9"/>
  <c r="CO5" i="9"/>
  <c r="CN5" i="9"/>
  <c r="CM5" i="9"/>
  <c r="CL5" i="9"/>
  <c r="CK5" i="9"/>
  <c r="CJ5" i="9"/>
  <c r="CI5" i="9"/>
  <c r="CH5" i="9"/>
  <c r="CG5" i="9"/>
  <c r="CF5" i="9"/>
  <c r="CE5" i="9"/>
  <c r="CD5" i="9"/>
  <c r="CC5" i="9"/>
  <c r="CB5" i="9"/>
  <c r="CA5" i="9"/>
  <c r="BZ5" i="9"/>
  <c r="BY5" i="9"/>
  <c r="BX5" i="9"/>
  <c r="BW5" i="9"/>
  <c r="BV5" i="9"/>
  <c r="BU5" i="9"/>
  <c r="BT5" i="9"/>
  <c r="BS5" i="9"/>
  <c r="BR5" i="9"/>
  <c r="BQ5" i="9"/>
  <c r="BP5" i="9"/>
  <c r="BO5" i="9"/>
  <c r="BN5" i="9"/>
  <c r="BM5" i="9"/>
  <c r="BL5" i="9"/>
  <c r="BK5" i="9"/>
  <c r="BJ5" i="9"/>
  <c r="BI5" i="9"/>
  <c r="BH5" i="9"/>
  <c r="BG5" i="9"/>
  <c r="BF5" i="9"/>
  <c r="BE5" i="9"/>
  <c r="BD5" i="9"/>
  <c r="BC5" i="9"/>
  <c r="BB5" i="9"/>
  <c r="BA5" i="9"/>
  <c r="AZ5" i="9"/>
  <c r="AY5"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V5" i="9"/>
  <c r="U5" i="9"/>
  <c r="T5" i="9"/>
  <c r="S5" i="9"/>
  <c r="R5" i="9"/>
  <c r="Q5" i="9"/>
  <c r="P5" i="9"/>
  <c r="O5" i="9"/>
  <c r="N5" i="9"/>
  <c r="M5" i="9"/>
  <c r="L5" i="9"/>
  <c r="K5" i="9"/>
  <c r="J5" i="9"/>
  <c r="I5" i="9"/>
  <c r="H5" i="9"/>
  <c r="G5" i="9"/>
  <c r="F5" i="9"/>
  <c r="ES245" i="8"/>
  <c r="ER245" i="8"/>
  <c r="EQ245" i="8"/>
  <c r="EP245" i="8"/>
  <c r="EO245" i="8"/>
  <c r="EN245" i="8"/>
  <c r="EM245" i="8"/>
  <c r="EL245" i="8"/>
  <c r="EK245" i="8"/>
  <c r="EJ245" i="8"/>
  <c r="EI245" i="8"/>
  <c r="EH245" i="8"/>
  <c r="EG245" i="8"/>
  <c r="EF245" i="8"/>
  <c r="EE245" i="8"/>
  <c r="ED245" i="8"/>
  <c r="EC245" i="8"/>
  <c r="EB245" i="8"/>
  <c r="EA245" i="8"/>
  <c r="DZ245" i="8"/>
  <c r="DY245" i="8"/>
  <c r="DX245" i="8"/>
  <c r="DW245" i="8"/>
  <c r="DV245" i="8"/>
  <c r="DU245" i="8"/>
  <c r="DT245" i="8"/>
  <c r="DS245" i="8"/>
  <c r="DR245" i="8"/>
  <c r="DQ245" i="8"/>
  <c r="DP245" i="8"/>
  <c r="DO245" i="8"/>
  <c r="DN245" i="8"/>
  <c r="DM245" i="8"/>
  <c r="DL245" i="8"/>
  <c r="DK245" i="8"/>
  <c r="DJ245" i="8"/>
  <c r="DI245" i="8"/>
  <c r="DH245" i="8"/>
  <c r="DG245" i="8"/>
  <c r="DF245" i="8"/>
  <c r="DE245" i="8"/>
  <c r="DD245" i="8"/>
  <c r="DC245" i="8"/>
  <c r="DB245" i="8"/>
  <c r="DA245" i="8"/>
  <c r="CZ245" i="8"/>
  <c r="CY245" i="8"/>
  <c r="CX245" i="8"/>
  <c r="CW245" i="8"/>
  <c r="CV245" i="8"/>
  <c r="CU245" i="8"/>
  <c r="CT245" i="8"/>
  <c r="CS245" i="8"/>
  <c r="CR245" i="8"/>
  <c r="CQ245" i="8"/>
  <c r="CP245" i="8"/>
  <c r="CO245" i="8"/>
  <c r="CN245" i="8"/>
  <c r="CM245" i="8"/>
  <c r="CL245" i="8"/>
  <c r="CK245" i="8"/>
  <c r="CJ245" i="8"/>
  <c r="CI245" i="8"/>
  <c r="CH245" i="8"/>
  <c r="CG245" i="8"/>
  <c r="CF245" i="8"/>
  <c r="CE245" i="8"/>
  <c r="CD245" i="8"/>
  <c r="CC245" i="8"/>
  <c r="CB245" i="8"/>
  <c r="CA245" i="8"/>
  <c r="BZ245" i="8"/>
  <c r="BY245" i="8"/>
  <c r="BX245" i="8"/>
  <c r="BW245" i="8"/>
  <c r="BV245" i="8"/>
  <c r="BU245" i="8"/>
  <c r="BT245" i="8"/>
  <c r="BS245" i="8"/>
  <c r="BR245" i="8"/>
  <c r="BQ245" i="8"/>
  <c r="BP245" i="8"/>
  <c r="BO245" i="8"/>
  <c r="BN245" i="8"/>
  <c r="BM245" i="8"/>
  <c r="BL245" i="8"/>
  <c r="BK245" i="8"/>
  <c r="BJ245" i="8"/>
  <c r="BI245" i="8"/>
  <c r="BH245" i="8"/>
  <c r="BG245" i="8"/>
  <c r="BF245" i="8"/>
  <c r="BE245" i="8"/>
  <c r="BD245" i="8"/>
  <c r="BC245" i="8"/>
  <c r="BB245" i="8"/>
  <c r="BA245" i="8"/>
  <c r="AZ245" i="8"/>
  <c r="AY245" i="8"/>
  <c r="AX245" i="8"/>
  <c r="AW245" i="8"/>
  <c r="AV245" i="8"/>
  <c r="AU245" i="8"/>
  <c r="AT245" i="8"/>
  <c r="AS245" i="8"/>
  <c r="AR245" i="8"/>
  <c r="AQ245" i="8"/>
  <c r="AP245" i="8"/>
  <c r="C244" i="8"/>
  <c r="B244" i="8"/>
  <c r="C243" i="8"/>
  <c r="B243" i="8"/>
  <c r="C242" i="8"/>
  <c r="B242" i="8"/>
  <c r="C241" i="8"/>
  <c r="B241" i="8"/>
  <c r="C240" i="8"/>
  <c r="B240" i="8"/>
  <c r="C239" i="8"/>
  <c r="B239" i="8"/>
  <c r="C238" i="8"/>
  <c r="B238" i="8"/>
  <c r="C237" i="8"/>
  <c r="B237" i="8"/>
  <c r="C236" i="8"/>
  <c r="B236" i="8"/>
  <c r="C235" i="8"/>
  <c r="B235" i="8"/>
  <c r="C234" i="8"/>
  <c r="B234" i="8"/>
  <c r="C233" i="8"/>
  <c r="B233" i="8"/>
  <c r="C232" i="8"/>
  <c r="B232" i="8"/>
  <c r="C231" i="8"/>
  <c r="B231" i="8"/>
  <c r="C230" i="8"/>
  <c r="B230" i="8"/>
  <c r="C229" i="8"/>
  <c r="B229" i="8"/>
  <c r="C228" i="8"/>
  <c r="B228" i="8"/>
  <c r="C227" i="8"/>
  <c r="B227" i="8"/>
  <c r="C226" i="8"/>
  <c r="B226" i="8"/>
  <c r="C225" i="8"/>
  <c r="B225" i="8"/>
  <c r="C224" i="8"/>
  <c r="B224" i="8"/>
  <c r="C223" i="8"/>
  <c r="B223" i="8"/>
  <c r="C222" i="8"/>
  <c r="B222" i="8"/>
  <c r="C221" i="8"/>
  <c r="B221" i="8"/>
  <c r="C220" i="8"/>
  <c r="B220" i="8"/>
  <c r="ES217" i="8"/>
  <c r="ER217" i="8"/>
  <c r="EQ217" i="8"/>
  <c r="EP217" i="8"/>
  <c r="EO217" i="8"/>
  <c r="EN217" i="8"/>
  <c r="EM217" i="8"/>
  <c r="EL217" i="8"/>
  <c r="EK217" i="8"/>
  <c r="EJ217" i="8"/>
  <c r="EI217" i="8"/>
  <c r="EH217" i="8"/>
  <c r="EG217" i="8"/>
  <c r="EF217" i="8"/>
  <c r="EE217" i="8"/>
  <c r="ED217" i="8"/>
  <c r="EC217" i="8"/>
  <c r="EB217" i="8"/>
  <c r="EA217" i="8"/>
  <c r="DZ217" i="8"/>
  <c r="DY217" i="8"/>
  <c r="DX217" i="8"/>
  <c r="DW217" i="8"/>
  <c r="DV217" i="8"/>
  <c r="DU217" i="8"/>
  <c r="DT217" i="8"/>
  <c r="DS217" i="8"/>
  <c r="DR217" i="8"/>
  <c r="DQ217" i="8"/>
  <c r="DP217" i="8"/>
  <c r="DO217" i="8"/>
  <c r="DN217" i="8"/>
  <c r="DM217" i="8"/>
  <c r="DL217" i="8"/>
  <c r="DK217" i="8"/>
  <c r="DJ217" i="8"/>
  <c r="DI217" i="8"/>
  <c r="DH217" i="8"/>
  <c r="DG217" i="8"/>
  <c r="DF217" i="8"/>
  <c r="DE217" i="8"/>
  <c r="DD217" i="8"/>
  <c r="DC217" i="8"/>
  <c r="DB217" i="8"/>
  <c r="DA217" i="8"/>
  <c r="CZ217" i="8"/>
  <c r="CY217" i="8"/>
  <c r="CX217" i="8"/>
  <c r="CW217" i="8"/>
  <c r="CV217" i="8"/>
  <c r="CU217" i="8"/>
  <c r="CT217" i="8"/>
  <c r="CS217" i="8"/>
  <c r="CR217" i="8"/>
  <c r="CQ217" i="8"/>
  <c r="CP217" i="8"/>
  <c r="CO217" i="8"/>
  <c r="CN217" i="8"/>
  <c r="CM217" i="8"/>
  <c r="CL217" i="8"/>
  <c r="CK217" i="8"/>
  <c r="CJ217" i="8"/>
  <c r="CI217" i="8"/>
  <c r="CH217" i="8"/>
  <c r="CG217" i="8"/>
  <c r="CF217" i="8"/>
  <c r="CE217" i="8"/>
  <c r="CD217" i="8"/>
  <c r="CC217" i="8"/>
  <c r="CB217" i="8"/>
  <c r="CA217" i="8"/>
  <c r="BZ217" i="8"/>
  <c r="BY217" i="8"/>
  <c r="BX217" i="8"/>
  <c r="BW217" i="8"/>
  <c r="BV217" i="8"/>
  <c r="BU217" i="8"/>
  <c r="BT217" i="8"/>
  <c r="BS217" i="8"/>
  <c r="BR217" i="8"/>
  <c r="BQ217" i="8"/>
  <c r="BP217" i="8"/>
  <c r="BO217" i="8"/>
  <c r="BN217" i="8"/>
  <c r="BM217" i="8"/>
  <c r="BL217" i="8"/>
  <c r="BK217" i="8"/>
  <c r="BJ217" i="8"/>
  <c r="BI217" i="8"/>
  <c r="BH217" i="8"/>
  <c r="BG217" i="8"/>
  <c r="BF217" i="8"/>
  <c r="BE217" i="8"/>
  <c r="BD217" i="8"/>
  <c r="BC217" i="8"/>
  <c r="BB217" i="8"/>
  <c r="BA217" i="8"/>
  <c r="AZ217" i="8"/>
  <c r="AY217" i="8"/>
  <c r="AX217" i="8"/>
  <c r="AW217" i="8"/>
  <c r="AV217" i="8"/>
  <c r="AU217" i="8"/>
  <c r="AT217" i="8"/>
  <c r="AS217" i="8"/>
  <c r="AR217" i="8"/>
  <c r="AQ217" i="8"/>
  <c r="AP217" i="8"/>
  <c r="C216" i="8"/>
  <c r="B216" i="8"/>
  <c r="C215" i="8"/>
  <c r="B215" i="8"/>
  <c r="C214" i="8"/>
  <c r="B214" i="8"/>
  <c r="C213" i="8"/>
  <c r="B213" i="8"/>
  <c r="C212" i="8"/>
  <c r="B212" i="8"/>
  <c r="C211" i="8"/>
  <c r="B211" i="8"/>
  <c r="C210" i="8"/>
  <c r="B210" i="8"/>
  <c r="C209" i="8"/>
  <c r="B209" i="8"/>
  <c r="C208" i="8"/>
  <c r="B208" i="8"/>
  <c r="C207" i="8"/>
  <c r="B207" i="8"/>
  <c r="C206" i="8"/>
  <c r="B206" i="8"/>
  <c r="C205" i="8"/>
  <c r="B205" i="8"/>
  <c r="C204" i="8"/>
  <c r="B204" i="8"/>
  <c r="C203" i="8"/>
  <c r="B203" i="8"/>
  <c r="C202" i="8"/>
  <c r="B202" i="8"/>
  <c r="C201" i="8"/>
  <c r="B201" i="8"/>
  <c r="C200" i="8"/>
  <c r="B200" i="8"/>
  <c r="C199" i="8"/>
  <c r="B199" i="8"/>
  <c r="C198" i="8"/>
  <c r="B198" i="8"/>
  <c r="C197" i="8"/>
  <c r="B197" i="8"/>
  <c r="C196" i="8"/>
  <c r="B196" i="8"/>
  <c r="C195" i="8"/>
  <c r="B195" i="8"/>
  <c r="C194" i="8"/>
  <c r="B194" i="8"/>
  <c r="C193" i="8"/>
  <c r="B193" i="8"/>
  <c r="C192" i="8"/>
  <c r="B192" i="8"/>
  <c r="C191" i="8"/>
  <c r="B191" i="8"/>
  <c r="C190" i="8"/>
  <c r="B190" i="8"/>
  <c r="C189" i="8"/>
  <c r="B189" i="8"/>
  <c r="C188" i="8"/>
  <c r="B188" i="8"/>
  <c r="C187" i="8"/>
  <c r="B187" i="8"/>
  <c r="ES184" i="8"/>
  <c r="ER184" i="8"/>
  <c r="EQ184" i="8"/>
  <c r="EP184" i="8"/>
  <c r="EO184" i="8"/>
  <c r="EN184" i="8"/>
  <c r="EM184" i="8"/>
  <c r="EL184" i="8"/>
  <c r="EK184" i="8"/>
  <c r="EJ184" i="8"/>
  <c r="EI184" i="8"/>
  <c r="EH184" i="8"/>
  <c r="EG184" i="8"/>
  <c r="EF184" i="8"/>
  <c r="EE184" i="8"/>
  <c r="ED184" i="8"/>
  <c r="EC184" i="8"/>
  <c r="EB184" i="8"/>
  <c r="EA184" i="8"/>
  <c r="DZ184" i="8"/>
  <c r="DY184" i="8"/>
  <c r="DX184" i="8"/>
  <c r="DW184" i="8"/>
  <c r="DV184" i="8"/>
  <c r="DU184" i="8"/>
  <c r="DT184" i="8"/>
  <c r="DS184" i="8"/>
  <c r="DR184" i="8"/>
  <c r="DQ184" i="8"/>
  <c r="DP184" i="8"/>
  <c r="DO184" i="8"/>
  <c r="DN184" i="8"/>
  <c r="DM184" i="8"/>
  <c r="DL184" i="8"/>
  <c r="DK184" i="8"/>
  <c r="DJ184" i="8"/>
  <c r="DI184" i="8"/>
  <c r="DH184" i="8"/>
  <c r="DG184" i="8"/>
  <c r="DF184" i="8"/>
  <c r="DE184" i="8"/>
  <c r="DD184" i="8"/>
  <c r="DC184" i="8"/>
  <c r="DB184" i="8"/>
  <c r="DA184" i="8"/>
  <c r="CZ184" i="8"/>
  <c r="CY184" i="8"/>
  <c r="CX184" i="8"/>
  <c r="CW184" i="8"/>
  <c r="CV184" i="8"/>
  <c r="CU184" i="8"/>
  <c r="CT184" i="8"/>
  <c r="CS184" i="8"/>
  <c r="CR184" i="8"/>
  <c r="CQ184" i="8"/>
  <c r="CP184" i="8"/>
  <c r="CO184" i="8"/>
  <c r="CN184" i="8"/>
  <c r="CM184" i="8"/>
  <c r="CL184" i="8"/>
  <c r="CK184" i="8"/>
  <c r="CJ184" i="8"/>
  <c r="CI184" i="8"/>
  <c r="CH184" i="8"/>
  <c r="CG184" i="8"/>
  <c r="CF184" i="8"/>
  <c r="CE184" i="8"/>
  <c r="CD184" i="8"/>
  <c r="CC184" i="8"/>
  <c r="CB184" i="8"/>
  <c r="CA184" i="8"/>
  <c r="BZ184" i="8"/>
  <c r="BY184" i="8"/>
  <c r="BX184" i="8"/>
  <c r="BW184" i="8"/>
  <c r="BV184" i="8"/>
  <c r="BU184" i="8"/>
  <c r="BT184" i="8"/>
  <c r="BS184" i="8"/>
  <c r="BR184" i="8"/>
  <c r="BQ184" i="8"/>
  <c r="BP184" i="8"/>
  <c r="BO184" i="8"/>
  <c r="BN184" i="8"/>
  <c r="BM184" i="8"/>
  <c r="BL184" i="8"/>
  <c r="BK184" i="8"/>
  <c r="BJ184" i="8"/>
  <c r="BI184" i="8"/>
  <c r="BH184" i="8"/>
  <c r="BG184" i="8"/>
  <c r="BF184" i="8"/>
  <c r="BE184" i="8"/>
  <c r="BD184" i="8"/>
  <c r="BC184" i="8"/>
  <c r="BB184" i="8"/>
  <c r="BA184" i="8"/>
  <c r="AZ184" i="8"/>
  <c r="AY184" i="8"/>
  <c r="AX184" i="8"/>
  <c r="AW184" i="8"/>
  <c r="AV184" i="8"/>
  <c r="AU184" i="8"/>
  <c r="AT184" i="8"/>
  <c r="AS184" i="8"/>
  <c r="AR184" i="8"/>
  <c r="AQ184" i="8"/>
  <c r="AP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ES151" i="8"/>
  <c r="ER151" i="8"/>
  <c r="EQ151" i="8"/>
  <c r="EP151" i="8"/>
  <c r="EO151" i="8"/>
  <c r="EN151" i="8"/>
  <c r="EM151" i="8"/>
  <c r="EL151" i="8"/>
  <c r="EK151" i="8"/>
  <c r="EJ151" i="8"/>
  <c r="EI151" i="8"/>
  <c r="EH151" i="8"/>
  <c r="EG151" i="8"/>
  <c r="EF151" i="8"/>
  <c r="EE151" i="8"/>
  <c r="ED151" i="8"/>
  <c r="EC151" i="8"/>
  <c r="EB151" i="8"/>
  <c r="EA151" i="8"/>
  <c r="DZ151" i="8"/>
  <c r="DY151" i="8"/>
  <c r="DX151" i="8"/>
  <c r="DW151" i="8"/>
  <c r="DV151" i="8"/>
  <c r="DU151" i="8"/>
  <c r="DT151" i="8"/>
  <c r="DS151" i="8"/>
  <c r="DR151" i="8"/>
  <c r="DQ151" i="8"/>
  <c r="DP151" i="8"/>
  <c r="DO151" i="8"/>
  <c r="DN151" i="8"/>
  <c r="DM151" i="8"/>
  <c r="DL151" i="8"/>
  <c r="DK151" i="8"/>
  <c r="DJ151" i="8"/>
  <c r="DI151" i="8"/>
  <c r="DH151" i="8"/>
  <c r="DG151" i="8"/>
  <c r="DF151" i="8"/>
  <c r="DE151" i="8"/>
  <c r="DD151" i="8"/>
  <c r="DC151" i="8"/>
  <c r="DB151" i="8"/>
  <c r="DA151" i="8"/>
  <c r="CZ151" i="8"/>
  <c r="CY151" i="8"/>
  <c r="CX151" i="8"/>
  <c r="CW151" i="8"/>
  <c r="CV151" i="8"/>
  <c r="CU151" i="8"/>
  <c r="CT151" i="8"/>
  <c r="CS151" i="8"/>
  <c r="CR151" i="8"/>
  <c r="CQ151" i="8"/>
  <c r="CP151" i="8"/>
  <c r="CO151" i="8"/>
  <c r="CN151" i="8"/>
  <c r="CM151" i="8"/>
  <c r="CL151" i="8"/>
  <c r="CK151" i="8"/>
  <c r="CJ151" i="8"/>
  <c r="CI151" i="8"/>
  <c r="CH151" i="8"/>
  <c r="CG151" i="8"/>
  <c r="CF151" i="8"/>
  <c r="CE151" i="8"/>
  <c r="CD151" i="8"/>
  <c r="CC151" i="8"/>
  <c r="CB151" i="8"/>
  <c r="CA151" i="8"/>
  <c r="BZ151" i="8"/>
  <c r="BY151" i="8"/>
  <c r="BX151" i="8"/>
  <c r="BW151" i="8"/>
  <c r="BV151" i="8"/>
  <c r="BU151" i="8"/>
  <c r="BT151" i="8"/>
  <c r="BS151" i="8"/>
  <c r="BR151" i="8"/>
  <c r="BQ151" i="8"/>
  <c r="BP151" i="8"/>
  <c r="BO151" i="8"/>
  <c r="BN151" i="8"/>
  <c r="BM151" i="8"/>
  <c r="BL151" i="8"/>
  <c r="BK151" i="8"/>
  <c r="BJ151" i="8"/>
  <c r="BI151" i="8"/>
  <c r="BH151" i="8"/>
  <c r="BG151" i="8"/>
  <c r="BF151" i="8"/>
  <c r="BE151" i="8"/>
  <c r="BD151" i="8"/>
  <c r="BC151" i="8"/>
  <c r="BB151" i="8"/>
  <c r="BA151" i="8"/>
  <c r="AZ151" i="8"/>
  <c r="AY151" i="8"/>
  <c r="AX151" i="8"/>
  <c r="AW151" i="8"/>
  <c r="AV151" i="8"/>
  <c r="AU151" i="8"/>
  <c r="AT151" i="8"/>
  <c r="AS151" i="8"/>
  <c r="AR151" i="8"/>
  <c r="AQ151" i="8"/>
  <c r="AP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ES123" i="8"/>
  <c r="ER123" i="8"/>
  <c r="EQ123" i="8"/>
  <c r="EP123" i="8"/>
  <c r="EO123" i="8"/>
  <c r="EN123" i="8"/>
  <c r="EM123" i="8"/>
  <c r="EL123" i="8"/>
  <c r="EK123" i="8"/>
  <c r="EJ123" i="8"/>
  <c r="EI123" i="8"/>
  <c r="EH123" i="8"/>
  <c r="EG123" i="8"/>
  <c r="EF123" i="8"/>
  <c r="EE123" i="8"/>
  <c r="ED123" i="8"/>
  <c r="EC123" i="8"/>
  <c r="EB123" i="8"/>
  <c r="EA123" i="8"/>
  <c r="DZ123" i="8"/>
  <c r="DY123" i="8"/>
  <c r="DX123" i="8"/>
  <c r="DW123" i="8"/>
  <c r="DV123" i="8"/>
  <c r="DU123" i="8"/>
  <c r="DT123" i="8"/>
  <c r="DS123" i="8"/>
  <c r="DR123" i="8"/>
  <c r="DQ123" i="8"/>
  <c r="DP123" i="8"/>
  <c r="DO123" i="8"/>
  <c r="DN123" i="8"/>
  <c r="DM123" i="8"/>
  <c r="DL123" i="8"/>
  <c r="DK123" i="8"/>
  <c r="DJ123" i="8"/>
  <c r="DI123" i="8"/>
  <c r="DH123" i="8"/>
  <c r="DG123" i="8"/>
  <c r="DF123" i="8"/>
  <c r="DE123" i="8"/>
  <c r="DD123" i="8"/>
  <c r="DC123" i="8"/>
  <c r="DB123" i="8"/>
  <c r="DA123" i="8"/>
  <c r="CZ123" i="8"/>
  <c r="CY123" i="8"/>
  <c r="CX123" i="8"/>
  <c r="CW123" i="8"/>
  <c r="CV123" i="8"/>
  <c r="CU123" i="8"/>
  <c r="CT123" i="8"/>
  <c r="CS123" i="8"/>
  <c r="CR123" i="8"/>
  <c r="CQ123" i="8"/>
  <c r="CP123" i="8"/>
  <c r="CO123" i="8"/>
  <c r="CN123" i="8"/>
  <c r="CM123" i="8"/>
  <c r="CL123" i="8"/>
  <c r="CK123" i="8"/>
  <c r="CJ123" i="8"/>
  <c r="CI123" i="8"/>
  <c r="CH123" i="8"/>
  <c r="CG123" i="8"/>
  <c r="CF123" i="8"/>
  <c r="CE123" i="8"/>
  <c r="CD123" i="8"/>
  <c r="CC123" i="8"/>
  <c r="CB123" i="8"/>
  <c r="CA123" i="8"/>
  <c r="BZ123" i="8"/>
  <c r="BY123" i="8"/>
  <c r="BX123" i="8"/>
  <c r="BW123" i="8"/>
  <c r="BV123" i="8"/>
  <c r="BU123" i="8"/>
  <c r="BT123" i="8"/>
  <c r="BS123" i="8"/>
  <c r="BR123" i="8"/>
  <c r="BQ123" i="8"/>
  <c r="BP123" i="8"/>
  <c r="BO123" i="8"/>
  <c r="BN123" i="8"/>
  <c r="BM123" i="8"/>
  <c r="BL123" i="8"/>
  <c r="BK123" i="8"/>
  <c r="BJ123" i="8"/>
  <c r="BI123" i="8"/>
  <c r="BH123" i="8"/>
  <c r="BG123" i="8"/>
  <c r="BF123" i="8"/>
  <c r="BE123" i="8"/>
  <c r="BD123" i="8"/>
  <c r="BC123" i="8"/>
  <c r="BB123" i="8"/>
  <c r="BA123" i="8"/>
  <c r="AZ123" i="8"/>
  <c r="AY123" i="8"/>
  <c r="AX123" i="8"/>
  <c r="AW123" i="8"/>
  <c r="AV123" i="8"/>
  <c r="AU123" i="8"/>
  <c r="AT123" i="8"/>
  <c r="AS123" i="8"/>
  <c r="AR123" i="8"/>
  <c r="AQ123" i="8"/>
  <c r="AP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ES95" i="8"/>
  <c r="ER95" i="8"/>
  <c r="EQ95" i="8"/>
  <c r="EP95" i="8"/>
  <c r="EO95" i="8"/>
  <c r="EN95" i="8"/>
  <c r="EM95" i="8"/>
  <c r="EL95" i="8"/>
  <c r="EK95" i="8"/>
  <c r="EJ95" i="8"/>
  <c r="EI95" i="8"/>
  <c r="EH95" i="8"/>
  <c r="EG95" i="8"/>
  <c r="EF95" i="8"/>
  <c r="EE95" i="8"/>
  <c r="ED95" i="8"/>
  <c r="EC95" i="8"/>
  <c r="EB95" i="8"/>
  <c r="EA95" i="8"/>
  <c r="DZ95" i="8"/>
  <c r="DY95" i="8"/>
  <c r="DX95" i="8"/>
  <c r="DW95" i="8"/>
  <c r="DV95" i="8"/>
  <c r="DU95" i="8"/>
  <c r="DT95" i="8"/>
  <c r="DS95" i="8"/>
  <c r="DR95" i="8"/>
  <c r="DQ95" i="8"/>
  <c r="DP95" i="8"/>
  <c r="DO95" i="8"/>
  <c r="DN95" i="8"/>
  <c r="DM95" i="8"/>
  <c r="DL95" i="8"/>
  <c r="DK95" i="8"/>
  <c r="DJ95" i="8"/>
  <c r="DI95" i="8"/>
  <c r="DH95" i="8"/>
  <c r="DG95" i="8"/>
  <c r="DF95" i="8"/>
  <c r="DE95" i="8"/>
  <c r="DD95" i="8"/>
  <c r="DC95" i="8"/>
  <c r="DB95" i="8"/>
  <c r="DA95" i="8"/>
  <c r="CZ95" i="8"/>
  <c r="CY95" i="8"/>
  <c r="CX95" i="8"/>
  <c r="CW95" i="8"/>
  <c r="CV95" i="8"/>
  <c r="CU95" i="8"/>
  <c r="CT95" i="8"/>
  <c r="CS95" i="8"/>
  <c r="CR95" i="8"/>
  <c r="CQ95" i="8"/>
  <c r="CP95" i="8"/>
  <c r="CO95" i="8"/>
  <c r="CN95" i="8"/>
  <c r="CM95" i="8"/>
  <c r="CL95" i="8"/>
  <c r="CK95" i="8"/>
  <c r="CJ95" i="8"/>
  <c r="CI95" i="8"/>
  <c r="CH95" i="8"/>
  <c r="CG95" i="8"/>
  <c r="CF95" i="8"/>
  <c r="CE95" i="8"/>
  <c r="CD95" i="8"/>
  <c r="CC95" i="8"/>
  <c r="CB95" i="8"/>
  <c r="CA95" i="8"/>
  <c r="BZ95" i="8"/>
  <c r="BY95" i="8"/>
  <c r="BX95" i="8"/>
  <c r="BW95" i="8"/>
  <c r="BV95" i="8"/>
  <c r="BU95" i="8"/>
  <c r="BT95" i="8"/>
  <c r="BS95" i="8"/>
  <c r="BR95" i="8"/>
  <c r="BQ95" i="8"/>
  <c r="BP95" i="8"/>
  <c r="BO95" i="8"/>
  <c r="BN95" i="8"/>
  <c r="BM95" i="8"/>
  <c r="BL95" i="8"/>
  <c r="BK95" i="8"/>
  <c r="BJ95" i="8"/>
  <c r="BI95" i="8"/>
  <c r="BH95" i="8"/>
  <c r="BG95" i="8"/>
  <c r="BF95" i="8"/>
  <c r="BE95" i="8"/>
  <c r="BD95" i="8"/>
  <c r="BC95" i="8"/>
  <c r="BB95" i="8"/>
  <c r="BA95" i="8"/>
  <c r="AZ95" i="8"/>
  <c r="AY95" i="8"/>
  <c r="AX95" i="8"/>
  <c r="AW95" i="8"/>
  <c r="AV95" i="8"/>
  <c r="AU95" i="8"/>
  <c r="AT95" i="8"/>
  <c r="AS95" i="8"/>
  <c r="AR95" i="8"/>
  <c r="AQ95" i="8"/>
  <c r="AP95" i="8"/>
  <c r="B94" i="8"/>
  <c r="B93" i="8"/>
  <c r="B92" i="8"/>
  <c r="B91" i="8"/>
  <c r="B90" i="8"/>
  <c r="B89" i="8"/>
  <c r="B88" i="8"/>
  <c r="B87" i="8"/>
  <c r="B86" i="8"/>
  <c r="B85" i="8"/>
  <c r="B84" i="8"/>
  <c r="B83" i="8"/>
  <c r="B82" i="8"/>
  <c r="B81" i="8"/>
  <c r="B80" i="8"/>
  <c r="B79" i="8"/>
  <c r="B78" i="8"/>
  <c r="B77" i="8"/>
  <c r="B76" i="8"/>
  <c r="B75" i="8"/>
  <c r="B74" i="8"/>
  <c r="B73" i="8"/>
  <c r="B72" i="8"/>
  <c r="B71" i="8"/>
  <c r="B70" i="8"/>
  <c r="ES67" i="8"/>
  <c r="ER67" i="8"/>
  <c r="EQ67" i="8"/>
  <c r="EP67" i="8"/>
  <c r="EO67" i="8"/>
  <c r="EN67" i="8"/>
  <c r="EM67" i="8"/>
  <c r="EL67" i="8"/>
  <c r="EK67" i="8"/>
  <c r="EJ67" i="8"/>
  <c r="EI67" i="8"/>
  <c r="EH67" i="8"/>
  <c r="EG67" i="8"/>
  <c r="EF67" i="8"/>
  <c r="EE67" i="8"/>
  <c r="ED67" i="8"/>
  <c r="EC67" i="8"/>
  <c r="EB67" i="8"/>
  <c r="EA67" i="8"/>
  <c r="DZ67" i="8"/>
  <c r="DY67" i="8"/>
  <c r="DX67" i="8"/>
  <c r="DW67" i="8"/>
  <c r="DV67" i="8"/>
  <c r="DU67" i="8"/>
  <c r="DT67" i="8"/>
  <c r="DS67" i="8"/>
  <c r="DR67" i="8"/>
  <c r="DQ67" i="8"/>
  <c r="DP67" i="8"/>
  <c r="DO67" i="8"/>
  <c r="DN67" i="8"/>
  <c r="DM67" i="8"/>
  <c r="DL67" i="8"/>
  <c r="DK67" i="8"/>
  <c r="DJ67" i="8"/>
  <c r="DI67" i="8"/>
  <c r="DH67" i="8"/>
  <c r="DG67" i="8"/>
  <c r="DF67" i="8"/>
  <c r="DE67" i="8"/>
  <c r="DD67" i="8"/>
  <c r="DC67" i="8"/>
  <c r="DB67" i="8"/>
  <c r="DA67" i="8"/>
  <c r="CZ67" i="8"/>
  <c r="CY67" i="8"/>
  <c r="CX67" i="8"/>
  <c r="CW67" i="8"/>
  <c r="CV67" i="8"/>
  <c r="CU67" i="8"/>
  <c r="CT67" i="8"/>
  <c r="CS67" i="8"/>
  <c r="CR67" i="8"/>
  <c r="CQ67" i="8"/>
  <c r="CP67" i="8"/>
  <c r="CO67" i="8"/>
  <c r="CN67" i="8"/>
  <c r="CM67" i="8"/>
  <c r="CL67" i="8"/>
  <c r="CK67" i="8"/>
  <c r="CJ67" i="8"/>
  <c r="CI67" i="8"/>
  <c r="CH67" i="8"/>
  <c r="CG67" i="8"/>
  <c r="CF67" i="8"/>
  <c r="CE67" i="8"/>
  <c r="CD67" i="8"/>
  <c r="CC67" i="8"/>
  <c r="CB67" i="8"/>
  <c r="CA67" i="8"/>
  <c r="BZ67" i="8"/>
  <c r="BY67" i="8"/>
  <c r="BX67" i="8"/>
  <c r="BW67" i="8"/>
  <c r="BV67" i="8"/>
  <c r="BU67" i="8"/>
  <c r="BT67" i="8"/>
  <c r="BS67" i="8"/>
  <c r="BR67" i="8"/>
  <c r="BQ67" i="8"/>
  <c r="BP67" i="8"/>
  <c r="BO67" i="8"/>
  <c r="BN67" i="8"/>
  <c r="BM67" i="8"/>
  <c r="BL67" i="8"/>
  <c r="BK67" i="8"/>
  <c r="BJ67" i="8"/>
  <c r="BI67" i="8"/>
  <c r="BH67" i="8"/>
  <c r="BG67" i="8"/>
  <c r="BF67" i="8"/>
  <c r="BE67" i="8"/>
  <c r="BD67" i="8"/>
  <c r="BC67" i="8"/>
  <c r="BB67" i="8"/>
  <c r="BA67" i="8"/>
  <c r="AZ67" i="8"/>
  <c r="AY67" i="8"/>
  <c r="AX67" i="8"/>
  <c r="AW67" i="8"/>
  <c r="AV67" i="8"/>
  <c r="AU67" i="8"/>
  <c r="AT67" i="8"/>
  <c r="AS67" i="8"/>
  <c r="AR67" i="8"/>
  <c r="AQ67" i="8"/>
  <c r="AP67" i="8"/>
  <c r="B66" i="8"/>
  <c r="B65" i="8"/>
  <c r="B64" i="8"/>
  <c r="B63" i="8"/>
  <c r="B62" i="8"/>
  <c r="B61" i="8"/>
  <c r="B60" i="8"/>
  <c r="B59" i="8"/>
  <c r="B58" i="8"/>
  <c r="B57" i="8"/>
  <c r="B56" i="8"/>
  <c r="B55" i="8"/>
  <c r="B54" i="8"/>
  <c r="B53" i="8"/>
  <c r="B52" i="8"/>
  <c r="B51" i="8"/>
  <c r="B50" i="8"/>
  <c r="B49" i="8"/>
  <c r="B48" i="8"/>
  <c r="B47" i="8"/>
  <c r="B46" i="8"/>
  <c r="B45" i="8"/>
  <c r="B44" i="8"/>
  <c r="B43" i="8"/>
  <c r="B42" i="8"/>
  <c r="ES39" i="8"/>
  <c r="ER39" i="8"/>
  <c r="EQ39" i="8"/>
  <c r="EP39" i="8"/>
  <c r="EO39" i="8"/>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B38" i="8"/>
  <c r="B37" i="8"/>
  <c r="B36" i="8"/>
  <c r="B35" i="8"/>
  <c r="B34" i="8"/>
  <c r="B33" i="8"/>
  <c r="B32" i="8"/>
  <c r="B31" i="8"/>
  <c r="B30" i="8"/>
  <c r="B29" i="8"/>
  <c r="B28" i="8"/>
  <c r="B27" i="8"/>
  <c r="B26" i="8"/>
  <c r="B25" i="8"/>
  <c r="B24" i="8"/>
  <c r="B23" i="8"/>
  <c r="B22" i="8"/>
  <c r="B21" i="8"/>
  <c r="B20" i="8"/>
  <c r="B19" i="8"/>
  <c r="B18" i="8"/>
  <c r="B17" i="8"/>
  <c r="B16" i="8"/>
  <c r="B15" i="8"/>
  <c r="B14" i="8"/>
  <c r="ES11" i="8"/>
  <c r="ER11" i="8"/>
  <c r="EQ11" i="8"/>
  <c r="EP11" i="8"/>
  <c r="EO11" i="8"/>
  <c r="EN11" i="8"/>
  <c r="EM11" i="8"/>
  <c r="EL11" i="8"/>
  <c r="EK11" i="8"/>
  <c r="EJ11" i="8"/>
  <c r="EI11" i="8"/>
  <c r="EH11" i="8"/>
  <c r="EG11" i="8"/>
  <c r="EF11" i="8"/>
  <c r="EE11" i="8"/>
  <c r="ED11" i="8"/>
  <c r="EC11" i="8"/>
  <c r="EB11" i="8"/>
  <c r="EA11" i="8"/>
  <c r="DZ11" i="8"/>
  <c r="DY11" i="8"/>
  <c r="DX11" i="8"/>
  <c r="DW11" i="8"/>
  <c r="DV11" i="8"/>
  <c r="DU11" i="8"/>
  <c r="DT11" i="8"/>
  <c r="DS11" i="8"/>
  <c r="DR11" i="8"/>
  <c r="DQ11" i="8"/>
  <c r="DP11" i="8"/>
  <c r="DO11" i="8"/>
  <c r="DN11" i="8"/>
  <c r="DM11" i="8"/>
  <c r="DL11" i="8"/>
  <c r="DK11" i="8"/>
  <c r="DJ11" i="8"/>
  <c r="DI11" i="8"/>
  <c r="DH11" i="8"/>
  <c r="DG11" i="8"/>
  <c r="DF11" i="8"/>
  <c r="DE11" i="8"/>
  <c r="DD11" i="8"/>
  <c r="DC11" i="8"/>
  <c r="DB11" i="8"/>
  <c r="DA11" i="8"/>
  <c r="CZ11" i="8"/>
  <c r="CY11" i="8"/>
  <c r="CX11" i="8"/>
  <c r="CW11" i="8"/>
  <c r="CV11" i="8"/>
  <c r="CU11" i="8"/>
  <c r="CT11" i="8"/>
  <c r="CS11" i="8"/>
  <c r="CR11" i="8"/>
  <c r="CQ11" i="8"/>
  <c r="CP11" i="8"/>
  <c r="CO11" i="8"/>
  <c r="CN11" i="8"/>
  <c r="CM11" i="8"/>
  <c r="CL11" i="8"/>
  <c r="CK11" i="8"/>
  <c r="CJ11" i="8"/>
  <c r="CI11" i="8"/>
  <c r="CH11" i="8"/>
  <c r="CG11" i="8"/>
  <c r="CF11" i="8"/>
  <c r="CE11" i="8"/>
  <c r="CD11" i="8"/>
  <c r="CC11" i="8"/>
  <c r="CB11" i="8"/>
  <c r="CA11" i="8"/>
  <c r="BZ11" i="8"/>
  <c r="BY11" i="8"/>
  <c r="BX11" i="8"/>
  <c r="BW11" i="8"/>
  <c r="BV11" i="8"/>
  <c r="BU11" i="8"/>
  <c r="BT11" i="8"/>
  <c r="BS11" i="8"/>
  <c r="BR11" i="8"/>
  <c r="BQ11" i="8"/>
  <c r="BP11" i="8"/>
  <c r="BO11" i="8"/>
  <c r="BN11" i="8"/>
  <c r="BM11" i="8"/>
  <c r="BL11" i="8"/>
  <c r="BK11" i="8"/>
  <c r="BJ11" i="8"/>
  <c r="BI11" i="8"/>
  <c r="BH11" i="8"/>
  <c r="BG11" i="8"/>
  <c r="BF11" i="8"/>
  <c r="BE11" i="8"/>
  <c r="BD11" i="8"/>
  <c r="BC11" i="8"/>
  <c r="BB11" i="8"/>
  <c r="BA11" i="8"/>
  <c r="AZ11" i="8"/>
  <c r="AY11" i="8"/>
  <c r="AX11" i="8"/>
  <c r="AW11" i="8"/>
  <c r="AV11" i="8"/>
  <c r="AU11" i="8"/>
  <c r="AT11" i="8"/>
  <c r="AS11" i="8"/>
  <c r="AR11" i="8"/>
  <c r="AQ11" i="8"/>
  <c r="AP11" i="8"/>
  <c r="ES6" i="8"/>
  <c r="ER6" i="8"/>
  <c r="EQ6" i="8"/>
  <c r="EP6" i="8"/>
  <c r="EO6" i="8"/>
  <c r="EN6" i="8"/>
  <c r="EM6" i="8"/>
  <c r="EL6" i="8"/>
  <c r="EK6" i="8"/>
  <c r="EJ6" i="8"/>
  <c r="EI6" i="8"/>
  <c r="EH6" i="8"/>
  <c r="EG6" i="8"/>
  <c r="EF6" i="8"/>
  <c r="EE6" i="8"/>
  <c r="ED6" i="8"/>
  <c r="EC6" i="8"/>
  <c r="EB6" i="8"/>
  <c r="EA6" i="8"/>
  <c r="DZ6" i="8"/>
  <c r="DY6" i="8"/>
  <c r="DX6" i="8"/>
  <c r="DW6" i="8"/>
  <c r="DV6" i="8"/>
  <c r="DU6" i="8"/>
  <c r="DT6" i="8"/>
  <c r="DS6" i="8"/>
  <c r="DR6" i="8"/>
  <c r="DQ6" i="8"/>
  <c r="DP6" i="8"/>
  <c r="DO6" i="8"/>
  <c r="DN6" i="8"/>
  <c r="DM6" i="8"/>
  <c r="DL6" i="8"/>
  <c r="DK6" i="8"/>
  <c r="DJ6" i="8"/>
  <c r="DI6" i="8"/>
  <c r="DH6" i="8"/>
  <c r="DG6" i="8"/>
  <c r="DF6" i="8"/>
  <c r="DE6" i="8"/>
  <c r="DD6" i="8"/>
  <c r="DC6" i="8"/>
  <c r="DB6" i="8"/>
  <c r="DA6" i="8"/>
  <c r="CZ6" i="8"/>
  <c r="CY6" i="8"/>
  <c r="CX6" i="8"/>
  <c r="CW6" i="8"/>
  <c r="CV6" i="8"/>
  <c r="CU6"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Z6" i="8"/>
  <c r="Y6" i="8"/>
  <c r="X6" i="8"/>
  <c r="W6" i="8"/>
  <c r="V6" i="8"/>
  <c r="U6" i="8"/>
  <c r="T6" i="8"/>
  <c r="S6" i="8"/>
  <c r="R6" i="8"/>
  <c r="Q6" i="8"/>
  <c r="P6" i="8"/>
  <c r="O6" i="8"/>
  <c r="N6" i="8"/>
  <c r="M6" i="8"/>
  <c r="L6" i="8"/>
  <c r="K6" i="8"/>
  <c r="J6" i="8"/>
  <c r="I6" i="8"/>
  <c r="H6" i="8"/>
  <c r="G6" i="8"/>
  <c r="F6" i="8"/>
  <c r="ES5" i="8"/>
  <c r="ER5" i="8"/>
  <c r="EQ5" i="8"/>
  <c r="EP5" i="8"/>
  <c r="EO5" i="8"/>
  <c r="EN5" i="8"/>
  <c r="EM5" i="8"/>
  <c r="EL5" i="8"/>
  <c r="EK5" i="8"/>
  <c r="EJ5" i="8"/>
  <c r="EI5" i="8"/>
  <c r="EH5" i="8"/>
  <c r="EG5" i="8"/>
  <c r="EF5" i="8"/>
  <c r="EE5" i="8"/>
  <c r="ED5" i="8"/>
  <c r="EC5" i="8"/>
  <c r="EB5" i="8"/>
  <c r="EA5" i="8"/>
  <c r="DZ5" i="8"/>
  <c r="DY5" i="8"/>
  <c r="DX5" i="8"/>
  <c r="DW5" i="8"/>
  <c r="DV5" i="8"/>
  <c r="DU5" i="8"/>
  <c r="DT5" i="8"/>
  <c r="DS5" i="8"/>
  <c r="DR5" i="8"/>
  <c r="DQ5" i="8"/>
  <c r="DP5" i="8"/>
  <c r="DO5" i="8"/>
  <c r="DN5" i="8"/>
  <c r="DM5" i="8"/>
  <c r="DL5" i="8"/>
  <c r="DK5" i="8"/>
  <c r="DJ5" i="8"/>
  <c r="DI5" i="8"/>
  <c r="DH5" i="8"/>
  <c r="DG5" i="8"/>
  <c r="DF5" i="8"/>
  <c r="DE5" i="8"/>
  <c r="DD5" i="8"/>
  <c r="DC5" i="8"/>
  <c r="DB5" i="8"/>
  <c r="DA5" i="8"/>
  <c r="CZ5" i="8"/>
  <c r="CY5" i="8"/>
  <c r="CX5" i="8"/>
  <c r="CW5" i="8"/>
  <c r="CV5" i="8"/>
  <c r="CU5" i="8"/>
  <c r="CT5" i="8"/>
  <c r="CS5" i="8"/>
  <c r="CR5" i="8"/>
  <c r="CQ5" i="8"/>
  <c r="CP5" i="8"/>
  <c r="CO5" i="8"/>
  <c r="CN5" i="8"/>
  <c r="CM5" i="8"/>
  <c r="CL5" i="8"/>
  <c r="CK5" i="8"/>
  <c r="CJ5" i="8"/>
  <c r="CI5" i="8"/>
  <c r="CH5" i="8"/>
  <c r="CG5" i="8"/>
  <c r="CF5" i="8"/>
  <c r="CE5" i="8"/>
  <c r="CD5" i="8"/>
  <c r="CC5" i="8"/>
  <c r="CB5" i="8"/>
  <c r="CA5" i="8"/>
  <c r="BZ5" i="8"/>
  <c r="BY5" i="8"/>
  <c r="BX5" i="8"/>
  <c r="BW5" i="8"/>
  <c r="BV5" i="8"/>
  <c r="BU5" i="8"/>
  <c r="BT5" i="8"/>
  <c r="BS5" i="8"/>
  <c r="BR5" i="8"/>
  <c r="BQ5" i="8"/>
  <c r="BP5" i="8"/>
  <c r="BO5" i="8"/>
  <c r="BN5" i="8"/>
  <c r="BM5" i="8"/>
  <c r="BL5" i="8"/>
  <c r="BK5" i="8"/>
  <c r="BJ5" i="8"/>
  <c r="BI5" i="8"/>
  <c r="BH5" i="8"/>
  <c r="BG5" i="8"/>
  <c r="BF5" i="8"/>
  <c r="BE5" i="8"/>
  <c r="BD5" i="8"/>
  <c r="BC5" i="8"/>
  <c r="BB5" i="8"/>
  <c r="BA5" i="8"/>
  <c r="AZ5" i="8"/>
  <c r="AY5" i="8"/>
  <c r="AX5" i="8"/>
  <c r="AW5" i="8"/>
  <c r="AV5" i="8"/>
  <c r="AU5" i="8"/>
  <c r="AT5" i="8"/>
  <c r="AS5" i="8"/>
  <c r="AR5" i="8"/>
  <c r="AQ5" i="8"/>
  <c r="AP5" i="8"/>
  <c r="AO5" i="8"/>
  <c r="AN5" i="8"/>
  <c r="AM5" i="8"/>
  <c r="AL5" i="8"/>
  <c r="AK5" i="8"/>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F59" i="7"/>
  <c r="E59" i="7"/>
  <c r="F58" i="7"/>
  <c r="E58" i="7"/>
  <c r="F57" i="7"/>
  <c r="E57" i="7"/>
  <c r="F56" i="7"/>
  <c r="E56" i="7"/>
  <c r="F55" i="7"/>
  <c r="E55" i="7"/>
  <c r="F54" i="7"/>
  <c r="E54" i="7"/>
  <c r="F53" i="7"/>
  <c r="E53" i="7"/>
  <c r="F52" i="7"/>
  <c r="E52" i="7"/>
  <c r="F51" i="7"/>
  <c r="E51" i="7"/>
  <c r="F50" i="7"/>
  <c r="E50" i="7"/>
  <c r="I36" i="7"/>
  <c r="I35" i="7"/>
  <c r="I34" i="7"/>
  <c r="E34" i="7"/>
  <c r="I33" i="7"/>
  <c r="E33" i="7"/>
  <c r="I32" i="7"/>
  <c r="I31" i="7"/>
  <c r="G31" i="7"/>
  <c r="E31" i="7"/>
  <c r="I26" i="7"/>
  <c r="H26" i="7"/>
  <c r="G26" i="7"/>
  <c r="D26" i="7"/>
  <c r="R25" i="7"/>
  <c r="M25" i="7"/>
  <c r="R24" i="7"/>
  <c r="M24" i="7"/>
  <c r="R23" i="7"/>
  <c r="M23" i="7"/>
  <c r="R22" i="7"/>
  <c r="M22" i="7"/>
  <c r="R21" i="7"/>
  <c r="M21" i="7"/>
  <c r="R20" i="7"/>
  <c r="M20" i="7"/>
  <c r="R19" i="7"/>
  <c r="R18" i="7"/>
  <c r="R17" i="7"/>
  <c r="R16" i="7"/>
  <c r="R15" i="7"/>
  <c r="R14" i="7"/>
  <c r="R13" i="7"/>
  <c r="R12" i="7"/>
  <c r="R11" i="7"/>
  <c r="R10" i="7"/>
  <c r="R9" i="7"/>
  <c r="R8" i="7"/>
  <c r="R7" i="7"/>
  <c r="R6" i="7"/>
  <c r="F99" i="6"/>
  <c r="D244" i="8" s="1"/>
  <c r="F98" i="6"/>
  <c r="D243" i="8" s="1"/>
  <c r="F97" i="6"/>
  <c r="D242" i="8" s="1"/>
  <c r="F96" i="6"/>
  <c r="D241" i="8" s="1"/>
  <c r="F95" i="6"/>
  <c r="D240" i="8" s="1"/>
  <c r="F94" i="6"/>
  <c r="D239" i="8" s="1"/>
  <c r="F93" i="6"/>
  <c r="D238" i="8" s="1"/>
  <c r="F92" i="6"/>
  <c r="D237" i="8" s="1"/>
  <c r="F91" i="6"/>
  <c r="D236" i="8" s="1"/>
  <c r="F90" i="6"/>
  <c r="D235" i="8" s="1"/>
  <c r="F89" i="6"/>
  <c r="D234" i="8" s="1"/>
  <c r="F88" i="6"/>
  <c r="D233" i="8" s="1"/>
  <c r="F87" i="6"/>
  <c r="D232" i="8" s="1"/>
  <c r="F86" i="6"/>
  <c r="D231" i="8" s="1"/>
  <c r="F85" i="6"/>
  <c r="D230" i="8" s="1"/>
  <c r="F84" i="6"/>
  <c r="D229" i="8" s="1"/>
  <c r="D228" i="8"/>
  <c r="D227" i="8"/>
  <c r="D226" i="8"/>
  <c r="D225" i="8"/>
  <c r="D224" i="8"/>
  <c r="D223" i="8"/>
  <c r="D222" i="8"/>
  <c r="D221" i="8"/>
  <c r="D220" i="8"/>
  <c r="P70" i="6"/>
  <c r="O70" i="6"/>
  <c r="N70" i="6"/>
  <c r="M70" i="6"/>
  <c r="L70" i="6"/>
  <c r="K70" i="6"/>
  <c r="J70" i="6"/>
  <c r="I70" i="6"/>
  <c r="H70" i="6"/>
  <c r="G70" i="6"/>
  <c r="D183" i="8" s="1"/>
  <c r="C70" i="6"/>
  <c r="B70" i="6"/>
  <c r="P69" i="6"/>
  <c r="O69" i="6"/>
  <c r="N69" i="6"/>
  <c r="M69" i="6"/>
  <c r="L69" i="6"/>
  <c r="K69" i="6"/>
  <c r="J69" i="6"/>
  <c r="I69" i="6"/>
  <c r="H69" i="6"/>
  <c r="G69" i="6"/>
  <c r="D182" i="8" s="1"/>
  <c r="C69" i="6"/>
  <c r="B69" i="6"/>
  <c r="P68" i="6"/>
  <c r="O68" i="6"/>
  <c r="N68" i="6"/>
  <c r="M68" i="6"/>
  <c r="L68" i="6"/>
  <c r="K68" i="6"/>
  <c r="J68" i="6"/>
  <c r="I68" i="6"/>
  <c r="H68" i="6"/>
  <c r="G68" i="6"/>
  <c r="D181" i="8" s="1"/>
  <c r="C68" i="6"/>
  <c r="B68" i="6"/>
  <c r="P67" i="6"/>
  <c r="O67" i="6"/>
  <c r="N67" i="6"/>
  <c r="M67" i="6"/>
  <c r="L67" i="6"/>
  <c r="K67" i="6"/>
  <c r="J67" i="6"/>
  <c r="I67" i="6"/>
  <c r="H67" i="6"/>
  <c r="G67" i="6"/>
  <c r="D180" i="8" s="1"/>
  <c r="C67" i="6"/>
  <c r="B67" i="6"/>
  <c r="P66" i="6"/>
  <c r="O66" i="6"/>
  <c r="N66" i="6"/>
  <c r="M66" i="6"/>
  <c r="L66" i="6"/>
  <c r="K66" i="6"/>
  <c r="J66" i="6"/>
  <c r="I66" i="6"/>
  <c r="H66" i="6"/>
  <c r="G66" i="6"/>
  <c r="D179" i="8" s="1"/>
  <c r="C66" i="6"/>
  <c r="B66" i="6"/>
  <c r="P65" i="6"/>
  <c r="O65" i="6"/>
  <c r="N65" i="6"/>
  <c r="M65" i="6"/>
  <c r="L65" i="6"/>
  <c r="K65" i="6"/>
  <c r="J65" i="6"/>
  <c r="I65" i="6"/>
  <c r="H65" i="6"/>
  <c r="G65" i="6"/>
  <c r="D178" i="8" s="1"/>
  <c r="C65" i="6"/>
  <c r="B65" i="6"/>
  <c r="P64" i="6"/>
  <c r="O64" i="6"/>
  <c r="N64" i="6"/>
  <c r="M64" i="6"/>
  <c r="L64" i="6"/>
  <c r="K64" i="6"/>
  <c r="J64" i="6"/>
  <c r="I64" i="6"/>
  <c r="H64" i="6"/>
  <c r="G64" i="6"/>
  <c r="D177" i="8" s="1"/>
  <c r="C64" i="6"/>
  <c r="B64" i="6"/>
  <c r="P63" i="6"/>
  <c r="O63" i="6"/>
  <c r="N63" i="6"/>
  <c r="M63" i="6"/>
  <c r="L63" i="6"/>
  <c r="K63" i="6"/>
  <c r="J63" i="6"/>
  <c r="I63" i="6"/>
  <c r="H63" i="6"/>
  <c r="G63" i="6"/>
  <c r="D176" i="8" s="1"/>
  <c r="C63" i="6"/>
  <c r="B63" i="6"/>
  <c r="P62" i="6"/>
  <c r="O62" i="6"/>
  <c r="N62" i="6"/>
  <c r="M62" i="6"/>
  <c r="L62" i="6"/>
  <c r="K62" i="6"/>
  <c r="J62" i="6"/>
  <c r="I62" i="6"/>
  <c r="H62" i="6"/>
  <c r="G62" i="6"/>
  <c r="D175" i="8" s="1"/>
  <c r="C62" i="6"/>
  <c r="B62" i="6"/>
  <c r="P61" i="6"/>
  <c r="O61" i="6"/>
  <c r="N61" i="6"/>
  <c r="M61" i="6"/>
  <c r="L61" i="6"/>
  <c r="K61" i="6"/>
  <c r="J61" i="6"/>
  <c r="I61" i="6"/>
  <c r="H61" i="6"/>
  <c r="G61" i="6"/>
  <c r="D174" i="8" s="1"/>
  <c r="C61" i="6"/>
  <c r="B61" i="6"/>
  <c r="P60" i="6"/>
  <c r="O60" i="6"/>
  <c r="N60" i="6"/>
  <c r="M60" i="6"/>
  <c r="L60" i="6"/>
  <c r="K60" i="6"/>
  <c r="J60" i="6"/>
  <c r="I60" i="6"/>
  <c r="H60" i="6"/>
  <c r="G60" i="6"/>
  <c r="D173" i="8" s="1"/>
  <c r="C60" i="6"/>
  <c r="B60" i="6"/>
  <c r="P59" i="6"/>
  <c r="O59" i="6"/>
  <c r="N59" i="6"/>
  <c r="M59" i="6"/>
  <c r="L59" i="6"/>
  <c r="K59" i="6"/>
  <c r="J59" i="6"/>
  <c r="I59" i="6"/>
  <c r="H59" i="6"/>
  <c r="G59" i="6"/>
  <c r="D172" i="8" s="1"/>
  <c r="C59" i="6"/>
  <c r="B59" i="6"/>
  <c r="P58" i="6"/>
  <c r="O58" i="6"/>
  <c r="N58" i="6"/>
  <c r="M58" i="6"/>
  <c r="L58" i="6"/>
  <c r="K58" i="6"/>
  <c r="J58" i="6"/>
  <c r="I58" i="6"/>
  <c r="H58" i="6"/>
  <c r="G58" i="6"/>
  <c r="D171" i="8" s="1"/>
  <c r="C58" i="6"/>
  <c r="B58" i="6"/>
  <c r="P57" i="6"/>
  <c r="O57" i="6"/>
  <c r="N57" i="6"/>
  <c r="M57" i="6"/>
  <c r="L57" i="6"/>
  <c r="K57" i="6"/>
  <c r="J57" i="6"/>
  <c r="I57" i="6"/>
  <c r="H57" i="6"/>
  <c r="G57" i="6"/>
  <c r="D170" i="8" s="1"/>
  <c r="C57" i="6"/>
  <c r="B57" i="6"/>
  <c r="P56" i="6"/>
  <c r="O56" i="6"/>
  <c r="N56" i="6"/>
  <c r="M56" i="6"/>
  <c r="L56" i="6"/>
  <c r="K56" i="6"/>
  <c r="J56" i="6"/>
  <c r="I56" i="6"/>
  <c r="H56" i="6"/>
  <c r="G56" i="6"/>
  <c r="D169" i="8" s="1"/>
  <c r="C56" i="6"/>
  <c r="B56" i="6"/>
  <c r="P55" i="6"/>
  <c r="O55" i="6"/>
  <c r="N55" i="6"/>
  <c r="M55" i="6"/>
  <c r="L55" i="6"/>
  <c r="K55" i="6"/>
  <c r="J55" i="6"/>
  <c r="I55" i="6"/>
  <c r="H55" i="6"/>
  <c r="G55" i="6"/>
  <c r="D168" i="8" s="1"/>
  <c r="C55" i="6"/>
  <c r="B55" i="6"/>
  <c r="P54" i="6"/>
  <c r="O54" i="6"/>
  <c r="N54" i="6"/>
  <c r="M54" i="6"/>
  <c r="L54" i="6"/>
  <c r="K54" i="6"/>
  <c r="J54" i="6"/>
  <c r="I54" i="6"/>
  <c r="H54" i="6"/>
  <c r="G54" i="6"/>
  <c r="D167" i="8" s="1"/>
  <c r="C54" i="6"/>
  <c r="B54" i="6"/>
  <c r="P53" i="6"/>
  <c r="O53" i="6"/>
  <c r="N53" i="6"/>
  <c r="M53" i="6"/>
  <c r="L53" i="6"/>
  <c r="K53" i="6"/>
  <c r="J53" i="6"/>
  <c r="I53" i="6"/>
  <c r="H53" i="6"/>
  <c r="G53" i="6"/>
  <c r="D166" i="8" s="1"/>
  <c r="C53" i="6"/>
  <c r="B53" i="6"/>
  <c r="P52" i="6"/>
  <c r="O52" i="6"/>
  <c r="N52" i="6"/>
  <c r="M52" i="6"/>
  <c r="L52" i="6"/>
  <c r="K52" i="6"/>
  <c r="J52" i="6"/>
  <c r="I52" i="6"/>
  <c r="H52" i="6"/>
  <c r="G52" i="6"/>
  <c r="D165" i="8" s="1"/>
  <c r="C52" i="6"/>
  <c r="B52" i="6"/>
  <c r="P51" i="6"/>
  <c r="O51" i="6"/>
  <c r="N51" i="6"/>
  <c r="M51" i="6"/>
  <c r="L51" i="6"/>
  <c r="K51" i="6"/>
  <c r="J51" i="6"/>
  <c r="I51" i="6"/>
  <c r="H51" i="6"/>
  <c r="G51" i="6"/>
  <c r="D164" i="8" s="1"/>
  <c r="C51" i="6"/>
  <c r="B51" i="6"/>
  <c r="P50" i="6"/>
  <c r="O50" i="6"/>
  <c r="N50" i="6"/>
  <c r="M50" i="6"/>
  <c r="L50" i="6"/>
  <c r="K50" i="6"/>
  <c r="J50" i="6"/>
  <c r="I50" i="6"/>
  <c r="H50" i="6"/>
  <c r="G50" i="6"/>
  <c r="D163" i="8" s="1"/>
  <c r="C50" i="6"/>
  <c r="B50" i="6"/>
  <c r="P49" i="6"/>
  <c r="O49" i="6"/>
  <c r="N49" i="6"/>
  <c r="M49" i="6"/>
  <c r="L49" i="6"/>
  <c r="K49" i="6"/>
  <c r="J49" i="6"/>
  <c r="I49" i="6"/>
  <c r="H49" i="6"/>
  <c r="G49" i="6"/>
  <c r="D162" i="8" s="1"/>
  <c r="C49" i="6"/>
  <c r="B49" i="6"/>
  <c r="P48" i="6"/>
  <c r="O48" i="6"/>
  <c r="N48" i="6"/>
  <c r="M48" i="6"/>
  <c r="L48" i="6"/>
  <c r="K48" i="6"/>
  <c r="J48" i="6"/>
  <c r="I48" i="6"/>
  <c r="H48" i="6"/>
  <c r="G48" i="6"/>
  <c r="D161" i="8" s="1"/>
  <c r="C48" i="6"/>
  <c r="B48" i="6"/>
  <c r="P47" i="6"/>
  <c r="O47" i="6"/>
  <c r="N47" i="6"/>
  <c r="M47" i="6"/>
  <c r="L47" i="6"/>
  <c r="K47" i="6"/>
  <c r="J47" i="6"/>
  <c r="I47" i="6"/>
  <c r="H47" i="6"/>
  <c r="G47" i="6"/>
  <c r="D160" i="8" s="1"/>
  <c r="C47" i="6"/>
  <c r="B47" i="6"/>
  <c r="P46" i="6"/>
  <c r="O46" i="6"/>
  <c r="N46" i="6"/>
  <c r="M46" i="6"/>
  <c r="L46" i="6"/>
  <c r="K46" i="6"/>
  <c r="J46" i="6"/>
  <c r="I46" i="6"/>
  <c r="H46" i="6"/>
  <c r="G46" i="6"/>
  <c r="D159" i="8" s="1"/>
  <c r="C46" i="6"/>
  <c r="B46" i="6"/>
  <c r="P45" i="6"/>
  <c r="O45" i="6"/>
  <c r="N45" i="6"/>
  <c r="M45" i="6"/>
  <c r="L45" i="6"/>
  <c r="K45" i="6"/>
  <c r="J45" i="6"/>
  <c r="I45" i="6"/>
  <c r="H45" i="6"/>
  <c r="G45" i="6"/>
  <c r="D158" i="8" s="1"/>
  <c r="C45" i="6"/>
  <c r="B45" i="6"/>
  <c r="P44" i="6"/>
  <c r="O44" i="6"/>
  <c r="N44" i="6"/>
  <c r="M44" i="6"/>
  <c r="L44" i="6"/>
  <c r="K44" i="6"/>
  <c r="J44" i="6"/>
  <c r="I44" i="6"/>
  <c r="H44" i="6"/>
  <c r="G44" i="6"/>
  <c r="D157" i="8" s="1"/>
  <c r="C44" i="6"/>
  <c r="B44" i="6"/>
  <c r="P43" i="6"/>
  <c r="O43" i="6"/>
  <c r="N43" i="6"/>
  <c r="M43" i="6"/>
  <c r="L43" i="6"/>
  <c r="K43" i="6"/>
  <c r="J43" i="6"/>
  <c r="I43" i="6"/>
  <c r="H43" i="6"/>
  <c r="G43" i="6"/>
  <c r="D156" i="8" s="1"/>
  <c r="C43" i="6"/>
  <c r="B43" i="6"/>
  <c r="P42" i="6"/>
  <c r="O42" i="6"/>
  <c r="N42" i="6"/>
  <c r="M42" i="6"/>
  <c r="L42" i="6"/>
  <c r="K42" i="6"/>
  <c r="J42" i="6"/>
  <c r="I42" i="6"/>
  <c r="H42" i="6"/>
  <c r="G42" i="6"/>
  <c r="D155" i="8" s="1"/>
  <c r="C42" i="6"/>
  <c r="B42" i="6"/>
  <c r="P41" i="6"/>
  <c r="O41" i="6"/>
  <c r="N41" i="6"/>
  <c r="M41" i="6"/>
  <c r="L41" i="6"/>
  <c r="K41" i="6"/>
  <c r="J41" i="6"/>
  <c r="I41" i="6"/>
  <c r="H41" i="6"/>
  <c r="G41" i="6"/>
  <c r="C41" i="6"/>
  <c r="B41" i="6"/>
  <c r="P36" i="6"/>
  <c r="O36" i="6"/>
  <c r="N36" i="6"/>
  <c r="M36" i="6"/>
  <c r="L36" i="6"/>
  <c r="K36" i="6"/>
  <c r="J36" i="6"/>
  <c r="I36" i="6"/>
  <c r="H36" i="6"/>
  <c r="G36" i="6"/>
  <c r="F35" i="6"/>
  <c r="D216" i="8" s="1"/>
  <c r="F34" i="6"/>
  <c r="D215" i="8" s="1"/>
  <c r="F33" i="6"/>
  <c r="D214" i="8" s="1"/>
  <c r="F32" i="6"/>
  <c r="D213" i="8" s="1"/>
  <c r="M116" i="5"/>
  <c r="L116" i="5"/>
  <c r="K116" i="5"/>
  <c r="J116" i="5"/>
  <c r="I116" i="5"/>
  <c r="H116" i="5"/>
  <c r="G116" i="5"/>
  <c r="F116" i="5"/>
  <c r="E116" i="5"/>
  <c r="D116" i="5"/>
  <c r="B116" i="5"/>
  <c r="M115" i="5"/>
  <c r="L115" i="5"/>
  <c r="K115" i="5"/>
  <c r="J115" i="5"/>
  <c r="I115" i="5"/>
  <c r="H115" i="5"/>
  <c r="G115" i="5"/>
  <c r="F115" i="5"/>
  <c r="E115" i="5"/>
  <c r="D115" i="5"/>
  <c r="B115" i="5"/>
  <c r="M114" i="5"/>
  <c r="L114" i="5"/>
  <c r="K114" i="5"/>
  <c r="J114" i="5"/>
  <c r="I114" i="5"/>
  <c r="H114" i="5"/>
  <c r="G114" i="5"/>
  <c r="F114" i="5"/>
  <c r="E114" i="5"/>
  <c r="D114" i="5"/>
  <c r="B114" i="5"/>
  <c r="M113" i="5"/>
  <c r="L113" i="5"/>
  <c r="K113" i="5"/>
  <c r="J113" i="5"/>
  <c r="I113" i="5"/>
  <c r="H113" i="5"/>
  <c r="G113" i="5"/>
  <c r="F113" i="5"/>
  <c r="E113" i="5"/>
  <c r="D113" i="5"/>
  <c r="B113" i="5"/>
  <c r="M112" i="5"/>
  <c r="L112" i="5"/>
  <c r="K112" i="5"/>
  <c r="J112" i="5"/>
  <c r="I112" i="5"/>
  <c r="H112" i="5"/>
  <c r="G112" i="5"/>
  <c r="F112" i="5"/>
  <c r="E112" i="5"/>
  <c r="D112" i="5"/>
  <c r="B112" i="5"/>
  <c r="M111" i="5"/>
  <c r="L111" i="5"/>
  <c r="K111" i="5"/>
  <c r="J111" i="5"/>
  <c r="I111" i="5"/>
  <c r="H111" i="5"/>
  <c r="G111" i="5"/>
  <c r="F111" i="5"/>
  <c r="E111" i="5"/>
  <c r="D111" i="5"/>
  <c r="B111" i="5"/>
  <c r="M110" i="5"/>
  <c r="L110" i="5"/>
  <c r="K110" i="5"/>
  <c r="J110" i="5"/>
  <c r="I110" i="5"/>
  <c r="H110" i="5"/>
  <c r="G110" i="5"/>
  <c r="F110" i="5"/>
  <c r="E110" i="5"/>
  <c r="D110" i="5"/>
  <c r="B110" i="5"/>
  <c r="M109" i="5"/>
  <c r="L109" i="5"/>
  <c r="K109" i="5"/>
  <c r="J109" i="5"/>
  <c r="I109" i="5"/>
  <c r="H109" i="5"/>
  <c r="G109" i="5"/>
  <c r="F109" i="5"/>
  <c r="E109" i="5"/>
  <c r="D109" i="5"/>
  <c r="B109" i="5"/>
  <c r="M108" i="5"/>
  <c r="L108" i="5"/>
  <c r="K108" i="5"/>
  <c r="J108" i="5"/>
  <c r="I108" i="5"/>
  <c r="H108" i="5"/>
  <c r="G108" i="5"/>
  <c r="F108" i="5"/>
  <c r="E108" i="5"/>
  <c r="D108" i="5"/>
  <c r="B108" i="5"/>
  <c r="M107" i="5"/>
  <c r="L107" i="5"/>
  <c r="K107" i="5"/>
  <c r="J107" i="5"/>
  <c r="I107" i="5"/>
  <c r="H107" i="5"/>
  <c r="G107" i="5"/>
  <c r="F107" i="5"/>
  <c r="E107" i="5"/>
  <c r="D107" i="5"/>
  <c r="B107" i="5"/>
  <c r="M106" i="5"/>
  <c r="L106" i="5"/>
  <c r="K106" i="5"/>
  <c r="J106" i="5"/>
  <c r="I106" i="5"/>
  <c r="H106" i="5"/>
  <c r="G106" i="5"/>
  <c r="F106" i="5"/>
  <c r="E106" i="5"/>
  <c r="D106" i="5"/>
  <c r="B106" i="5"/>
  <c r="M105" i="5"/>
  <c r="L105" i="5"/>
  <c r="K105" i="5"/>
  <c r="J105" i="5"/>
  <c r="I105" i="5"/>
  <c r="H105" i="5"/>
  <c r="G105" i="5"/>
  <c r="F105" i="5"/>
  <c r="E105" i="5"/>
  <c r="D105" i="5"/>
  <c r="B105" i="5"/>
  <c r="M104" i="5"/>
  <c r="L104" i="5"/>
  <c r="K104" i="5"/>
  <c r="J104" i="5"/>
  <c r="I104" i="5"/>
  <c r="H104" i="5"/>
  <c r="G104" i="5"/>
  <c r="F104" i="5"/>
  <c r="E104" i="5"/>
  <c r="D104" i="5"/>
  <c r="B104" i="5"/>
  <c r="M103" i="5"/>
  <c r="L103" i="5"/>
  <c r="K103" i="5"/>
  <c r="J103" i="5"/>
  <c r="I103" i="5"/>
  <c r="H103" i="5"/>
  <c r="G103" i="5"/>
  <c r="F103" i="5"/>
  <c r="E103" i="5"/>
  <c r="D103" i="5"/>
  <c r="N103" i="5" s="1"/>
  <c r="B103" i="5"/>
  <c r="M102" i="5"/>
  <c r="L102" i="5"/>
  <c r="K102" i="5"/>
  <c r="J102" i="5"/>
  <c r="I102" i="5"/>
  <c r="H102" i="5"/>
  <c r="G102" i="5"/>
  <c r="F102" i="5"/>
  <c r="E102" i="5"/>
  <c r="D102" i="5"/>
  <c r="B102" i="5"/>
  <c r="M101" i="5"/>
  <c r="L101" i="5"/>
  <c r="K101" i="5"/>
  <c r="J101" i="5"/>
  <c r="I101" i="5"/>
  <c r="H101" i="5"/>
  <c r="G101" i="5"/>
  <c r="F101" i="5"/>
  <c r="E101" i="5"/>
  <c r="D101" i="5"/>
  <c r="B101" i="5"/>
  <c r="M100" i="5"/>
  <c r="L100" i="5"/>
  <c r="K100" i="5"/>
  <c r="J100" i="5"/>
  <c r="I100" i="5"/>
  <c r="H100" i="5"/>
  <c r="G100" i="5"/>
  <c r="F100" i="5"/>
  <c r="E100" i="5"/>
  <c r="D100" i="5"/>
  <c r="B100" i="5"/>
  <c r="M99" i="5"/>
  <c r="L99" i="5"/>
  <c r="K99" i="5"/>
  <c r="J99" i="5"/>
  <c r="I99" i="5"/>
  <c r="H99" i="5"/>
  <c r="G99" i="5"/>
  <c r="F99" i="5"/>
  <c r="E99" i="5"/>
  <c r="D99" i="5"/>
  <c r="B99" i="5"/>
  <c r="M98" i="5"/>
  <c r="L98" i="5"/>
  <c r="K98" i="5"/>
  <c r="J98" i="5"/>
  <c r="I98" i="5"/>
  <c r="H98" i="5"/>
  <c r="G98" i="5"/>
  <c r="F98" i="5"/>
  <c r="E98" i="5"/>
  <c r="D98" i="5"/>
  <c r="B98" i="5"/>
  <c r="M97" i="5"/>
  <c r="L97" i="5"/>
  <c r="K97" i="5"/>
  <c r="J97" i="5"/>
  <c r="I97" i="5"/>
  <c r="H97" i="5"/>
  <c r="G97" i="5"/>
  <c r="F97" i="5"/>
  <c r="E97" i="5"/>
  <c r="D97" i="5"/>
  <c r="B97" i="5"/>
  <c r="M96" i="5"/>
  <c r="L96" i="5"/>
  <c r="K96" i="5"/>
  <c r="J96" i="5"/>
  <c r="I96" i="5"/>
  <c r="H96" i="5"/>
  <c r="G96" i="5"/>
  <c r="F96" i="5"/>
  <c r="E96" i="5"/>
  <c r="D96" i="5"/>
  <c r="B96" i="5"/>
  <c r="M95" i="5"/>
  <c r="L95" i="5"/>
  <c r="K95" i="5"/>
  <c r="J95" i="5"/>
  <c r="I95" i="5"/>
  <c r="H95" i="5"/>
  <c r="G95" i="5"/>
  <c r="F95" i="5"/>
  <c r="E95" i="5"/>
  <c r="D95" i="5"/>
  <c r="B95" i="5"/>
  <c r="M94" i="5"/>
  <c r="L94" i="5"/>
  <c r="K94" i="5"/>
  <c r="J94" i="5"/>
  <c r="I94" i="5"/>
  <c r="H94" i="5"/>
  <c r="G94" i="5"/>
  <c r="F94" i="5"/>
  <c r="E94" i="5"/>
  <c r="D94" i="5"/>
  <c r="B94" i="5"/>
  <c r="B93" i="5"/>
  <c r="B92" i="5"/>
  <c r="C87" i="5"/>
  <c r="B87" i="5"/>
  <c r="M86" i="5"/>
  <c r="L86" i="5"/>
  <c r="K86" i="5"/>
  <c r="J86" i="5"/>
  <c r="I86" i="5"/>
  <c r="H86" i="5"/>
  <c r="G86" i="5"/>
  <c r="F86" i="5"/>
  <c r="E86" i="5"/>
  <c r="D86" i="5"/>
  <c r="C86" i="5"/>
  <c r="B86" i="5"/>
  <c r="M85" i="5"/>
  <c r="L85" i="5"/>
  <c r="K85" i="5"/>
  <c r="J85" i="5"/>
  <c r="I85" i="5"/>
  <c r="H85" i="5"/>
  <c r="G85" i="5"/>
  <c r="F85" i="5"/>
  <c r="E85" i="5"/>
  <c r="D85" i="5"/>
  <c r="C85" i="5"/>
  <c r="B85" i="5"/>
  <c r="M84" i="5"/>
  <c r="L84" i="5"/>
  <c r="K84" i="5"/>
  <c r="J84" i="5"/>
  <c r="I84" i="5"/>
  <c r="H84" i="5"/>
  <c r="G84" i="5"/>
  <c r="F84" i="5"/>
  <c r="E84" i="5"/>
  <c r="D84" i="5"/>
  <c r="C84" i="5"/>
  <c r="B84" i="5"/>
  <c r="M83" i="5"/>
  <c r="L83" i="5"/>
  <c r="K83" i="5"/>
  <c r="J83" i="5"/>
  <c r="I83" i="5"/>
  <c r="H83" i="5"/>
  <c r="G83" i="5"/>
  <c r="F83" i="5"/>
  <c r="E83" i="5"/>
  <c r="D83" i="5"/>
  <c r="C83" i="5"/>
  <c r="B83" i="5"/>
  <c r="M82" i="5"/>
  <c r="L82" i="5"/>
  <c r="K82" i="5"/>
  <c r="J82" i="5"/>
  <c r="I82" i="5"/>
  <c r="H82" i="5"/>
  <c r="G82" i="5"/>
  <c r="F82" i="5"/>
  <c r="E82" i="5"/>
  <c r="D82" i="5"/>
  <c r="C82" i="5"/>
  <c r="B82" i="5"/>
  <c r="M81" i="5"/>
  <c r="L81" i="5"/>
  <c r="K81" i="5"/>
  <c r="J81" i="5"/>
  <c r="I81" i="5"/>
  <c r="H81" i="5"/>
  <c r="G81" i="5"/>
  <c r="F81" i="5"/>
  <c r="E81" i="5"/>
  <c r="D81" i="5"/>
  <c r="C81" i="5"/>
  <c r="B81" i="5"/>
  <c r="M80" i="5"/>
  <c r="L80" i="5"/>
  <c r="K80" i="5"/>
  <c r="J80" i="5"/>
  <c r="I80" i="5"/>
  <c r="H80" i="5"/>
  <c r="G80" i="5"/>
  <c r="F80" i="5"/>
  <c r="E80" i="5"/>
  <c r="D80" i="5"/>
  <c r="C80" i="5"/>
  <c r="B80" i="5"/>
  <c r="M79" i="5"/>
  <c r="L79" i="5"/>
  <c r="K79" i="5"/>
  <c r="J79" i="5"/>
  <c r="I79" i="5"/>
  <c r="H79" i="5"/>
  <c r="G79" i="5"/>
  <c r="F79" i="5"/>
  <c r="E79" i="5"/>
  <c r="D79" i="5"/>
  <c r="C79" i="5"/>
  <c r="B79" i="5"/>
  <c r="M78" i="5"/>
  <c r="L78" i="5"/>
  <c r="K78" i="5"/>
  <c r="J78" i="5"/>
  <c r="I78" i="5"/>
  <c r="H78" i="5"/>
  <c r="G78" i="5"/>
  <c r="F78" i="5"/>
  <c r="E78" i="5"/>
  <c r="D78" i="5"/>
  <c r="C78" i="5"/>
  <c r="B78" i="5"/>
  <c r="M77" i="5"/>
  <c r="L77" i="5"/>
  <c r="K77" i="5"/>
  <c r="J77" i="5"/>
  <c r="I77" i="5"/>
  <c r="H77" i="5"/>
  <c r="G77" i="5"/>
  <c r="F77" i="5"/>
  <c r="E77" i="5"/>
  <c r="D77" i="5"/>
  <c r="C77" i="5"/>
  <c r="B77" i="5"/>
  <c r="M76" i="5"/>
  <c r="L76" i="5"/>
  <c r="K76" i="5"/>
  <c r="J76" i="5"/>
  <c r="I76" i="5"/>
  <c r="H76" i="5"/>
  <c r="G76" i="5"/>
  <c r="F76" i="5"/>
  <c r="E76" i="5"/>
  <c r="D76" i="5"/>
  <c r="C76" i="5"/>
  <c r="B76" i="5"/>
  <c r="C75" i="5"/>
  <c r="B75" i="5"/>
  <c r="M74" i="5"/>
  <c r="L74" i="5"/>
  <c r="K74" i="5"/>
  <c r="J74" i="5"/>
  <c r="I74" i="5"/>
  <c r="H74" i="5"/>
  <c r="G74" i="5"/>
  <c r="F74" i="5"/>
  <c r="E74" i="5"/>
  <c r="D74" i="5"/>
  <c r="C74" i="5"/>
  <c r="B74" i="5"/>
  <c r="M73" i="5"/>
  <c r="L73" i="5"/>
  <c r="K73" i="5"/>
  <c r="J73" i="5"/>
  <c r="I73" i="5"/>
  <c r="H73" i="5"/>
  <c r="G73" i="5"/>
  <c r="F73" i="5"/>
  <c r="E73" i="5"/>
  <c r="D73" i="5"/>
  <c r="C73" i="5"/>
  <c r="B73" i="5"/>
  <c r="M72" i="5"/>
  <c r="L72" i="5"/>
  <c r="K72" i="5"/>
  <c r="J72" i="5"/>
  <c r="I72" i="5"/>
  <c r="H72" i="5"/>
  <c r="G72" i="5"/>
  <c r="F72" i="5"/>
  <c r="E72" i="5"/>
  <c r="D72" i="5"/>
  <c r="C72" i="5"/>
  <c r="B72" i="5"/>
  <c r="M71" i="5"/>
  <c r="L71" i="5"/>
  <c r="K71" i="5"/>
  <c r="J71" i="5"/>
  <c r="I71" i="5"/>
  <c r="H71" i="5"/>
  <c r="G71" i="5"/>
  <c r="F71" i="5"/>
  <c r="E71" i="5"/>
  <c r="D71" i="5"/>
  <c r="C71" i="5"/>
  <c r="B71" i="5"/>
  <c r="M70" i="5"/>
  <c r="L70" i="5"/>
  <c r="K70" i="5"/>
  <c r="J70" i="5"/>
  <c r="I70" i="5"/>
  <c r="H70" i="5"/>
  <c r="G70" i="5"/>
  <c r="F70" i="5"/>
  <c r="E70" i="5"/>
  <c r="D70" i="5"/>
  <c r="C70" i="5"/>
  <c r="B70" i="5"/>
  <c r="M69" i="5"/>
  <c r="L69" i="5"/>
  <c r="K69" i="5"/>
  <c r="J69" i="5"/>
  <c r="I69" i="5"/>
  <c r="H69" i="5"/>
  <c r="G69" i="5"/>
  <c r="F69" i="5"/>
  <c r="E69" i="5"/>
  <c r="D69" i="5"/>
  <c r="C69" i="5"/>
  <c r="B69" i="5"/>
  <c r="M68" i="5"/>
  <c r="L68" i="5"/>
  <c r="K68" i="5"/>
  <c r="J68" i="5"/>
  <c r="I68" i="5"/>
  <c r="H68" i="5"/>
  <c r="G68" i="5"/>
  <c r="F68" i="5"/>
  <c r="E68" i="5"/>
  <c r="D68" i="5"/>
  <c r="C68" i="5"/>
  <c r="B68" i="5"/>
  <c r="M67" i="5"/>
  <c r="L67" i="5"/>
  <c r="K67" i="5"/>
  <c r="J67" i="5"/>
  <c r="I67" i="5"/>
  <c r="H67" i="5"/>
  <c r="G67" i="5"/>
  <c r="F67" i="5"/>
  <c r="E67" i="5"/>
  <c r="D67" i="5"/>
  <c r="C67" i="5"/>
  <c r="B67" i="5"/>
  <c r="M66" i="5"/>
  <c r="L66" i="5"/>
  <c r="K66" i="5"/>
  <c r="J66" i="5"/>
  <c r="I66" i="5"/>
  <c r="H66" i="5"/>
  <c r="G66" i="5"/>
  <c r="F66" i="5"/>
  <c r="E66" i="5"/>
  <c r="D66" i="5"/>
  <c r="C66" i="5"/>
  <c r="B66" i="5"/>
  <c r="C65" i="5"/>
  <c r="B65" i="5"/>
  <c r="C64" i="5"/>
  <c r="B64" i="5"/>
  <c r="C63" i="5"/>
  <c r="B63" i="5"/>
  <c r="M59" i="5"/>
  <c r="L59" i="5"/>
  <c r="K59" i="5"/>
  <c r="J59" i="5"/>
  <c r="I59" i="5"/>
  <c r="H59" i="5"/>
  <c r="G59" i="5"/>
  <c r="F59" i="5"/>
  <c r="E59" i="5"/>
  <c r="D59" i="5"/>
  <c r="N58" i="5"/>
  <c r="C58" i="5"/>
  <c r="B58" i="5"/>
  <c r="N57" i="5"/>
  <c r="C57" i="5"/>
  <c r="B57" i="5"/>
  <c r="N56" i="5"/>
  <c r="C56" i="5"/>
  <c r="B56" i="5"/>
  <c r="N55" i="5"/>
  <c r="C55" i="5"/>
  <c r="B55" i="5"/>
  <c r="N54" i="5"/>
  <c r="C54" i="5"/>
  <c r="B54" i="5"/>
  <c r="N53" i="5"/>
  <c r="C53" i="5"/>
  <c r="B53" i="5"/>
  <c r="N52" i="5"/>
  <c r="C52" i="5"/>
  <c r="B52" i="5"/>
  <c r="N51" i="5"/>
  <c r="C51" i="5"/>
  <c r="B51" i="5"/>
  <c r="N50" i="5"/>
  <c r="C50" i="5"/>
  <c r="B50" i="5"/>
  <c r="N49" i="5"/>
  <c r="C49" i="5"/>
  <c r="B49" i="5"/>
  <c r="N48" i="5"/>
  <c r="C48" i="5"/>
  <c r="B48" i="5"/>
  <c r="N47" i="5"/>
  <c r="C47" i="5"/>
  <c r="B47" i="5"/>
  <c r="N46" i="5"/>
  <c r="C46" i="5"/>
  <c r="B46" i="5"/>
  <c r="N45" i="5"/>
  <c r="C45" i="5"/>
  <c r="B45" i="5"/>
  <c r="N44" i="5"/>
  <c r="C44" i="5"/>
  <c r="B44" i="5"/>
  <c r="N43" i="5"/>
  <c r="C43" i="5"/>
  <c r="B43" i="5"/>
  <c r="N42" i="5"/>
  <c r="C42" i="5"/>
  <c r="B42" i="5"/>
  <c r="N41" i="5"/>
  <c r="C41" i="5"/>
  <c r="B41" i="5"/>
  <c r="N40" i="5"/>
  <c r="C40" i="5"/>
  <c r="B40" i="5"/>
  <c r="N39" i="5"/>
  <c r="C39" i="5"/>
  <c r="B39" i="5"/>
  <c r="N38" i="5"/>
  <c r="C38" i="5"/>
  <c r="B38" i="5"/>
  <c r="N37" i="5"/>
  <c r="C37" i="5"/>
  <c r="B37" i="5"/>
  <c r="N36" i="5"/>
  <c r="C36" i="5"/>
  <c r="B36" i="5"/>
  <c r="N35" i="5"/>
  <c r="C35" i="5"/>
  <c r="B35" i="5"/>
  <c r="N34" i="5"/>
  <c r="C34" i="5"/>
  <c r="B34" i="5"/>
  <c r="N29" i="5"/>
  <c r="D149" i="8" s="1"/>
  <c r="L29" i="5"/>
  <c r="D121" i="8" s="1"/>
  <c r="J29" i="5"/>
  <c r="D93" i="8" s="1"/>
  <c r="H29" i="5"/>
  <c r="D65" i="8" s="1"/>
  <c r="N28" i="5"/>
  <c r="D148" i="8" s="1"/>
  <c r="L28" i="5"/>
  <c r="D120" i="8" s="1"/>
  <c r="J28" i="5"/>
  <c r="D92" i="8" s="1"/>
  <c r="H28" i="5"/>
  <c r="D64" i="8" s="1"/>
  <c r="N27" i="5"/>
  <c r="D147" i="8" s="1"/>
  <c r="L27" i="5"/>
  <c r="D119" i="8" s="1"/>
  <c r="J27" i="5"/>
  <c r="D91" i="8" s="1"/>
  <c r="H27" i="5"/>
  <c r="D63" i="8" s="1"/>
  <c r="N26" i="5"/>
  <c r="D146" i="8" s="1"/>
  <c r="L26" i="5"/>
  <c r="D118" i="8" s="1"/>
  <c r="J26" i="5"/>
  <c r="D90" i="8" s="1"/>
  <c r="H26" i="5"/>
  <c r="D62" i="8" s="1"/>
  <c r="N25" i="5"/>
  <c r="D145" i="8" s="1"/>
  <c r="L25" i="5"/>
  <c r="D117" i="8" s="1"/>
  <c r="J25" i="5"/>
  <c r="D89" i="8" s="1"/>
  <c r="H25" i="5"/>
  <c r="D61" i="8" s="1"/>
  <c r="N24" i="5"/>
  <c r="D144" i="8" s="1"/>
  <c r="L24" i="5"/>
  <c r="D116" i="8" s="1"/>
  <c r="J24" i="5"/>
  <c r="D88" i="8" s="1"/>
  <c r="H24" i="5"/>
  <c r="D60" i="8" s="1"/>
  <c r="N23" i="5"/>
  <c r="D143" i="8" s="1"/>
  <c r="L23" i="5"/>
  <c r="D115" i="8" s="1"/>
  <c r="J23" i="5"/>
  <c r="D87" i="8" s="1"/>
  <c r="H23" i="5"/>
  <c r="D59" i="8" s="1"/>
  <c r="N22" i="5"/>
  <c r="D142" i="8" s="1"/>
  <c r="L22" i="5"/>
  <c r="D114" i="8" s="1"/>
  <c r="J22" i="5"/>
  <c r="D86" i="8" s="1"/>
  <c r="H22" i="5"/>
  <c r="D58" i="8" s="1"/>
  <c r="N21" i="5"/>
  <c r="D141" i="8" s="1"/>
  <c r="L21" i="5"/>
  <c r="D113" i="8" s="1"/>
  <c r="J21" i="5"/>
  <c r="D85" i="8" s="1"/>
  <c r="H21" i="5"/>
  <c r="D57" i="8" s="1"/>
  <c r="N20" i="5"/>
  <c r="D140" i="8" s="1"/>
  <c r="L20" i="5"/>
  <c r="D112" i="8" s="1"/>
  <c r="J20" i="5"/>
  <c r="D84" i="8" s="1"/>
  <c r="H20" i="5"/>
  <c r="D56" i="8" s="1"/>
  <c r="N19" i="5"/>
  <c r="D139" i="8" s="1"/>
  <c r="L19" i="5"/>
  <c r="D111" i="8" s="1"/>
  <c r="J19" i="5"/>
  <c r="D83" i="8" s="1"/>
  <c r="H19" i="5"/>
  <c r="D55" i="8" s="1"/>
  <c r="N17" i="5"/>
  <c r="D137" i="8" s="1"/>
  <c r="L17" i="5"/>
  <c r="D109" i="8" s="1"/>
  <c r="J17" i="5"/>
  <c r="D81" i="8" s="1"/>
  <c r="H17" i="5"/>
  <c r="D53" i="8" s="1"/>
  <c r="N16" i="5"/>
  <c r="D136" i="8" s="1"/>
  <c r="L16" i="5"/>
  <c r="D108" i="8" s="1"/>
  <c r="J16" i="5"/>
  <c r="D80" i="8" s="1"/>
  <c r="H16" i="5"/>
  <c r="D52" i="8" s="1"/>
  <c r="N15" i="5"/>
  <c r="D135" i="8" s="1"/>
  <c r="L15" i="5"/>
  <c r="D107" i="8" s="1"/>
  <c r="J15" i="5"/>
  <c r="D79" i="8" s="1"/>
  <c r="H15" i="5"/>
  <c r="D51" i="8" s="1"/>
  <c r="N14" i="5"/>
  <c r="D134" i="8" s="1"/>
  <c r="L14" i="5"/>
  <c r="D106" i="8" s="1"/>
  <c r="J14" i="5"/>
  <c r="D78" i="8" s="1"/>
  <c r="H14" i="5"/>
  <c r="D50" i="8" s="1"/>
  <c r="N13" i="5"/>
  <c r="D133" i="8" s="1"/>
  <c r="L13" i="5"/>
  <c r="D105" i="8" s="1"/>
  <c r="J13" i="5"/>
  <c r="D77" i="8" s="1"/>
  <c r="H13" i="5"/>
  <c r="D49" i="8" s="1"/>
  <c r="N12" i="5"/>
  <c r="D132" i="8" s="1"/>
  <c r="L12" i="5"/>
  <c r="D104" i="8" s="1"/>
  <c r="J12" i="5"/>
  <c r="D76" i="8" s="1"/>
  <c r="H12" i="5"/>
  <c r="D48" i="8" s="1"/>
  <c r="N11" i="5"/>
  <c r="D131" i="8" s="1"/>
  <c r="L11" i="5"/>
  <c r="D103" i="8" s="1"/>
  <c r="J11" i="5"/>
  <c r="D75" i="8" s="1"/>
  <c r="H11" i="5"/>
  <c r="D47" i="8" s="1"/>
  <c r="N10" i="5"/>
  <c r="D130" i="8" s="1"/>
  <c r="L10" i="5"/>
  <c r="D102" i="8" s="1"/>
  <c r="J10" i="5"/>
  <c r="D74" i="8" s="1"/>
  <c r="H10" i="5"/>
  <c r="D46" i="8" s="1"/>
  <c r="N9" i="5"/>
  <c r="D129" i="8" s="1"/>
  <c r="L9" i="5"/>
  <c r="D101" i="8" s="1"/>
  <c r="J9" i="5"/>
  <c r="D73" i="8" s="1"/>
  <c r="H9" i="5"/>
  <c r="D45" i="8" s="1"/>
  <c r="D127" i="8"/>
  <c r="D43" i="8"/>
  <c r="D126" i="8"/>
  <c r="D121" i="4"/>
  <c r="D119"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72" i="4"/>
  <c r="D60" i="4"/>
  <c r="D59" i="4"/>
  <c r="D58" i="4"/>
  <c r="D57" i="4"/>
  <c r="M56" i="4"/>
  <c r="L56" i="4"/>
  <c r="K56" i="4"/>
  <c r="J56" i="4"/>
  <c r="I56" i="4"/>
  <c r="H56" i="4"/>
  <c r="G56" i="4"/>
  <c r="F56" i="4"/>
  <c r="E56" i="4"/>
  <c r="D56" i="4"/>
  <c r="M55" i="4"/>
  <c r="L55" i="4"/>
  <c r="K55" i="4"/>
  <c r="J55" i="4"/>
  <c r="I55" i="4"/>
  <c r="H55" i="4"/>
  <c r="G55" i="4"/>
  <c r="F55" i="4"/>
  <c r="E55" i="4"/>
  <c r="D55" i="4"/>
  <c r="M54" i="4"/>
  <c r="L54" i="4"/>
  <c r="K54" i="4"/>
  <c r="J54" i="4"/>
  <c r="I54" i="4"/>
  <c r="H54" i="4"/>
  <c r="G54" i="4"/>
  <c r="F54" i="4"/>
  <c r="E54" i="4"/>
  <c r="D54" i="4"/>
  <c r="M53" i="4"/>
  <c r="L53" i="4"/>
  <c r="K53" i="4"/>
  <c r="J53" i="4"/>
  <c r="I53" i="4"/>
  <c r="H53" i="4"/>
  <c r="G53" i="4"/>
  <c r="F53" i="4"/>
  <c r="E53" i="4"/>
  <c r="D53" i="4"/>
  <c r="M52" i="4"/>
  <c r="L52" i="4"/>
  <c r="K52" i="4"/>
  <c r="J52" i="4"/>
  <c r="I52" i="4"/>
  <c r="H52" i="4"/>
  <c r="G52" i="4"/>
  <c r="F52" i="4"/>
  <c r="E52" i="4"/>
  <c r="D52" i="4"/>
  <c r="D48" i="4"/>
  <c r="E48" i="4" s="1"/>
  <c r="F48" i="4" s="1"/>
  <c r="G48" i="4" s="1"/>
  <c r="H48" i="4" s="1"/>
  <c r="I48" i="4" s="1"/>
  <c r="J48" i="4" s="1"/>
  <c r="K48" i="4" s="1"/>
  <c r="L48" i="4" s="1"/>
  <c r="M48" i="4" s="1"/>
  <c r="D47" i="4"/>
  <c r="E47" i="4" s="1"/>
  <c r="F47" i="4" s="1"/>
  <c r="G47" i="4" s="1"/>
  <c r="H47" i="4" s="1"/>
  <c r="I47" i="4" s="1"/>
  <c r="J47" i="4" s="1"/>
  <c r="K47" i="4" s="1"/>
  <c r="L47" i="4" s="1"/>
  <c r="M47" i="4" s="1"/>
  <c r="D46" i="4"/>
  <c r="E46" i="4" s="1"/>
  <c r="F46" i="4" s="1"/>
  <c r="G46" i="4" s="1"/>
  <c r="H46" i="4" s="1"/>
  <c r="I46" i="4" s="1"/>
  <c r="J46" i="4" s="1"/>
  <c r="K46" i="4" s="1"/>
  <c r="L46" i="4" s="1"/>
  <c r="M46" i="4" s="1"/>
  <c r="D45" i="4"/>
  <c r="E45" i="4" s="1"/>
  <c r="F45" i="4" s="1"/>
  <c r="G45" i="4" s="1"/>
  <c r="H45" i="4" s="1"/>
  <c r="I45" i="4" s="1"/>
  <c r="J45" i="4" s="1"/>
  <c r="K45" i="4" s="1"/>
  <c r="L45" i="4" s="1"/>
  <c r="M45" i="4" s="1"/>
  <c r="E34" i="4"/>
  <c r="E113" i="4" s="1"/>
  <c r="E33" i="4"/>
  <c r="E112" i="4" s="1"/>
  <c r="E32" i="4"/>
  <c r="E111" i="4" s="1"/>
  <c r="E31" i="4"/>
  <c r="E110" i="4" s="1"/>
  <c r="E30" i="4"/>
  <c r="E109" i="4" s="1"/>
  <c r="E29" i="4"/>
  <c r="E108" i="4" s="1"/>
  <c r="E28" i="4"/>
  <c r="E107" i="4" s="1"/>
  <c r="E27" i="4"/>
  <c r="E106" i="4" s="1"/>
  <c r="E26" i="4"/>
  <c r="E105" i="4" s="1"/>
  <c r="E25" i="4"/>
  <c r="E104" i="4" s="1"/>
  <c r="E24" i="4"/>
  <c r="E103" i="4" s="1"/>
  <c r="E23" i="4"/>
  <c r="E102" i="4" s="1"/>
  <c r="E22" i="4"/>
  <c r="E20" i="4"/>
  <c r="E99" i="4" s="1"/>
  <c r="E19" i="4"/>
  <c r="E98" i="4" s="1"/>
  <c r="E18" i="4"/>
  <c r="E97" i="4" s="1"/>
  <c r="E17" i="4"/>
  <c r="E96" i="4" s="1"/>
  <c r="E16" i="4"/>
  <c r="E95" i="4" s="1"/>
  <c r="E15" i="4"/>
  <c r="E94" i="4" s="1"/>
  <c r="E14" i="4"/>
  <c r="E93" i="4" s="1"/>
  <c r="E13" i="4"/>
  <c r="E92" i="4" s="1"/>
  <c r="E12" i="4"/>
  <c r="E91" i="4" s="1"/>
  <c r="E11" i="4"/>
  <c r="E90" i="4" s="1"/>
  <c r="E10" i="4"/>
  <c r="E89" i="4" s="1"/>
  <c r="E9" i="4"/>
  <c r="E88" i="4" s="1"/>
  <c r="E8" i="4"/>
  <c r="E87" i="4" s="1"/>
  <c r="E7" i="4"/>
  <c r="E86" i="4" s="1"/>
  <c r="C29" i="2"/>
  <c r="A1" i="2"/>
  <c r="F51" i="3"/>
  <c r="C51" i="3"/>
  <c r="C50" i="3"/>
  <c r="C46" i="3"/>
  <c r="C45" i="3"/>
  <c r="C44" i="3"/>
  <c r="C43" i="3"/>
  <c r="F41" i="3"/>
  <c r="C41" i="3"/>
  <c r="F40" i="3"/>
  <c r="C40" i="3"/>
  <c r="F39" i="3"/>
  <c r="C39" i="3"/>
  <c r="C38" i="3"/>
  <c r="C36" i="3"/>
  <c r="C35" i="3"/>
  <c r="C34" i="3"/>
  <c r="F26" i="3"/>
  <c r="C26" i="3"/>
  <c r="C25" i="3"/>
  <c r="C23" i="3"/>
  <c r="F22" i="3"/>
  <c r="C22" i="3"/>
  <c r="F21" i="3"/>
  <c r="C21" i="3"/>
  <c r="F20" i="3"/>
  <c r="C20" i="3"/>
  <c r="F19" i="3"/>
  <c r="C19" i="3"/>
  <c r="C18" i="3"/>
  <c r="F17" i="3"/>
  <c r="C17" i="3"/>
  <c r="F16" i="3"/>
  <c r="C16" i="3"/>
  <c r="F15" i="3"/>
  <c r="C15" i="3"/>
  <c r="F14" i="3"/>
  <c r="C14" i="3"/>
  <c r="F12" i="3"/>
  <c r="C12" i="3"/>
  <c r="F11" i="3"/>
  <c r="C11" i="3"/>
  <c r="F10" i="3"/>
  <c r="C10" i="3"/>
  <c r="D4" i="3"/>
  <c r="C4" i="3"/>
  <c r="N98" i="5" l="1"/>
  <c r="C164" i="12"/>
  <c r="N108" i="5"/>
  <c r="C160" i="12"/>
  <c r="N59" i="5"/>
  <c r="E58" i="4"/>
  <c r="F58" i="4" s="1"/>
  <c r="G58" i="4" s="1"/>
  <c r="H58" i="4" s="1"/>
  <c r="I58" i="4" s="1"/>
  <c r="J58" i="4" s="1"/>
  <c r="K58" i="4" s="1"/>
  <c r="L58" i="4" s="1"/>
  <c r="M58" i="4" s="1"/>
  <c r="C47" i="3"/>
  <c r="C28" i="2"/>
  <c r="N107" i="5"/>
  <c r="N95" i="5"/>
  <c r="N97" i="5"/>
  <c r="F47" i="3"/>
  <c r="F49" i="3"/>
  <c r="F46" i="3"/>
  <c r="F44" i="3"/>
  <c r="F45" i="3"/>
  <c r="C12" i="13"/>
  <c r="E12" i="13" s="1"/>
  <c r="F34" i="3" s="1"/>
  <c r="N114" i="5"/>
  <c r="N101" i="5"/>
  <c r="N96" i="5"/>
  <c r="P71" i="6"/>
  <c r="O71" i="6"/>
  <c r="N71" i="6"/>
  <c r="M71" i="6"/>
  <c r="L71" i="6"/>
  <c r="K71" i="6"/>
  <c r="I71" i="6"/>
  <c r="H71" i="6"/>
  <c r="J71" i="6"/>
  <c r="N115" i="5"/>
  <c r="N106" i="5"/>
  <c r="N105" i="5"/>
  <c r="N112" i="5"/>
  <c r="N109" i="5"/>
  <c r="C21" i="2"/>
  <c r="C49" i="3"/>
  <c r="C48" i="3"/>
  <c r="R26" i="7"/>
  <c r="N113" i="5"/>
  <c r="F43" i="3"/>
  <c r="N111" i="5"/>
  <c r="N99" i="5"/>
  <c r="N102" i="5"/>
  <c r="N116" i="5"/>
  <c r="N94" i="5"/>
  <c r="N100" i="5"/>
  <c r="N104" i="5"/>
  <c r="F48" i="3"/>
  <c r="N110" i="5"/>
  <c r="J93" i="5"/>
  <c r="M93" i="5"/>
  <c r="E60" i="4"/>
  <c r="F60" i="4" s="1"/>
  <c r="G60" i="4" s="1"/>
  <c r="H60" i="4" s="1"/>
  <c r="I60" i="4" s="1"/>
  <c r="J60" i="4" s="1"/>
  <c r="K60" i="4" s="1"/>
  <c r="L60" i="4" s="1"/>
  <c r="M60" i="4" s="1"/>
  <c r="I93" i="5"/>
  <c r="E57" i="4"/>
  <c r="F57" i="4" s="1"/>
  <c r="G57" i="4" s="1"/>
  <c r="H57" i="4" s="1"/>
  <c r="I57" i="4" s="1"/>
  <c r="J57" i="4" s="1"/>
  <c r="K57" i="4" s="1"/>
  <c r="L57" i="4" s="1"/>
  <c r="M57" i="4" s="1"/>
  <c r="H93" i="5"/>
  <c r="G93" i="5"/>
  <c r="L93" i="5"/>
  <c r="E59" i="4"/>
  <c r="F59" i="4" s="1"/>
  <c r="G59" i="4" s="1"/>
  <c r="H59" i="4" s="1"/>
  <c r="I59" i="4" s="1"/>
  <c r="J59" i="4" s="1"/>
  <c r="K59" i="4" s="1"/>
  <c r="L59" i="4" s="1"/>
  <c r="M59" i="4" s="1"/>
  <c r="K93" i="5"/>
  <c r="D37" i="8"/>
  <c r="N86" i="5"/>
  <c r="D22" i="8"/>
  <c r="N71" i="5"/>
  <c r="G307" i="10"/>
  <c r="H307" i="10" s="1"/>
  <c r="I307" i="10" s="1"/>
  <c r="J307" i="10" s="1"/>
  <c r="K307" i="10" s="1"/>
  <c r="L307" i="10" s="1"/>
  <c r="M307" i="10" s="1"/>
  <c r="N307" i="10" s="1"/>
  <c r="O307" i="10" s="1"/>
  <c r="P307" i="10" s="1"/>
  <c r="Q307" i="10" s="1"/>
  <c r="G151" i="10"/>
  <c r="H151" i="10" s="1"/>
  <c r="I151" i="10" s="1"/>
  <c r="J151" i="10" s="1"/>
  <c r="K151" i="10" s="1"/>
  <c r="L151" i="10" s="1"/>
  <c r="M151" i="10" s="1"/>
  <c r="N151" i="10" s="1"/>
  <c r="O151" i="10" s="1"/>
  <c r="P151" i="10" s="1"/>
  <c r="Q151" i="10" s="1"/>
  <c r="ES18" i="10"/>
  <c r="ES19" i="10" s="1"/>
  <c r="ES10" i="10"/>
  <c r="ER10" i="10"/>
  <c r="ER18" i="10"/>
  <c r="ER19" i="10" s="1"/>
  <c r="EQ10" i="10"/>
  <c r="EQ18" i="10"/>
  <c r="EQ19" i="10" s="1"/>
  <c r="EP10" i="10"/>
  <c r="EP18" i="10"/>
  <c r="EP19" i="10" s="1"/>
  <c r="EO10" i="10"/>
  <c r="EO18" i="10"/>
  <c r="EO19" i="10" s="1"/>
  <c r="EN10" i="10"/>
  <c r="EN18" i="10"/>
  <c r="EN19" i="10" s="1"/>
  <c r="EM10" i="10"/>
  <c r="EM18" i="10"/>
  <c r="EM19" i="10" s="1"/>
  <c r="EL18" i="10"/>
  <c r="EL19" i="10" s="1"/>
  <c r="EL10" i="10"/>
  <c r="EK10" i="10"/>
  <c r="EK18" i="10"/>
  <c r="EK19" i="10" s="1"/>
  <c r="EJ18" i="10"/>
  <c r="EJ19" i="10" s="1"/>
  <c r="EJ10" i="10"/>
  <c r="EI10" i="10"/>
  <c r="EI18" i="10"/>
  <c r="EI19" i="10" s="1"/>
  <c r="EH18" i="10"/>
  <c r="EH19" i="10" s="1"/>
  <c r="EH10" i="10"/>
  <c r="EG18" i="10"/>
  <c r="EG19" i="10" s="1"/>
  <c r="EG10" i="10"/>
  <c r="EF10" i="10"/>
  <c r="EF18" i="10"/>
  <c r="EF19" i="10" s="1"/>
  <c r="EE10" i="10"/>
  <c r="EE18" i="10"/>
  <c r="EE19" i="10" s="1"/>
  <c r="ED10" i="10"/>
  <c r="ED18" i="10"/>
  <c r="ED19" i="10" s="1"/>
  <c r="EC10" i="10"/>
  <c r="EC18" i="10"/>
  <c r="EC19" i="10" s="1"/>
  <c r="EB10" i="10"/>
  <c r="EB18" i="10"/>
  <c r="EB19" i="10" s="1"/>
  <c r="EA10" i="10"/>
  <c r="EA18" i="10"/>
  <c r="EA19" i="10" s="1"/>
  <c r="DZ18" i="10"/>
  <c r="DZ19" i="10" s="1"/>
  <c r="DZ10" i="10"/>
  <c r="DY10" i="10"/>
  <c r="DY18" i="10"/>
  <c r="DY19" i="10" s="1"/>
  <c r="DX18" i="10"/>
  <c r="DX19" i="10" s="1"/>
  <c r="DX10" i="10"/>
  <c r="DW10" i="10"/>
  <c r="DW18" i="10"/>
  <c r="DW19" i="10" s="1"/>
  <c r="DV18" i="10"/>
  <c r="DV19" i="10" s="1"/>
  <c r="DV10" i="10"/>
  <c r="DU18" i="10"/>
  <c r="DU19" i="10" s="1"/>
  <c r="DU10" i="10"/>
  <c r="DT10" i="10"/>
  <c r="DT18" i="10"/>
  <c r="DT19" i="10" s="1"/>
  <c r="DS18" i="10"/>
  <c r="DS19" i="10" s="1"/>
  <c r="DS10" i="10"/>
  <c r="DR18" i="10"/>
  <c r="DR19" i="10" s="1"/>
  <c r="DR10" i="10"/>
  <c r="DQ18" i="10"/>
  <c r="DQ19" i="10" s="1"/>
  <c r="DQ10" i="10"/>
  <c r="DP18" i="10"/>
  <c r="DP19" i="10" s="1"/>
  <c r="DP10" i="10"/>
  <c r="DO18" i="10"/>
  <c r="DO19" i="10" s="1"/>
  <c r="DO10" i="10"/>
  <c r="DN10" i="10"/>
  <c r="DN18" i="10"/>
  <c r="DN19" i="10" s="1"/>
  <c r="DM10" i="10"/>
  <c r="DM18" i="10"/>
  <c r="DM19" i="10" s="1"/>
  <c r="DL10" i="10"/>
  <c r="DL18" i="10"/>
  <c r="DL19" i="10" s="1"/>
  <c r="DK10" i="10"/>
  <c r="DK18" i="10"/>
  <c r="DK19" i="10" s="1"/>
  <c r="DJ10" i="10"/>
  <c r="DJ18" i="10"/>
  <c r="DJ19" i="10" s="1"/>
  <c r="DI10" i="10"/>
  <c r="DI18" i="10"/>
  <c r="DI19" i="10" s="1"/>
  <c r="DH18" i="10"/>
  <c r="DH19" i="10" s="1"/>
  <c r="DH10" i="10"/>
  <c r="DG10" i="10"/>
  <c r="DG18" i="10"/>
  <c r="DG19" i="10" s="1"/>
  <c r="DF18" i="10"/>
  <c r="DF19" i="10" s="1"/>
  <c r="DF10" i="10"/>
  <c r="DE18" i="10"/>
  <c r="DE19" i="10" s="1"/>
  <c r="DE10" i="10"/>
  <c r="DD18" i="10"/>
  <c r="DD19" i="10" s="1"/>
  <c r="DD10" i="10"/>
  <c r="DC10" i="10"/>
  <c r="DC18" i="10"/>
  <c r="DC19" i="10" s="1"/>
  <c r="DB10" i="10"/>
  <c r="DB18" i="10"/>
  <c r="DB19" i="10" s="1"/>
  <c r="DA18" i="10"/>
  <c r="DA19" i="10" s="1"/>
  <c r="DA10" i="10"/>
  <c r="CZ18" i="10"/>
  <c r="CZ19" i="10" s="1"/>
  <c r="CZ10" i="10"/>
  <c r="CY10" i="10"/>
  <c r="CY18" i="10"/>
  <c r="CY19" i="10" s="1"/>
  <c r="CX18" i="10"/>
  <c r="CX19" i="10" s="1"/>
  <c r="CX10" i="10"/>
  <c r="CW18" i="10"/>
  <c r="CW19" i="10" s="1"/>
  <c r="CW10" i="10"/>
  <c r="CV18" i="10"/>
  <c r="CV19" i="10" s="1"/>
  <c r="CV10" i="10"/>
  <c r="CU10" i="10"/>
  <c r="CU18" i="10"/>
  <c r="CU19" i="10" s="1"/>
  <c r="CT18" i="10"/>
  <c r="CT19" i="10" s="1"/>
  <c r="CT10" i="10"/>
  <c r="CS18" i="10"/>
  <c r="CS19" i="10" s="1"/>
  <c r="CS10" i="10"/>
  <c r="CR18" i="10"/>
  <c r="CR19" i="10" s="1"/>
  <c r="CR10" i="10"/>
  <c r="CQ18" i="10"/>
  <c r="CQ19" i="10" s="1"/>
  <c r="CQ10" i="10"/>
  <c r="CP10" i="10"/>
  <c r="CP18" i="10"/>
  <c r="CP19" i="10" s="1"/>
  <c r="CO10" i="10"/>
  <c r="CO18" i="10"/>
  <c r="CO19" i="10" s="1"/>
  <c r="CN18" i="10"/>
  <c r="CN19" i="10" s="1"/>
  <c r="CN10" i="10"/>
  <c r="CM18" i="10"/>
  <c r="CM19" i="10" s="1"/>
  <c r="CM10" i="10"/>
  <c r="CL18" i="10"/>
  <c r="CL19" i="10" s="1"/>
  <c r="CL10" i="10"/>
  <c r="CK18" i="10"/>
  <c r="CK19" i="10" s="1"/>
  <c r="CK10" i="10"/>
  <c r="CJ10" i="10"/>
  <c r="CJ18" i="10"/>
  <c r="CJ19" i="10" s="1"/>
  <c r="CI10" i="10"/>
  <c r="CI18" i="10"/>
  <c r="CI19" i="10" s="1"/>
  <c r="CH10" i="10"/>
  <c r="CH18" i="10"/>
  <c r="CH19" i="10" s="1"/>
  <c r="CG10" i="10"/>
  <c r="CG18" i="10"/>
  <c r="CG19" i="10" s="1"/>
  <c r="CF10" i="10"/>
  <c r="CF18" i="10"/>
  <c r="CF19" i="10" s="1"/>
  <c r="CE10" i="10"/>
  <c r="CE18" i="10"/>
  <c r="CE19" i="10" s="1"/>
  <c r="CD10" i="10"/>
  <c r="CD18" i="10"/>
  <c r="CD19" i="10" s="1"/>
  <c r="CC10" i="10"/>
  <c r="CC18" i="10"/>
  <c r="CC19" i="10" s="1"/>
  <c r="CB10" i="10"/>
  <c r="CB18" i="10"/>
  <c r="CB19" i="10" s="1"/>
  <c r="CA18" i="10"/>
  <c r="CA19" i="10" s="1"/>
  <c r="CA10" i="10"/>
  <c r="BZ18" i="10"/>
  <c r="BZ19" i="10" s="1"/>
  <c r="BZ10" i="10"/>
  <c r="BY18" i="10"/>
  <c r="BY19" i="10" s="1"/>
  <c r="BY10" i="10"/>
  <c r="BX10" i="10"/>
  <c r="BX18" i="10"/>
  <c r="BX19" i="10" s="1"/>
  <c r="BW18" i="10"/>
  <c r="BW19" i="10" s="1"/>
  <c r="BW10" i="10"/>
  <c r="BV10" i="10"/>
  <c r="BV18" i="10"/>
  <c r="BV19" i="10" s="1"/>
  <c r="BU10" i="10"/>
  <c r="BU18" i="10"/>
  <c r="BU19" i="10" s="1"/>
  <c r="BT10" i="10"/>
  <c r="BT18" i="10"/>
  <c r="BT19" i="10" s="1"/>
  <c r="BS10" i="10"/>
  <c r="BS18" i="10"/>
  <c r="BS19" i="10" s="1"/>
  <c r="BR18" i="10"/>
  <c r="BR19" i="10" s="1"/>
  <c r="BR10" i="10"/>
  <c r="BQ18" i="10"/>
  <c r="BQ19" i="10" s="1"/>
  <c r="BQ10" i="10"/>
  <c r="BP18" i="10"/>
  <c r="BP19" i="10" s="1"/>
  <c r="BP10" i="10"/>
  <c r="BO10" i="10"/>
  <c r="BO18" i="10"/>
  <c r="BO19" i="10" s="1"/>
  <c r="BN18" i="10"/>
  <c r="BN19" i="10" s="1"/>
  <c r="BN10" i="10"/>
  <c r="BM18" i="10"/>
  <c r="BM19" i="10" s="1"/>
  <c r="BM10" i="10"/>
  <c r="BL10" i="10"/>
  <c r="BL18" i="10"/>
  <c r="BL19" i="10" s="1"/>
  <c r="BK10" i="10"/>
  <c r="BK18" i="10"/>
  <c r="BK19" i="10" s="1"/>
  <c r="BJ18" i="10"/>
  <c r="BJ19" i="10" s="1"/>
  <c r="BJ10" i="10"/>
  <c r="BI18" i="10"/>
  <c r="BI19" i="10" s="1"/>
  <c r="BI10" i="10"/>
  <c r="BH10" i="10"/>
  <c r="BH18" i="10"/>
  <c r="BH19" i="10" s="1"/>
  <c r="BG10" i="10"/>
  <c r="BG18" i="10"/>
  <c r="BG19" i="10" s="1"/>
  <c r="BF18" i="10"/>
  <c r="BF19" i="10" s="1"/>
  <c r="BF10" i="10"/>
  <c r="BE18" i="10"/>
  <c r="BE19" i="10" s="1"/>
  <c r="BE10" i="10"/>
  <c r="BD10" i="10"/>
  <c r="BD18" i="10"/>
  <c r="BD19" i="10" s="1"/>
  <c r="BC18" i="10"/>
  <c r="BC19" i="10" s="1"/>
  <c r="BC10" i="10"/>
  <c r="BB18" i="10"/>
  <c r="BB19" i="10" s="1"/>
  <c r="BB10" i="10"/>
  <c r="BA18" i="10"/>
  <c r="BA19" i="10" s="1"/>
  <c r="BA10" i="10"/>
  <c r="AZ10" i="10"/>
  <c r="AZ18" i="10"/>
  <c r="AZ19" i="10" s="1"/>
  <c r="AY10" i="10"/>
  <c r="AY18" i="10"/>
  <c r="AY19" i="10" s="1"/>
  <c r="AX10" i="10"/>
  <c r="AX18" i="10"/>
  <c r="AX19" i="10" s="1"/>
  <c r="AW18" i="10"/>
  <c r="AW19" i="10" s="1"/>
  <c r="AW10" i="10"/>
  <c r="AV18" i="10"/>
  <c r="AV19" i="10" s="1"/>
  <c r="AV10" i="10"/>
  <c r="AU18" i="10"/>
  <c r="AU19" i="10" s="1"/>
  <c r="AU10" i="10"/>
  <c r="AT10" i="10"/>
  <c r="AT18" i="10"/>
  <c r="AT19" i="10" s="1"/>
  <c r="AS18" i="10"/>
  <c r="AS19" i="10" s="1"/>
  <c r="AS10" i="10"/>
  <c r="AR18" i="10"/>
  <c r="AR19" i="10" s="1"/>
  <c r="AR10" i="10"/>
  <c r="AQ10" i="10"/>
  <c r="AQ18" i="10"/>
  <c r="AQ19" i="10" s="1"/>
  <c r="AP10" i="10"/>
  <c r="AP18" i="10"/>
  <c r="AP19" i="10" s="1"/>
  <c r="AO18" i="10"/>
  <c r="AO19" i="10" s="1"/>
  <c r="AO10" i="10"/>
  <c r="AN18" i="10"/>
  <c r="AN19" i="10" s="1"/>
  <c r="AN10" i="10"/>
  <c r="AM18" i="10"/>
  <c r="AM19" i="10" s="1"/>
  <c r="AM10" i="10"/>
  <c r="AL18" i="10"/>
  <c r="AL19" i="10" s="1"/>
  <c r="AL10" i="10"/>
  <c r="AK10" i="10"/>
  <c r="AK18" i="10"/>
  <c r="AK19" i="10" s="1"/>
  <c r="AJ18" i="10"/>
  <c r="AJ19" i="10" s="1"/>
  <c r="AJ10" i="10"/>
  <c r="AI10" i="10"/>
  <c r="AI18" i="10"/>
  <c r="AI19" i="10" s="1"/>
  <c r="AH18" i="10"/>
  <c r="AH19" i="10" s="1"/>
  <c r="AH10" i="10"/>
  <c r="AG18" i="10"/>
  <c r="AG19" i="10" s="1"/>
  <c r="AG10" i="10"/>
  <c r="AF10" i="10"/>
  <c r="AF18" i="10"/>
  <c r="AF19" i="10" s="1"/>
  <c r="AE18" i="10"/>
  <c r="AE19" i="10" s="1"/>
  <c r="AE10" i="10"/>
  <c r="AD18" i="10"/>
  <c r="AD19" i="10" s="1"/>
  <c r="AD10" i="10"/>
  <c r="AC18" i="10"/>
  <c r="AC19" i="10" s="1"/>
  <c r="AC10" i="10"/>
  <c r="AB18" i="10"/>
  <c r="AB19" i="10" s="1"/>
  <c r="AB10" i="10"/>
  <c r="AA10" i="10"/>
  <c r="AA18" i="10"/>
  <c r="AA19" i="10" s="1"/>
  <c r="Z18" i="10"/>
  <c r="Z19" i="10" s="1"/>
  <c r="Z10" i="10"/>
  <c r="Y18" i="10"/>
  <c r="Y19" i="10" s="1"/>
  <c r="Y10" i="10"/>
  <c r="X18" i="10"/>
  <c r="X19" i="10" s="1"/>
  <c r="X10" i="10"/>
  <c r="W10" i="10"/>
  <c r="W18" i="10"/>
  <c r="W19" i="10" s="1"/>
  <c r="V18" i="10"/>
  <c r="V19" i="10" s="1"/>
  <c r="V10" i="10"/>
  <c r="U10" i="10"/>
  <c r="U18" i="10"/>
  <c r="U19" i="10" s="1"/>
  <c r="T10" i="10"/>
  <c r="T18" i="10"/>
  <c r="T19" i="10" s="1"/>
  <c r="S10" i="10"/>
  <c r="S18" i="10"/>
  <c r="S19" i="10" s="1"/>
  <c r="R18" i="10"/>
  <c r="R19" i="10" s="1"/>
  <c r="R10" i="10"/>
  <c r="Q10" i="10"/>
  <c r="Q18" i="10"/>
  <c r="Q19" i="10" s="1"/>
  <c r="P18" i="10"/>
  <c r="P19" i="10" s="1"/>
  <c r="P10" i="10"/>
  <c r="O18" i="10"/>
  <c r="O19" i="10" s="1"/>
  <c r="O10" i="10"/>
  <c r="N18" i="10"/>
  <c r="N19" i="10" s="1"/>
  <c r="N10" i="10"/>
  <c r="M18" i="10"/>
  <c r="M19" i="10" s="1"/>
  <c r="M10" i="10"/>
  <c r="L18" i="10"/>
  <c r="L19" i="10" s="1"/>
  <c r="L10" i="10"/>
  <c r="K10" i="10"/>
  <c r="K18" i="10"/>
  <c r="K19" i="10" s="1"/>
  <c r="J18" i="10"/>
  <c r="J19" i="10" s="1"/>
  <c r="J10" i="10"/>
  <c r="I18" i="10"/>
  <c r="I19" i="10" s="1"/>
  <c r="I10" i="10"/>
  <c r="H18" i="10"/>
  <c r="H19" i="10" s="1"/>
  <c r="H10" i="10"/>
  <c r="G10" i="10"/>
  <c r="G18" i="10"/>
  <c r="G19" i="10" s="1"/>
  <c r="F18" i="10"/>
  <c r="F19" i="10" s="1"/>
  <c r="F10" i="10"/>
  <c r="N25" i="7"/>
  <c r="N24" i="7"/>
  <c r="N23" i="7"/>
  <c r="N22" i="7"/>
  <c r="N21" i="7"/>
  <c r="N20" i="7"/>
  <c r="N19" i="7"/>
  <c r="N18" i="7"/>
  <c r="N17" i="7"/>
  <c r="N16" i="7"/>
  <c r="N15" i="7"/>
  <c r="N14" i="7"/>
  <c r="N13" i="7"/>
  <c r="N12" i="7"/>
  <c r="N11" i="7"/>
  <c r="N10" i="7"/>
  <c r="N9" i="7"/>
  <c r="N8" i="7"/>
  <c r="N7" i="7"/>
  <c r="N6" i="7"/>
  <c r="M26" i="7"/>
  <c r="D154" i="8"/>
  <c r="G71" i="6"/>
  <c r="N87" i="5"/>
  <c r="D38" i="8"/>
  <c r="D36" i="8"/>
  <c r="N85" i="5"/>
  <c r="N84" i="5"/>
  <c r="D35" i="8"/>
  <c r="N83" i="5"/>
  <c r="D34" i="8"/>
  <c r="N82" i="5"/>
  <c r="D33" i="8"/>
  <c r="D32" i="8"/>
  <c r="N81" i="5"/>
  <c r="D31" i="8"/>
  <c r="N80" i="5"/>
  <c r="D30" i="8"/>
  <c r="N79" i="5"/>
  <c r="D29" i="8"/>
  <c r="N78" i="5"/>
  <c r="D28" i="8"/>
  <c r="N77" i="5"/>
  <c r="D27" i="8"/>
  <c r="N76" i="5"/>
  <c r="N75" i="5"/>
  <c r="D26" i="8"/>
  <c r="D25" i="8"/>
  <c r="N74" i="5"/>
  <c r="D24" i="8"/>
  <c r="N73" i="5"/>
  <c r="N72" i="5"/>
  <c r="D23" i="8"/>
  <c r="N70" i="5"/>
  <c r="D21" i="8"/>
  <c r="N69" i="5"/>
  <c r="D20" i="8"/>
  <c r="N68" i="5"/>
  <c r="D19" i="8"/>
  <c r="N67" i="5"/>
  <c r="D18" i="8"/>
  <c r="N66" i="5"/>
  <c r="D17" i="8"/>
  <c r="N65" i="5"/>
  <c r="D16" i="8"/>
  <c r="N64" i="5"/>
  <c r="D15" i="8"/>
  <c r="D93" i="5"/>
  <c r="M92" i="5"/>
  <c r="M88" i="5"/>
  <c r="L92" i="5"/>
  <c r="L88" i="5"/>
  <c r="K92" i="5"/>
  <c r="K88" i="5"/>
  <c r="J88" i="5"/>
  <c r="J92" i="5"/>
  <c r="I92" i="5"/>
  <c r="I88" i="5"/>
  <c r="H92" i="5"/>
  <c r="H88" i="5"/>
  <c r="G92" i="5"/>
  <c r="G88" i="5"/>
  <c r="F92" i="5"/>
  <c r="F88" i="5"/>
  <c r="E92" i="5"/>
  <c r="E88" i="5"/>
  <c r="N63" i="5"/>
  <c r="D88" i="5"/>
  <c r="D14" i="8"/>
  <c r="D92" i="5"/>
  <c r="D42" i="8"/>
  <c r="EJ7" i="8"/>
  <c r="DZ7" i="8"/>
  <c r="DU7" i="8"/>
  <c r="CS7" i="8"/>
  <c r="CL7" i="8"/>
  <c r="CB7" i="8"/>
  <c r="BY7" i="8"/>
  <c r="BO7" i="8"/>
  <c r="BL7" i="8"/>
  <c r="BJ7" i="8"/>
  <c r="BH7" i="8"/>
  <c r="BB7" i="8"/>
  <c r="AW7" i="8"/>
  <c r="AI7" i="8"/>
  <c r="J7" i="8"/>
  <c r="ES7" i="9"/>
  <c r="EN7" i="9"/>
  <c r="DX7" i="9"/>
  <c r="CX7" i="9"/>
  <c r="CK7" i="9"/>
  <c r="BA7" i="9"/>
  <c r="AT7" i="9"/>
  <c r="AN7" i="9"/>
  <c r="EM7" i="9"/>
  <c r="EI7" i="9"/>
  <c r="EG7" i="9"/>
  <c r="DD7" i="9"/>
  <c r="CQ7" i="9"/>
  <c r="BS7" i="9"/>
  <c r="BK7" i="9"/>
  <c r="BD7" i="9"/>
  <c r="Z7" i="9"/>
  <c r="N7" i="9"/>
  <c r="H7" i="9"/>
  <c r="ES7" i="8"/>
  <c r="EC7" i="8"/>
  <c r="DY7" i="8"/>
  <c r="DV7" i="8"/>
  <c r="DL7" i="8"/>
  <c r="DD7" i="8"/>
  <c r="CK7" i="8"/>
  <c r="CC7" i="8"/>
  <c r="CA7" i="8"/>
  <c r="BR7" i="8"/>
  <c r="BM7" i="8"/>
  <c r="AT7" i="8"/>
  <c r="AE7" i="8"/>
  <c r="AA7" i="8"/>
  <c r="G7" i="8"/>
  <c r="EC7" i="9"/>
  <c r="DR7" i="9"/>
  <c r="DJ7" i="9"/>
  <c r="CT7" i="9"/>
  <c r="CH7" i="9"/>
  <c r="BN7" i="9"/>
  <c r="BE7" i="9"/>
  <c r="AQ7" i="9"/>
  <c r="R7" i="9"/>
  <c r="K7" i="9"/>
  <c r="C18" i="13"/>
  <c r="E18" i="13" s="1"/>
  <c r="C10" i="13"/>
  <c r="E10" i="13" s="1"/>
  <c r="C9" i="13"/>
  <c r="E9" i="13" s="1"/>
  <c r="O158" i="12"/>
  <c r="EL7" i="8"/>
  <c r="EE7" i="8"/>
  <c r="EB7" i="8"/>
  <c r="DX7" i="8"/>
  <c r="DS7" i="8"/>
  <c r="DM7" i="8"/>
  <c r="CX7" i="8"/>
  <c r="CJ7" i="8"/>
  <c r="CD7" i="8"/>
  <c r="BT7" i="8"/>
  <c r="BQ7" i="8"/>
  <c r="BK7" i="8"/>
  <c r="AV7" i="8"/>
  <c r="AS7" i="8"/>
  <c r="AP7" i="8"/>
  <c r="AL7" i="8"/>
  <c r="AD7" i="8"/>
  <c r="I7" i="8"/>
  <c r="N158" i="12"/>
  <c r="M158" i="12"/>
  <c r="L158" i="12"/>
  <c r="K158" i="12"/>
  <c r="J158" i="12"/>
  <c r="I158" i="12"/>
  <c r="H158" i="12"/>
  <c r="G158" i="12"/>
  <c r="F158" i="12"/>
  <c r="E158" i="12"/>
  <c r="D158" i="12"/>
  <c r="O145" i="12"/>
  <c r="N145" i="12"/>
  <c r="M145" i="12"/>
  <c r="L145" i="12"/>
  <c r="K145" i="12"/>
  <c r="J145" i="12"/>
  <c r="I145" i="12"/>
  <c r="H145" i="12"/>
  <c r="G145" i="12"/>
  <c r="F145" i="12"/>
  <c r="E145" i="12"/>
  <c r="D145" i="12"/>
  <c r="O99" i="12"/>
  <c r="N99" i="12"/>
  <c r="M99" i="12"/>
  <c r="L99" i="12"/>
  <c r="K99" i="12"/>
  <c r="J99" i="12"/>
  <c r="I99" i="12"/>
  <c r="H99" i="12"/>
  <c r="G99" i="12"/>
  <c r="F99" i="12"/>
  <c r="E99" i="12"/>
  <c r="D99" i="12"/>
  <c r="AA7" i="11"/>
  <c r="O36" i="12"/>
  <c r="N36" i="12"/>
  <c r="M36" i="12"/>
  <c r="L36" i="12"/>
  <c r="K36" i="12"/>
  <c r="J36" i="12"/>
  <c r="I36" i="12"/>
  <c r="H36" i="12"/>
  <c r="G36" i="12"/>
  <c r="F36" i="12"/>
  <c r="E36" i="12"/>
  <c r="D36" i="12"/>
  <c r="A2" i="12"/>
  <c r="DP7" i="9"/>
  <c r="DL7" i="9"/>
  <c r="CN7" i="9"/>
  <c r="CI7" i="9"/>
  <c r="CC7" i="9"/>
  <c r="BZ7" i="9"/>
  <c r="BY7" i="9"/>
  <c r="BV7" i="9"/>
  <c r="BH7" i="9"/>
  <c r="AS7" i="9"/>
  <c r="AO7" i="9"/>
  <c r="AK7" i="9"/>
  <c r="AF7" i="9"/>
  <c r="W7" i="9"/>
  <c r="S7" i="9"/>
  <c r="O7" i="9"/>
  <c r="EQ7" i="9"/>
  <c r="EK7" i="9"/>
  <c r="DG7" i="9"/>
  <c r="CF7" i="9"/>
  <c r="BR7" i="9"/>
  <c r="BL7" i="9"/>
  <c r="AD7" i="9"/>
  <c r="Y7" i="9"/>
  <c r="P7" i="9"/>
  <c r="F7" i="9"/>
  <c r="EQ7" i="8"/>
  <c r="DQ7" i="8"/>
  <c r="DH7" i="8"/>
  <c r="CY7" i="8"/>
  <c r="CP7" i="8"/>
  <c r="CF7" i="8"/>
  <c r="BE7" i="8"/>
  <c r="AM7" i="8"/>
  <c r="T7" i="8"/>
  <c r="R7" i="8"/>
  <c r="EJ7" i="9"/>
  <c r="EE7" i="9"/>
  <c r="EB7" i="9"/>
  <c r="DU7" i="9"/>
  <c r="DA7" i="9"/>
  <c r="CY7" i="9"/>
  <c r="BO7" i="9"/>
  <c r="AU7" i="9"/>
  <c r="AB7" i="9"/>
  <c r="M7" i="9"/>
  <c r="J7" i="9"/>
  <c r="ER7" i="8"/>
  <c r="ED7" i="8"/>
  <c r="DW7" i="8"/>
  <c r="DR7" i="8"/>
  <c r="DO7" i="8"/>
  <c r="DF7" i="8"/>
  <c r="DC7" i="8"/>
  <c r="CI7" i="8"/>
  <c r="BZ7" i="8"/>
  <c r="BX7" i="8"/>
  <c r="BN7" i="8"/>
  <c r="BG7" i="8"/>
  <c r="AX7" i="8"/>
  <c r="AH7" i="8"/>
  <c r="AB7" i="8"/>
  <c r="X7" i="8"/>
  <c r="N7" i="8"/>
  <c r="K7" i="8"/>
  <c r="H7" i="8"/>
  <c r="DW7" i="9"/>
  <c r="DS7" i="9"/>
  <c r="DO7" i="9"/>
  <c r="DM7" i="9"/>
  <c r="CU7" i="9"/>
  <c r="CJ7" i="9"/>
  <c r="CA7" i="9"/>
  <c r="BB7" i="9"/>
  <c r="AM7" i="9"/>
  <c r="AH7" i="9"/>
  <c r="X7" i="9"/>
  <c r="V7" i="9"/>
  <c r="EP7" i="9"/>
  <c r="EH7" i="9"/>
  <c r="DN7" i="9"/>
  <c r="DF7" i="9"/>
  <c r="DC7" i="9"/>
  <c r="CR7" i="9"/>
  <c r="CE7" i="9"/>
  <c r="BQ7" i="9"/>
  <c r="BM7" i="9"/>
  <c r="AX7" i="9"/>
  <c r="AR7" i="9"/>
  <c r="AP7" i="9"/>
  <c r="L7" i="9"/>
  <c r="I7" i="9"/>
  <c r="EP7" i="8"/>
  <c r="EF7" i="8"/>
  <c r="DN7" i="8"/>
  <c r="CV7" i="8"/>
  <c r="CN7" i="8"/>
  <c r="CG7" i="8"/>
  <c r="BU7" i="8"/>
  <c r="BD7" i="8"/>
  <c r="AN7" i="8"/>
  <c r="Y7" i="8"/>
  <c r="P7" i="8"/>
  <c r="EO7" i="9"/>
  <c r="ED7" i="9"/>
  <c r="EA7" i="9"/>
  <c r="DV7" i="9"/>
  <c r="DI7" i="9"/>
  <c r="DE7" i="9"/>
  <c r="CZ7" i="9"/>
  <c r="CS7" i="9"/>
  <c r="CP7" i="9"/>
  <c r="BT7" i="9"/>
  <c r="BJ7" i="9"/>
  <c r="AV7" i="9"/>
  <c r="AA7" i="9"/>
  <c r="EI7" i="8"/>
  <c r="DJ7" i="8"/>
  <c r="CZ7" i="8"/>
  <c r="CW7" i="8"/>
  <c r="CQ7" i="8"/>
  <c r="CH7" i="8"/>
  <c r="CE7" i="8"/>
  <c r="BV7" i="8"/>
  <c r="BC7" i="8"/>
  <c r="AU7" i="8"/>
  <c r="AR7" i="8"/>
  <c r="AO7" i="8"/>
  <c r="W7" i="8"/>
  <c r="AE7" i="9"/>
  <c r="ES8" i="10"/>
  <c r="EN8" i="10"/>
  <c r="EG8" i="10"/>
  <c r="ED8" i="10"/>
  <c r="EA8" i="10"/>
  <c r="DW8" i="10"/>
  <c r="DT8" i="10"/>
  <c r="DN8" i="10"/>
  <c r="DL8" i="10"/>
  <c r="DB8" i="10"/>
  <c r="CZ8" i="10"/>
  <c r="CS8" i="10"/>
  <c r="CO8" i="10"/>
  <c r="CH8" i="10"/>
  <c r="CF8" i="10"/>
  <c r="CC8" i="10"/>
  <c r="BZ8" i="10"/>
  <c r="BV8" i="10"/>
  <c r="BR8" i="10"/>
  <c r="BN8" i="10"/>
  <c r="BL8" i="10"/>
  <c r="BI8" i="10"/>
  <c r="BE8" i="10"/>
  <c r="BA8" i="10"/>
  <c r="AS8" i="10"/>
  <c r="AP8" i="10"/>
  <c r="AM8" i="10"/>
  <c r="AK8" i="10"/>
  <c r="AG8" i="10"/>
  <c r="AE8" i="10"/>
  <c r="Q8" i="10"/>
  <c r="M8" i="10"/>
  <c r="I8" i="10"/>
  <c r="F8" i="10"/>
  <c r="DT7" i="9"/>
  <c r="DH7" i="9"/>
  <c r="CW7" i="9"/>
  <c r="CL7" i="9"/>
  <c r="CB7" i="9"/>
  <c r="BW7" i="9"/>
  <c r="BG7" i="9"/>
  <c r="BC7" i="9"/>
  <c r="AI7" i="9"/>
  <c r="EL7" i="9"/>
  <c r="DY7" i="9"/>
  <c r="DQ7" i="9"/>
  <c r="CV7" i="9"/>
  <c r="CM7" i="9"/>
  <c r="CD7" i="9"/>
  <c r="AY7" i="9"/>
  <c r="AL7" i="9"/>
  <c r="AG7" i="9"/>
  <c r="T7" i="9"/>
  <c r="EO7" i="8"/>
  <c r="EG7" i="8"/>
  <c r="EA7" i="8"/>
  <c r="DI7" i="8"/>
  <c r="DB7" i="8"/>
  <c r="CT7" i="8"/>
  <c r="CM7" i="8"/>
  <c r="BW7" i="8"/>
  <c r="AZ7" i="8"/>
  <c r="AJ7" i="8"/>
  <c r="AG7" i="8"/>
  <c r="Z7" i="8"/>
  <c r="S7" i="8"/>
  <c r="Q7" i="8"/>
  <c r="L7" i="8"/>
  <c r="F7" i="8"/>
  <c r="ER8" i="10"/>
  <c r="EO8" i="10"/>
  <c r="EK8" i="10"/>
  <c r="EH8" i="10"/>
  <c r="EF8" i="10"/>
  <c r="DS8" i="10"/>
  <c r="DQ8" i="10"/>
  <c r="DK8" i="10"/>
  <c r="DI8" i="10"/>
  <c r="DC8" i="10"/>
  <c r="CY8" i="10"/>
  <c r="CV8" i="10"/>
  <c r="CT8" i="10"/>
  <c r="CP8" i="10"/>
  <c r="CN8" i="10"/>
  <c r="CK8" i="10"/>
  <c r="CG8" i="10"/>
  <c r="CE8" i="10"/>
  <c r="BX8" i="10"/>
  <c r="BS8" i="10"/>
  <c r="BM8" i="10"/>
  <c r="BG8" i="10"/>
  <c r="BB8" i="10"/>
  <c r="AW8" i="10"/>
  <c r="AR8" i="10"/>
  <c r="AL8" i="10"/>
  <c r="AI8" i="10"/>
  <c r="AB8" i="10"/>
  <c r="Z8" i="10"/>
  <c r="W8" i="10"/>
  <c r="U8" i="10"/>
  <c r="R8" i="10"/>
  <c r="P8" i="10"/>
  <c r="L8" i="10"/>
  <c r="J8" i="10"/>
  <c r="H8" i="10"/>
  <c r="EK7" i="8"/>
  <c r="DT7" i="8"/>
  <c r="DG7" i="8"/>
  <c r="CR7" i="8"/>
  <c r="BS7" i="8"/>
  <c r="BP7" i="8"/>
  <c r="BI7" i="8"/>
  <c r="EQ8" i="10"/>
  <c r="EM8" i="10"/>
  <c r="EI8" i="10"/>
  <c r="EE8" i="10"/>
  <c r="EB8" i="10"/>
  <c r="DY8" i="10"/>
  <c r="DU8" i="10"/>
  <c r="DO8" i="10"/>
  <c r="DJ8" i="10"/>
  <c r="DG8" i="10"/>
  <c r="DE8" i="10"/>
  <c r="CX8" i="10"/>
  <c r="CU8" i="10"/>
  <c r="CR8" i="10"/>
  <c r="CL8" i="10"/>
  <c r="CI8" i="10"/>
  <c r="CB8" i="10"/>
  <c r="BY8" i="10"/>
  <c r="BT8" i="10"/>
  <c r="BQ8" i="10"/>
  <c r="BO8" i="10"/>
  <c r="BK8" i="10"/>
  <c r="BH8" i="10"/>
  <c r="BD8" i="10"/>
  <c r="AZ8" i="10"/>
  <c r="AX8" i="10"/>
  <c r="AU8" i="10"/>
  <c r="AO8" i="10"/>
  <c r="AJ8" i="10"/>
  <c r="AH8" i="10"/>
  <c r="AF8" i="10"/>
  <c r="AC8" i="10"/>
  <c r="Y8" i="10"/>
  <c r="T8" i="10"/>
  <c r="N8" i="10"/>
  <c r="G8" i="10"/>
  <c r="EP8" i="10"/>
  <c r="EL8" i="10"/>
  <c r="EJ8" i="10"/>
  <c r="EC8" i="10"/>
  <c r="DZ8" i="10"/>
  <c r="DX8" i="10"/>
  <c r="DV8" i="10"/>
  <c r="DR8" i="10"/>
  <c r="DP8" i="10"/>
  <c r="DM8" i="10"/>
  <c r="DH8" i="10"/>
  <c r="DF8" i="10"/>
  <c r="DD8" i="10"/>
  <c r="DA8" i="10"/>
  <c r="CW8" i="10"/>
  <c r="CQ8" i="10"/>
  <c r="CM8" i="10"/>
  <c r="CJ8" i="10"/>
  <c r="CD8" i="10"/>
  <c r="CA8" i="10"/>
  <c r="BW8" i="10"/>
  <c r="BU8" i="10"/>
  <c r="BP8" i="10"/>
  <c r="BJ8" i="10"/>
  <c r="BF8" i="10"/>
  <c r="BC8" i="10"/>
  <c r="AY8" i="10"/>
  <c r="AV8" i="10"/>
  <c r="AT8" i="10"/>
  <c r="AQ8" i="10"/>
  <c r="AN8" i="10"/>
  <c r="AD8" i="10"/>
  <c r="AA8" i="10"/>
  <c r="X8" i="10"/>
  <c r="V8" i="10"/>
  <c r="S8" i="10"/>
  <c r="O8" i="10"/>
  <c r="K8" i="10"/>
  <c r="ER7" i="9"/>
  <c r="DZ7" i="9"/>
  <c r="DK7" i="9"/>
  <c r="CO7" i="9"/>
  <c r="BX7" i="9"/>
  <c r="BI7" i="9"/>
  <c r="AZ7" i="9"/>
  <c r="AJ7" i="9"/>
  <c r="U7" i="9"/>
  <c r="AC8" i="11"/>
  <c r="AB8" i="11"/>
  <c r="AA8" i="11"/>
  <c r="Z8" i="11"/>
  <c r="Y8" i="11"/>
  <c r="X8" i="11"/>
  <c r="W8" i="11"/>
  <c r="V8" i="11"/>
  <c r="U8" i="11"/>
  <c r="T8" i="11"/>
  <c r="S8" i="11"/>
  <c r="R8" i="11"/>
  <c r="Q8" i="11"/>
  <c r="P8" i="11"/>
  <c r="O8" i="11"/>
  <c r="N8" i="11"/>
  <c r="M8" i="11"/>
  <c r="L8" i="11"/>
  <c r="K8" i="11"/>
  <c r="J8" i="11"/>
  <c r="I8" i="11"/>
  <c r="H8" i="11"/>
  <c r="G8" i="11"/>
  <c r="F8" i="11"/>
  <c r="AC7" i="11"/>
  <c r="AB7" i="11"/>
  <c r="Z7" i="11"/>
  <c r="Y7" i="11"/>
  <c r="X7" i="11"/>
  <c r="W7" i="11"/>
  <c r="V7" i="11"/>
  <c r="U7" i="11"/>
  <c r="T7" i="11"/>
  <c r="S7" i="11"/>
  <c r="R7" i="11"/>
  <c r="Q7" i="11"/>
  <c r="P7" i="11"/>
  <c r="O7" i="11"/>
  <c r="N7" i="11"/>
  <c r="M7" i="11"/>
  <c r="L7" i="11"/>
  <c r="K7" i="11"/>
  <c r="J7" i="11"/>
  <c r="I7" i="11"/>
  <c r="EM7" i="8"/>
  <c r="EH7" i="8"/>
  <c r="DK7" i="8"/>
  <c r="DE7" i="8"/>
  <c r="CU7" i="8"/>
  <c r="CO7" i="8"/>
  <c r="BF7" i="8"/>
  <c r="BA7" i="8"/>
  <c r="AQ7" i="8"/>
  <c r="AK7" i="8"/>
  <c r="AC7" i="8"/>
  <c r="U7" i="8"/>
  <c r="O7" i="8"/>
  <c r="H7" i="11"/>
  <c r="G7" i="11"/>
  <c r="F7" i="11"/>
  <c r="AC6" i="11"/>
  <c r="AB6" i="11"/>
  <c r="AA6" i="11"/>
  <c r="Z6" i="11"/>
  <c r="Y6" i="11"/>
  <c r="X6" i="11"/>
  <c r="W6" i="11"/>
  <c r="V6" i="11"/>
  <c r="U6" i="11"/>
  <c r="T6" i="11"/>
  <c r="S6" i="11"/>
  <c r="R6" i="11"/>
  <c r="Q6" i="11"/>
  <c r="P6" i="11"/>
  <c r="O6" i="11"/>
  <c r="B3" i="8"/>
  <c r="N6" i="11"/>
  <c r="M6" i="11"/>
  <c r="L6" i="11"/>
  <c r="Q25" i="7"/>
  <c r="K6" i="11"/>
  <c r="J6" i="11"/>
  <c r="Q24" i="7"/>
  <c r="I6" i="11"/>
  <c r="H6" i="11"/>
  <c r="Q23" i="7"/>
  <c r="G6" i="11"/>
  <c r="F6" i="11"/>
  <c r="Q22" i="7"/>
  <c r="AC5" i="11"/>
  <c r="AB5" i="11"/>
  <c r="Q21" i="7"/>
  <c r="AA5" i="11"/>
  <c r="Z5" i="11"/>
  <c r="Q20" i="7"/>
  <c r="Y5" i="11"/>
  <c r="X5" i="11"/>
  <c r="Q19" i="7"/>
  <c r="W5" i="11"/>
  <c r="V5" i="11"/>
  <c r="Q18" i="7"/>
  <c r="U5" i="11"/>
  <c r="T5" i="11"/>
  <c r="Q17" i="7"/>
  <c r="S5" i="11"/>
  <c r="R5" i="11"/>
  <c r="Q16" i="7"/>
  <c r="Q5" i="11"/>
  <c r="P5" i="11"/>
  <c r="Q15" i="7"/>
  <c r="O5" i="11"/>
  <c r="N5" i="11"/>
  <c r="Q14" i="7"/>
  <c r="M5" i="11"/>
  <c r="L5" i="11"/>
  <c r="Q13" i="7"/>
  <c r="K5" i="11"/>
  <c r="J5" i="11"/>
  <c r="Q12" i="7"/>
  <c r="I5" i="11"/>
  <c r="H5" i="11"/>
  <c r="Q11" i="7"/>
  <c r="G5" i="11"/>
  <c r="F5" i="11"/>
  <c r="Q10" i="7"/>
  <c r="A2" i="11"/>
  <c r="EF7" i="9"/>
  <c r="Q9" i="7"/>
  <c r="DB7" i="9"/>
  <c r="CG7" i="9"/>
  <c r="Q8" i="7"/>
  <c r="BU7" i="9"/>
  <c r="BP7" i="9"/>
  <c r="Q7" i="7"/>
  <c r="BF7" i="9"/>
  <c r="AW7" i="9"/>
  <c r="Q6" i="7"/>
  <c r="AC7" i="9"/>
  <c r="Q7" i="9"/>
  <c r="G7" i="9"/>
  <c r="EN7" i="8"/>
  <c r="DP7" i="8"/>
  <c r="DA7" i="8"/>
  <c r="AY7" i="8"/>
  <c r="AF7" i="8"/>
  <c r="V7" i="8"/>
  <c r="M7" i="8"/>
  <c r="AU160" i="10"/>
  <c r="Y160" i="10"/>
  <c r="O160" i="10"/>
  <c r="BG160" i="10"/>
  <c r="BI160" i="10"/>
  <c r="BM160" i="10"/>
  <c r="BP160" i="10"/>
  <c r="BT160" i="10"/>
  <c r="BX160" i="10"/>
  <c r="CA160" i="10"/>
  <c r="CG160" i="10"/>
  <c r="CL160" i="10"/>
  <c r="CP160" i="10"/>
  <c r="DB160" i="10"/>
  <c r="DL160" i="10"/>
  <c r="DO160" i="10"/>
  <c r="DT160" i="10"/>
  <c r="DW160" i="10"/>
  <c r="EG160" i="10"/>
  <c r="G160" i="10"/>
  <c r="M160" i="10"/>
  <c r="T160" i="10"/>
  <c r="W160" i="10"/>
  <c r="AB160" i="10"/>
  <c r="BR160" i="10"/>
  <c r="DP160" i="10"/>
  <c r="DM160" i="10"/>
  <c r="DG160" i="10"/>
  <c r="CX160" i="10"/>
  <c r="CU160" i="10"/>
  <c r="CQ160" i="10"/>
  <c r="CN160" i="10"/>
  <c r="CK160" i="10"/>
  <c r="CE160" i="10"/>
  <c r="BZ160" i="10"/>
  <c r="BS160" i="10"/>
  <c r="BO160" i="10"/>
  <c r="BL160" i="10"/>
  <c r="BF160" i="10"/>
  <c r="BB160" i="10"/>
  <c r="AX160" i="10"/>
  <c r="AQ160" i="10"/>
  <c r="AN160" i="10"/>
  <c r="AJ160" i="10"/>
  <c r="DJ160" i="10"/>
  <c r="EJ160" i="10"/>
  <c r="EL160" i="10"/>
  <c r="AA160" i="10"/>
  <c r="V160" i="10"/>
  <c r="N160" i="10"/>
  <c r="EQ160" i="10"/>
  <c r="EA160" i="10"/>
  <c r="DK160" i="10"/>
  <c r="DF160" i="10"/>
  <c r="EO160" i="10"/>
  <c r="CV160" i="10"/>
  <c r="CM160" i="10"/>
  <c r="CJ160" i="10"/>
  <c r="BU160" i="10"/>
  <c r="BJ160" i="10"/>
  <c r="BC160" i="10"/>
  <c r="BA160" i="10"/>
  <c r="AY160" i="10"/>
  <c r="AS160" i="10"/>
  <c r="AP160" i="10"/>
  <c r="AM160" i="10"/>
  <c r="AH160" i="10"/>
  <c r="AD160" i="10"/>
  <c r="Z160" i="10"/>
  <c r="X160" i="10"/>
  <c r="Q160" i="10"/>
  <c r="J160" i="10"/>
  <c r="AV160" i="10"/>
  <c r="AZ160" i="10"/>
  <c r="BD160" i="10"/>
  <c r="BH160" i="10"/>
  <c r="CC160" i="10"/>
  <c r="EN160" i="10"/>
  <c r="EK160" i="10"/>
  <c r="EF160" i="10"/>
  <c r="EE160" i="10"/>
  <c r="DY160" i="10"/>
  <c r="DV160" i="10"/>
  <c r="DS160" i="10"/>
  <c r="DN160" i="10"/>
  <c r="DH160" i="10"/>
  <c r="DC160" i="10"/>
  <c r="CH160" i="10"/>
  <c r="CS160" i="10"/>
  <c r="DE160" i="10"/>
  <c r="DZ160" i="10"/>
  <c r="EP160" i="10"/>
  <c r="DA160" i="10"/>
  <c r="CZ160" i="10"/>
  <c r="CW160" i="10"/>
  <c r="CT160" i="10"/>
  <c r="CR160" i="10"/>
  <c r="CO160" i="10"/>
  <c r="CI160" i="10"/>
  <c r="CD160" i="10"/>
  <c r="CB160" i="10"/>
  <c r="BY160" i="10"/>
  <c r="BW160" i="10"/>
  <c r="BQ160" i="10"/>
  <c r="BN160" i="10"/>
  <c r="BK160" i="10"/>
  <c r="BE160" i="10"/>
  <c r="AT160" i="10"/>
  <c r="AI160" i="10"/>
  <c r="R160" i="10"/>
  <c r="K160" i="10"/>
  <c r="H160" i="10"/>
  <c r="AO160" i="10"/>
  <c r="DR160" i="10"/>
  <c r="DX160" i="10"/>
  <c r="EC160" i="10"/>
  <c r="EI160" i="10"/>
  <c r="ER160" i="10"/>
  <c r="F160" i="10"/>
  <c r="I160" i="10"/>
  <c r="L160" i="10"/>
  <c r="S160" i="10"/>
  <c r="U160" i="10"/>
  <c r="AC160" i="10"/>
  <c r="AF160" i="10"/>
  <c r="AK160" i="10"/>
  <c r="AR160" i="10"/>
  <c r="P160" i="10"/>
  <c r="AW160" i="10"/>
  <c r="ES160" i="10"/>
  <c r="EM160" i="10"/>
  <c r="EH160" i="10"/>
  <c r="ED160" i="10"/>
  <c r="EB160" i="10"/>
  <c r="DU160" i="10"/>
  <c r="DQ160" i="10"/>
  <c r="DI160" i="10"/>
  <c r="DD160" i="10"/>
  <c r="CY160" i="10"/>
  <c r="CF160" i="10"/>
  <c r="BV160" i="10"/>
  <c r="AL160" i="10"/>
  <c r="AG160" i="10"/>
  <c r="AE160" i="10"/>
  <c r="EE159" i="10"/>
  <c r="DX159" i="10"/>
  <c r="DR159" i="10"/>
  <c r="DP159" i="10"/>
  <c r="DJ159" i="10"/>
  <c r="DH159" i="10"/>
  <c r="DD159" i="10"/>
  <c r="CS159" i="10"/>
  <c r="CI159" i="10"/>
  <c r="BY159" i="10"/>
  <c r="BW159" i="10"/>
  <c r="BQ159" i="10"/>
  <c r="BL159" i="10"/>
  <c r="BF159" i="10"/>
  <c r="AY159" i="10"/>
  <c r="AV159" i="10"/>
  <c r="AO159" i="10"/>
  <c r="AF159" i="10"/>
  <c r="BH159" i="10"/>
  <c r="AA159" i="10"/>
  <c r="J159" i="10"/>
  <c r="Y159" i="10"/>
  <c r="K159" i="10"/>
  <c r="R159" i="10"/>
  <c r="W159" i="10"/>
  <c r="AD159" i="10"/>
  <c r="AL159" i="10"/>
  <c r="AP159" i="10"/>
  <c r="AS159" i="10"/>
  <c r="BD159" i="10"/>
  <c r="BI159" i="10"/>
  <c r="BM159" i="10"/>
  <c r="BT159" i="10"/>
  <c r="BV159" i="10"/>
  <c r="CB159" i="10"/>
  <c r="CG159" i="10"/>
  <c r="CO159" i="10"/>
  <c r="CU159" i="10"/>
  <c r="EJ159" i="10"/>
  <c r="ED159" i="10"/>
  <c r="DS159" i="10"/>
  <c r="DM159" i="10"/>
  <c r="DC159" i="10"/>
  <c r="CZ159" i="10"/>
  <c r="CV159" i="10"/>
  <c r="CP159" i="10"/>
  <c r="CM159" i="10"/>
  <c r="BR159" i="10"/>
  <c r="BE159" i="10"/>
  <c r="AR159" i="10"/>
  <c r="AK159" i="10"/>
  <c r="T159" i="10"/>
  <c r="P159" i="10"/>
  <c r="L159" i="10"/>
  <c r="Q159" i="10"/>
  <c r="M159" i="10"/>
  <c r="DA159" i="10"/>
  <c r="DG159" i="10"/>
  <c r="DL159" i="10"/>
  <c r="DT159" i="10"/>
  <c r="EB159" i="10"/>
  <c r="EM159" i="10"/>
  <c r="ES159" i="10"/>
  <c r="CH159" i="10"/>
  <c r="H159" i="10"/>
  <c r="I159" i="10"/>
  <c r="AB159" i="10"/>
  <c r="AJ159" i="10"/>
  <c r="AN159" i="10"/>
  <c r="AW159" i="10"/>
  <c r="BA159" i="10"/>
  <c r="BO159" i="10"/>
  <c r="DF159" i="10"/>
  <c r="BX159" i="10"/>
  <c r="BZ159" i="10"/>
  <c r="CE159" i="10"/>
  <c r="CK159" i="10"/>
  <c r="CX159" i="10"/>
  <c r="DB159" i="10"/>
  <c r="DZ159" i="10"/>
  <c r="EF159" i="10"/>
  <c r="EP159" i="10"/>
  <c r="CJ159" i="10"/>
  <c r="CL159" i="10"/>
  <c r="CR159" i="10"/>
  <c r="CT159" i="10"/>
  <c r="CY159" i="10"/>
  <c r="DE159" i="10"/>
  <c r="DN159" i="10"/>
  <c r="DO159" i="10"/>
  <c r="DV159" i="10"/>
  <c r="DY159" i="10"/>
  <c r="EC159" i="10"/>
  <c r="EG159" i="10"/>
  <c r="EK159" i="10"/>
  <c r="ER159" i="10"/>
  <c r="BS159" i="10"/>
  <c r="AC159" i="10"/>
  <c r="AI159" i="10"/>
  <c r="AQ159" i="10"/>
  <c r="AX159" i="10"/>
  <c r="BP159" i="10"/>
  <c r="CD159" i="10"/>
  <c r="CQ159" i="10"/>
  <c r="DI159" i="10"/>
  <c r="DW159" i="10"/>
  <c r="EI159" i="10"/>
  <c r="EO159" i="10"/>
  <c r="G159" i="10"/>
  <c r="F159" i="10"/>
  <c r="O159" i="10"/>
  <c r="U159" i="10"/>
  <c r="X159" i="10"/>
  <c r="AE159" i="10"/>
  <c r="AG159" i="10"/>
  <c r="AT159" i="10"/>
  <c r="BC159" i="10"/>
  <c r="BG159" i="10"/>
  <c r="BJ159" i="10"/>
  <c r="BN159" i="10"/>
  <c r="BU159" i="10"/>
  <c r="CA159" i="10"/>
  <c r="CC159" i="10"/>
  <c r="N159" i="10"/>
  <c r="S159" i="10"/>
  <c r="V159" i="10"/>
  <c r="Z159" i="10"/>
  <c r="AH159" i="10"/>
  <c r="AM159" i="10"/>
  <c r="AU159" i="10"/>
  <c r="AZ159" i="10"/>
  <c r="BB159" i="10"/>
  <c r="BK159" i="10"/>
  <c r="CF159" i="10"/>
  <c r="CN159" i="10"/>
  <c r="CW159" i="10"/>
  <c r="DK159" i="10"/>
  <c r="DQ159" i="10"/>
  <c r="DU159" i="10"/>
  <c r="EA159" i="10"/>
  <c r="EH159" i="10"/>
  <c r="EN159" i="10"/>
  <c r="EQ159" i="10"/>
  <c r="EL159" i="10"/>
  <c r="S7" i="7"/>
  <c r="D120" i="4"/>
  <c r="S6" i="7"/>
  <c r="S25" i="7"/>
  <c r="S24" i="7"/>
  <c r="S23" i="7"/>
  <c r="S22" i="7"/>
  <c r="S21" i="7"/>
  <c r="S20" i="7"/>
  <c r="S19" i="7"/>
  <c r="S18" i="7"/>
  <c r="S17" i="7"/>
  <c r="S16" i="7"/>
  <c r="S15" i="7"/>
  <c r="S14" i="7"/>
  <c r="S13" i="7"/>
  <c r="S12" i="7"/>
  <c r="S11" i="7"/>
  <c r="S10" i="7"/>
  <c r="S9" i="7"/>
  <c r="S8" i="7"/>
  <c r="G65" i="4"/>
  <c r="E115" i="4" s="1"/>
  <c r="G69" i="4"/>
  <c r="E118" i="4" s="1"/>
  <c r="G68" i="4"/>
  <c r="E85" i="4" s="1"/>
  <c r="G66" i="4"/>
  <c r="E116" i="4" s="1"/>
  <c r="G64" i="4"/>
  <c r="E114" i="4" s="1"/>
  <c r="G67" i="4"/>
  <c r="E117" i="4" s="1"/>
  <c r="G71" i="4"/>
  <c r="E101" i="4" s="1"/>
  <c r="G70" i="4"/>
  <c r="E100" i="4" s="1"/>
  <c r="C13" i="13"/>
  <c r="E13" i="13" s="1"/>
  <c r="D10" i="8"/>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I316" i="10"/>
  <c r="AJ316" i="10"/>
  <c r="AK316" i="10"/>
  <c r="AL316" i="10"/>
  <c r="AM316" i="10"/>
  <c r="AN316" i="10"/>
  <c r="AO316" i="10"/>
  <c r="AP316" i="10"/>
  <c r="AQ316" i="10"/>
  <c r="AR316" i="10"/>
  <c r="AS316" i="10"/>
  <c r="AT316" i="10"/>
  <c r="AU316" i="10"/>
  <c r="AV316" i="10"/>
  <c r="AW316" i="10"/>
  <c r="AX316" i="10"/>
  <c r="AY316" i="10"/>
  <c r="AZ316" i="10"/>
  <c r="BA316" i="10"/>
  <c r="BB316" i="10"/>
  <c r="BC316" i="10"/>
  <c r="BD316" i="10"/>
  <c r="BE316" i="10"/>
  <c r="BF316" i="10"/>
  <c r="BG316" i="10"/>
  <c r="BH316" i="10"/>
  <c r="BI316" i="10"/>
  <c r="BJ316" i="10"/>
  <c r="BK316" i="10"/>
  <c r="BL316" i="10"/>
  <c r="BM316" i="10"/>
  <c r="BN316" i="10"/>
  <c r="BO316" i="10"/>
  <c r="BP316" i="10"/>
  <c r="BQ316" i="10"/>
  <c r="BR316" i="10"/>
  <c r="BS316" i="10"/>
  <c r="BT316" i="10"/>
  <c r="BU316" i="10"/>
  <c r="BV316" i="10"/>
  <c r="BW316" i="10"/>
  <c r="BX316" i="10"/>
  <c r="BY316" i="10"/>
  <c r="BZ316" i="10"/>
  <c r="CA316" i="10"/>
  <c r="CB316" i="10"/>
  <c r="CC316" i="10"/>
  <c r="CD316" i="10"/>
  <c r="CE316" i="10"/>
  <c r="CF316" i="10"/>
  <c r="CG316" i="10"/>
  <c r="CH316" i="10"/>
  <c r="CI316" i="10"/>
  <c r="CJ316" i="10"/>
  <c r="CK316" i="10"/>
  <c r="CL316" i="10"/>
  <c r="CM316" i="10"/>
  <c r="CN316" i="10"/>
  <c r="CO316" i="10"/>
  <c r="CP316" i="10"/>
  <c r="CQ316" i="10"/>
  <c r="CR316" i="10"/>
  <c r="CS316" i="10"/>
  <c r="CT316" i="10"/>
  <c r="CU316" i="10"/>
  <c r="CV316" i="10"/>
  <c r="CW316" i="10"/>
  <c r="CX316" i="10"/>
  <c r="CY316" i="10"/>
  <c r="CZ316" i="10"/>
  <c r="DA316" i="10"/>
  <c r="DB316" i="10"/>
  <c r="DC316" i="10"/>
  <c r="DD316" i="10"/>
  <c r="DE316" i="10"/>
  <c r="DF316" i="10"/>
  <c r="DG316" i="10"/>
  <c r="DH316" i="10"/>
  <c r="DI316" i="10"/>
  <c r="DJ316" i="10"/>
  <c r="DK316" i="10"/>
  <c r="DL316" i="10"/>
  <c r="DM316" i="10"/>
  <c r="DN316" i="10"/>
  <c r="DO316" i="10"/>
  <c r="DP316" i="10"/>
  <c r="DQ316" i="10"/>
  <c r="DR316" i="10"/>
  <c r="DS316" i="10"/>
  <c r="DT316" i="10"/>
  <c r="DU316" i="10"/>
  <c r="DV316" i="10"/>
  <c r="DW316" i="10"/>
  <c r="DX316" i="10"/>
  <c r="DY316" i="10"/>
  <c r="DZ316" i="10"/>
  <c r="EA316" i="10"/>
  <c r="EB316" i="10"/>
  <c r="EC316" i="10"/>
  <c r="ED316" i="10"/>
  <c r="EE316" i="10"/>
  <c r="EF316" i="10"/>
  <c r="EG316" i="10"/>
  <c r="EH316" i="10"/>
  <c r="EI316" i="10"/>
  <c r="EJ316" i="10"/>
  <c r="EK316" i="10"/>
  <c r="EL316" i="10"/>
  <c r="EM316" i="10"/>
  <c r="EN316" i="10"/>
  <c r="EO316" i="10"/>
  <c r="EP316" i="10"/>
  <c r="EQ316" i="10"/>
  <c r="ER316" i="10"/>
  <c r="ES316"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I315" i="10"/>
  <c r="AJ315" i="10"/>
  <c r="AK315" i="10"/>
  <c r="AL315" i="10"/>
  <c r="AM315" i="10"/>
  <c r="AN315" i="10"/>
  <c r="AO315" i="10"/>
  <c r="AP315" i="10"/>
  <c r="AQ315" i="10"/>
  <c r="AR315" i="10"/>
  <c r="AS315" i="10"/>
  <c r="AT315" i="10"/>
  <c r="AU315" i="10"/>
  <c r="AV315" i="10"/>
  <c r="AW315" i="10"/>
  <c r="AX315" i="10"/>
  <c r="AY315" i="10"/>
  <c r="AZ315" i="10"/>
  <c r="BA315" i="10"/>
  <c r="BB315" i="10"/>
  <c r="BC315" i="10"/>
  <c r="BD315" i="10"/>
  <c r="BE315" i="10"/>
  <c r="BF315" i="10"/>
  <c r="BG315" i="10"/>
  <c r="BH315" i="10"/>
  <c r="BI315" i="10"/>
  <c r="BJ315" i="10"/>
  <c r="BK315" i="10"/>
  <c r="BL315" i="10"/>
  <c r="BM315" i="10"/>
  <c r="BN315" i="10"/>
  <c r="BO315" i="10"/>
  <c r="BP315" i="10"/>
  <c r="BQ315" i="10"/>
  <c r="BR315" i="10"/>
  <c r="BS315" i="10"/>
  <c r="BT315" i="10"/>
  <c r="BU315" i="10"/>
  <c r="BV315" i="10"/>
  <c r="BW315" i="10"/>
  <c r="BX315" i="10"/>
  <c r="BY315" i="10"/>
  <c r="BZ315" i="10"/>
  <c r="CA315" i="10"/>
  <c r="CB315" i="10"/>
  <c r="CC315" i="10"/>
  <c r="CD315" i="10"/>
  <c r="CE315" i="10"/>
  <c r="CF315" i="10"/>
  <c r="CG315" i="10"/>
  <c r="CH315" i="10"/>
  <c r="CI315" i="10"/>
  <c r="CJ315" i="10"/>
  <c r="CK315" i="10"/>
  <c r="CL315" i="10"/>
  <c r="CM315" i="10"/>
  <c r="CN315" i="10"/>
  <c r="CO315" i="10"/>
  <c r="CP315" i="10"/>
  <c r="CQ315" i="10"/>
  <c r="CR315" i="10"/>
  <c r="CS315" i="10"/>
  <c r="CT315" i="10"/>
  <c r="CU315" i="10"/>
  <c r="CV315" i="10"/>
  <c r="CW315" i="10"/>
  <c r="CX315" i="10"/>
  <c r="CY315" i="10"/>
  <c r="CZ315" i="10"/>
  <c r="DA315" i="10"/>
  <c r="DB315" i="10"/>
  <c r="DC315" i="10"/>
  <c r="DD315" i="10"/>
  <c r="DE315" i="10"/>
  <c r="DF315" i="10"/>
  <c r="DG315" i="10"/>
  <c r="DH315" i="10"/>
  <c r="DI315" i="10"/>
  <c r="DJ315" i="10"/>
  <c r="DK315" i="10"/>
  <c r="DL315" i="10"/>
  <c r="DM315" i="10"/>
  <c r="DN315" i="10"/>
  <c r="DO315" i="10"/>
  <c r="DP315" i="10"/>
  <c r="DQ315" i="10"/>
  <c r="DR315" i="10"/>
  <c r="DS315" i="10"/>
  <c r="DT315" i="10"/>
  <c r="DU315" i="10"/>
  <c r="DV315" i="10"/>
  <c r="DW315" i="10"/>
  <c r="DX315" i="10"/>
  <c r="DY315" i="10"/>
  <c r="DZ315" i="10"/>
  <c r="EA315" i="10"/>
  <c r="EB315" i="10"/>
  <c r="EC315" i="10"/>
  <c r="ED315" i="10"/>
  <c r="EE315" i="10"/>
  <c r="EF315" i="10"/>
  <c r="EG315" i="10"/>
  <c r="EH315" i="10"/>
  <c r="EI315" i="10"/>
  <c r="EJ315" i="10"/>
  <c r="EK315" i="10"/>
  <c r="EL315" i="10"/>
  <c r="EM315" i="10"/>
  <c r="EN315" i="10"/>
  <c r="EO315" i="10"/>
  <c r="EP315" i="10"/>
  <c r="EQ315" i="10"/>
  <c r="ER315" i="10"/>
  <c r="ES315" i="10"/>
  <c r="C23" i="13"/>
  <c r="F29" i="3"/>
  <c r="C28" i="3"/>
  <c r="F28" i="3"/>
  <c r="C31" i="3"/>
  <c r="F33" i="3"/>
  <c r="C33" i="3"/>
  <c r="F32" i="3"/>
  <c r="C32" i="3"/>
  <c r="F31" i="3"/>
  <c r="F30" i="3"/>
  <c r="C29" i="3"/>
  <c r="C30" i="3"/>
  <c r="F93" i="5"/>
  <c r="E93" i="5"/>
  <c r="BA14" i="10" l="1"/>
  <c r="AV14" i="10"/>
  <c r="BI14" i="10"/>
  <c r="BD14" i="10"/>
  <c r="BU14" i="10"/>
  <c r="DE16" i="10"/>
  <c r="BL14" i="10"/>
  <c r="BZ14" i="10"/>
  <c r="DG16" i="10"/>
  <c r="DH16" i="10"/>
  <c r="DI16" i="10"/>
  <c r="DM16" i="10"/>
  <c r="DL16" i="10"/>
  <c r="DK16" i="10"/>
  <c r="DJ16" i="10"/>
  <c r="EO174" i="10"/>
  <c r="EO175" i="10" s="1"/>
  <c r="EL174" i="10"/>
  <c r="EL175" i="10" s="1"/>
  <c r="EI174" i="10"/>
  <c r="EI175" i="10" s="1"/>
  <c r="EB174" i="10"/>
  <c r="EB175" i="10" s="1"/>
  <c r="DY174" i="10"/>
  <c r="DY175" i="10" s="1"/>
  <c r="DU174" i="10"/>
  <c r="DU175" i="10" s="1"/>
  <c r="DK174" i="10"/>
  <c r="DK175" i="10" s="1"/>
  <c r="DE174" i="10"/>
  <c r="DE175" i="10" s="1"/>
  <c r="CV174" i="10"/>
  <c r="CV175" i="10" s="1"/>
  <c r="CQ174" i="10"/>
  <c r="CQ175" i="10" s="1"/>
  <c r="CN174" i="10"/>
  <c r="CN175" i="10" s="1"/>
  <c r="CJ174" i="10"/>
  <c r="CJ175" i="10" s="1"/>
  <c r="CE174" i="10"/>
  <c r="CE175" i="10" s="1"/>
  <c r="CC174" i="10"/>
  <c r="CC175" i="10" s="1"/>
  <c r="BZ174" i="10"/>
  <c r="BZ175" i="10" s="1"/>
  <c r="BW174" i="10"/>
  <c r="BW175" i="10" s="1"/>
  <c r="BQ174" i="10"/>
  <c r="BQ175" i="10" s="1"/>
  <c r="BI174" i="10"/>
  <c r="BI175" i="10" s="1"/>
  <c r="BF174" i="10"/>
  <c r="BF175" i="10" s="1"/>
  <c r="BB174" i="10"/>
  <c r="BB175" i="10" s="1"/>
  <c r="AJ174" i="10"/>
  <c r="AJ175" i="10" s="1"/>
  <c r="AF174" i="10"/>
  <c r="AF175" i="10" s="1"/>
  <c r="AD174" i="10"/>
  <c r="AD175" i="10" s="1"/>
  <c r="AA174" i="10"/>
  <c r="AA175" i="10" s="1"/>
  <c r="X174" i="10"/>
  <c r="X175" i="10" s="1"/>
  <c r="S174" i="10"/>
  <c r="S175" i="10" s="1"/>
  <c r="CZ174" i="10"/>
  <c r="CZ175" i="10" s="1"/>
  <c r="P174" i="10"/>
  <c r="P175" i="10" s="1"/>
  <c r="N92" i="5"/>
  <c r="AX174" i="10"/>
  <c r="AX175" i="10" s="1"/>
  <c r="AU174" i="10"/>
  <c r="AU175" i="10" s="1"/>
  <c r="AS174" i="10"/>
  <c r="AS175" i="10" s="1"/>
  <c r="H174" i="10"/>
  <c r="H175" i="10" s="1"/>
  <c r="ER174" i="10"/>
  <c r="ER175" i="10" s="1"/>
  <c r="EN174" i="10"/>
  <c r="EN175" i="10" s="1"/>
  <c r="EH174" i="10"/>
  <c r="EH175" i="10" s="1"/>
  <c r="EE174" i="10"/>
  <c r="EE175" i="10" s="1"/>
  <c r="EA174" i="10"/>
  <c r="EA175" i="10" s="1"/>
  <c r="DX174" i="10"/>
  <c r="DX175" i="10" s="1"/>
  <c r="DW174" i="10"/>
  <c r="DW175" i="10" s="1"/>
  <c r="DT174" i="10"/>
  <c r="DT175" i="10" s="1"/>
  <c r="DQ174" i="10"/>
  <c r="DQ175" i="10" s="1"/>
  <c r="DN174" i="10"/>
  <c r="DN175" i="10" s="1"/>
  <c r="DF174" i="10"/>
  <c r="DF175" i="10" s="1"/>
  <c r="DC174" i="10"/>
  <c r="DC175" i="10" s="1"/>
  <c r="DA174" i="10"/>
  <c r="DA175" i="10" s="1"/>
  <c r="CY174" i="10"/>
  <c r="CY175" i="10" s="1"/>
  <c r="CW174" i="10"/>
  <c r="CW175" i="10" s="1"/>
  <c r="CU174" i="10"/>
  <c r="CU175" i="10" s="1"/>
  <c r="CS174" i="10"/>
  <c r="CS175" i="10" s="1"/>
  <c r="CP174" i="10"/>
  <c r="CP175" i="10" s="1"/>
  <c r="CM174" i="10"/>
  <c r="CM175" i="10" s="1"/>
  <c r="CI174" i="10"/>
  <c r="CI175" i="10" s="1"/>
  <c r="CF174" i="10"/>
  <c r="CF175" i="10" s="1"/>
  <c r="BV174" i="10"/>
  <c r="BV175" i="10" s="1"/>
  <c r="BS174" i="10"/>
  <c r="BS175" i="10" s="1"/>
  <c r="BM174" i="10"/>
  <c r="BM175" i="10" s="1"/>
  <c r="BK174" i="10"/>
  <c r="BK175" i="10" s="1"/>
  <c r="BH174" i="10"/>
  <c r="BH175" i="10" s="1"/>
  <c r="BD174" i="10"/>
  <c r="BD175" i="10" s="1"/>
  <c r="BA174" i="10"/>
  <c r="BA175" i="10" s="1"/>
  <c r="AZ174" i="10"/>
  <c r="AZ175" i="10" s="1"/>
  <c r="AW174" i="10"/>
  <c r="AW175" i="10" s="1"/>
  <c r="AR174" i="10"/>
  <c r="AR175" i="10" s="1"/>
  <c r="AN174" i="10"/>
  <c r="AN175" i="10" s="1"/>
  <c r="AM174" i="10"/>
  <c r="AM175" i="10" s="1"/>
  <c r="AK174" i="10"/>
  <c r="AK175" i="10" s="1"/>
  <c r="Y174" i="10"/>
  <c r="Y175" i="10" s="1"/>
  <c r="U174" i="10"/>
  <c r="U175" i="10" s="1"/>
  <c r="O174" i="10"/>
  <c r="O175" i="10" s="1"/>
  <c r="L174" i="10"/>
  <c r="L175" i="10" s="1"/>
  <c r="C15" i="13"/>
  <c r="E15" i="13" s="1"/>
  <c r="ES174" i="10"/>
  <c r="ES175" i="10" s="1"/>
  <c r="CK174" i="10"/>
  <c r="CK175" i="10" s="1"/>
  <c r="CG174" i="10"/>
  <c r="CG175" i="10" s="1"/>
  <c r="BR174" i="10"/>
  <c r="BR175" i="10" s="1"/>
  <c r="BJ174" i="10"/>
  <c r="BJ175" i="10" s="1"/>
  <c r="BE174" i="10"/>
  <c r="BE175" i="10" s="1"/>
  <c r="BC174" i="10"/>
  <c r="BC175" i="10" s="1"/>
  <c r="AY174" i="10"/>
  <c r="AY175" i="10" s="1"/>
  <c r="AV174" i="10"/>
  <c r="AV175" i="10" s="1"/>
  <c r="AT174" i="10"/>
  <c r="AT175" i="10" s="1"/>
  <c r="AL174" i="10"/>
  <c r="AL175" i="10" s="1"/>
  <c r="AI174" i="10"/>
  <c r="AI175" i="10" s="1"/>
  <c r="AG174" i="10"/>
  <c r="AG175" i="10" s="1"/>
  <c r="Z174" i="10"/>
  <c r="Z175" i="10" s="1"/>
  <c r="T174" i="10"/>
  <c r="T175" i="10" s="1"/>
  <c r="K174" i="10"/>
  <c r="K175" i="10" s="1"/>
  <c r="I174" i="10"/>
  <c r="I175" i="10" s="1"/>
  <c r="G174" i="10"/>
  <c r="G175" i="10" s="1"/>
  <c r="BL295" i="10"/>
  <c r="BF295" i="10"/>
  <c r="AZ295" i="10"/>
  <c r="AU295" i="10"/>
  <c r="AP295" i="10"/>
  <c r="AK295" i="10"/>
  <c r="AF295" i="10"/>
  <c r="AB295" i="10"/>
  <c r="W295" i="10"/>
  <c r="R295" i="10"/>
  <c r="L295" i="10"/>
  <c r="G295" i="10"/>
  <c r="EQ295" i="10"/>
  <c r="EL295" i="10"/>
  <c r="EG295" i="10"/>
  <c r="EA295" i="10"/>
  <c r="DV295" i="10"/>
  <c r="DQ295" i="10"/>
  <c r="DL295" i="10"/>
  <c r="DG295" i="10"/>
  <c r="DA295" i="10"/>
  <c r="CU295" i="10"/>
  <c r="CQ295" i="10"/>
  <c r="CL295" i="10"/>
  <c r="DP16" i="10"/>
  <c r="CI295" i="10"/>
  <c r="CH295" i="10"/>
  <c r="CG295" i="10"/>
  <c r="CF295" i="10"/>
  <c r="CE295" i="10"/>
  <c r="CD295" i="10"/>
  <c r="CC295" i="10"/>
  <c r="CB295" i="10"/>
  <c r="CA295" i="10"/>
  <c r="BZ295" i="10"/>
  <c r="BY295" i="10"/>
  <c r="BX295" i="10"/>
  <c r="BW295" i="10"/>
  <c r="BV295" i="10"/>
  <c r="BU295" i="10"/>
  <c r="BT295" i="10"/>
  <c r="BS295" i="10"/>
  <c r="BR295" i="10"/>
  <c r="BQ295" i="10"/>
  <c r="BP295" i="10"/>
  <c r="BM295" i="10"/>
  <c r="BJ295" i="10"/>
  <c r="BI295" i="10"/>
  <c r="BE295" i="10"/>
  <c r="AY295" i="10"/>
  <c r="AT295" i="10"/>
  <c r="AO295" i="10"/>
  <c r="AJ295" i="10"/>
  <c r="AE295" i="10"/>
  <c r="AA295" i="10"/>
  <c r="V295" i="10"/>
  <c r="Q295" i="10"/>
  <c r="M295" i="10"/>
  <c r="H295" i="10"/>
  <c r="ES295" i="10"/>
  <c r="EN295" i="10"/>
  <c r="EI295" i="10"/>
  <c r="EC295" i="10"/>
  <c r="DX295" i="10"/>
  <c r="DS295" i="10"/>
  <c r="DN295" i="10"/>
  <c r="DI295" i="10"/>
  <c r="DB295" i="10"/>
  <c r="CV295" i="10"/>
  <c r="CP295" i="10"/>
  <c r="CK295" i="10"/>
  <c r="S295" i="10"/>
  <c r="N295" i="10"/>
  <c r="I295" i="10"/>
  <c r="ER295" i="10"/>
  <c r="EM295" i="10"/>
  <c r="EH295" i="10"/>
  <c r="ED295" i="10"/>
  <c r="DY295" i="10"/>
  <c r="DT295" i="10"/>
  <c r="DO295" i="10"/>
  <c r="DJ295" i="10"/>
  <c r="DF295" i="10"/>
  <c r="DC295" i="10"/>
  <c r="CX295" i="10"/>
  <c r="CT295" i="10"/>
  <c r="CO295" i="10"/>
  <c r="CJ295" i="10"/>
  <c r="DO16" i="10"/>
  <c r="BN295" i="10"/>
  <c r="BG295" i="10"/>
  <c r="BB295" i="10"/>
  <c r="AV295" i="10"/>
  <c r="AR295" i="10"/>
  <c r="AM295" i="10"/>
  <c r="AG295" i="10"/>
  <c r="AC295" i="10"/>
  <c r="Y295" i="10"/>
  <c r="U295" i="10"/>
  <c r="P295" i="10"/>
  <c r="K295" i="10"/>
  <c r="F295" i="10"/>
  <c r="EP295" i="10"/>
  <c r="EK295" i="10"/>
  <c r="EF295" i="10"/>
  <c r="EB295" i="10"/>
  <c r="DW295" i="10"/>
  <c r="DR295" i="10"/>
  <c r="DM295" i="10"/>
  <c r="DH295" i="10"/>
  <c r="DD295" i="10"/>
  <c r="CY295" i="10"/>
  <c r="CS295" i="10"/>
  <c r="CN295" i="10"/>
  <c r="DN16" i="10"/>
  <c r="AQ14" i="10"/>
  <c r="AN14" i="10"/>
  <c r="AM14" i="10"/>
  <c r="AJ14" i="10"/>
  <c r="AI14" i="10"/>
  <c r="AF14" i="10"/>
  <c r="Z14" i="10"/>
  <c r="F14" i="10"/>
  <c r="J14" i="10"/>
  <c r="O14" i="10"/>
  <c r="Q14" i="10"/>
  <c r="S14" i="10"/>
  <c r="X14" i="10"/>
  <c r="AB14" i="10"/>
  <c r="H14" i="10"/>
  <c r="P14" i="10"/>
  <c r="T14" i="10"/>
  <c r="W14" i="10"/>
  <c r="Y14" i="10"/>
  <c r="AA14" i="10"/>
  <c r="AD14" i="10"/>
  <c r="AX14" i="10"/>
  <c r="BC14" i="10"/>
  <c r="BJ14" i="10"/>
  <c r="BM14" i="10"/>
  <c r="BO14" i="10"/>
  <c r="BR14" i="10"/>
  <c r="BV14" i="10"/>
  <c r="BX14" i="10"/>
  <c r="CA14" i="10"/>
  <c r="CC14" i="10"/>
  <c r="CE14" i="10"/>
  <c r="CG14" i="10"/>
  <c r="DC16" i="10"/>
  <c r="CI14" i="10"/>
  <c r="CL14" i="10"/>
  <c r="CN14" i="10"/>
  <c r="CP14" i="10"/>
  <c r="CR14" i="10"/>
  <c r="CT14" i="10"/>
  <c r="CV14" i="10"/>
  <c r="CX14" i="10"/>
  <c r="CZ14" i="10"/>
  <c r="DB14" i="10"/>
  <c r="DD14" i="10"/>
  <c r="DF14" i="10"/>
  <c r="DH14" i="10"/>
  <c r="DJ14" i="10"/>
  <c r="DK14" i="10"/>
  <c r="DM14" i="10"/>
  <c r="DO14" i="10"/>
  <c r="DP14" i="10"/>
  <c r="DR14" i="10"/>
  <c r="DS14" i="10"/>
  <c r="DU14" i="10"/>
  <c r="DW14" i="10"/>
  <c r="DY14" i="10"/>
  <c r="EA14" i="10"/>
  <c r="EC14" i="10"/>
  <c r="ED14" i="10"/>
  <c r="EF14" i="10"/>
  <c r="EH14" i="10"/>
  <c r="EJ14" i="10"/>
  <c r="EL14" i="10"/>
  <c r="EN14" i="10"/>
  <c r="EO14" i="10"/>
  <c r="EQ14" i="10"/>
  <c r="G16" i="10"/>
  <c r="I16" i="10"/>
  <c r="K16" i="10"/>
  <c r="N16" i="10"/>
  <c r="P16" i="10"/>
  <c r="R16" i="10"/>
  <c r="T16" i="10"/>
  <c r="V16" i="10"/>
  <c r="X16" i="10"/>
  <c r="Z16" i="10"/>
  <c r="AB16" i="10"/>
  <c r="AE16" i="10"/>
  <c r="AG16" i="10"/>
  <c r="AI16" i="10"/>
  <c r="AK16" i="10"/>
  <c r="AM16" i="10"/>
  <c r="AO16" i="10"/>
  <c r="AQ16" i="10"/>
  <c r="AS16" i="10"/>
  <c r="AU16" i="10"/>
  <c r="AW16" i="10"/>
  <c r="AY16" i="10"/>
  <c r="BA16" i="10"/>
  <c r="BC16" i="10"/>
  <c r="BE16" i="10"/>
  <c r="BG16" i="10"/>
  <c r="BI16" i="10"/>
  <c r="BK16" i="10"/>
  <c r="BM16" i="10"/>
  <c r="BN16" i="10"/>
  <c r="BP16" i="10"/>
  <c r="BR16" i="10"/>
  <c r="BT16" i="10"/>
  <c r="BW16" i="10"/>
  <c r="BY16" i="10"/>
  <c r="CA16" i="10"/>
  <c r="CC16" i="10"/>
  <c r="CD16" i="10"/>
  <c r="CF16" i="10"/>
  <c r="CG16" i="10"/>
  <c r="CI16" i="10"/>
  <c r="CK16" i="10"/>
  <c r="CM16" i="10"/>
  <c r="CO16" i="10"/>
  <c r="CQ16" i="10"/>
  <c r="CS16" i="10"/>
  <c r="CU16" i="10"/>
  <c r="CW16" i="10"/>
  <c r="CY16" i="10"/>
  <c r="DA16" i="10"/>
  <c r="DB16" i="10"/>
  <c r="DD16" i="10"/>
  <c r="DF16" i="10"/>
  <c r="DS16" i="10"/>
  <c r="DV16" i="10"/>
  <c r="DX16" i="10"/>
  <c r="DZ16" i="10"/>
  <c r="EB16" i="10"/>
  <c r="ED16" i="10"/>
  <c r="EF16" i="10"/>
  <c r="EH16" i="10"/>
  <c r="EJ16" i="10"/>
  <c r="EL16" i="10"/>
  <c r="EM16" i="10"/>
  <c r="EO16" i="10"/>
  <c r="EP16" i="10"/>
  <c r="EQ16" i="10"/>
  <c r="ES16" i="10"/>
  <c r="AE14" i="10"/>
  <c r="AH14" i="10"/>
  <c r="AK14" i="10"/>
  <c r="AP14" i="10"/>
  <c r="AR14" i="10"/>
  <c r="AS14" i="10"/>
  <c r="AU14" i="10"/>
  <c r="AY14" i="10"/>
  <c r="BE14" i="10"/>
  <c r="BG14" i="10"/>
  <c r="BN14" i="10"/>
  <c r="BP14" i="10"/>
  <c r="BS14" i="10"/>
  <c r="BW14" i="10"/>
  <c r="CD14" i="10"/>
  <c r="CK14" i="10"/>
  <c r="U14" i="10"/>
  <c r="N14" i="10"/>
  <c r="L14" i="10"/>
  <c r="I14" i="10"/>
  <c r="ER16" i="10"/>
  <c r="EN16" i="10"/>
  <c r="EK16" i="10"/>
  <c r="EI16" i="10"/>
  <c r="EG16" i="10"/>
  <c r="EE16" i="10"/>
  <c r="EC16" i="10"/>
  <c r="EA16" i="10"/>
  <c r="DY16" i="10"/>
  <c r="BO295" i="10"/>
  <c r="BH295" i="10"/>
  <c r="BA295" i="10"/>
  <c r="AW295" i="10"/>
  <c r="AQ295" i="10"/>
  <c r="AL295" i="10"/>
  <c r="AH295" i="10"/>
  <c r="T295" i="10"/>
  <c r="O295" i="10"/>
  <c r="J295" i="10"/>
  <c r="BD295" i="10"/>
  <c r="EO295" i="10"/>
  <c r="EJ295" i="10"/>
  <c r="EE295" i="10"/>
  <c r="DZ295" i="10"/>
  <c r="DU295" i="10"/>
  <c r="DP295" i="10"/>
  <c r="DK295" i="10"/>
  <c r="DE295" i="10"/>
  <c r="CZ295" i="10"/>
  <c r="CW295" i="10"/>
  <c r="CR295" i="10"/>
  <c r="CM295" i="10"/>
  <c r="BK295" i="10"/>
  <c r="BC295" i="10"/>
  <c r="AX295" i="10"/>
  <c r="AS295" i="10"/>
  <c r="AN295" i="10"/>
  <c r="AI295" i="10"/>
  <c r="AD295" i="10"/>
  <c r="Z295" i="10"/>
  <c r="X295" i="10"/>
  <c r="BO174" i="10"/>
  <c r="BO175" i="10" s="1"/>
  <c r="BL174" i="10"/>
  <c r="BL175" i="10" s="1"/>
  <c r="BG174" i="10"/>
  <c r="BG175" i="10" s="1"/>
  <c r="AQ174" i="10"/>
  <c r="AQ175" i="10" s="1"/>
  <c r="AO174" i="10"/>
  <c r="AO175" i="10" s="1"/>
  <c r="AC174" i="10"/>
  <c r="AC175" i="10" s="1"/>
  <c r="W174" i="10"/>
  <c r="W175" i="10" s="1"/>
  <c r="Q174" i="10"/>
  <c r="Q175" i="10" s="1"/>
  <c r="M174" i="10"/>
  <c r="M175" i="10" s="1"/>
  <c r="J174" i="10"/>
  <c r="J175" i="10" s="1"/>
  <c r="EM174" i="10"/>
  <c r="EM175" i="10" s="1"/>
  <c r="EF174" i="10"/>
  <c r="EF175" i="10" s="1"/>
  <c r="DR174" i="10"/>
  <c r="DR175" i="10" s="1"/>
  <c r="DM174" i="10"/>
  <c r="DM175" i="10" s="1"/>
  <c r="DB174" i="10"/>
  <c r="DB175" i="10" s="1"/>
  <c r="CT174" i="10"/>
  <c r="CT175" i="10" s="1"/>
  <c r="CL174" i="10"/>
  <c r="CL175" i="10" s="1"/>
  <c r="CD174" i="10"/>
  <c r="CD175" i="10" s="1"/>
  <c r="CA174" i="10"/>
  <c r="CA175" i="10" s="1"/>
  <c r="BX174" i="10"/>
  <c r="BX175" i="10" s="1"/>
  <c r="BU174" i="10"/>
  <c r="BU175" i="10" s="1"/>
  <c r="BN174" i="10"/>
  <c r="BN175" i="10" s="1"/>
  <c r="AP174" i="10"/>
  <c r="AP175" i="10" s="1"/>
  <c r="AH174" i="10"/>
  <c r="AH175" i="10" s="1"/>
  <c r="AE174" i="10"/>
  <c r="AE175" i="10" s="1"/>
  <c r="AB174" i="10"/>
  <c r="AB175" i="10" s="1"/>
  <c r="V174" i="10"/>
  <c r="V175" i="10" s="1"/>
  <c r="R174" i="10"/>
  <c r="R175" i="10" s="1"/>
  <c r="N174" i="10"/>
  <c r="N175" i="10" s="1"/>
  <c r="F174" i="10"/>
  <c r="F175" i="10" s="1"/>
  <c r="EP174" i="10"/>
  <c r="EP175" i="10" s="1"/>
  <c r="EK174" i="10"/>
  <c r="EK175" i="10" s="1"/>
  <c r="EJ174" i="10"/>
  <c r="EJ175" i="10" s="1"/>
  <c r="ED174" i="10"/>
  <c r="ED175" i="10" s="1"/>
  <c r="DZ174" i="10"/>
  <c r="DZ175" i="10" s="1"/>
  <c r="DV174" i="10"/>
  <c r="DV175" i="10" s="1"/>
  <c r="DP174" i="10"/>
  <c r="DP175" i="10" s="1"/>
  <c r="DL174" i="10"/>
  <c r="DL175" i="10" s="1"/>
  <c r="DI174" i="10"/>
  <c r="DI175" i="10" s="1"/>
  <c r="DG174" i="10"/>
  <c r="DG175" i="10" s="1"/>
  <c r="DD174" i="10"/>
  <c r="DD175" i="10" s="1"/>
  <c r="CX174" i="10"/>
  <c r="CX175" i="10" s="1"/>
  <c r="CR174" i="10"/>
  <c r="CR175" i="10" s="1"/>
  <c r="CO174" i="10"/>
  <c r="CO175" i="10" s="1"/>
  <c r="O25" i="7"/>
  <c r="P25" i="7"/>
  <c r="O24" i="7"/>
  <c r="P24" i="7"/>
  <c r="O23" i="7"/>
  <c r="P23" i="7"/>
  <c r="O22" i="7"/>
  <c r="P22" i="7"/>
  <c r="O21" i="7"/>
  <c r="P21" i="7"/>
  <c r="O20" i="7"/>
  <c r="P20" i="7"/>
  <c r="O19" i="7"/>
  <c r="P19" i="7"/>
  <c r="O18" i="7"/>
  <c r="P18" i="7"/>
  <c r="O17" i="7"/>
  <c r="P17" i="7"/>
  <c r="O16" i="7"/>
  <c r="P16" i="7"/>
  <c r="O15" i="7"/>
  <c r="P15" i="7"/>
  <c r="O14" i="7"/>
  <c r="P14" i="7"/>
  <c r="O13" i="7"/>
  <c r="P13" i="7"/>
  <c r="O12" i="7"/>
  <c r="P12" i="7"/>
  <c r="O11" i="7"/>
  <c r="P11" i="7"/>
  <c r="O10" i="7"/>
  <c r="P10" i="7"/>
  <c r="O9" i="7"/>
  <c r="P9" i="7"/>
  <c r="O8" i="7"/>
  <c r="P8" i="7"/>
  <c r="O7" i="7"/>
  <c r="P7" i="7"/>
  <c r="O6" i="7"/>
  <c r="P6" i="7"/>
  <c r="N26" i="7"/>
  <c r="P26" i="7" s="1"/>
  <c r="F18" i="3"/>
  <c r="N88" i="5"/>
  <c r="N9" i="10"/>
  <c r="V9" i="10"/>
  <c r="AB9" i="10"/>
  <c r="AF9" i="10"/>
  <c r="AI9" i="10"/>
  <c r="AP9" i="10"/>
  <c r="AT9" i="10"/>
  <c r="BA9" i="10"/>
  <c r="BC9" i="10"/>
  <c r="BI9" i="10"/>
  <c r="BL9" i="10"/>
  <c r="BN9" i="10"/>
  <c r="BQ9" i="10"/>
  <c r="CL9" i="10"/>
  <c r="CQ9" i="10"/>
  <c r="CQ103" i="10" s="1"/>
  <c r="CT9" i="10"/>
  <c r="CT103" i="10" s="1"/>
  <c r="CW9" i="10"/>
  <c r="CW103" i="10" s="1"/>
  <c r="CZ9" i="10"/>
  <c r="DE9" i="10"/>
  <c r="DM9" i="10"/>
  <c r="DM103" i="10" s="1"/>
  <c r="DQ9" i="10"/>
  <c r="DQ103" i="10" s="1"/>
  <c r="DT9" i="10"/>
  <c r="DT103" i="10" s="1"/>
  <c r="DW9" i="10"/>
  <c r="DW103" i="10" s="1"/>
  <c r="DY9" i="10"/>
  <c r="DY103" i="10" s="1"/>
  <c r="EB9" i="10"/>
  <c r="EB103" i="10" s="1"/>
  <c r="ED9" i="10"/>
  <c r="ED103" i="10" s="1"/>
  <c r="EG9" i="10"/>
  <c r="EG103" i="10" s="1"/>
  <c r="EK9" i="10"/>
  <c r="EK103" i="10" s="1"/>
  <c r="EP9" i="10"/>
  <c r="EP103" i="10" s="1"/>
  <c r="ES9" i="10"/>
  <c r="ES103" i="10" s="1"/>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I139" i="10"/>
  <c r="AJ139" i="10"/>
  <c r="AK139" i="10"/>
  <c r="AL139" i="10"/>
  <c r="AM139" i="10"/>
  <c r="AN139" i="10"/>
  <c r="AO139" i="10"/>
  <c r="AP139" i="10"/>
  <c r="AQ139" i="10"/>
  <c r="AR139" i="10"/>
  <c r="AS139" i="10"/>
  <c r="AT139" i="10"/>
  <c r="AU139" i="10"/>
  <c r="AV139" i="10"/>
  <c r="AW139" i="10"/>
  <c r="AX139" i="10"/>
  <c r="AY139" i="10"/>
  <c r="AZ139" i="10"/>
  <c r="BA139" i="10"/>
  <c r="BB139" i="10"/>
  <c r="BC139" i="10"/>
  <c r="BD139" i="10"/>
  <c r="BE139" i="10"/>
  <c r="BF139" i="10"/>
  <c r="BG139" i="10"/>
  <c r="BH139" i="10"/>
  <c r="BI139" i="10"/>
  <c r="BJ139" i="10"/>
  <c r="BK139" i="10"/>
  <c r="BL139" i="10"/>
  <c r="BM139" i="10"/>
  <c r="BN139" i="10"/>
  <c r="BO139" i="10"/>
  <c r="BP139" i="10"/>
  <c r="BQ139" i="10"/>
  <c r="BR139" i="10"/>
  <c r="BS139" i="10"/>
  <c r="BT139" i="10"/>
  <c r="BU139" i="10"/>
  <c r="BV139" i="10"/>
  <c r="BW139" i="10"/>
  <c r="BX139" i="10"/>
  <c r="BY139" i="10"/>
  <c r="BZ139" i="10"/>
  <c r="CA139" i="10"/>
  <c r="CB139" i="10"/>
  <c r="CC139" i="10"/>
  <c r="CD139" i="10"/>
  <c r="CE139" i="10"/>
  <c r="CF139" i="10"/>
  <c r="CG139" i="10"/>
  <c r="CH139" i="10"/>
  <c r="CI139" i="10"/>
  <c r="CJ139" i="10"/>
  <c r="CK139" i="10"/>
  <c r="CL139" i="10"/>
  <c r="CM139" i="10"/>
  <c r="CN139" i="10"/>
  <c r="CO139" i="10"/>
  <c r="CP139" i="10"/>
  <c r="CQ139" i="10"/>
  <c r="CR139" i="10"/>
  <c r="CS139" i="10"/>
  <c r="CT139" i="10"/>
  <c r="CU139" i="10"/>
  <c r="CV139" i="10"/>
  <c r="CW139" i="10"/>
  <c r="CX139" i="10"/>
  <c r="CY139" i="10"/>
  <c r="CZ139" i="10"/>
  <c r="DA139" i="10"/>
  <c r="DB139" i="10"/>
  <c r="DC139" i="10"/>
  <c r="DD139" i="10"/>
  <c r="DE139" i="10"/>
  <c r="DF139" i="10"/>
  <c r="DG139" i="10"/>
  <c r="DH139" i="10"/>
  <c r="DI139" i="10"/>
  <c r="DJ139" i="10"/>
  <c r="DK139" i="10"/>
  <c r="DL139" i="10"/>
  <c r="DM139" i="10"/>
  <c r="DN139" i="10"/>
  <c r="DO139" i="10"/>
  <c r="DP139" i="10"/>
  <c r="DQ139" i="10"/>
  <c r="DR139" i="10"/>
  <c r="DS139" i="10"/>
  <c r="DT139" i="10"/>
  <c r="DU139" i="10"/>
  <c r="DV139" i="10"/>
  <c r="DW139" i="10"/>
  <c r="DX139" i="10"/>
  <c r="DY139" i="10"/>
  <c r="DZ139" i="10"/>
  <c r="EA139" i="10"/>
  <c r="EB139" i="10"/>
  <c r="EC139" i="10"/>
  <c r="ED139" i="10"/>
  <c r="EE139" i="10"/>
  <c r="EF139" i="10"/>
  <c r="EG139" i="10"/>
  <c r="EH139" i="10"/>
  <c r="EI139" i="10"/>
  <c r="EJ139" i="10"/>
  <c r="EK139" i="10"/>
  <c r="EL139" i="10"/>
  <c r="EM139" i="10"/>
  <c r="EN139" i="10"/>
  <c r="EO139" i="10"/>
  <c r="EP139" i="10"/>
  <c r="EQ139" i="10"/>
  <c r="ER139" i="10"/>
  <c r="ES139" i="10"/>
  <c r="C23" i="2"/>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I275" i="10"/>
  <c r="AJ275" i="10"/>
  <c r="AK275" i="10"/>
  <c r="AL275" i="10"/>
  <c r="AM275" i="10"/>
  <c r="AN275" i="10"/>
  <c r="AO275" i="10"/>
  <c r="AP275" i="10"/>
  <c r="AQ275" i="10"/>
  <c r="AR275" i="10"/>
  <c r="AS275" i="10"/>
  <c r="AT275" i="10"/>
  <c r="AU275" i="10"/>
  <c r="AV275" i="10"/>
  <c r="AW275" i="10"/>
  <c r="AX275" i="10"/>
  <c r="AY275" i="10"/>
  <c r="AZ275" i="10"/>
  <c r="BA275" i="10"/>
  <c r="BB275" i="10"/>
  <c r="BC275" i="10"/>
  <c r="BD275" i="10"/>
  <c r="BE275" i="10"/>
  <c r="BF275" i="10"/>
  <c r="BG275" i="10"/>
  <c r="BH275" i="10"/>
  <c r="BI275" i="10"/>
  <c r="BJ275" i="10"/>
  <c r="BK275" i="10"/>
  <c r="BL275" i="10"/>
  <c r="BM275" i="10"/>
  <c r="BN275" i="10"/>
  <c r="BO275" i="10"/>
  <c r="BP275" i="10"/>
  <c r="BQ275" i="10"/>
  <c r="BR275" i="10"/>
  <c r="BS275" i="10"/>
  <c r="BT275" i="10"/>
  <c r="BU275" i="10"/>
  <c r="BV275" i="10"/>
  <c r="BW275" i="10"/>
  <c r="BX275" i="10"/>
  <c r="BY275" i="10"/>
  <c r="BZ275" i="10"/>
  <c r="CA275" i="10"/>
  <c r="CB275" i="10"/>
  <c r="CC275" i="10"/>
  <c r="CD275" i="10"/>
  <c r="CE275" i="10"/>
  <c r="CF275" i="10"/>
  <c r="CG275" i="10"/>
  <c r="CH275" i="10"/>
  <c r="CI275" i="10"/>
  <c r="CJ275" i="10"/>
  <c r="CK275" i="10"/>
  <c r="CL275" i="10"/>
  <c r="CM275" i="10"/>
  <c r="CN275" i="10"/>
  <c r="CO275" i="10"/>
  <c r="CP275" i="10"/>
  <c r="CQ275" i="10"/>
  <c r="CR275" i="10"/>
  <c r="CS275" i="10"/>
  <c r="CT275" i="10"/>
  <c r="CU275" i="10"/>
  <c r="CV275" i="10"/>
  <c r="CW275" i="10"/>
  <c r="CX275" i="10"/>
  <c r="CY275" i="10"/>
  <c r="CZ275" i="10"/>
  <c r="DA275" i="10"/>
  <c r="DB275" i="10"/>
  <c r="DC275" i="10"/>
  <c r="DD275" i="10"/>
  <c r="DE275" i="10"/>
  <c r="DF275" i="10"/>
  <c r="DG275" i="10"/>
  <c r="DH275" i="10"/>
  <c r="DI275" i="10"/>
  <c r="DJ275" i="10"/>
  <c r="DK275" i="10"/>
  <c r="DL275" i="10"/>
  <c r="DM275" i="10"/>
  <c r="DN275" i="10"/>
  <c r="DO275" i="10"/>
  <c r="DP275" i="10"/>
  <c r="DQ275" i="10"/>
  <c r="DR275" i="10"/>
  <c r="DS275" i="10"/>
  <c r="DT275" i="10"/>
  <c r="DV275" i="10"/>
  <c r="DW275" i="10"/>
  <c r="DX275" i="10"/>
  <c r="DY275" i="10"/>
  <c r="DZ275" i="10"/>
  <c r="EA275" i="10"/>
  <c r="EB275" i="10"/>
  <c r="EC275" i="10"/>
  <c r="ED275" i="10"/>
  <c r="EE275" i="10"/>
  <c r="EF275" i="10"/>
  <c r="EG275" i="10"/>
  <c r="EH275" i="10"/>
  <c r="EI275" i="10"/>
  <c r="EJ275" i="10"/>
  <c r="EK275" i="10"/>
  <c r="EL275" i="10"/>
  <c r="EM275" i="10"/>
  <c r="EN275" i="10"/>
  <c r="EO275" i="10"/>
  <c r="EP275" i="10"/>
  <c r="EQ275" i="10"/>
  <c r="ER275" i="10"/>
  <c r="ES275" i="10"/>
  <c r="C19" i="13"/>
  <c r="E19" i="13" s="1"/>
  <c r="F9" i="10"/>
  <c r="L9" i="10"/>
  <c r="L103" i="10" s="1"/>
  <c r="P9" i="10"/>
  <c r="P103" i="10" s="1"/>
  <c r="R9" i="10"/>
  <c r="R103" i="10" s="1"/>
  <c r="Y9" i="10"/>
  <c r="Y103" i="10" s="1"/>
  <c r="AA9" i="10"/>
  <c r="AA103" i="10" s="1"/>
  <c r="AE9" i="10"/>
  <c r="AE103" i="10" s="1"/>
  <c r="AJ9" i="10"/>
  <c r="AJ103" i="10" s="1"/>
  <c r="AM9" i="10"/>
  <c r="AM103" i="10" s="1"/>
  <c r="AO9" i="10"/>
  <c r="AO103" i="10" s="1"/>
  <c r="AR9" i="10"/>
  <c r="AR103" i="10" s="1"/>
  <c r="AU9" i="10"/>
  <c r="AU103" i="10" s="1"/>
  <c r="AW9" i="10"/>
  <c r="AW103" i="10" s="1"/>
  <c r="AY9" i="10"/>
  <c r="AY103" i="10" s="1"/>
  <c r="BB9" i="10"/>
  <c r="BB103" i="10" s="1"/>
  <c r="BG9" i="10"/>
  <c r="BG103" i="10" s="1"/>
  <c r="BJ9" i="10"/>
  <c r="BJ103" i="10" s="1"/>
  <c r="BP9" i="10"/>
  <c r="BP103" i="10" s="1"/>
  <c r="BS9" i="10"/>
  <c r="BS103" i="10" s="1"/>
  <c r="BW9" i="10"/>
  <c r="BW103" i="10" s="1"/>
  <c r="BY9" i="10"/>
  <c r="BY103" i="10" s="1"/>
  <c r="CA9" i="10"/>
  <c r="CA103" i="10" s="1"/>
  <c r="CC9" i="10"/>
  <c r="CC103" i="10" s="1"/>
  <c r="CG9" i="10"/>
  <c r="CG103" i="10" s="1"/>
  <c r="CK9" i="10"/>
  <c r="CK103" i="10" s="1"/>
  <c r="CP9" i="10"/>
  <c r="CP103" i="10" s="1"/>
  <c r="CX9" i="10"/>
  <c r="CX103" i="10" s="1"/>
  <c r="DA9" i="10"/>
  <c r="DA103" i="10" s="1"/>
  <c r="DC9" i="10"/>
  <c r="DC103" i="10" s="1"/>
  <c r="DG9" i="10"/>
  <c r="DG103" i="10" s="1"/>
  <c r="DJ9" i="10"/>
  <c r="DJ103" i="10" s="1"/>
  <c r="DL9" i="10"/>
  <c r="DL103" i="10" s="1"/>
  <c r="DO9" i="10"/>
  <c r="DO103" i="10" s="1"/>
  <c r="DS9" i="10"/>
  <c r="DS103" i="10" s="1"/>
  <c r="EA9" i="10"/>
  <c r="EA103" i="10" s="1"/>
  <c r="EC9" i="10"/>
  <c r="EI9" i="10"/>
  <c r="EN9" i="10"/>
  <c r="G9" i="10"/>
  <c r="I9" i="10"/>
  <c r="K9" i="10"/>
  <c r="K103" i="10" s="1"/>
  <c r="Q9" i="10"/>
  <c r="Q103" i="10" s="1"/>
  <c r="T9" i="10"/>
  <c r="T103" i="10" s="1"/>
  <c r="X9" i="10"/>
  <c r="X103" i="10" s="1"/>
  <c r="AD9" i="10"/>
  <c r="AD103" i="10" s="1"/>
  <c r="AH9" i="10"/>
  <c r="AH103" i="10" s="1"/>
  <c r="AL9" i="10"/>
  <c r="AL103" i="10" s="1"/>
  <c r="AN9" i="10"/>
  <c r="AN103" i="10" s="1"/>
  <c r="AX9" i="10"/>
  <c r="AX103" i="10" s="1"/>
  <c r="BD9" i="10"/>
  <c r="BD103" i="10" s="1"/>
  <c r="BF9" i="10"/>
  <c r="BF103" i="10" s="1"/>
  <c r="BK9" i="10"/>
  <c r="BK103" i="10" s="1"/>
  <c r="BM9" i="10"/>
  <c r="BM103" i="10" s="1"/>
  <c r="BT9" i="10"/>
  <c r="BT103" i="10" s="1"/>
  <c r="BU9" i="10"/>
  <c r="BU103" i="10" s="1"/>
  <c r="BX9" i="10"/>
  <c r="BX103" i="10" s="1"/>
  <c r="BZ9" i="10"/>
  <c r="BZ103" i="10" s="1"/>
  <c r="CE9" i="10"/>
  <c r="CE103" i="10" s="1"/>
  <c r="CI9" i="10"/>
  <c r="CI103" i="10" s="1"/>
  <c r="CM9" i="10"/>
  <c r="CM103" i="10" s="1"/>
  <c r="CO9" i="10"/>
  <c r="CO103" i="10" s="1"/>
  <c r="CR9" i="10"/>
  <c r="CR103" i="10" s="1"/>
  <c r="CV9" i="10"/>
  <c r="CV103" i="10" s="1"/>
  <c r="DD9" i="10"/>
  <c r="DD103" i="10" s="1"/>
  <c r="DH9" i="10"/>
  <c r="DH103" i="10" s="1"/>
  <c r="DK9" i="10"/>
  <c r="DK103" i="10" s="1"/>
  <c r="DN9" i="10"/>
  <c r="DN103" i="10" s="1"/>
  <c r="DR9" i="10"/>
  <c r="DR103" i="10" s="1"/>
  <c r="DV9" i="10"/>
  <c r="DV103" i="10" s="1"/>
  <c r="DZ9" i="10"/>
  <c r="DZ103" i="10" s="1"/>
  <c r="EF9" i="10"/>
  <c r="EH9" i="10"/>
  <c r="EL9" i="10"/>
  <c r="EL103" i="10" s="1"/>
  <c r="EQ9" i="10"/>
  <c r="H9" i="10"/>
  <c r="J9" i="10"/>
  <c r="M9" i="10"/>
  <c r="O9" i="10"/>
  <c r="O103" i="10" s="1"/>
  <c r="S9" i="10"/>
  <c r="S103" i="10" s="1"/>
  <c r="U9" i="10"/>
  <c r="U103" i="10" s="1"/>
  <c r="W9" i="10"/>
  <c r="W103" i="10" s="1"/>
  <c r="Z9" i="10"/>
  <c r="Z103" i="10" s="1"/>
  <c r="AC9" i="10"/>
  <c r="AC103" i="10" s="1"/>
  <c r="AG9" i="10"/>
  <c r="AG103" i="10" s="1"/>
  <c r="AK9" i="10"/>
  <c r="AQ9" i="10"/>
  <c r="AQ103" i="10" s="1"/>
  <c r="AS9" i="10"/>
  <c r="AS103" i="10" s="1"/>
  <c r="AV9" i="10"/>
  <c r="AV103" i="10" s="1"/>
  <c r="AZ9" i="10"/>
  <c r="AZ103" i="10" s="1"/>
  <c r="BE9" i="10"/>
  <c r="BE103" i="10" s="1"/>
  <c r="BH9" i="10"/>
  <c r="BH103" i="10" s="1"/>
  <c r="BO9" i="10"/>
  <c r="BO103" i="10" s="1"/>
  <c r="BR9" i="10"/>
  <c r="BR103" i="10" s="1"/>
  <c r="BV9" i="10"/>
  <c r="BV103" i="10" s="1"/>
  <c r="CB9" i="10"/>
  <c r="CB103" i="10" s="1"/>
  <c r="CD9" i="10"/>
  <c r="CD103" i="10" s="1"/>
  <c r="CF9" i="10"/>
  <c r="CF103" i="10" s="1"/>
  <c r="CH9" i="10"/>
  <c r="CH103" i="10" s="1"/>
  <c r="CJ9" i="10"/>
  <c r="CJ103" i="10" s="1"/>
  <c r="CN9" i="10"/>
  <c r="CN103" i="10" s="1"/>
  <c r="CS9" i="10"/>
  <c r="CS103" i="10" s="1"/>
  <c r="CU9" i="10"/>
  <c r="CU103" i="10" s="1"/>
  <c r="CY9" i="10"/>
  <c r="CY103" i="10" s="1"/>
  <c r="DB9" i="10"/>
  <c r="DB103" i="10" s="1"/>
  <c r="DF9" i="10"/>
  <c r="DF103" i="10" s="1"/>
  <c r="DI9" i="10"/>
  <c r="DI103" i="10" s="1"/>
  <c r="DP9" i="10"/>
  <c r="DP103" i="10" s="1"/>
  <c r="DU9" i="10"/>
  <c r="DU103" i="10" s="1"/>
  <c r="DX9" i="10"/>
  <c r="DX103" i="10" s="1"/>
  <c r="EE9" i="10"/>
  <c r="EJ9" i="10"/>
  <c r="EM9" i="10"/>
  <c r="EO9" i="10"/>
  <c r="ER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I119" i="10"/>
  <c r="AJ119" i="10"/>
  <c r="AK119" i="10"/>
  <c r="AL119" i="10"/>
  <c r="AM119" i="10"/>
  <c r="AN119" i="10"/>
  <c r="AO119" i="10"/>
  <c r="AP119" i="10"/>
  <c r="AQ119" i="10"/>
  <c r="AR119" i="10"/>
  <c r="AS119" i="10"/>
  <c r="AT119" i="10"/>
  <c r="AU119" i="10"/>
  <c r="AV119" i="10"/>
  <c r="AW119" i="10"/>
  <c r="AX119" i="10"/>
  <c r="AY119" i="10"/>
  <c r="AZ119" i="10"/>
  <c r="BA119" i="10"/>
  <c r="BB119" i="10"/>
  <c r="BC119" i="10"/>
  <c r="BD119" i="10"/>
  <c r="BE119" i="10"/>
  <c r="BF119" i="10"/>
  <c r="BG119" i="10"/>
  <c r="BH119" i="10"/>
  <c r="BI119" i="10"/>
  <c r="BJ119" i="10"/>
  <c r="BK119" i="10"/>
  <c r="BL119" i="10"/>
  <c r="BM119" i="10"/>
  <c r="BN119" i="10"/>
  <c r="BO119" i="10"/>
  <c r="BP119" i="10"/>
  <c r="BQ119" i="10"/>
  <c r="BR119" i="10"/>
  <c r="BS119" i="10"/>
  <c r="BT119" i="10"/>
  <c r="BU119" i="10"/>
  <c r="BV119" i="10"/>
  <c r="BW119" i="10"/>
  <c r="BX119" i="10"/>
  <c r="BY119" i="10"/>
  <c r="BZ119" i="10"/>
  <c r="CA119" i="10"/>
  <c r="CB119" i="10"/>
  <c r="CC119" i="10"/>
  <c r="CD119" i="10"/>
  <c r="CE119" i="10"/>
  <c r="CF119" i="10"/>
  <c r="CG119" i="10"/>
  <c r="CH119" i="10"/>
  <c r="CI119" i="10"/>
  <c r="CJ119" i="10"/>
  <c r="CK119" i="10"/>
  <c r="CL119" i="10"/>
  <c r="CM119" i="10"/>
  <c r="CN119" i="10"/>
  <c r="CO119" i="10"/>
  <c r="CP119" i="10"/>
  <c r="CQ119" i="10"/>
  <c r="CR119" i="10"/>
  <c r="CS119" i="10"/>
  <c r="CT119" i="10"/>
  <c r="CU119" i="10"/>
  <c r="CV119" i="10"/>
  <c r="CW119" i="10"/>
  <c r="CX119" i="10"/>
  <c r="CY119" i="10"/>
  <c r="CZ119" i="10"/>
  <c r="DA119" i="10"/>
  <c r="DB119" i="10"/>
  <c r="DC119" i="10"/>
  <c r="DD119" i="10"/>
  <c r="DE119" i="10"/>
  <c r="DF119" i="10"/>
  <c r="DG119" i="10"/>
  <c r="DH119" i="10"/>
  <c r="DI119" i="10"/>
  <c r="DJ119" i="10"/>
  <c r="DK119" i="10"/>
  <c r="DL119" i="10"/>
  <c r="DM119" i="10"/>
  <c r="DN119" i="10"/>
  <c r="DO119" i="10"/>
  <c r="DP119" i="10"/>
  <c r="DQ119" i="10"/>
  <c r="DR119" i="10"/>
  <c r="DS119" i="10"/>
  <c r="DT119" i="10"/>
  <c r="DV119" i="10"/>
  <c r="DW119" i="10"/>
  <c r="DX119" i="10"/>
  <c r="DY119" i="10"/>
  <c r="DZ119" i="10"/>
  <c r="EA119" i="10"/>
  <c r="EB119" i="10"/>
  <c r="EC119" i="10"/>
  <c r="ED119" i="10"/>
  <c r="EE119" i="10"/>
  <c r="EF119" i="10"/>
  <c r="EG119" i="10"/>
  <c r="EH119" i="10"/>
  <c r="EI119" i="10"/>
  <c r="EJ119" i="10"/>
  <c r="EK119" i="10"/>
  <c r="EL119" i="10"/>
  <c r="EM119" i="10"/>
  <c r="EN119" i="10"/>
  <c r="EO119" i="10"/>
  <c r="EP119" i="10"/>
  <c r="EQ119" i="10"/>
  <c r="ER119" i="10"/>
  <c r="ES119" i="10"/>
  <c r="K170" i="10"/>
  <c r="O170" i="10"/>
  <c r="S170" i="10"/>
  <c r="Y170" i="10"/>
  <c r="AC170" i="10"/>
  <c r="AJ170" i="10"/>
  <c r="AP170" i="10"/>
  <c r="AS170" i="10"/>
  <c r="BA170" i="10"/>
  <c r="BC170" i="10"/>
  <c r="BE170" i="10"/>
  <c r="BK170" i="10"/>
  <c r="BO170" i="10"/>
  <c r="BS170" i="10"/>
  <c r="BV170" i="10"/>
  <c r="CA170" i="10"/>
  <c r="CC170" i="10"/>
  <c r="CG170" i="10"/>
  <c r="CM170" i="10"/>
  <c r="CR170" i="10"/>
  <c r="CU170" i="10"/>
  <c r="CW170" i="10"/>
  <c r="DB170" i="10"/>
  <c r="DH170" i="10"/>
  <c r="DK170" i="10"/>
  <c r="DQ170" i="10"/>
  <c r="DS170" i="10"/>
  <c r="DV170" i="10"/>
  <c r="EA170" i="10"/>
  <c r="EG170" i="10"/>
  <c r="EL170" i="10"/>
  <c r="EP170" i="10"/>
  <c r="ES170" i="10"/>
  <c r="N172" i="10"/>
  <c r="V172" i="10"/>
  <c r="X172" i="10"/>
  <c r="AA172" i="10"/>
  <c r="AC172" i="10"/>
  <c r="AF172" i="10"/>
  <c r="AL172" i="10"/>
  <c r="AO172" i="10"/>
  <c r="AQ172" i="10"/>
  <c r="AX172" i="10"/>
  <c r="BB172" i="10"/>
  <c r="BG172" i="10"/>
  <c r="BL172" i="10"/>
  <c r="BT172" i="10"/>
  <c r="CC172" i="10"/>
  <c r="CH172" i="10"/>
  <c r="CK172" i="10"/>
  <c r="CQ172" i="10"/>
  <c r="CS172" i="10"/>
  <c r="CU172" i="10"/>
  <c r="CX172" i="10"/>
  <c r="DD172" i="10"/>
  <c r="DI172" i="10"/>
  <c r="DN172" i="10"/>
  <c r="DR172" i="10"/>
  <c r="DU172" i="10"/>
  <c r="EB172" i="10"/>
  <c r="ED172" i="10"/>
  <c r="EG172" i="10"/>
  <c r="EN172" i="10"/>
  <c r="EP172" i="10"/>
  <c r="ER172" i="10"/>
  <c r="G170" i="10"/>
  <c r="I170" i="10"/>
  <c r="N170" i="10"/>
  <c r="U170" i="10"/>
  <c r="Z170" i="10"/>
  <c r="AF170" i="10"/>
  <c r="AI170" i="10"/>
  <c r="AO170" i="10"/>
  <c r="AT170" i="10"/>
  <c r="AW170" i="10"/>
  <c r="BL170" i="10"/>
  <c r="BQ170" i="10"/>
  <c r="BY170" i="10"/>
  <c r="CI170" i="10"/>
  <c r="CJ170" i="10"/>
  <c r="CN170" i="10"/>
  <c r="CV170" i="10"/>
  <c r="CZ170" i="10"/>
  <c r="DI170" i="10"/>
  <c r="DJ170" i="10"/>
  <c r="DP170" i="10"/>
  <c r="DW170" i="10"/>
  <c r="DZ170" i="10"/>
  <c r="EE170" i="10"/>
  <c r="EH170" i="10"/>
  <c r="EK170" i="10"/>
  <c r="EQ170" i="10"/>
  <c r="L172" i="10"/>
  <c r="T172" i="10"/>
  <c r="AB172" i="10"/>
  <c r="AH172" i="10"/>
  <c r="AJ172" i="10"/>
  <c r="AR172" i="10"/>
  <c r="BA172" i="10"/>
  <c r="BD172" i="10"/>
  <c r="BH172" i="10"/>
  <c r="BO172" i="10"/>
  <c r="BS172" i="10"/>
  <c r="BY172" i="10"/>
  <c r="CE172" i="10"/>
  <c r="CP172" i="10"/>
  <c r="CW172" i="10"/>
  <c r="DA172" i="10"/>
  <c r="DF172" i="10"/>
  <c r="DH172" i="10"/>
  <c r="DM172" i="10"/>
  <c r="DQ172" i="10"/>
  <c r="DW172" i="10"/>
  <c r="EC172" i="10"/>
  <c r="EI172" i="10"/>
  <c r="EM172" i="10"/>
  <c r="ES172" i="10"/>
  <c r="H170" i="10"/>
  <c r="L170" i="10"/>
  <c r="W170" i="10"/>
  <c r="AA170" i="10"/>
  <c r="AD170" i="10"/>
  <c r="AH170" i="10"/>
  <c r="AL170" i="10"/>
  <c r="AU170" i="10"/>
  <c r="AY170" i="10"/>
  <c r="BF170" i="10"/>
  <c r="BH170" i="10"/>
  <c r="BU170" i="10"/>
  <c r="CK170" i="10"/>
  <c r="CQ170" i="10"/>
  <c r="DF170" i="10"/>
  <c r="EB170" i="10"/>
  <c r="G172" i="10"/>
  <c r="K172" i="10"/>
  <c r="M172" i="10"/>
  <c r="R172" i="10"/>
  <c r="W172" i="10"/>
  <c r="AN172" i="10"/>
  <c r="AU172" i="10"/>
  <c r="AZ172" i="10"/>
  <c r="BE172" i="10"/>
  <c r="BI172" i="10"/>
  <c r="BN172" i="10"/>
  <c r="BV172" i="10"/>
  <c r="CG172" i="10"/>
  <c r="CI172" i="10"/>
  <c r="CR172" i="10"/>
  <c r="CZ172" i="10"/>
  <c r="DC172" i="10"/>
  <c r="DS172" i="10"/>
  <c r="DZ172" i="10"/>
  <c r="EJ172" i="10"/>
  <c r="T6" i="7"/>
  <c r="T7" i="7"/>
  <c r="T8" i="7"/>
  <c r="T9" i="7"/>
  <c r="T10" i="7"/>
  <c r="T11" i="7"/>
  <c r="T12" i="7"/>
  <c r="T13" i="7"/>
  <c r="T14" i="7"/>
  <c r="T15" i="7"/>
  <c r="T16" i="7"/>
  <c r="T17" i="7"/>
  <c r="T18" i="7"/>
  <c r="T19" i="7"/>
  <c r="T20" i="7"/>
  <c r="T21" i="7"/>
  <c r="T22" i="7"/>
  <c r="T23" i="7"/>
  <c r="T24" i="7"/>
  <c r="T25" i="7"/>
  <c r="C22" i="2"/>
  <c r="M170" i="10"/>
  <c r="P170" i="10"/>
  <c r="R170" i="10"/>
  <c r="V170" i="10"/>
  <c r="AB170" i="10"/>
  <c r="AK170" i="10"/>
  <c r="AN170" i="10"/>
  <c r="AR170" i="10"/>
  <c r="AX170" i="10"/>
  <c r="BB170" i="10"/>
  <c r="BG170" i="10"/>
  <c r="BI170" i="10"/>
  <c r="BN170" i="10"/>
  <c r="BT170" i="10"/>
  <c r="BX170" i="10"/>
  <c r="BZ170" i="10"/>
  <c r="CD170" i="10"/>
  <c r="CH170" i="10"/>
  <c r="CT170" i="10"/>
  <c r="DA170" i="10"/>
  <c r="DD170" i="10"/>
  <c r="DG170" i="10"/>
  <c r="DL170" i="10"/>
  <c r="DN170" i="10"/>
  <c r="DY170" i="10"/>
  <c r="ED170" i="10"/>
  <c r="EI170" i="10"/>
  <c r="EM170" i="10"/>
  <c r="EO170" i="10"/>
  <c r="H172" i="10"/>
  <c r="P172" i="10"/>
  <c r="U172" i="10"/>
  <c r="Y172" i="10"/>
  <c r="AG172" i="10"/>
  <c r="AK172" i="10"/>
  <c r="AP172" i="10"/>
  <c r="AT172" i="10"/>
  <c r="AV172" i="10"/>
  <c r="BC172" i="10"/>
  <c r="BK172" i="10"/>
  <c r="BP172" i="10"/>
  <c r="BR172" i="10"/>
  <c r="BX172" i="10"/>
  <c r="CA172" i="10"/>
  <c r="CF172" i="10"/>
  <c r="CJ172" i="10"/>
  <c r="CM172" i="10"/>
  <c r="CO172" i="10"/>
  <c r="CV172" i="10"/>
  <c r="DB172" i="10"/>
  <c r="DE172" i="10"/>
  <c r="DK172" i="10"/>
  <c r="DV172" i="10"/>
  <c r="EE172" i="10"/>
  <c r="EH172" i="10"/>
  <c r="EO172" i="10"/>
  <c r="F170" i="10"/>
  <c r="J170" i="10"/>
  <c r="Q170" i="10"/>
  <c r="X170" i="10"/>
  <c r="AE170" i="10"/>
  <c r="AQ170" i="10"/>
  <c r="BJ170" i="10"/>
  <c r="BP170" i="10"/>
  <c r="BW170" i="10"/>
  <c r="CB170" i="10"/>
  <c r="CF170" i="10"/>
  <c r="CO170" i="10"/>
  <c r="CS170" i="10"/>
  <c r="CX170" i="10"/>
  <c r="DC170" i="10"/>
  <c r="DM170" i="10"/>
  <c r="DO170" i="10"/>
  <c r="DU170" i="10"/>
  <c r="DX170" i="10"/>
  <c r="EF170" i="10"/>
  <c r="EJ170" i="10"/>
  <c r="EN170" i="10"/>
  <c r="ER170" i="10"/>
  <c r="I172" i="10"/>
  <c r="O172" i="10"/>
  <c r="S172" i="10"/>
  <c r="Z172" i="10"/>
  <c r="AD172" i="10"/>
  <c r="AM172" i="10"/>
  <c r="AW172" i="10"/>
  <c r="BF172" i="10"/>
  <c r="BQ172" i="10"/>
  <c r="BU172" i="10"/>
  <c r="BZ172" i="10"/>
  <c r="CD172" i="10"/>
  <c r="CN172" i="10"/>
  <c r="DG172" i="10"/>
  <c r="DJ172" i="10"/>
  <c r="DO172" i="10"/>
  <c r="DY172" i="10"/>
  <c r="EF172" i="10"/>
  <c r="EK172" i="10"/>
  <c r="EQ172" i="10"/>
  <c r="T170" i="10"/>
  <c r="AG170" i="10"/>
  <c r="AM170" i="10"/>
  <c r="AV170" i="10"/>
  <c r="AZ170" i="10"/>
  <c r="BD170" i="10"/>
  <c r="BM170" i="10"/>
  <c r="BR170" i="10"/>
  <c r="CE170" i="10"/>
  <c r="CL170" i="10"/>
  <c r="CP170" i="10"/>
  <c r="CY170" i="10"/>
  <c r="DE170" i="10"/>
  <c r="DR170" i="10"/>
  <c r="DT170" i="10"/>
  <c r="EC170" i="10"/>
  <c r="F172" i="10"/>
  <c r="J172" i="10"/>
  <c r="Q172" i="10"/>
  <c r="AE172" i="10"/>
  <c r="AI172" i="10"/>
  <c r="AS172" i="10"/>
  <c r="AY172" i="10"/>
  <c r="BJ172" i="10"/>
  <c r="BM172" i="10"/>
  <c r="BW172" i="10"/>
  <c r="CB172" i="10"/>
  <c r="CL172" i="10"/>
  <c r="CT172" i="10"/>
  <c r="CY172" i="10"/>
  <c r="DL172" i="10"/>
  <c r="DP172" i="10"/>
  <c r="DT172" i="10"/>
  <c r="DX172" i="10"/>
  <c r="EA172" i="10"/>
  <c r="EL172" i="10"/>
  <c r="F25" i="3"/>
  <c r="C24" i="2"/>
  <c r="C20" i="13"/>
  <c r="N93" i="5"/>
  <c r="F35" i="3"/>
  <c r="CZ16" i="10"/>
  <c r="CQ14" i="10"/>
  <c r="CO14" i="10"/>
  <c r="CM14" i="10"/>
  <c r="CJ14" i="10"/>
  <c r="CH14" i="10"/>
  <c r="CF14" i="10"/>
  <c r="CB14" i="10"/>
  <c r="BY14" i="10"/>
  <c r="BT14" i="10"/>
  <c r="BQ14" i="10"/>
  <c r="BK14" i="10"/>
  <c r="BH14" i="10"/>
  <c r="BF14" i="10"/>
  <c r="BB14" i="10"/>
  <c r="DU16" i="10"/>
  <c r="AT14" i="10"/>
  <c r="AD16" i="10"/>
  <c r="AO14" i="10"/>
  <c r="AL14" i="10"/>
  <c r="AG14" i="10"/>
  <c r="AC14" i="10"/>
  <c r="V14" i="10"/>
  <c r="R14" i="10"/>
  <c r="M14" i="10"/>
  <c r="K14" i="10"/>
  <c r="G14" i="10"/>
  <c r="DT16" i="10"/>
  <c r="DR16" i="10"/>
  <c r="DQ16" i="10"/>
  <c r="AZ14" i="10"/>
  <c r="O16" i="10"/>
  <c r="DW16" i="10"/>
  <c r="CX16" i="10"/>
  <c r="CV16" i="10"/>
  <c r="CT16" i="10"/>
  <c r="CR16" i="10"/>
  <c r="CP16" i="10"/>
  <c r="CN16" i="10"/>
  <c r="CL16" i="10"/>
  <c r="CJ16" i="10"/>
  <c r="CH16" i="10"/>
  <c r="CE16" i="10"/>
  <c r="CB16" i="10"/>
  <c r="BZ16" i="10"/>
  <c r="BX16" i="10"/>
  <c r="BV16" i="10"/>
  <c r="BU16" i="10"/>
  <c r="BS16" i="10"/>
  <c r="BQ16" i="10"/>
  <c r="BO16" i="10"/>
  <c r="BL16" i="10"/>
  <c r="BJ16" i="10"/>
  <c r="BH16" i="10"/>
  <c r="BF16" i="10"/>
  <c r="BD16" i="10"/>
  <c r="BB16" i="10"/>
  <c r="AZ16" i="10"/>
  <c r="AX16" i="10"/>
  <c r="AV16" i="10"/>
  <c r="AT16" i="10"/>
  <c r="AR16" i="10"/>
  <c r="AP16" i="10"/>
  <c r="AN16" i="10"/>
  <c r="AL16" i="10"/>
  <c r="AJ16" i="10"/>
  <c r="AH16" i="10"/>
  <c r="AF16" i="10"/>
  <c r="CW14" i="10"/>
  <c r="AC16" i="10"/>
  <c r="AA16" i="10"/>
  <c r="Y16" i="10"/>
  <c r="W16" i="10"/>
  <c r="U16" i="10"/>
  <c r="S16" i="10"/>
  <c r="Q16" i="10"/>
  <c r="AW14" i="10"/>
  <c r="M16" i="10"/>
  <c r="L16" i="10"/>
  <c r="J16" i="10"/>
  <c r="H16" i="10"/>
  <c r="F16" i="10"/>
  <c r="ES14" i="10"/>
  <c r="ER14" i="10"/>
  <c r="EP14" i="10"/>
  <c r="EM14" i="10"/>
  <c r="EK14" i="10"/>
  <c r="EI14" i="10"/>
  <c r="EG14" i="10"/>
  <c r="EE14" i="10"/>
  <c r="EB14" i="10"/>
  <c r="DZ14" i="10"/>
  <c r="DX14" i="10"/>
  <c r="DV14" i="10"/>
  <c r="DT14" i="10"/>
  <c r="DQ14" i="10"/>
  <c r="DN14" i="10"/>
  <c r="DL14" i="10"/>
  <c r="DI14" i="10"/>
  <c r="DG14" i="10"/>
  <c r="DE14" i="10"/>
  <c r="DC14" i="10"/>
  <c r="DA14" i="10"/>
  <c r="CY14" i="10"/>
  <c r="CU14" i="10"/>
  <c r="CS14" i="10"/>
  <c r="U24" i="7"/>
  <c r="U23" i="7"/>
  <c r="U22" i="7"/>
  <c r="U21" i="7"/>
  <c r="U20" i="7"/>
  <c r="U19" i="7"/>
  <c r="U18" i="7"/>
  <c r="U17" i="7"/>
  <c r="U16" i="7"/>
  <c r="U15" i="7"/>
  <c r="U14" i="7"/>
  <c r="U13" i="7"/>
  <c r="U12" i="7"/>
  <c r="U11" i="7"/>
  <c r="U10" i="7"/>
  <c r="U9" i="7"/>
  <c r="U7" i="7"/>
  <c r="U6" i="7"/>
  <c r="U25" i="7"/>
  <c r="U8" i="7"/>
  <c r="EC174" i="10"/>
  <c r="EC175" i="10" s="1"/>
  <c r="DS174" i="10"/>
  <c r="DS175" i="10" s="1"/>
  <c r="DO174" i="10"/>
  <c r="DO175" i="10" s="1"/>
  <c r="DJ174" i="10"/>
  <c r="DJ175" i="10" s="1"/>
  <c r="DH174" i="10"/>
  <c r="DH175" i="10" s="1"/>
  <c r="CH174" i="10"/>
  <c r="CH175" i="10" s="1"/>
  <c r="CB174" i="10"/>
  <c r="CB175" i="10" s="1"/>
  <c r="BY174" i="10"/>
  <c r="BY175" i="10" s="1"/>
  <c r="BT174" i="10"/>
  <c r="BT175" i="10" s="1"/>
  <c r="EQ174" i="10"/>
  <c r="EQ175" i="10" s="1"/>
  <c r="BP174" i="10"/>
  <c r="BP175" i="10" s="1"/>
  <c r="EG174" i="10"/>
  <c r="EG175" i="10" s="1"/>
  <c r="BA15" i="10" l="1"/>
  <c r="BA17" i="10"/>
  <c r="AV15" i="10"/>
  <c r="AV17" i="10"/>
  <c r="BI15" i="10"/>
  <c r="BI17" i="10"/>
  <c r="BD17" i="10"/>
  <c r="BD15" i="10"/>
  <c r="BU15" i="10"/>
  <c r="BU17" i="10"/>
  <c r="BL17" i="10"/>
  <c r="BL15" i="10"/>
  <c r="BZ15" i="10"/>
  <c r="BZ17" i="10"/>
  <c r="O26" i="7"/>
  <c r="C14" i="13"/>
  <c r="E14" i="13" s="1"/>
  <c r="ER299" i="10"/>
  <c r="EM299" i="10"/>
  <c r="EH299" i="10"/>
  <c r="ED299" i="10"/>
  <c r="DY299" i="10"/>
  <c r="EF299" i="10"/>
  <c r="EB299" i="10"/>
  <c r="DW299" i="10"/>
  <c r="EC299" i="10"/>
  <c r="EQ299" i="10"/>
  <c r="EL299" i="10"/>
  <c r="EG299" i="10"/>
  <c r="EA299" i="10"/>
  <c r="DV299" i="10"/>
  <c r="ES299" i="10"/>
  <c r="EN299" i="10"/>
  <c r="EI299" i="10"/>
  <c r="DX299" i="10"/>
  <c r="F103" i="10"/>
  <c r="F294" i="10"/>
  <c r="F273" i="10"/>
  <c r="F296" i="10"/>
  <c r="L294" i="10"/>
  <c r="L273" i="10"/>
  <c r="P273" i="10"/>
  <c r="P294" i="10"/>
  <c r="R294" i="10"/>
  <c r="R273" i="10"/>
  <c r="AA273" i="10"/>
  <c r="AA294" i="10"/>
  <c r="AE294" i="10"/>
  <c r="AE273" i="10"/>
  <c r="AM294" i="10"/>
  <c r="AM273" i="10"/>
  <c r="AR273" i="10"/>
  <c r="AR294" i="10"/>
  <c r="AW273" i="10"/>
  <c r="AW294" i="10"/>
  <c r="AY273" i="10"/>
  <c r="AY294" i="10"/>
  <c r="BB294" i="10"/>
  <c r="BB273" i="10"/>
  <c r="BG273" i="10"/>
  <c r="BG294" i="10"/>
  <c r="BJ294" i="10"/>
  <c r="BJ273" i="10"/>
  <c r="BP294" i="10"/>
  <c r="BP273" i="10"/>
  <c r="BS273" i="10"/>
  <c r="BS294" i="10"/>
  <c r="BW273" i="10"/>
  <c r="BW294" i="10"/>
  <c r="BY294" i="10"/>
  <c r="BY273" i="10"/>
  <c r="CA273" i="10"/>
  <c r="CA294" i="10"/>
  <c r="CG294" i="10"/>
  <c r="CG273" i="10"/>
  <c r="CK273" i="10"/>
  <c r="CK294" i="10"/>
  <c r="CP294" i="10"/>
  <c r="CP273" i="10"/>
  <c r="CX273" i="10"/>
  <c r="CX294" i="10"/>
  <c r="DA294" i="10"/>
  <c r="DA273" i="10"/>
  <c r="DG273" i="10"/>
  <c r="DG294" i="10"/>
  <c r="DJ294" i="10"/>
  <c r="DJ273" i="10"/>
  <c r="DL294" i="10"/>
  <c r="DL273" i="10"/>
  <c r="DO273" i="10"/>
  <c r="DO294" i="10"/>
  <c r="DS273" i="10"/>
  <c r="DS294" i="10"/>
  <c r="EA273" i="10"/>
  <c r="EA294" i="10"/>
  <c r="EC294" i="10"/>
  <c r="EC273" i="10"/>
  <c r="EC103" i="10"/>
  <c r="EI273" i="10"/>
  <c r="EI103" i="10"/>
  <c r="EI294" i="10"/>
  <c r="EN103" i="10"/>
  <c r="EN273" i="10"/>
  <c r="EN294" i="10"/>
  <c r="I103" i="10"/>
  <c r="I294" i="10"/>
  <c r="I273" i="10"/>
  <c r="Q273" i="10"/>
  <c r="Q294" i="10"/>
  <c r="X273" i="10"/>
  <c r="X294" i="10"/>
  <c r="AD294" i="10"/>
  <c r="X27" i="11" s="1"/>
  <c r="AD273" i="10"/>
  <c r="AL273" i="10"/>
  <c r="AL294" i="10"/>
  <c r="AN273" i="10"/>
  <c r="AN294" i="10"/>
  <c r="BD294" i="10"/>
  <c r="BD273" i="10"/>
  <c r="BF294" i="10"/>
  <c r="BF273" i="10"/>
  <c r="BK294" i="10"/>
  <c r="BK273" i="10"/>
  <c r="BM273" i="10"/>
  <c r="BM294" i="10"/>
  <c r="BT273" i="10"/>
  <c r="BT294" i="10"/>
  <c r="BU273" i="10"/>
  <c r="BU294" i="10"/>
  <c r="BX294" i="10"/>
  <c r="BX273" i="10"/>
  <c r="CE294" i="10"/>
  <c r="CE273" i="10"/>
  <c r="CI294" i="10"/>
  <c r="CI273" i="10"/>
  <c r="CM273" i="10"/>
  <c r="CM294" i="10"/>
  <c r="CO273" i="10"/>
  <c r="CO294" i="10"/>
  <c r="CR294" i="10"/>
  <c r="CR273" i="10"/>
  <c r="DD273" i="10"/>
  <c r="DD294" i="10"/>
  <c r="DH294" i="10"/>
  <c r="DH273" i="10"/>
  <c r="DN294" i="10"/>
  <c r="DN273" i="10"/>
  <c r="DR273" i="10"/>
  <c r="DR294" i="10"/>
  <c r="DV294" i="10"/>
  <c r="DV273" i="10"/>
  <c r="DZ294" i="10"/>
  <c r="DZ299" i="10"/>
  <c r="DZ273" i="10"/>
  <c r="EF103" i="10"/>
  <c r="EF294" i="10"/>
  <c r="EF273" i="10"/>
  <c r="EH294" i="10"/>
  <c r="EH273" i="10"/>
  <c r="EH103" i="10"/>
  <c r="EQ103" i="10"/>
  <c r="EQ294" i="10"/>
  <c r="EQ273" i="10"/>
  <c r="H103" i="10"/>
  <c r="H294" i="10"/>
  <c r="H273" i="10"/>
  <c r="J103" i="10"/>
  <c r="J273" i="10"/>
  <c r="J24" i="11" s="1"/>
  <c r="J294" i="10"/>
  <c r="J27" i="11" s="1"/>
  <c r="M103" i="10"/>
  <c r="M294" i="10"/>
  <c r="M273" i="10"/>
  <c r="S294" i="10"/>
  <c r="S273" i="10"/>
  <c r="U273" i="10"/>
  <c r="U24" i="11" s="1"/>
  <c r="U294" i="10"/>
  <c r="W273" i="10"/>
  <c r="W294" i="10"/>
  <c r="Z294" i="10"/>
  <c r="Z273" i="10"/>
  <c r="AG294" i="10"/>
  <c r="AG273" i="10"/>
  <c r="AK103" i="10"/>
  <c r="AK273" i="10"/>
  <c r="AK294" i="10"/>
  <c r="AQ273" i="10"/>
  <c r="AQ294" i="10"/>
  <c r="AS273" i="10"/>
  <c r="AS294" i="10"/>
  <c r="AV273" i="10"/>
  <c r="AV294" i="10"/>
  <c r="BE294" i="10"/>
  <c r="BE273" i="10"/>
  <c r="BH273" i="10"/>
  <c r="BH294" i="10"/>
  <c r="BO273" i="10"/>
  <c r="BO294" i="10"/>
  <c r="CB294" i="10"/>
  <c r="CB273" i="10"/>
  <c r="CD273" i="10"/>
  <c r="CD294" i="10"/>
  <c r="CF294" i="10"/>
  <c r="CF273" i="10"/>
  <c r="CH273" i="10"/>
  <c r="CH294" i="10"/>
  <c r="CJ273" i="10"/>
  <c r="CJ294" i="10"/>
  <c r="CS273" i="10"/>
  <c r="CS294" i="10"/>
  <c r="CU273" i="10"/>
  <c r="CU294" i="10"/>
  <c r="DB294" i="10"/>
  <c r="DB273" i="10"/>
  <c r="DF273" i="10"/>
  <c r="DF294" i="10"/>
  <c r="DP273" i="10"/>
  <c r="DP294" i="10"/>
  <c r="DU294" i="10"/>
  <c r="DU273" i="10"/>
  <c r="DX294" i="10"/>
  <c r="DX273" i="10"/>
  <c r="EE294" i="10"/>
  <c r="EE299" i="10"/>
  <c r="EE103" i="10"/>
  <c r="EE273" i="10"/>
  <c r="EJ273" i="10"/>
  <c r="EJ294" i="10"/>
  <c r="EJ103" i="10"/>
  <c r="EJ299" i="10"/>
  <c r="EM294" i="10"/>
  <c r="EM273" i="10"/>
  <c r="EM103" i="10"/>
  <c r="EO273" i="10"/>
  <c r="EO299" i="10"/>
  <c r="EO103" i="10"/>
  <c r="EO294" i="10"/>
  <c r="ER273" i="10"/>
  <c r="ER294" i="10"/>
  <c r="ER103" i="10"/>
  <c r="AQ17" i="10"/>
  <c r="AQ15" i="10"/>
  <c r="AN15" i="10"/>
  <c r="AN17" i="10"/>
  <c r="AM17" i="10"/>
  <c r="AM15" i="10"/>
  <c r="BQ273" i="10"/>
  <c r="BQ294" i="10"/>
  <c r="BQ103" i="10"/>
  <c r="CL273" i="10"/>
  <c r="CL294" i="10"/>
  <c r="CL103" i="10"/>
  <c r="CZ273" i="10"/>
  <c r="CZ294" i="10"/>
  <c r="CZ103" i="10"/>
  <c r="DE273" i="10"/>
  <c r="DE294" i="10"/>
  <c r="DE103" i="10"/>
  <c r="DT273" i="10"/>
  <c r="DT294" i="10"/>
  <c r="DW273" i="10"/>
  <c r="DW294" i="10"/>
  <c r="DY294" i="10"/>
  <c r="DY273" i="10"/>
  <c r="EB294" i="10"/>
  <c r="EB273" i="10"/>
  <c r="ED273" i="10"/>
  <c r="ED294" i="10"/>
  <c r="EG294" i="10"/>
  <c r="EG273" i="10"/>
  <c r="ES294" i="10"/>
  <c r="ES273" i="10"/>
  <c r="DC294" i="10"/>
  <c r="DC273" i="10"/>
  <c r="CV273" i="10"/>
  <c r="CV294" i="10"/>
  <c r="DK294" i="10"/>
  <c r="DK273" i="10"/>
  <c r="CN294" i="10"/>
  <c r="CN273" i="10"/>
  <c r="CY294" i="10"/>
  <c r="CY273" i="10"/>
  <c r="DI294" i="10"/>
  <c r="DI273" i="10"/>
  <c r="E16" i="10"/>
  <c r="AJ17" i="10"/>
  <c r="AJ15" i="10"/>
  <c r="AI15" i="10"/>
  <c r="AI17" i="10"/>
  <c r="AF15" i="10"/>
  <c r="AF17" i="10"/>
  <c r="Z15" i="10"/>
  <c r="Z17" i="10"/>
  <c r="F15" i="10"/>
  <c r="F17" i="10"/>
  <c r="J17" i="10"/>
  <c r="J15" i="10"/>
  <c r="O15" i="10"/>
  <c r="O17" i="10"/>
  <c r="Q15" i="10"/>
  <c r="Q17" i="10"/>
  <c r="S17" i="10"/>
  <c r="S15" i="10"/>
  <c r="X15" i="10"/>
  <c r="X17" i="10"/>
  <c r="AB15" i="10"/>
  <c r="AB17" i="10"/>
  <c r="AB77" i="10" s="1"/>
  <c r="AB78" i="10" s="1"/>
  <c r="H17" i="10"/>
  <c r="H15" i="10"/>
  <c r="P17" i="10"/>
  <c r="P15" i="10"/>
  <c r="T17" i="10"/>
  <c r="T15" i="10"/>
  <c r="W17" i="10"/>
  <c r="W15" i="10"/>
  <c r="Y15" i="10"/>
  <c r="Y17" i="10"/>
  <c r="AA17" i="10"/>
  <c r="AA15" i="10"/>
  <c r="AD15" i="10"/>
  <c r="AD17" i="10"/>
  <c r="AX15" i="10"/>
  <c r="AX17" i="10"/>
  <c r="BC17" i="10"/>
  <c r="BC15" i="10"/>
  <c r="BJ15" i="10"/>
  <c r="BJ17" i="10"/>
  <c r="BM15" i="10"/>
  <c r="BM17" i="10"/>
  <c r="BO17" i="10"/>
  <c r="BO15" i="10"/>
  <c r="BR17" i="10"/>
  <c r="BR15" i="10"/>
  <c r="BV17" i="10"/>
  <c r="BV15" i="10"/>
  <c r="BX15" i="10"/>
  <c r="BX17" i="10"/>
  <c r="CA17" i="10"/>
  <c r="CA15" i="10"/>
  <c r="CC15" i="10"/>
  <c r="CC17" i="10"/>
  <c r="CE17" i="10"/>
  <c r="CE15" i="10"/>
  <c r="CG15" i="10"/>
  <c r="CG17" i="10"/>
  <c r="CI17" i="10"/>
  <c r="CI15" i="10"/>
  <c r="CL15" i="10"/>
  <c r="CL17" i="10"/>
  <c r="CN17" i="10"/>
  <c r="CN15" i="10"/>
  <c r="CP17" i="10"/>
  <c r="CP15" i="10"/>
  <c r="CR15" i="10"/>
  <c r="CR17" i="10"/>
  <c r="CT17" i="10"/>
  <c r="CT15" i="10"/>
  <c r="CV15" i="10"/>
  <c r="CV17" i="10"/>
  <c r="CX17" i="10"/>
  <c r="CX15" i="10"/>
  <c r="CZ15" i="10"/>
  <c r="CZ17" i="10"/>
  <c r="DB17" i="10"/>
  <c r="DB15" i="10"/>
  <c r="DD17" i="10"/>
  <c r="DD15" i="10"/>
  <c r="DF15" i="10"/>
  <c r="DF17" i="10"/>
  <c r="DH15" i="10"/>
  <c r="DH17" i="10"/>
  <c r="DJ15" i="10"/>
  <c r="DJ17" i="10"/>
  <c r="DK15" i="10"/>
  <c r="DK17" i="10"/>
  <c r="DM15" i="10"/>
  <c r="DM17" i="10"/>
  <c r="DO17" i="10"/>
  <c r="DO15" i="10"/>
  <c r="DP15" i="10"/>
  <c r="DP17" i="10"/>
  <c r="DR15" i="10"/>
  <c r="DR17" i="10"/>
  <c r="DS17" i="10"/>
  <c r="DS15" i="10"/>
  <c r="DU15" i="10"/>
  <c r="DU17" i="10"/>
  <c r="DW15" i="10"/>
  <c r="DW17" i="10"/>
  <c r="DY15" i="10"/>
  <c r="DY17" i="10"/>
  <c r="EA17" i="10"/>
  <c r="EA15" i="10"/>
  <c r="EC17" i="10"/>
  <c r="EC15" i="10"/>
  <c r="ED15" i="10"/>
  <c r="ED17" i="10"/>
  <c r="EF15" i="10"/>
  <c r="EF17" i="10"/>
  <c r="EH15" i="10"/>
  <c r="EH17" i="10"/>
  <c r="EJ15" i="10"/>
  <c r="EJ17" i="10"/>
  <c r="EL15" i="10"/>
  <c r="EL17" i="10"/>
  <c r="EN17" i="10"/>
  <c r="EN15" i="10"/>
  <c r="EO15" i="10"/>
  <c r="EO17" i="10"/>
  <c r="EQ17" i="10"/>
  <c r="EQ15" i="10"/>
  <c r="AE15" i="10"/>
  <c r="AE17" i="10"/>
  <c r="AH15" i="10"/>
  <c r="AH17" i="10"/>
  <c r="AK17" i="10"/>
  <c r="AK15" i="10"/>
  <c r="AP15" i="10"/>
  <c r="AP17" i="10"/>
  <c r="AR15" i="10"/>
  <c r="AR17" i="10"/>
  <c r="AS15" i="10"/>
  <c r="AS17" i="10"/>
  <c r="AU15" i="10"/>
  <c r="AU17" i="10"/>
  <c r="AY17" i="10"/>
  <c r="AY15" i="10"/>
  <c r="BE15" i="10"/>
  <c r="BE17" i="10"/>
  <c r="BG15" i="10"/>
  <c r="BG17" i="10"/>
  <c r="BN15" i="10"/>
  <c r="BN17" i="10"/>
  <c r="BP15" i="10"/>
  <c r="BP17" i="10"/>
  <c r="BS15" i="10"/>
  <c r="BS17" i="10"/>
  <c r="BW15" i="10"/>
  <c r="BW21" i="10" s="1"/>
  <c r="BW17" i="10"/>
  <c r="CD15" i="10"/>
  <c r="CD17" i="10"/>
  <c r="CK17" i="10"/>
  <c r="CK15" i="10"/>
  <c r="U15" i="10"/>
  <c r="U17" i="10"/>
  <c r="N15" i="10"/>
  <c r="N17" i="10"/>
  <c r="L15" i="10"/>
  <c r="L17" i="10"/>
  <c r="I15" i="10"/>
  <c r="I17" i="10"/>
  <c r="Y273" i="10"/>
  <c r="Y294" i="10"/>
  <c r="G273" i="10"/>
  <c r="G294" i="10"/>
  <c r="G103" i="10"/>
  <c r="K294" i="10"/>
  <c r="K273" i="10"/>
  <c r="T273" i="10"/>
  <c r="T294" i="10"/>
  <c r="EL273" i="10"/>
  <c r="EL294" i="10"/>
  <c r="O273" i="10"/>
  <c r="O294" i="10"/>
  <c r="AC294" i="10"/>
  <c r="AC273" i="10"/>
  <c r="N308" i="10"/>
  <c r="N152" i="10"/>
  <c r="N127" i="10"/>
  <c r="N129" i="10"/>
  <c r="N131" i="10"/>
  <c r="N133" i="10"/>
  <c r="N138" i="10"/>
  <c r="N279" i="10"/>
  <c r="N283" i="10"/>
  <c r="N285" i="10"/>
  <c r="N287" i="10"/>
  <c r="N289" i="10"/>
  <c r="N117" i="10"/>
  <c r="N123" i="10"/>
  <c r="N136" i="10" s="1"/>
  <c r="V308" i="10"/>
  <c r="V152" i="10"/>
  <c r="V127" i="10"/>
  <c r="V129" i="10"/>
  <c r="V131" i="10"/>
  <c r="V133" i="10"/>
  <c r="V138" i="10"/>
  <c r="V279" i="10"/>
  <c r="V283" i="10"/>
  <c r="V285" i="10"/>
  <c r="V287" i="10"/>
  <c r="V289" i="10"/>
  <c r="V117" i="10"/>
  <c r="V123" i="10"/>
  <c r="AB308" i="10"/>
  <c r="AB152" i="10"/>
  <c r="AB127" i="10"/>
  <c r="AB129" i="10"/>
  <c r="AB131" i="10"/>
  <c r="AB133" i="10"/>
  <c r="AB138" i="10"/>
  <c r="AB279" i="10"/>
  <c r="AB283" i="10"/>
  <c r="AB285" i="10"/>
  <c r="AB287" i="10"/>
  <c r="AB289" i="10"/>
  <c r="AB117" i="10"/>
  <c r="AB123" i="10"/>
  <c r="AF152" i="10"/>
  <c r="AF308" i="10"/>
  <c r="AF127" i="10"/>
  <c r="AF129" i="10"/>
  <c r="AF131" i="10"/>
  <c r="AF133" i="10"/>
  <c r="AF138" i="10"/>
  <c r="AF279" i="10"/>
  <c r="AF283" i="10"/>
  <c r="AF287" i="10"/>
  <c r="AF289" i="10"/>
  <c r="AF117" i="10"/>
  <c r="AF123" i="10"/>
  <c r="AI308" i="10"/>
  <c r="AI152" i="10"/>
  <c r="AI127" i="10"/>
  <c r="AI129" i="10"/>
  <c r="AI131" i="10"/>
  <c r="AI133" i="10"/>
  <c r="AI138" i="10"/>
  <c r="AI279" i="10"/>
  <c r="AI283" i="10"/>
  <c r="AI287" i="10"/>
  <c r="AI289" i="10"/>
  <c r="AI117" i="10"/>
  <c r="AI123" i="10"/>
  <c r="AP308" i="10"/>
  <c r="AP152" i="10"/>
  <c r="AP127" i="10"/>
  <c r="AP129" i="10"/>
  <c r="AP131" i="10"/>
  <c r="AP133" i="10"/>
  <c r="AP138" i="10"/>
  <c r="AP279" i="10"/>
  <c r="AP283" i="10"/>
  <c r="AP285" i="10"/>
  <c r="AP287" i="10"/>
  <c r="AP289" i="10"/>
  <c r="AP117" i="10"/>
  <c r="AP123" i="10"/>
  <c r="AT152" i="10"/>
  <c r="AT308" i="10"/>
  <c r="AT127" i="10"/>
  <c r="AT129" i="10"/>
  <c r="AT131" i="10"/>
  <c r="AT133" i="10"/>
  <c r="AT138" i="10"/>
  <c r="AT279" i="10"/>
  <c r="AT283" i="10"/>
  <c r="AT285" i="10"/>
  <c r="AT287" i="10"/>
  <c r="AT289" i="10"/>
  <c r="AT117" i="10"/>
  <c r="AT123" i="10"/>
  <c r="BA152" i="10"/>
  <c r="BA308" i="10"/>
  <c r="BA127" i="10"/>
  <c r="BA129" i="10"/>
  <c r="BA131" i="10"/>
  <c r="BA133" i="10"/>
  <c r="BA138" i="10"/>
  <c r="BA279" i="10"/>
  <c r="BA283" i="10"/>
  <c r="BA285" i="10"/>
  <c r="BA287" i="10"/>
  <c r="BA289" i="10"/>
  <c r="BA117" i="10"/>
  <c r="BA123" i="10"/>
  <c r="BC152" i="10"/>
  <c r="BC308" i="10"/>
  <c r="BC127" i="10"/>
  <c r="BC129" i="10"/>
  <c r="BC131" i="10"/>
  <c r="BC133" i="10"/>
  <c r="BC138" i="10"/>
  <c r="BC279" i="10"/>
  <c r="BC283" i="10"/>
  <c r="BC285" i="10"/>
  <c r="BC287" i="10"/>
  <c r="BC289" i="10"/>
  <c r="BC117" i="10"/>
  <c r="BC123" i="10"/>
  <c r="BC136" i="10" s="1"/>
  <c r="BI152" i="10"/>
  <c r="BI308" i="10"/>
  <c r="BI127" i="10"/>
  <c r="BI129" i="10"/>
  <c r="BI131" i="10"/>
  <c r="BI133" i="10"/>
  <c r="BI138" i="10"/>
  <c r="BI279" i="10"/>
  <c r="BI283" i="10"/>
  <c r="BI285" i="10"/>
  <c r="BI287" i="10"/>
  <c r="BI289" i="10"/>
  <c r="BI117" i="10"/>
  <c r="BI123" i="10"/>
  <c r="BI136" i="10" s="1"/>
  <c r="BL152" i="10"/>
  <c r="BL308" i="10"/>
  <c r="BL127" i="10"/>
  <c r="BL129" i="10"/>
  <c r="BL131" i="10"/>
  <c r="BL133" i="10"/>
  <c r="BL138" i="10"/>
  <c r="BL279" i="10"/>
  <c r="BL283" i="10"/>
  <c r="BL285" i="10"/>
  <c r="BL287" i="10"/>
  <c r="BL289" i="10"/>
  <c r="BL117" i="10"/>
  <c r="BL123" i="10"/>
  <c r="BL136" i="10" s="1"/>
  <c r="BN308" i="10"/>
  <c r="BN152" i="10"/>
  <c r="BN127" i="10"/>
  <c r="BN129" i="10"/>
  <c r="BN131" i="10"/>
  <c r="BN133" i="10"/>
  <c r="BN138" i="10"/>
  <c r="BN279" i="10"/>
  <c r="BN283" i="10"/>
  <c r="BN285" i="10"/>
  <c r="BN287" i="10"/>
  <c r="BN289" i="10"/>
  <c r="BN117" i="10"/>
  <c r="BN123" i="10"/>
  <c r="BN136" i="10" s="1"/>
  <c r="BN125" i="10"/>
  <c r="BQ127" i="10"/>
  <c r="BQ129" i="10"/>
  <c r="BQ131" i="10"/>
  <c r="BQ133" i="10"/>
  <c r="BQ138" i="10"/>
  <c r="BQ279" i="10"/>
  <c r="BQ283" i="10"/>
  <c r="BQ285" i="10"/>
  <c r="BQ287" i="10"/>
  <c r="BQ289" i="10"/>
  <c r="BQ117" i="10"/>
  <c r="BQ123" i="10"/>
  <c r="BQ125" i="10"/>
  <c r="CL152" i="10"/>
  <c r="CL308" i="10"/>
  <c r="CL127" i="10"/>
  <c r="CL129" i="10"/>
  <c r="CL131" i="10"/>
  <c r="CL133" i="10"/>
  <c r="CL138" i="10"/>
  <c r="CL279" i="10"/>
  <c r="CL283" i="10"/>
  <c r="CL285" i="10"/>
  <c r="CL287" i="10"/>
  <c r="CL289" i="10"/>
  <c r="CL117" i="10"/>
  <c r="CL123" i="10"/>
  <c r="CL125" i="10"/>
  <c r="CQ152" i="10"/>
  <c r="CQ308" i="10"/>
  <c r="CQ127" i="10"/>
  <c r="CQ129" i="10"/>
  <c r="CQ131" i="10"/>
  <c r="CQ133" i="10"/>
  <c r="CQ138" i="10"/>
  <c r="CQ279" i="10"/>
  <c r="CQ283" i="10"/>
  <c r="CQ285" i="10"/>
  <c r="CQ287" i="10"/>
  <c r="CQ289" i="10"/>
  <c r="CQ117" i="10"/>
  <c r="CQ123" i="10"/>
  <c r="CQ136" i="10" s="1"/>
  <c r="CQ125" i="10"/>
  <c r="CT308" i="10"/>
  <c r="CT152" i="10"/>
  <c r="CT127" i="10"/>
  <c r="CT129" i="10"/>
  <c r="CT131" i="10"/>
  <c r="CT133" i="10"/>
  <c r="CT138" i="10"/>
  <c r="CT279" i="10"/>
  <c r="CT283" i="10"/>
  <c r="CT285" i="10"/>
  <c r="CT287" i="10"/>
  <c r="CT289" i="10"/>
  <c r="CT117" i="10"/>
  <c r="CT123" i="10"/>
  <c r="CT125" i="10"/>
  <c r="CW308" i="10"/>
  <c r="CW152" i="10"/>
  <c r="CW127" i="10"/>
  <c r="CW129" i="10"/>
  <c r="CW131" i="10"/>
  <c r="CW133" i="10"/>
  <c r="CW138" i="10"/>
  <c r="CW279" i="10"/>
  <c r="CW283" i="10"/>
  <c r="CW285" i="10"/>
  <c r="CW287" i="10"/>
  <c r="CW289" i="10"/>
  <c r="CW117" i="10"/>
  <c r="CW123" i="10"/>
  <c r="CW125" i="10"/>
  <c r="CZ152" i="10"/>
  <c r="CZ308" i="10"/>
  <c r="CZ127" i="10"/>
  <c r="CZ129" i="10"/>
  <c r="CZ131" i="10"/>
  <c r="CZ133" i="10"/>
  <c r="CZ138" i="10"/>
  <c r="CZ279" i="10"/>
  <c r="CZ281" i="10"/>
  <c r="CZ283" i="10"/>
  <c r="CZ285" i="10"/>
  <c r="CZ287" i="10"/>
  <c r="CZ289" i="10"/>
  <c r="CZ117" i="10"/>
  <c r="CZ123" i="10"/>
  <c r="CZ136" i="10" s="1"/>
  <c r="CZ125" i="10"/>
  <c r="DE152" i="10"/>
  <c r="DE308" i="10"/>
  <c r="DE125" i="10"/>
  <c r="DE127" i="10"/>
  <c r="DE129" i="10"/>
  <c r="DE131" i="10"/>
  <c r="DE133" i="10"/>
  <c r="DE138" i="10"/>
  <c r="DE279" i="10"/>
  <c r="DE281" i="10"/>
  <c r="DE283" i="10"/>
  <c r="DE285" i="10"/>
  <c r="DE287" i="10"/>
  <c r="DE289" i="10"/>
  <c r="DE117" i="10"/>
  <c r="DE123" i="10"/>
  <c r="DE136" i="10" s="1"/>
  <c r="DM125" i="10"/>
  <c r="DM127" i="10"/>
  <c r="DM129" i="10"/>
  <c r="DM131" i="10"/>
  <c r="DM133" i="10"/>
  <c r="DM138" i="10"/>
  <c r="DM279" i="10"/>
  <c r="DM281" i="10"/>
  <c r="DM283" i="10"/>
  <c r="DM285" i="10"/>
  <c r="DM287" i="10"/>
  <c r="DM289" i="10"/>
  <c r="DM117" i="10"/>
  <c r="DM123" i="10"/>
  <c r="DQ152" i="10"/>
  <c r="DQ308" i="10"/>
  <c r="DQ125" i="10"/>
  <c r="DQ127" i="10"/>
  <c r="DQ129" i="10"/>
  <c r="DQ131" i="10"/>
  <c r="DQ133" i="10"/>
  <c r="DQ138" i="10"/>
  <c r="DQ279" i="10"/>
  <c r="DQ281" i="10"/>
  <c r="DQ283" i="10"/>
  <c r="DQ285" i="10"/>
  <c r="DQ287" i="10"/>
  <c r="DQ289" i="10"/>
  <c r="DQ117" i="10"/>
  <c r="DQ123" i="10"/>
  <c r="DQ136" i="10" s="1"/>
  <c r="DT152" i="10"/>
  <c r="DT308" i="10"/>
  <c r="DT125" i="10"/>
  <c r="DT127" i="10"/>
  <c r="DT129" i="10"/>
  <c r="DT131" i="10"/>
  <c r="DT133" i="10"/>
  <c r="DT138" i="10"/>
  <c r="DT279" i="10"/>
  <c r="DT281" i="10"/>
  <c r="DT283" i="10"/>
  <c r="DT285" i="10"/>
  <c r="DT287" i="10"/>
  <c r="DT289" i="10"/>
  <c r="DT117" i="10"/>
  <c r="DT123" i="10"/>
  <c r="DW308" i="10"/>
  <c r="DW152" i="10"/>
  <c r="DW125" i="10"/>
  <c r="DW127" i="10"/>
  <c r="DW129" i="10"/>
  <c r="DW131" i="10"/>
  <c r="DW133" i="10"/>
  <c r="DW138" i="10"/>
  <c r="DW279" i="10"/>
  <c r="DW281" i="10"/>
  <c r="DW283" i="10"/>
  <c r="DW285" i="10"/>
  <c r="DW287" i="10"/>
  <c r="DW289" i="10"/>
  <c r="DW117" i="10"/>
  <c r="DW123" i="10"/>
  <c r="DY125" i="10"/>
  <c r="DY127" i="10"/>
  <c r="DY129" i="10"/>
  <c r="DY131" i="10"/>
  <c r="DY133" i="10"/>
  <c r="DY138" i="10"/>
  <c r="DY279" i="10"/>
  <c r="DY281" i="10"/>
  <c r="DY283" i="10"/>
  <c r="DY285" i="10"/>
  <c r="DY287" i="10"/>
  <c r="DY289" i="10"/>
  <c r="DY117" i="10"/>
  <c r="DY123" i="10"/>
  <c r="DY136" i="10" s="1"/>
  <c r="EB152" i="10"/>
  <c r="EB308" i="10"/>
  <c r="EB125" i="10"/>
  <c r="EB127" i="10"/>
  <c r="EB129" i="10"/>
  <c r="EB131" i="10"/>
  <c r="EB133" i="10"/>
  <c r="EB138" i="10"/>
  <c r="EB279" i="10"/>
  <c r="EB281" i="10"/>
  <c r="EB283" i="10"/>
  <c r="EB285" i="10"/>
  <c r="EB287" i="10"/>
  <c r="EB289" i="10"/>
  <c r="EB117" i="10"/>
  <c r="EB123" i="10"/>
  <c r="ED152" i="10"/>
  <c r="ED308" i="10"/>
  <c r="ED125" i="10"/>
  <c r="ED127" i="10"/>
  <c r="ED129" i="10"/>
  <c r="ED131" i="10"/>
  <c r="ED133" i="10"/>
  <c r="ED138" i="10"/>
  <c r="ED279" i="10"/>
  <c r="ED281" i="10"/>
  <c r="ED283" i="10"/>
  <c r="ED285" i="10"/>
  <c r="ED287" i="10"/>
  <c r="ED289" i="10"/>
  <c r="ED117" i="10"/>
  <c r="ED123" i="10"/>
  <c r="EG308" i="10"/>
  <c r="EG152" i="10"/>
  <c r="EG125" i="10"/>
  <c r="EG127" i="10"/>
  <c r="EG129" i="10"/>
  <c r="EG131" i="10"/>
  <c r="EG133" i="10"/>
  <c r="EG138" i="10"/>
  <c r="EG279" i="10"/>
  <c r="EG281" i="10"/>
  <c r="EG283" i="10"/>
  <c r="EG285" i="10"/>
  <c r="EG287" i="10"/>
  <c r="EG289" i="10"/>
  <c r="EG117" i="10"/>
  <c r="EG123" i="10"/>
  <c r="EK125" i="10"/>
  <c r="EK127" i="10"/>
  <c r="EK129" i="10"/>
  <c r="EK131" i="10"/>
  <c r="EK133" i="10"/>
  <c r="EK138" i="10"/>
  <c r="EK279" i="10"/>
  <c r="EK281" i="10"/>
  <c r="EK283" i="10"/>
  <c r="EK285" i="10"/>
  <c r="EK287" i="10"/>
  <c r="EK289" i="10"/>
  <c r="EK117" i="10"/>
  <c r="EK123" i="10"/>
  <c r="EK136" i="10" s="1"/>
  <c r="EP152" i="10"/>
  <c r="EP308" i="10"/>
  <c r="EP125" i="10"/>
  <c r="EP127" i="10"/>
  <c r="EP129" i="10"/>
  <c r="EP131" i="10"/>
  <c r="EP133" i="10"/>
  <c r="EP138" i="10"/>
  <c r="EP279" i="10"/>
  <c r="EP281" i="10"/>
  <c r="EP283" i="10"/>
  <c r="EP285" i="10"/>
  <c r="EP287" i="10"/>
  <c r="EP289" i="10"/>
  <c r="EP117" i="10"/>
  <c r="EP123" i="10"/>
  <c r="EP136" i="10" s="1"/>
  <c r="ES308" i="10"/>
  <c r="ES152" i="10"/>
  <c r="ES125" i="10"/>
  <c r="ES127" i="10"/>
  <c r="ES129" i="10"/>
  <c r="ES131" i="10"/>
  <c r="ES133" i="10"/>
  <c r="ES138" i="10"/>
  <c r="ES279" i="10"/>
  <c r="ES281" i="10"/>
  <c r="ES283" i="10"/>
  <c r="ES285" i="10"/>
  <c r="ES287" i="10"/>
  <c r="ES289" i="10"/>
  <c r="ES117" i="10"/>
  <c r="ES123" i="10"/>
  <c r="ES136" i="10" s="1"/>
  <c r="F144"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I143" i="10"/>
  <c r="AJ143" i="10"/>
  <c r="AK143" i="10"/>
  <c r="AL143" i="10"/>
  <c r="AM143" i="10"/>
  <c r="AN143" i="10"/>
  <c r="AO143" i="10"/>
  <c r="AP143" i="10"/>
  <c r="AQ143" i="10"/>
  <c r="AR143" i="10"/>
  <c r="AS143" i="10"/>
  <c r="AT143" i="10"/>
  <c r="AU143" i="10"/>
  <c r="AV143" i="10"/>
  <c r="AW143" i="10"/>
  <c r="AX143" i="10"/>
  <c r="AY143" i="10"/>
  <c r="AZ143" i="10"/>
  <c r="BA143" i="10"/>
  <c r="BB143" i="10"/>
  <c r="BC143" i="10"/>
  <c r="BD143" i="10"/>
  <c r="BE143" i="10"/>
  <c r="BF143" i="10"/>
  <c r="BG143" i="10"/>
  <c r="BH143" i="10"/>
  <c r="BI143" i="10"/>
  <c r="BJ143" i="10"/>
  <c r="BK143" i="10"/>
  <c r="BL143" i="10"/>
  <c r="BM143" i="10"/>
  <c r="BN143" i="10"/>
  <c r="BO143" i="10"/>
  <c r="BP143" i="10"/>
  <c r="BQ143" i="10"/>
  <c r="BR143" i="10"/>
  <c r="BS143" i="10"/>
  <c r="BT143" i="10"/>
  <c r="BU143" i="10"/>
  <c r="BV143" i="10"/>
  <c r="BW143" i="10"/>
  <c r="BX143" i="10"/>
  <c r="BY143" i="10"/>
  <c r="BZ143" i="10"/>
  <c r="CA143" i="10"/>
  <c r="CB143" i="10"/>
  <c r="CC143" i="10"/>
  <c r="CD143" i="10"/>
  <c r="CE143" i="10"/>
  <c r="CF143" i="10"/>
  <c r="CG143" i="10"/>
  <c r="CH143" i="10"/>
  <c r="CI143" i="10"/>
  <c r="CJ143" i="10"/>
  <c r="CK143" i="10"/>
  <c r="CL143" i="10"/>
  <c r="CM143" i="10"/>
  <c r="CN143" i="10"/>
  <c r="CO143" i="10"/>
  <c r="CP143" i="10"/>
  <c r="CQ143" i="10"/>
  <c r="CR143" i="10"/>
  <c r="CS143" i="10"/>
  <c r="CT143" i="10"/>
  <c r="CU143" i="10"/>
  <c r="CV143" i="10"/>
  <c r="CW143" i="10"/>
  <c r="CX143" i="10"/>
  <c r="CY143" i="10"/>
  <c r="CZ143" i="10"/>
  <c r="DA143" i="10"/>
  <c r="DB143" i="10"/>
  <c r="DC143" i="10"/>
  <c r="DD143" i="10"/>
  <c r="DE143" i="10"/>
  <c r="DF143" i="10"/>
  <c r="DG143" i="10"/>
  <c r="DH143" i="10"/>
  <c r="DI143" i="10"/>
  <c r="DJ143" i="10"/>
  <c r="DK143" i="10"/>
  <c r="DL143" i="10"/>
  <c r="DM143" i="10"/>
  <c r="DN143" i="10"/>
  <c r="DO143" i="10"/>
  <c r="DP143" i="10"/>
  <c r="DQ143" i="10"/>
  <c r="DR143" i="10"/>
  <c r="DS143" i="10"/>
  <c r="DT143" i="10"/>
  <c r="DU143" i="10"/>
  <c r="DV143" i="10"/>
  <c r="DW143" i="10"/>
  <c r="DX143" i="10"/>
  <c r="DY143" i="10"/>
  <c r="DZ143" i="10"/>
  <c r="EA143" i="10"/>
  <c r="EB143" i="10"/>
  <c r="EC143" i="10"/>
  <c r="ED143" i="10"/>
  <c r="EE143" i="10"/>
  <c r="EF143" i="10"/>
  <c r="EG143" i="10"/>
  <c r="EH143" i="10"/>
  <c r="EI143" i="10"/>
  <c r="EJ143" i="10"/>
  <c r="EK143" i="10"/>
  <c r="EL143" i="10"/>
  <c r="EM143" i="10"/>
  <c r="EN143" i="10"/>
  <c r="EO143" i="10"/>
  <c r="EP143" i="10"/>
  <c r="EQ143" i="10"/>
  <c r="ER143" i="10"/>
  <c r="ES143" i="10"/>
  <c r="F308" i="10"/>
  <c r="F152" i="10"/>
  <c r="F117" i="10"/>
  <c r="F123" i="10"/>
  <c r="F124" i="10"/>
  <c r="F125" i="10"/>
  <c r="F127" i="10"/>
  <c r="F128" i="10"/>
  <c r="F129" i="10"/>
  <c r="F131" i="10"/>
  <c r="F132" i="10"/>
  <c r="F133" i="10"/>
  <c r="F138" i="10"/>
  <c r="F140" i="10"/>
  <c r="F279" i="10"/>
  <c r="F280" i="10"/>
  <c r="F281" i="10"/>
  <c r="F283" i="10"/>
  <c r="F284" i="10"/>
  <c r="F285" i="10"/>
  <c r="F287" i="10"/>
  <c r="F288" i="10"/>
  <c r="F289" i="10"/>
  <c r="L308" i="10"/>
  <c r="L152" i="10"/>
  <c r="L117" i="10"/>
  <c r="L123" i="10"/>
  <c r="L127" i="10"/>
  <c r="L129" i="10"/>
  <c r="L131" i="10"/>
  <c r="L133" i="10"/>
  <c r="L138" i="10"/>
  <c r="L279" i="10"/>
  <c r="L283" i="10"/>
  <c r="L285" i="10"/>
  <c r="L287" i="10"/>
  <c r="L289" i="10"/>
  <c r="P152" i="10"/>
  <c r="P308" i="10"/>
  <c r="P117" i="10"/>
  <c r="P123" i="10"/>
  <c r="P127" i="10"/>
  <c r="P129" i="10"/>
  <c r="P131" i="10"/>
  <c r="P133" i="10"/>
  <c r="P138" i="10"/>
  <c r="P279" i="10"/>
  <c r="P283" i="10"/>
  <c r="P285" i="10"/>
  <c r="P287" i="10"/>
  <c r="P289" i="10"/>
  <c r="R152" i="10"/>
  <c r="R308" i="10"/>
  <c r="R117" i="10"/>
  <c r="R123" i="10"/>
  <c r="R127" i="10"/>
  <c r="R129" i="10"/>
  <c r="R131" i="10"/>
  <c r="R133" i="10"/>
  <c r="R138" i="10"/>
  <c r="R279" i="10"/>
  <c r="R283" i="10"/>
  <c r="R285" i="10"/>
  <c r="R287" i="10"/>
  <c r="R289" i="10"/>
  <c r="Y152" i="10"/>
  <c r="Y308" i="10"/>
  <c r="Y117" i="10"/>
  <c r="Y123" i="10"/>
  <c r="Y127" i="10"/>
  <c r="Y129" i="10"/>
  <c r="Y131" i="10"/>
  <c r="Y133" i="10"/>
  <c r="Y138" i="10"/>
  <c r="Y279" i="10"/>
  <c r="Y283" i="10"/>
  <c r="Y285" i="10"/>
  <c r="Y287" i="10"/>
  <c r="Y289" i="10"/>
  <c r="AA308" i="10"/>
  <c r="AA152" i="10"/>
  <c r="AA117" i="10"/>
  <c r="AA123" i="10"/>
  <c r="AA127" i="10"/>
  <c r="AA129" i="10"/>
  <c r="AA131" i="10"/>
  <c r="AA133" i="10"/>
  <c r="AA138" i="10"/>
  <c r="AA279" i="10"/>
  <c r="AA283" i="10"/>
  <c r="AA285" i="10"/>
  <c r="AA287" i="10"/>
  <c r="AA289" i="10"/>
  <c r="AE152" i="10"/>
  <c r="AE308" i="10"/>
  <c r="AE117" i="10"/>
  <c r="AE123" i="10"/>
  <c r="AE127" i="10"/>
  <c r="AE129" i="10"/>
  <c r="AE131" i="10"/>
  <c r="AE133" i="10"/>
  <c r="AE138" i="10"/>
  <c r="AE279" i="10"/>
  <c r="AE283" i="10"/>
  <c r="AE287" i="10"/>
  <c r="AE289" i="10"/>
  <c r="AJ308" i="10"/>
  <c r="AJ152" i="10"/>
  <c r="AJ117" i="10"/>
  <c r="AJ123" i="10"/>
  <c r="AJ127" i="10"/>
  <c r="AJ129" i="10"/>
  <c r="AJ131" i="10"/>
  <c r="AJ133" i="10"/>
  <c r="AJ138" i="10"/>
  <c r="AJ279" i="10"/>
  <c r="AJ283" i="10"/>
  <c r="AJ287" i="10"/>
  <c r="AJ289" i="10"/>
  <c r="AM152" i="10"/>
  <c r="AM308" i="10"/>
  <c r="AM117" i="10"/>
  <c r="AM123" i="10"/>
  <c r="AM127" i="10"/>
  <c r="AM129" i="10"/>
  <c r="AM131" i="10"/>
  <c r="AM133" i="10"/>
  <c r="AM138" i="10"/>
  <c r="AM279" i="10"/>
  <c r="AM283" i="10"/>
  <c r="AM287" i="10"/>
  <c r="AM289" i="10"/>
  <c r="AO308" i="10"/>
  <c r="AO152" i="10"/>
  <c r="AO117" i="10"/>
  <c r="AO123" i="10"/>
  <c r="AO127" i="10"/>
  <c r="AO129" i="10"/>
  <c r="AO131" i="10"/>
  <c r="AO133" i="10"/>
  <c r="AO138" i="10"/>
  <c r="AO279" i="10"/>
  <c r="AO283" i="10"/>
  <c r="AO287" i="10"/>
  <c r="AO289" i="10"/>
  <c r="AR308" i="10"/>
  <c r="AR152" i="10"/>
  <c r="AR117" i="10"/>
  <c r="AR123" i="10"/>
  <c r="AR127" i="10"/>
  <c r="AR129" i="10"/>
  <c r="AR131" i="10"/>
  <c r="AR133" i="10"/>
  <c r="AR138" i="10"/>
  <c r="AR279" i="10"/>
  <c r="AR283" i="10"/>
  <c r="AR285" i="10"/>
  <c r="AR287" i="10"/>
  <c r="AR289" i="10"/>
  <c r="AU308" i="10"/>
  <c r="AU152" i="10"/>
  <c r="AU117" i="10"/>
  <c r="AU123" i="10"/>
  <c r="AU127" i="10"/>
  <c r="AU129" i="10"/>
  <c r="AU131" i="10"/>
  <c r="AU133" i="10"/>
  <c r="AU138" i="10"/>
  <c r="AU279" i="10"/>
  <c r="AU283" i="10"/>
  <c r="AU285" i="10"/>
  <c r="AU287" i="10"/>
  <c r="AU289" i="10"/>
  <c r="AW152" i="10"/>
  <c r="AW308" i="10"/>
  <c r="AW117" i="10"/>
  <c r="AW123" i="10"/>
  <c r="AW127" i="10"/>
  <c r="AW129" i="10"/>
  <c r="AW131" i="10"/>
  <c r="AW133" i="10"/>
  <c r="AW138" i="10"/>
  <c r="AW279" i="10"/>
  <c r="AW283" i="10"/>
  <c r="AW285" i="10"/>
  <c r="AW287" i="10"/>
  <c r="AW289" i="10"/>
  <c r="AY308" i="10"/>
  <c r="AY152" i="10"/>
  <c r="AY117" i="10"/>
  <c r="AY123" i="10"/>
  <c r="AY127" i="10"/>
  <c r="AY129" i="10"/>
  <c r="AY131" i="10"/>
  <c r="AY133" i="10"/>
  <c r="AY138" i="10"/>
  <c r="AY279" i="10"/>
  <c r="AY283" i="10"/>
  <c r="AY285" i="10"/>
  <c r="AY287" i="10"/>
  <c r="AY289" i="10"/>
  <c r="BB152" i="10"/>
  <c r="BB308" i="10"/>
  <c r="BB117" i="10"/>
  <c r="BB123" i="10"/>
  <c r="BB127" i="10"/>
  <c r="BB129" i="10"/>
  <c r="BB131" i="10"/>
  <c r="BB133" i="10"/>
  <c r="BB138" i="10"/>
  <c r="BB279" i="10"/>
  <c r="BB283" i="10"/>
  <c r="BB285" i="10"/>
  <c r="BB287" i="10"/>
  <c r="BB289" i="10"/>
  <c r="BG152" i="10"/>
  <c r="BG308" i="10"/>
  <c r="BG117" i="10"/>
  <c r="BG123" i="10"/>
  <c r="BG127" i="10"/>
  <c r="BG129" i="10"/>
  <c r="BG131" i="10"/>
  <c r="BG133" i="10"/>
  <c r="BG138" i="10"/>
  <c r="BG279" i="10"/>
  <c r="BG283" i="10"/>
  <c r="BG285" i="10"/>
  <c r="BG287" i="10"/>
  <c r="BG289" i="10"/>
  <c r="BJ152" i="10"/>
  <c r="BJ308" i="10"/>
  <c r="BJ117" i="10"/>
  <c r="BJ123" i="10"/>
  <c r="BJ127" i="10"/>
  <c r="BJ129" i="10"/>
  <c r="BJ131" i="10"/>
  <c r="BJ133" i="10"/>
  <c r="BJ138" i="10"/>
  <c r="BJ279" i="10"/>
  <c r="BJ283" i="10"/>
  <c r="BJ285" i="10"/>
  <c r="BJ287" i="10"/>
  <c r="BJ289" i="10"/>
  <c r="BP152" i="10"/>
  <c r="BP308" i="10"/>
  <c r="BP117" i="10"/>
  <c r="BP123" i="10"/>
  <c r="BP125" i="10"/>
  <c r="BP127" i="10"/>
  <c r="BP129" i="10"/>
  <c r="BP131" i="10"/>
  <c r="BP133" i="10"/>
  <c r="BP138" i="10"/>
  <c r="BP279" i="10"/>
  <c r="BP283" i="10"/>
  <c r="BP285" i="10"/>
  <c r="BP287" i="10"/>
  <c r="BP289" i="10"/>
  <c r="BS152" i="10"/>
  <c r="BS308" i="10"/>
  <c r="BS117" i="10"/>
  <c r="BS123" i="10"/>
  <c r="BS125" i="10"/>
  <c r="BS127" i="10"/>
  <c r="BS129" i="10"/>
  <c r="BS131" i="10"/>
  <c r="BS133" i="10"/>
  <c r="BS138" i="10"/>
  <c r="BS279" i="10"/>
  <c r="BS283" i="10"/>
  <c r="BS285" i="10"/>
  <c r="BS287" i="10"/>
  <c r="BS289" i="10"/>
  <c r="BW152" i="10"/>
  <c r="BW308" i="10"/>
  <c r="BW117" i="10"/>
  <c r="BW123" i="10"/>
  <c r="BW125" i="10"/>
  <c r="BW127" i="10"/>
  <c r="BW129" i="10"/>
  <c r="BW131" i="10"/>
  <c r="BW133" i="10"/>
  <c r="BW138" i="10"/>
  <c r="BW279" i="10"/>
  <c r="BW283" i="10"/>
  <c r="BW285" i="10"/>
  <c r="BW287" i="10"/>
  <c r="BW289" i="10"/>
  <c r="BY152" i="10"/>
  <c r="BY308" i="10"/>
  <c r="BY117" i="10"/>
  <c r="BY123" i="10"/>
  <c r="BY125" i="10"/>
  <c r="BY127" i="10"/>
  <c r="BY129" i="10"/>
  <c r="BY131" i="10"/>
  <c r="BY133" i="10"/>
  <c r="BY138" i="10"/>
  <c r="BY279" i="10"/>
  <c r="BY283" i="10"/>
  <c r="BY285" i="10"/>
  <c r="BY287" i="10"/>
  <c r="BY289" i="10"/>
  <c r="CA152" i="10"/>
  <c r="CA308" i="10"/>
  <c r="CA117" i="10"/>
  <c r="CA123" i="10"/>
  <c r="CA125" i="10"/>
  <c r="CA127" i="10"/>
  <c r="CA129" i="10"/>
  <c r="CA131" i="10"/>
  <c r="CA133" i="10"/>
  <c r="CA138" i="10"/>
  <c r="CA279" i="10"/>
  <c r="CA283" i="10"/>
  <c r="CA285" i="10"/>
  <c r="CA287" i="10"/>
  <c r="CA289" i="10"/>
  <c r="CC117" i="10"/>
  <c r="CC123" i="10"/>
  <c r="CC125" i="10"/>
  <c r="CC127" i="10"/>
  <c r="CC129" i="10"/>
  <c r="CC131" i="10"/>
  <c r="CC133" i="10"/>
  <c r="CC138" i="10"/>
  <c r="CC279" i="10"/>
  <c r="CC283" i="10"/>
  <c r="CC285" i="10"/>
  <c r="CC287" i="10"/>
  <c r="CC289" i="10"/>
  <c r="CG152" i="10"/>
  <c r="CG308" i="10"/>
  <c r="CG117" i="10"/>
  <c r="CG123" i="10"/>
  <c r="CG125" i="10"/>
  <c r="CG127" i="10"/>
  <c r="CG129" i="10"/>
  <c r="CG131" i="10"/>
  <c r="CG133" i="10"/>
  <c r="CG138" i="10"/>
  <c r="CG279" i="10"/>
  <c r="CG283" i="10"/>
  <c r="CG285" i="10"/>
  <c r="CG287" i="10"/>
  <c r="CG289" i="10"/>
  <c r="CK152" i="10"/>
  <c r="CK308" i="10"/>
  <c r="CK117" i="10"/>
  <c r="CK123" i="10"/>
  <c r="CK125" i="10"/>
  <c r="CK127" i="10"/>
  <c r="CK129" i="10"/>
  <c r="CK131" i="10"/>
  <c r="CK133" i="10"/>
  <c r="CK138" i="10"/>
  <c r="CK279" i="10"/>
  <c r="CK283" i="10"/>
  <c r="CK285" i="10"/>
  <c r="CK287" i="10"/>
  <c r="CK289" i="10"/>
  <c r="CP308" i="10"/>
  <c r="CP152" i="10"/>
  <c r="CP117" i="10"/>
  <c r="CP123" i="10"/>
  <c r="CP125" i="10"/>
  <c r="CP127" i="10"/>
  <c r="CP129" i="10"/>
  <c r="CP131" i="10"/>
  <c r="CP133" i="10"/>
  <c r="CP138" i="10"/>
  <c r="CP279" i="10"/>
  <c r="CP283" i="10"/>
  <c r="CP285" i="10"/>
  <c r="CP287" i="10"/>
  <c r="CP289" i="10"/>
  <c r="CX152" i="10"/>
  <c r="CX308" i="10"/>
  <c r="CX117" i="10"/>
  <c r="CX123" i="10"/>
  <c r="CX125" i="10"/>
  <c r="CX127" i="10"/>
  <c r="CX129" i="10"/>
  <c r="CX131" i="10"/>
  <c r="CX133" i="10"/>
  <c r="CX138" i="10"/>
  <c r="CX279" i="10"/>
  <c r="CX281" i="10"/>
  <c r="CX283" i="10"/>
  <c r="CX285" i="10"/>
  <c r="CX287" i="10"/>
  <c r="CX289" i="10"/>
  <c r="DA117" i="10"/>
  <c r="DA123" i="10"/>
  <c r="DA125" i="10"/>
  <c r="DA127" i="10"/>
  <c r="DA129" i="10"/>
  <c r="DA131" i="10"/>
  <c r="DA133" i="10"/>
  <c r="DA138" i="10"/>
  <c r="DA279" i="10"/>
  <c r="DA281" i="10"/>
  <c r="DA283" i="10"/>
  <c r="DA285" i="10"/>
  <c r="DA287" i="10"/>
  <c r="DA289" i="10"/>
  <c r="DC152" i="10"/>
  <c r="DC308" i="10"/>
  <c r="DC117" i="10"/>
  <c r="DC123" i="10"/>
  <c r="DC125" i="10"/>
  <c r="DC127" i="10"/>
  <c r="DC129" i="10"/>
  <c r="DC131" i="10"/>
  <c r="DC133" i="10"/>
  <c r="DC138" i="10"/>
  <c r="DC279" i="10"/>
  <c r="DC281" i="10"/>
  <c r="DC283" i="10"/>
  <c r="DC285" i="10"/>
  <c r="DC287" i="10"/>
  <c r="DC289" i="10"/>
  <c r="DG152" i="10"/>
  <c r="DG308" i="10"/>
  <c r="DG117" i="10"/>
  <c r="DG123" i="10"/>
  <c r="DG125" i="10"/>
  <c r="DG127" i="10"/>
  <c r="DG129" i="10"/>
  <c r="DG131" i="10"/>
  <c r="DG133" i="10"/>
  <c r="DG138" i="10"/>
  <c r="DG279" i="10"/>
  <c r="DG281" i="10"/>
  <c r="DG283" i="10"/>
  <c r="DG285" i="10"/>
  <c r="DG287" i="10"/>
  <c r="DG289" i="10"/>
  <c r="DJ152" i="10"/>
  <c r="DJ308" i="10"/>
  <c r="DJ117" i="10"/>
  <c r="DJ123" i="10"/>
  <c r="DJ125" i="10"/>
  <c r="DJ127" i="10"/>
  <c r="DJ129" i="10"/>
  <c r="DJ131" i="10"/>
  <c r="DJ133" i="10"/>
  <c r="DJ138" i="10"/>
  <c r="DJ279" i="10"/>
  <c r="DJ281" i="10"/>
  <c r="DJ283" i="10"/>
  <c r="DJ285" i="10"/>
  <c r="DJ287" i="10"/>
  <c r="DJ289" i="10"/>
  <c r="DL152" i="10"/>
  <c r="DL308" i="10"/>
  <c r="DL117" i="10"/>
  <c r="DL123" i="10"/>
  <c r="DL125" i="10"/>
  <c r="DL127" i="10"/>
  <c r="DL129" i="10"/>
  <c r="DL131" i="10"/>
  <c r="DL133" i="10"/>
  <c r="DL138" i="10"/>
  <c r="DL279" i="10"/>
  <c r="DL281" i="10"/>
  <c r="DL283" i="10"/>
  <c r="DL285" i="10"/>
  <c r="DL287" i="10"/>
  <c r="DL289" i="10"/>
  <c r="DO308" i="10"/>
  <c r="DO152" i="10"/>
  <c r="DO117" i="10"/>
  <c r="DO123" i="10"/>
  <c r="DO125" i="10"/>
  <c r="DO127" i="10"/>
  <c r="DO129" i="10"/>
  <c r="DO131" i="10"/>
  <c r="DO133" i="10"/>
  <c r="DO138" i="10"/>
  <c r="DO279" i="10"/>
  <c r="DO281" i="10"/>
  <c r="DO283" i="10"/>
  <c r="DO285" i="10"/>
  <c r="DO287" i="10"/>
  <c r="DO289" i="10"/>
  <c r="DS152" i="10"/>
  <c r="DS308" i="10"/>
  <c r="DS117" i="10"/>
  <c r="DS123" i="10"/>
  <c r="DS125" i="10"/>
  <c r="DS127" i="10"/>
  <c r="DS129" i="10"/>
  <c r="DS131" i="10"/>
  <c r="DS133" i="10"/>
  <c r="DS138" i="10"/>
  <c r="DS279" i="10"/>
  <c r="DS281" i="10"/>
  <c r="DS283" i="10"/>
  <c r="DS285" i="10"/>
  <c r="DS287" i="10"/>
  <c r="DS289" i="10"/>
  <c r="EA308" i="10"/>
  <c r="EA152" i="10"/>
  <c r="EA117" i="10"/>
  <c r="EA123" i="10"/>
  <c r="EA125" i="10"/>
  <c r="EA127" i="10"/>
  <c r="EA129" i="10"/>
  <c r="EA131" i="10"/>
  <c r="EA133" i="10"/>
  <c r="EA138" i="10"/>
  <c r="EA279" i="10"/>
  <c r="EA281" i="10"/>
  <c r="EA283" i="10"/>
  <c r="EA285" i="10"/>
  <c r="EA287" i="10"/>
  <c r="EA289" i="10"/>
  <c r="EC308" i="10"/>
  <c r="EC152" i="10"/>
  <c r="EC117" i="10"/>
  <c r="EC123" i="10"/>
  <c r="EC125" i="10"/>
  <c r="EC127" i="10"/>
  <c r="EC129" i="10"/>
  <c r="EC131" i="10"/>
  <c r="EC133" i="10"/>
  <c r="EC138" i="10"/>
  <c r="EC279" i="10"/>
  <c r="EC281" i="10"/>
  <c r="EC283" i="10"/>
  <c r="EC285" i="10"/>
  <c r="EC287" i="10"/>
  <c r="EC289" i="10"/>
  <c r="EI308" i="10"/>
  <c r="EI152" i="10"/>
  <c r="EI117" i="10"/>
  <c r="EI123" i="10"/>
  <c r="EI125" i="10"/>
  <c r="EI127" i="10"/>
  <c r="EI129" i="10"/>
  <c r="EI131" i="10"/>
  <c r="EI133" i="10"/>
  <c r="EI138" i="10"/>
  <c r="EI279" i="10"/>
  <c r="EI281" i="10"/>
  <c r="EI283" i="10"/>
  <c r="EI285" i="10"/>
  <c r="EI287" i="10"/>
  <c r="EI289" i="10"/>
  <c r="EN308" i="10"/>
  <c r="EN152" i="10"/>
  <c r="EN117" i="10"/>
  <c r="EN123" i="10"/>
  <c r="EN125" i="10"/>
  <c r="EN127" i="10"/>
  <c r="EN129" i="10"/>
  <c r="EN131" i="10"/>
  <c r="EN133" i="10"/>
  <c r="EN138" i="10"/>
  <c r="EN279" i="10"/>
  <c r="EN281" i="10"/>
  <c r="EN283" i="10"/>
  <c r="EN285" i="10"/>
  <c r="EN287" i="10"/>
  <c r="EN289" i="10"/>
  <c r="G308" i="10"/>
  <c r="G152" i="10"/>
  <c r="G117" i="10"/>
  <c r="G123" i="10"/>
  <c r="G125" i="10"/>
  <c r="G127" i="10"/>
  <c r="G129" i="10"/>
  <c r="G131" i="10"/>
  <c r="G133" i="10"/>
  <c r="G138" i="10"/>
  <c r="G279" i="10"/>
  <c r="G281" i="10"/>
  <c r="G283" i="10"/>
  <c r="G285" i="10"/>
  <c r="G287" i="10"/>
  <c r="G289" i="10"/>
  <c r="I308" i="10"/>
  <c r="I152" i="10"/>
  <c r="I117" i="10"/>
  <c r="I123" i="10"/>
  <c r="I125" i="10"/>
  <c r="I127" i="10"/>
  <c r="I129" i="10"/>
  <c r="I131" i="10"/>
  <c r="I133" i="10"/>
  <c r="I138" i="10"/>
  <c r="I279" i="10"/>
  <c r="I281" i="10"/>
  <c r="I283" i="10"/>
  <c r="I285" i="10"/>
  <c r="I287" i="10"/>
  <c r="I289" i="10"/>
  <c r="K308" i="10"/>
  <c r="K152" i="10"/>
  <c r="K117" i="10"/>
  <c r="K123" i="10"/>
  <c r="K125" i="10"/>
  <c r="K127" i="10"/>
  <c r="K129" i="10"/>
  <c r="K131" i="10"/>
  <c r="K133" i="10"/>
  <c r="K138" i="10"/>
  <c r="K279" i="10"/>
  <c r="K281" i="10"/>
  <c r="K283" i="10"/>
  <c r="K285" i="10"/>
  <c r="K287" i="10"/>
  <c r="K289" i="10"/>
  <c r="Q152" i="10"/>
  <c r="Q308" i="10"/>
  <c r="Q117" i="10"/>
  <c r="Q123" i="10"/>
  <c r="Q127" i="10"/>
  <c r="Q129" i="10"/>
  <c r="Q131" i="10"/>
  <c r="Q133" i="10"/>
  <c r="Q138" i="10"/>
  <c r="Q279" i="10"/>
  <c r="Q283" i="10"/>
  <c r="Q285" i="10"/>
  <c r="Q287" i="10"/>
  <c r="Q289" i="10"/>
  <c r="T308" i="10"/>
  <c r="T152" i="10"/>
  <c r="T117" i="10"/>
  <c r="T123" i="10"/>
  <c r="T127" i="10"/>
  <c r="T129" i="10"/>
  <c r="T131" i="10"/>
  <c r="T133" i="10"/>
  <c r="T138" i="10"/>
  <c r="T279" i="10"/>
  <c r="T283" i="10"/>
  <c r="T285" i="10"/>
  <c r="T287" i="10"/>
  <c r="T289" i="10"/>
  <c r="X152" i="10"/>
  <c r="X308" i="10"/>
  <c r="X117" i="10"/>
  <c r="X123" i="10"/>
  <c r="X127" i="10"/>
  <c r="X129" i="10"/>
  <c r="X131" i="10"/>
  <c r="X133" i="10"/>
  <c r="X138" i="10"/>
  <c r="X279" i="10"/>
  <c r="X283" i="10"/>
  <c r="X285" i="10"/>
  <c r="X287" i="10"/>
  <c r="X289" i="10"/>
  <c r="AD308" i="10"/>
  <c r="AD152" i="10"/>
  <c r="AD117" i="10"/>
  <c r="AD123" i="10"/>
  <c r="AD127" i="10"/>
  <c r="AD129" i="10"/>
  <c r="AD131" i="10"/>
  <c r="AD133" i="10"/>
  <c r="AD138" i="10"/>
  <c r="AD279" i="10"/>
  <c r="AD283" i="10"/>
  <c r="AD287" i="10"/>
  <c r="AD289" i="10"/>
  <c r="AH152" i="10"/>
  <c r="AH308" i="10"/>
  <c r="AH117" i="10"/>
  <c r="AH123" i="10"/>
  <c r="AH127" i="10"/>
  <c r="AH129" i="10"/>
  <c r="AH131" i="10"/>
  <c r="AH133" i="10"/>
  <c r="AH138" i="10"/>
  <c r="AH279" i="10"/>
  <c r="AH283" i="10"/>
  <c r="AH287" i="10"/>
  <c r="AH289" i="10"/>
  <c r="AL308" i="10"/>
  <c r="AL152" i="10"/>
  <c r="AL117" i="10"/>
  <c r="AL123" i="10"/>
  <c r="AL127" i="10"/>
  <c r="AL129" i="10"/>
  <c r="AL131" i="10"/>
  <c r="AL133" i="10"/>
  <c r="AL138" i="10"/>
  <c r="AL279" i="10"/>
  <c r="AL283" i="10"/>
  <c r="AL287" i="10"/>
  <c r="AL289" i="10"/>
  <c r="AN152" i="10"/>
  <c r="AN308" i="10"/>
  <c r="AN117" i="10"/>
  <c r="AN123" i="10"/>
  <c r="AN127" i="10"/>
  <c r="AN129" i="10"/>
  <c r="AN131" i="10"/>
  <c r="AN133" i="10"/>
  <c r="AN138" i="10"/>
  <c r="AN279" i="10"/>
  <c r="AN283" i="10"/>
  <c r="AN287" i="10"/>
  <c r="AN289" i="10"/>
  <c r="AX308" i="10"/>
  <c r="AX152" i="10"/>
  <c r="AX117" i="10"/>
  <c r="AX123" i="10"/>
  <c r="AX127" i="10"/>
  <c r="AX129" i="10"/>
  <c r="AX131" i="10"/>
  <c r="AX133" i="10"/>
  <c r="AX138" i="10"/>
  <c r="AX279" i="10"/>
  <c r="AX283" i="10"/>
  <c r="AX285" i="10"/>
  <c r="AX287" i="10"/>
  <c r="AX289" i="10"/>
  <c r="BD308" i="10"/>
  <c r="BD152" i="10"/>
  <c r="BD117" i="10"/>
  <c r="BD123" i="10"/>
  <c r="BD127" i="10"/>
  <c r="BD129" i="10"/>
  <c r="BD131" i="10"/>
  <c r="BD133" i="10"/>
  <c r="BD138" i="10"/>
  <c r="BD279" i="10"/>
  <c r="BD283" i="10"/>
  <c r="BD285" i="10"/>
  <c r="BD287" i="10"/>
  <c r="BD289" i="10"/>
  <c r="BF308" i="10"/>
  <c r="BF152" i="10"/>
  <c r="BF117" i="10"/>
  <c r="BF123" i="10"/>
  <c r="BF127" i="10"/>
  <c r="BF129" i="10"/>
  <c r="BF131" i="10"/>
  <c r="BF133" i="10"/>
  <c r="BF138" i="10"/>
  <c r="BF279" i="10"/>
  <c r="BF283" i="10"/>
  <c r="BF285" i="10"/>
  <c r="BF287" i="10"/>
  <c r="BF289" i="10"/>
  <c r="BK152" i="10"/>
  <c r="BK308" i="10"/>
  <c r="BK117" i="10"/>
  <c r="BK123" i="10"/>
  <c r="BK127" i="10"/>
  <c r="BK129" i="10"/>
  <c r="BK131" i="10"/>
  <c r="BK133" i="10"/>
  <c r="BK138" i="10"/>
  <c r="BK279" i="10"/>
  <c r="BK283" i="10"/>
  <c r="BK285" i="10"/>
  <c r="BK287" i="10"/>
  <c r="BK289" i="10"/>
  <c r="BM308" i="10"/>
  <c r="BM152" i="10"/>
  <c r="BM117" i="10"/>
  <c r="BM123" i="10"/>
  <c r="BM127" i="10"/>
  <c r="BM129" i="10"/>
  <c r="BM131" i="10"/>
  <c r="BM133" i="10"/>
  <c r="BM138" i="10"/>
  <c r="BM279" i="10"/>
  <c r="BM283" i="10"/>
  <c r="BM285" i="10"/>
  <c r="BM287" i="10"/>
  <c r="BM289" i="10"/>
  <c r="BT152" i="10"/>
  <c r="BT308" i="10"/>
  <c r="BT117" i="10"/>
  <c r="BT123" i="10"/>
  <c r="BT125" i="10"/>
  <c r="BT127" i="10"/>
  <c r="BT129" i="10"/>
  <c r="BT131" i="10"/>
  <c r="BT133" i="10"/>
  <c r="BT138" i="10"/>
  <c r="BT279" i="10"/>
  <c r="BT283" i="10"/>
  <c r="BT285" i="10"/>
  <c r="BT287" i="10"/>
  <c r="BT289" i="10"/>
  <c r="BU152" i="10"/>
  <c r="BU308" i="10"/>
  <c r="BU117" i="10"/>
  <c r="BU123" i="10"/>
  <c r="BU125" i="10"/>
  <c r="BU127" i="10"/>
  <c r="BU129" i="10"/>
  <c r="BU131" i="10"/>
  <c r="BU133" i="10"/>
  <c r="BU138" i="10"/>
  <c r="BU279" i="10"/>
  <c r="BU283" i="10"/>
  <c r="BU285" i="10"/>
  <c r="BU287" i="10"/>
  <c r="BU289" i="10"/>
  <c r="BX308" i="10"/>
  <c r="BX152" i="10"/>
  <c r="BX117" i="10"/>
  <c r="BX123" i="10"/>
  <c r="BX125" i="10"/>
  <c r="BX127" i="10"/>
  <c r="BX129" i="10"/>
  <c r="BX131" i="10"/>
  <c r="BX133" i="10"/>
  <c r="BX138" i="10"/>
  <c r="BX279" i="10"/>
  <c r="BX283" i="10"/>
  <c r="BX285" i="10"/>
  <c r="BX287" i="10"/>
  <c r="BX289" i="10"/>
  <c r="BZ152" i="10"/>
  <c r="BZ308" i="10"/>
  <c r="BZ117" i="10"/>
  <c r="BZ123" i="10"/>
  <c r="BZ125" i="10"/>
  <c r="BZ127" i="10"/>
  <c r="BZ129" i="10"/>
  <c r="BZ131" i="10"/>
  <c r="BZ133" i="10"/>
  <c r="BZ138" i="10"/>
  <c r="BZ279" i="10"/>
  <c r="BZ283" i="10"/>
  <c r="BZ285" i="10"/>
  <c r="BZ287" i="10"/>
  <c r="BZ289" i="10"/>
  <c r="CE308" i="10"/>
  <c r="CE152" i="10"/>
  <c r="CE117" i="10"/>
  <c r="CE123" i="10"/>
  <c r="CE125" i="10"/>
  <c r="CE127" i="10"/>
  <c r="CE129" i="10"/>
  <c r="CE131" i="10"/>
  <c r="CE133" i="10"/>
  <c r="CE138" i="10"/>
  <c r="CE279" i="10"/>
  <c r="CE283" i="10"/>
  <c r="CE285" i="10"/>
  <c r="CE287" i="10"/>
  <c r="CE289" i="10"/>
  <c r="CI152" i="10"/>
  <c r="CI308" i="10"/>
  <c r="CI117" i="10"/>
  <c r="CI123" i="10"/>
  <c r="CI125" i="10"/>
  <c r="CI127" i="10"/>
  <c r="CI129" i="10"/>
  <c r="CI131" i="10"/>
  <c r="CI133" i="10"/>
  <c r="CI138" i="10"/>
  <c r="CI279" i="10"/>
  <c r="CI283" i="10"/>
  <c r="CI285" i="10"/>
  <c r="CI287" i="10"/>
  <c r="CI289" i="10"/>
  <c r="CM308" i="10"/>
  <c r="CM152" i="10"/>
  <c r="CM117" i="10"/>
  <c r="CM123" i="10"/>
  <c r="CM125" i="10"/>
  <c r="CM127" i="10"/>
  <c r="CM129" i="10"/>
  <c r="CM131" i="10"/>
  <c r="CM133" i="10"/>
  <c r="CM138" i="10"/>
  <c r="CM279" i="10"/>
  <c r="CM283" i="10"/>
  <c r="CM285" i="10"/>
  <c r="CM287" i="10"/>
  <c r="CM289" i="10"/>
  <c r="CO117" i="10"/>
  <c r="CO123" i="10"/>
  <c r="CO125" i="10"/>
  <c r="CO127" i="10"/>
  <c r="CO129" i="10"/>
  <c r="CO131" i="10"/>
  <c r="CO133" i="10"/>
  <c r="CO138" i="10"/>
  <c r="CO279" i="10"/>
  <c r="CO283" i="10"/>
  <c r="CO285" i="10"/>
  <c r="CO287" i="10"/>
  <c r="CO289" i="10"/>
  <c r="CR152" i="10"/>
  <c r="CR308" i="10"/>
  <c r="CR117" i="10"/>
  <c r="CR123" i="10"/>
  <c r="CR125" i="10"/>
  <c r="CR127" i="10"/>
  <c r="CR129" i="10"/>
  <c r="CR131" i="10"/>
  <c r="CR133" i="10"/>
  <c r="CR138" i="10"/>
  <c r="CR279" i="10"/>
  <c r="CR283" i="10"/>
  <c r="CR285" i="10"/>
  <c r="CR287" i="10"/>
  <c r="CR289" i="10"/>
  <c r="CV152" i="10"/>
  <c r="CV308" i="10"/>
  <c r="CV117" i="10"/>
  <c r="CV123" i="10"/>
  <c r="CV125" i="10"/>
  <c r="CV127" i="10"/>
  <c r="CV129" i="10"/>
  <c r="CV131" i="10"/>
  <c r="CV133" i="10"/>
  <c r="CV138" i="10"/>
  <c r="CV279" i="10"/>
  <c r="CV283" i="10"/>
  <c r="CV285" i="10"/>
  <c r="CV287" i="10"/>
  <c r="CV289" i="10"/>
  <c r="DD308" i="10"/>
  <c r="DD152" i="10"/>
  <c r="DD117" i="10"/>
  <c r="DD123" i="10"/>
  <c r="DD125" i="10"/>
  <c r="DD127" i="10"/>
  <c r="DD129" i="10"/>
  <c r="DD131" i="10"/>
  <c r="DD133" i="10"/>
  <c r="DD138" i="10"/>
  <c r="DD279" i="10"/>
  <c r="DD281" i="10"/>
  <c r="DD283" i="10"/>
  <c r="DD285" i="10"/>
  <c r="DD287" i="10"/>
  <c r="DD289" i="10"/>
  <c r="DH152" i="10"/>
  <c r="DH308" i="10"/>
  <c r="DH117" i="10"/>
  <c r="DH123" i="10"/>
  <c r="DH125" i="10"/>
  <c r="DH127" i="10"/>
  <c r="DH129" i="10"/>
  <c r="DH131" i="10"/>
  <c r="DH133" i="10"/>
  <c r="DH138" i="10"/>
  <c r="DH279" i="10"/>
  <c r="DH281" i="10"/>
  <c r="DH283" i="10"/>
  <c r="DH285" i="10"/>
  <c r="DH287" i="10"/>
  <c r="DH289" i="10"/>
  <c r="DK152" i="10"/>
  <c r="DK308" i="10"/>
  <c r="DK117" i="10"/>
  <c r="DK123" i="10"/>
  <c r="DK125" i="10"/>
  <c r="DK127" i="10"/>
  <c r="DK129" i="10"/>
  <c r="DK131" i="10"/>
  <c r="DK133" i="10"/>
  <c r="DK138" i="10"/>
  <c r="DK279" i="10"/>
  <c r="DK281" i="10"/>
  <c r="DK283" i="10"/>
  <c r="DK285" i="10"/>
  <c r="DK287" i="10"/>
  <c r="DK289" i="10"/>
  <c r="DN308" i="10"/>
  <c r="DN152" i="10"/>
  <c r="DN117" i="10"/>
  <c r="DN123" i="10"/>
  <c r="DN125" i="10"/>
  <c r="DN127" i="10"/>
  <c r="DN129" i="10"/>
  <c r="DN131" i="10"/>
  <c r="DN133" i="10"/>
  <c r="DN138" i="10"/>
  <c r="DN279" i="10"/>
  <c r="DN281" i="10"/>
  <c r="DN283" i="10"/>
  <c r="DN285" i="10"/>
  <c r="DN287" i="10"/>
  <c r="DN289" i="10"/>
  <c r="DR152" i="10"/>
  <c r="DR308" i="10"/>
  <c r="DR117" i="10"/>
  <c r="DR123" i="10"/>
  <c r="DR125" i="10"/>
  <c r="DR127" i="10"/>
  <c r="DR129" i="10"/>
  <c r="DR131" i="10"/>
  <c r="DR133" i="10"/>
  <c r="DR138" i="10"/>
  <c r="DR279" i="10"/>
  <c r="DR281" i="10"/>
  <c r="DR283" i="10"/>
  <c r="DR285" i="10"/>
  <c r="DR287" i="10"/>
  <c r="DR289" i="10"/>
  <c r="DV152" i="10"/>
  <c r="DV308" i="10"/>
  <c r="DV117" i="10"/>
  <c r="DV123" i="10"/>
  <c r="DV125" i="10"/>
  <c r="DV127" i="10"/>
  <c r="DV129" i="10"/>
  <c r="DV131" i="10"/>
  <c r="DV133" i="10"/>
  <c r="DV138" i="10"/>
  <c r="DV279" i="10"/>
  <c r="DV281" i="10"/>
  <c r="DV283" i="10"/>
  <c r="DV285" i="10"/>
  <c r="DV287" i="10"/>
  <c r="DV289" i="10"/>
  <c r="DZ308" i="10"/>
  <c r="DZ152" i="10"/>
  <c r="DZ117" i="10"/>
  <c r="DZ123" i="10"/>
  <c r="DZ125" i="10"/>
  <c r="DZ127" i="10"/>
  <c r="DZ129" i="10"/>
  <c r="DZ131" i="10"/>
  <c r="DZ133" i="10"/>
  <c r="DZ138" i="10"/>
  <c r="DZ279" i="10"/>
  <c r="DZ281" i="10"/>
  <c r="DZ283" i="10"/>
  <c r="DZ285" i="10"/>
  <c r="DZ287" i="10"/>
  <c r="DZ289" i="10"/>
  <c r="EF308" i="10"/>
  <c r="EF152" i="10"/>
  <c r="EF117" i="10"/>
  <c r="EF123" i="10"/>
  <c r="EF125" i="10"/>
  <c r="EF127" i="10"/>
  <c r="EF129" i="10"/>
  <c r="EF131" i="10"/>
  <c r="EF133" i="10"/>
  <c r="EF138" i="10"/>
  <c r="EF279" i="10"/>
  <c r="EF281" i="10"/>
  <c r="EF283" i="10"/>
  <c r="EF285" i="10"/>
  <c r="EF287" i="10"/>
  <c r="EF289" i="10"/>
  <c r="EH152" i="10"/>
  <c r="EH308" i="10"/>
  <c r="EH117" i="10"/>
  <c r="EH123" i="10"/>
  <c r="EH125" i="10"/>
  <c r="EH127" i="10"/>
  <c r="EH129" i="10"/>
  <c r="EH131" i="10"/>
  <c r="EH133" i="10"/>
  <c r="EH138" i="10"/>
  <c r="EH279" i="10"/>
  <c r="EH281" i="10"/>
  <c r="EH283" i="10"/>
  <c r="EH285" i="10"/>
  <c r="EH287" i="10"/>
  <c r="EH289" i="10"/>
  <c r="EL308" i="10"/>
  <c r="EL152" i="10"/>
  <c r="EL117" i="10"/>
  <c r="EL123" i="10"/>
  <c r="EL125" i="10"/>
  <c r="EL127" i="10"/>
  <c r="EL129" i="10"/>
  <c r="EL131" i="10"/>
  <c r="EL133" i="10"/>
  <c r="EL138" i="10"/>
  <c r="EL279" i="10"/>
  <c r="EL281" i="10"/>
  <c r="EL283" i="10"/>
  <c r="EL285" i="10"/>
  <c r="EL287" i="10"/>
  <c r="EL289" i="10"/>
  <c r="EQ152" i="10"/>
  <c r="EQ308" i="10"/>
  <c r="EQ117" i="10"/>
  <c r="EQ123" i="10"/>
  <c r="EQ125" i="10"/>
  <c r="EQ127" i="10"/>
  <c r="EQ129" i="10"/>
  <c r="EQ131" i="10"/>
  <c r="EQ133" i="10"/>
  <c r="EQ138" i="10"/>
  <c r="EQ279" i="10"/>
  <c r="EQ281" i="10"/>
  <c r="EQ283" i="10"/>
  <c r="EQ285" i="10"/>
  <c r="EQ287" i="10"/>
  <c r="EQ289" i="10"/>
  <c r="H152" i="10"/>
  <c r="H308" i="10"/>
  <c r="H117" i="10"/>
  <c r="H123" i="10"/>
  <c r="H125" i="10"/>
  <c r="H127" i="10"/>
  <c r="H129" i="10"/>
  <c r="H131" i="10"/>
  <c r="H133" i="10"/>
  <c r="H138" i="10"/>
  <c r="H279" i="10"/>
  <c r="H281" i="10"/>
  <c r="H283" i="10"/>
  <c r="H285" i="10"/>
  <c r="H287" i="10"/>
  <c r="H289" i="10"/>
  <c r="J308" i="10"/>
  <c r="J152" i="10"/>
  <c r="J117" i="10"/>
  <c r="J123" i="10"/>
  <c r="J125" i="10"/>
  <c r="J127" i="10"/>
  <c r="J129" i="10"/>
  <c r="J131" i="10"/>
  <c r="J133" i="10"/>
  <c r="J138" i="10"/>
  <c r="J279" i="10"/>
  <c r="J281" i="10"/>
  <c r="J283" i="10"/>
  <c r="J285" i="10"/>
  <c r="J287" i="10"/>
  <c r="J289" i="10"/>
  <c r="M308" i="10"/>
  <c r="M152" i="10"/>
  <c r="M117" i="10"/>
  <c r="M123" i="10"/>
  <c r="M127" i="10"/>
  <c r="M129" i="10"/>
  <c r="M131" i="10"/>
  <c r="M133" i="10"/>
  <c r="M138" i="10"/>
  <c r="M279" i="10"/>
  <c r="M283" i="10"/>
  <c r="M285" i="10"/>
  <c r="M287" i="10"/>
  <c r="M289" i="10"/>
  <c r="O308" i="10"/>
  <c r="O152" i="10"/>
  <c r="O117" i="10"/>
  <c r="O123" i="10"/>
  <c r="O127" i="10"/>
  <c r="O129" i="10"/>
  <c r="O131" i="10"/>
  <c r="O133" i="10"/>
  <c r="O138" i="10"/>
  <c r="O279" i="10"/>
  <c r="O283" i="10"/>
  <c r="O285" i="10"/>
  <c r="O287" i="10"/>
  <c r="O289" i="10"/>
  <c r="S308" i="10"/>
  <c r="S152" i="10"/>
  <c r="S117" i="10"/>
  <c r="S123" i="10"/>
  <c r="S127" i="10"/>
  <c r="S129" i="10"/>
  <c r="S131" i="10"/>
  <c r="S133" i="10"/>
  <c r="S138" i="10"/>
  <c r="S279" i="10"/>
  <c r="S283" i="10"/>
  <c r="S285" i="10"/>
  <c r="S287" i="10"/>
  <c r="S289" i="10"/>
  <c r="U117" i="10"/>
  <c r="U123" i="10"/>
  <c r="U127" i="10"/>
  <c r="U129" i="10"/>
  <c r="U131" i="10"/>
  <c r="U133" i="10"/>
  <c r="U138" i="10"/>
  <c r="U279" i="10"/>
  <c r="U283" i="10"/>
  <c r="U285" i="10"/>
  <c r="U287" i="10"/>
  <c r="U289" i="10"/>
  <c r="W152" i="10"/>
  <c r="W308" i="10"/>
  <c r="W117" i="10"/>
  <c r="W123" i="10"/>
  <c r="W127" i="10"/>
  <c r="W129" i="10"/>
  <c r="W131" i="10"/>
  <c r="W133" i="10"/>
  <c r="W138" i="10"/>
  <c r="W279" i="10"/>
  <c r="W283" i="10"/>
  <c r="W285" i="10"/>
  <c r="W287" i="10"/>
  <c r="W289" i="10"/>
  <c r="Z152" i="10"/>
  <c r="Z308" i="10"/>
  <c r="Z117" i="10"/>
  <c r="Z123" i="10"/>
  <c r="Z127" i="10"/>
  <c r="Z129" i="10"/>
  <c r="Z131" i="10"/>
  <c r="Z133" i="10"/>
  <c r="Z138" i="10"/>
  <c r="Z279" i="10"/>
  <c r="Z283" i="10"/>
  <c r="Z285" i="10"/>
  <c r="Z287" i="10"/>
  <c r="Z289" i="10"/>
  <c r="AC308" i="10"/>
  <c r="AC152" i="10"/>
  <c r="AC117" i="10"/>
  <c r="AC123" i="10"/>
  <c r="AC127" i="10"/>
  <c r="AC129" i="10"/>
  <c r="AC131" i="10"/>
  <c r="AC133" i="10"/>
  <c r="AC138" i="10"/>
  <c r="AC279" i="10"/>
  <c r="AC283" i="10"/>
  <c r="AC285" i="10"/>
  <c r="AC287" i="10"/>
  <c r="AC289" i="10"/>
  <c r="AG117" i="10"/>
  <c r="AG123" i="10"/>
  <c r="AG127" i="10"/>
  <c r="AG129" i="10"/>
  <c r="AG131" i="10"/>
  <c r="AG133" i="10"/>
  <c r="AG138" i="10"/>
  <c r="AG279" i="10"/>
  <c r="AG283" i="10"/>
  <c r="AG287" i="10"/>
  <c r="AG289" i="10"/>
  <c r="AK308" i="10"/>
  <c r="AK152" i="10"/>
  <c r="AK117" i="10"/>
  <c r="AK123" i="10"/>
  <c r="AK127" i="10"/>
  <c r="AK129" i="10"/>
  <c r="AK131" i="10"/>
  <c r="AK133" i="10"/>
  <c r="AK138" i="10"/>
  <c r="AK279" i="10"/>
  <c r="AK283" i="10"/>
  <c r="AK287" i="10"/>
  <c r="AK289" i="10"/>
  <c r="AQ152" i="10"/>
  <c r="AQ308" i="10"/>
  <c r="AQ117" i="10"/>
  <c r="AQ123" i="10"/>
  <c r="AQ127" i="10"/>
  <c r="AQ129" i="10"/>
  <c r="AQ131" i="10"/>
  <c r="AQ133" i="10"/>
  <c r="AQ138" i="10"/>
  <c r="AQ279" i="10"/>
  <c r="AQ283" i="10"/>
  <c r="AQ285" i="10"/>
  <c r="AQ287" i="10"/>
  <c r="AQ289" i="10"/>
  <c r="AS117" i="10"/>
  <c r="AS123" i="10"/>
  <c r="AS127" i="10"/>
  <c r="AS129" i="10"/>
  <c r="AS131" i="10"/>
  <c r="AS133" i="10"/>
  <c r="AS138" i="10"/>
  <c r="AS279" i="10"/>
  <c r="AS283" i="10"/>
  <c r="AS285" i="10"/>
  <c r="AS287" i="10"/>
  <c r="AS289" i="10"/>
  <c r="AV152" i="10"/>
  <c r="AV308" i="10"/>
  <c r="AV117" i="10"/>
  <c r="AV123" i="10"/>
  <c r="AV127" i="10"/>
  <c r="AV129" i="10"/>
  <c r="AV131" i="10"/>
  <c r="AV133" i="10"/>
  <c r="AV138" i="10"/>
  <c r="AV279" i="10"/>
  <c r="AV283" i="10"/>
  <c r="AV285" i="10"/>
  <c r="AV287" i="10"/>
  <c r="AV289" i="10"/>
  <c r="AZ152" i="10"/>
  <c r="AZ308" i="10"/>
  <c r="AZ117" i="10"/>
  <c r="AZ123" i="10"/>
  <c r="AZ127" i="10"/>
  <c r="AZ129" i="10"/>
  <c r="AZ131" i="10"/>
  <c r="AZ133" i="10"/>
  <c r="AZ138" i="10"/>
  <c r="AZ279" i="10"/>
  <c r="AZ283" i="10"/>
  <c r="AZ285" i="10"/>
  <c r="AZ287" i="10"/>
  <c r="AZ289" i="10"/>
  <c r="BE117" i="10"/>
  <c r="BE123" i="10"/>
  <c r="BE127" i="10"/>
  <c r="BE129" i="10"/>
  <c r="BE131" i="10"/>
  <c r="BE133" i="10"/>
  <c r="BE138" i="10"/>
  <c r="BE279" i="10"/>
  <c r="BE283" i="10"/>
  <c r="BE285" i="10"/>
  <c r="BE287" i="10"/>
  <c r="BE289" i="10"/>
  <c r="BH308" i="10"/>
  <c r="BH152" i="10"/>
  <c r="BH117" i="10"/>
  <c r="BH123" i="10"/>
  <c r="BH127" i="10"/>
  <c r="BH129" i="10"/>
  <c r="BH131" i="10"/>
  <c r="BH133" i="10"/>
  <c r="BH138" i="10"/>
  <c r="BH279" i="10"/>
  <c r="BH283" i="10"/>
  <c r="BH285" i="10"/>
  <c r="BH287" i="10"/>
  <c r="BH289" i="10"/>
  <c r="BO152" i="10"/>
  <c r="BO308" i="10"/>
  <c r="BO117" i="10"/>
  <c r="BO123" i="10"/>
  <c r="BO125" i="10"/>
  <c r="BO127" i="10"/>
  <c r="BO129" i="10"/>
  <c r="BO131" i="10"/>
  <c r="BO133" i="10"/>
  <c r="BO138" i="10"/>
  <c r="BO279" i="10"/>
  <c r="BO283" i="10"/>
  <c r="BO285" i="10"/>
  <c r="BO287" i="10"/>
  <c r="BO289" i="10"/>
  <c r="BR152" i="10"/>
  <c r="BR308" i="10"/>
  <c r="BR117" i="10"/>
  <c r="BR123" i="10"/>
  <c r="BR125" i="10"/>
  <c r="BR127" i="10"/>
  <c r="BR129" i="10"/>
  <c r="BR131" i="10"/>
  <c r="BR133" i="10"/>
  <c r="BR138" i="10"/>
  <c r="BR279" i="10"/>
  <c r="BR283" i="10"/>
  <c r="BR285" i="10"/>
  <c r="BR287" i="10"/>
  <c r="BR289" i="10"/>
  <c r="BV308" i="10"/>
  <c r="BV152" i="10"/>
  <c r="BV117" i="10"/>
  <c r="BV123" i="10"/>
  <c r="BV125" i="10"/>
  <c r="BV127" i="10"/>
  <c r="BV129" i="10"/>
  <c r="BV131" i="10"/>
  <c r="BV133" i="10"/>
  <c r="BV138" i="10"/>
  <c r="BV279" i="10"/>
  <c r="BV283" i="10"/>
  <c r="BV285" i="10"/>
  <c r="BV287" i="10"/>
  <c r="BV289" i="10"/>
  <c r="CB308" i="10"/>
  <c r="CB152" i="10"/>
  <c r="CB117" i="10"/>
  <c r="CB123" i="10"/>
  <c r="CB125" i="10"/>
  <c r="CB127" i="10"/>
  <c r="CB129" i="10"/>
  <c r="CB131" i="10"/>
  <c r="CB133" i="10"/>
  <c r="CB138" i="10"/>
  <c r="CB279" i="10"/>
  <c r="CB283" i="10"/>
  <c r="CB285" i="10"/>
  <c r="CB287" i="10"/>
  <c r="CB289" i="10"/>
  <c r="CD152" i="10"/>
  <c r="CD308" i="10"/>
  <c r="CD117" i="10"/>
  <c r="CD123" i="10"/>
  <c r="CD125" i="10"/>
  <c r="CD127" i="10"/>
  <c r="CD129" i="10"/>
  <c r="CD131" i="10"/>
  <c r="CD133" i="10"/>
  <c r="CD138" i="10"/>
  <c r="CD279" i="10"/>
  <c r="CD283" i="10"/>
  <c r="CD285" i="10"/>
  <c r="CD287" i="10"/>
  <c r="CD289" i="10"/>
  <c r="CF308" i="10"/>
  <c r="CF152" i="10"/>
  <c r="CF117" i="10"/>
  <c r="CF123" i="10"/>
  <c r="CF125" i="10"/>
  <c r="CF127" i="10"/>
  <c r="CF129" i="10"/>
  <c r="CF131" i="10"/>
  <c r="CF133" i="10"/>
  <c r="CF138" i="10"/>
  <c r="CF279" i="10"/>
  <c r="CF283" i="10"/>
  <c r="CF285" i="10"/>
  <c r="CF287" i="10"/>
  <c r="CF289" i="10"/>
  <c r="CH152" i="10"/>
  <c r="CH308" i="10"/>
  <c r="CH117" i="10"/>
  <c r="CH123" i="10"/>
  <c r="CH125" i="10"/>
  <c r="CH127" i="10"/>
  <c r="CH129" i="10"/>
  <c r="CH131" i="10"/>
  <c r="CH133" i="10"/>
  <c r="CH138" i="10"/>
  <c r="CH279" i="10"/>
  <c r="CH283" i="10"/>
  <c r="CH285" i="10"/>
  <c r="CH287" i="10"/>
  <c r="CH289" i="10"/>
  <c r="CJ152" i="10"/>
  <c r="CJ308" i="10"/>
  <c r="CJ117" i="10"/>
  <c r="CJ123" i="10"/>
  <c r="CJ125" i="10"/>
  <c r="CJ127" i="10"/>
  <c r="CJ129" i="10"/>
  <c r="CJ131" i="10"/>
  <c r="CJ133" i="10"/>
  <c r="CJ138" i="10"/>
  <c r="CJ279" i="10"/>
  <c r="CJ283" i="10"/>
  <c r="CJ285" i="10"/>
  <c r="CJ287" i="10"/>
  <c r="CJ289" i="10"/>
  <c r="CN308" i="10"/>
  <c r="CN152" i="10"/>
  <c r="CN117" i="10"/>
  <c r="CN123" i="10"/>
  <c r="CN125" i="10"/>
  <c r="CN127" i="10"/>
  <c r="CN129" i="10"/>
  <c r="CN131" i="10"/>
  <c r="CN133" i="10"/>
  <c r="CN138" i="10"/>
  <c r="CN279" i="10"/>
  <c r="CN283" i="10"/>
  <c r="CN285" i="10"/>
  <c r="CN287" i="10"/>
  <c r="CN289" i="10"/>
  <c r="CS308" i="10"/>
  <c r="CS152" i="10"/>
  <c r="CS117" i="10"/>
  <c r="CS123" i="10"/>
  <c r="CS125" i="10"/>
  <c r="CS127" i="10"/>
  <c r="CS129" i="10"/>
  <c r="CS131" i="10"/>
  <c r="CS133" i="10"/>
  <c r="CS138" i="10"/>
  <c r="CS279" i="10"/>
  <c r="CS283" i="10"/>
  <c r="CS285" i="10"/>
  <c r="CS287" i="10"/>
  <c r="CS289" i="10"/>
  <c r="CU152" i="10"/>
  <c r="CU308" i="10"/>
  <c r="CU117" i="10"/>
  <c r="CU123" i="10"/>
  <c r="CU125" i="10"/>
  <c r="CU127" i="10"/>
  <c r="CU129" i="10"/>
  <c r="CU131" i="10"/>
  <c r="CU133" i="10"/>
  <c r="CU138" i="10"/>
  <c r="CU279" i="10"/>
  <c r="CU283" i="10"/>
  <c r="CU285" i="10"/>
  <c r="CU287" i="10"/>
  <c r="CU289" i="10"/>
  <c r="CY308" i="10"/>
  <c r="CY152" i="10"/>
  <c r="CY117" i="10"/>
  <c r="CY123" i="10"/>
  <c r="CY125" i="10"/>
  <c r="CY127" i="10"/>
  <c r="CY129" i="10"/>
  <c r="CY131" i="10"/>
  <c r="CY133" i="10"/>
  <c r="CY138" i="10"/>
  <c r="CY279" i="10"/>
  <c r="CY281" i="10"/>
  <c r="CY283" i="10"/>
  <c r="CY285" i="10"/>
  <c r="CY287" i="10"/>
  <c r="CY289" i="10"/>
  <c r="DB152" i="10"/>
  <c r="DB308" i="10"/>
  <c r="DB117" i="10"/>
  <c r="DB123" i="10"/>
  <c r="DB125" i="10"/>
  <c r="DB127" i="10"/>
  <c r="DB129" i="10"/>
  <c r="DB131" i="10"/>
  <c r="DB133" i="10"/>
  <c r="DB138" i="10"/>
  <c r="DB279" i="10"/>
  <c r="DB281" i="10"/>
  <c r="DB283" i="10"/>
  <c r="DB285" i="10"/>
  <c r="DB287" i="10"/>
  <c r="DB289" i="10"/>
  <c r="DF152" i="10"/>
  <c r="DF308" i="10"/>
  <c r="DF117" i="10"/>
  <c r="DF123" i="10"/>
  <c r="DF125" i="10"/>
  <c r="DF127" i="10"/>
  <c r="DF129" i="10"/>
  <c r="DF131" i="10"/>
  <c r="DF133" i="10"/>
  <c r="DF138" i="10"/>
  <c r="DF279" i="10"/>
  <c r="DF281" i="10"/>
  <c r="DF283" i="10"/>
  <c r="DF285" i="10"/>
  <c r="DF287" i="10"/>
  <c r="DF289" i="10"/>
  <c r="DI308" i="10"/>
  <c r="DI152" i="10"/>
  <c r="DI117" i="10"/>
  <c r="DI123" i="10"/>
  <c r="DI125" i="10"/>
  <c r="DI127" i="10"/>
  <c r="DI129" i="10"/>
  <c r="DI131" i="10"/>
  <c r="DI133" i="10"/>
  <c r="DI138" i="10"/>
  <c r="DI279" i="10"/>
  <c r="DI281" i="10"/>
  <c r="DI283" i="10"/>
  <c r="DI285" i="10"/>
  <c r="DI287" i="10"/>
  <c r="DI289" i="10"/>
  <c r="DP152" i="10"/>
  <c r="DP308" i="10"/>
  <c r="DP117" i="10"/>
  <c r="DP123" i="10"/>
  <c r="DP125" i="10"/>
  <c r="DP127" i="10"/>
  <c r="DP129" i="10"/>
  <c r="DP131" i="10"/>
  <c r="DP133" i="10"/>
  <c r="DP138" i="10"/>
  <c r="DP279" i="10"/>
  <c r="DP281" i="10"/>
  <c r="DP283" i="10"/>
  <c r="DP285" i="10"/>
  <c r="DP287" i="10"/>
  <c r="DP289" i="10"/>
  <c r="DU152" i="10"/>
  <c r="DU308" i="10"/>
  <c r="DU117" i="10"/>
  <c r="DU123" i="10"/>
  <c r="DU125" i="10"/>
  <c r="DU127" i="10"/>
  <c r="DU129" i="10"/>
  <c r="DU131" i="10"/>
  <c r="DU133" i="10"/>
  <c r="DU138" i="10"/>
  <c r="DU279" i="10"/>
  <c r="DU281" i="10"/>
  <c r="DU283" i="10"/>
  <c r="DU285" i="10"/>
  <c r="DU287" i="10"/>
  <c r="DU289" i="10"/>
  <c r="DX152" i="10"/>
  <c r="DX308" i="10"/>
  <c r="DX117" i="10"/>
  <c r="DX123" i="10"/>
  <c r="DX125" i="10"/>
  <c r="DX127" i="10"/>
  <c r="DX129" i="10"/>
  <c r="DX131" i="10"/>
  <c r="DX133" i="10"/>
  <c r="DX138" i="10"/>
  <c r="DX279" i="10"/>
  <c r="DX281" i="10"/>
  <c r="DX283" i="10"/>
  <c r="DX285" i="10"/>
  <c r="DX287" i="10"/>
  <c r="DX289" i="10"/>
  <c r="EE152" i="10"/>
  <c r="EE308" i="10"/>
  <c r="EE117" i="10"/>
  <c r="EE123" i="10"/>
  <c r="EE125" i="10"/>
  <c r="EE127" i="10"/>
  <c r="EE129" i="10"/>
  <c r="EE131" i="10"/>
  <c r="EE133" i="10"/>
  <c r="EE138" i="10"/>
  <c r="EE279" i="10"/>
  <c r="EE281" i="10"/>
  <c r="EE283" i="10"/>
  <c r="EE285" i="10"/>
  <c r="EE287" i="10"/>
  <c r="EE289" i="10"/>
  <c r="EJ152" i="10"/>
  <c r="EJ308" i="10"/>
  <c r="EJ117" i="10"/>
  <c r="EJ123" i="10"/>
  <c r="EJ125" i="10"/>
  <c r="EJ127" i="10"/>
  <c r="EJ129" i="10"/>
  <c r="EJ131" i="10"/>
  <c r="EJ133" i="10"/>
  <c r="EJ138" i="10"/>
  <c r="EJ279" i="10"/>
  <c r="EJ281" i="10"/>
  <c r="EJ283" i="10"/>
  <c r="EJ285" i="10"/>
  <c r="EJ287" i="10"/>
  <c r="EJ289" i="10"/>
  <c r="EM308" i="10"/>
  <c r="EM152" i="10"/>
  <c r="EM117" i="10"/>
  <c r="EM123" i="10"/>
  <c r="EM125" i="10"/>
  <c r="EM127" i="10"/>
  <c r="EM129" i="10"/>
  <c r="EM131" i="10"/>
  <c r="EM133" i="10"/>
  <c r="EM138" i="10"/>
  <c r="EM279" i="10"/>
  <c r="EM281" i="10"/>
  <c r="EM283" i="10"/>
  <c r="EM285" i="10"/>
  <c r="EM287" i="10"/>
  <c r="EM289" i="10"/>
  <c r="EO308" i="10"/>
  <c r="EO152" i="10"/>
  <c r="EO117" i="10"/>
  <c r="EO123" i="10"/>
  <c r="EO125" i="10"/>
  <c r="EO127" i="10"/>
  <c r="EO129" i="10"/>
  <c r="EO131" i="10"/>
  <c r="EO133" i="10"/>
  <c r="EO138" i="10"/>
  <c r="EO279" i="10"/>
  <c r="EO281" i="10"/>
  <c r="EO283" i="10"/>
  <c r="EO285" i="10"/>
  <c r="EO287" i="10"/>
  <c r="EO289" i="10"/>
  <c r="ER308" i="10"/>
  <c r="ER152" i="10"/>
  <c r="ER117" i="10"/>
  <c r="ER123" i="10"/>
  <c r="ER125" i="10"/>
  <c r="ER127" i="10"/>
  <c r="ER129" i="10"/>
  <c r="ER131" i="10"/>
  <c r="ER133" i="10"/>
  <c r="ER138" i="10"/>
  <c r="ER279" i="10"/>
  <c r="ER281" i="10"/>
  <c r="ER283" i="10"/>
  <c r="ER285" i="10"/>
  <c r="ER287" i="10"/>
  <c r="ER289" i="10"/>
  <c r="K171" i="10"/>
  <c r="K173" i="10"/>
  <c r="O171" i="10"/>
  <c r="O173" i="10"/>
  <c r="S173" i="10"/>
  <c r="S171" i="10"/>
  <c r="Y171" i="10"/>
  <c r="Y173" i="10"/>
  <c r="AC171" i="10"/>
  <c r="AC173" i="10"/>
  <c r="AJ171" i="10"/>
  <c r="AJ173" i="10"/>
  <c r="AP173" i="10"/>
  <c r="AP171" i="10"/>
  <c r="AS171" i="10"/>
  <c r="AS173" i="10"/>
  <c r="BA171" i="10"/>
  <c r="BA173" i="10"/>
  <c r="BC171" i="10"/>
  <c r="BC173" i="10"/>
  <c r="BE171" i="10"/>
  <c r="BE173" i="10"/>
  <c r="BK173" i="10"/>
  <c r="BK171" i="10"/>
  <c r="BO171" i="10"/>
  <c r="BO173" i="10"/>
  <c r="BS171" i="10"/>
  <c r="BS173" i="10"/>
  <c r="BV171" i="10"/>
  <c r="BV173" i="10"/>
  <c r="CA171" i="10"/>
  <c r="CA173" i="10"/>
  <c r="CC171" i="10"/>
  <c r="CC173" i="10"/>
  <c r="CG171" i="10"/>
  <c r="CG173" i="10"/>
  <c r="CM173" i="10"/>
  <c r="CM171" i="10"/>
  <c r="CR171" i="10"/>
  <c r="CR173" i="10"/>
  <c r="CU173" i="10"/>
  <c r="CU171" i="10"/>
  <c r="CW171" i="10"/>
  <c r="CW173" i="10"/>
  <c r="DB173" i="10"/>
  <c r="DB171" i="10"/>
  <c r="DH173" i="10"/>
  <c r="DH171" i="10"/>
  <c r="DK173" i="10"/>
  <c r="DK171" i="10"/>
  <c r="DQ173" i="10"/>
  <c r="DQ171" i="10"/>
  <c r="DS173" i="10"/>
  <c r="DS171" i="10"/>
  <c r="DV171" i="10"/>
  <c r="DV173" i="10"/>
  <c r="EA171" i="10"/>
  <c r="EA173" i="10"/>
  <c r="EG173" i="10"/>
  <c r="EG171" i="10"/>
  <c r="EL173" i="10"/>
  <c r="EL171" i="10"/>
  <c r="EP171" i="10"/>
  <c r="EP173" i="10"/>
  <c r="ES171" i="10"/>
  <c r="ES173" i="10"/>
  <c r="G173" i="10"/>
  <c r="G171" i="10"/>
  <c r="I173" i="10"/>
  <c r="I171" i="10"/>
  <c r="N171" i="10"/>
  <c r="N173" i="10"/>
  <c r="U171" i="10"/>
  <c r="U173" i="10"/>
  <c r="Z173" i="10"/>
  <c r="Z171" i="10"/>
  <c r="AF171" i="10"/>
  <c r="AF173" i="10"/>
  <c r="AI173" i="10"/>
  <c r="AI171" i="10"/>
  <c r="AO171" i="10"/>
  <c r="AO173" i="10"/>
  <c r="AT171" i="10"/>
  <c r="AT173" i="10"/>
  <c r="AW173" i="10"/>
  <c r="AW171" i="10"/>
  <c r="BL171" i="10"/>
  <c r="BL173" i="10"/>
  <c r="BQ171" i="10"/>
  <c r="BQ173" i="10"/>
  <c r="BY171" i="10"/>
  <c r="BY173" i="10"/>
  <c r="CI171" i="10"/>
  <c r="CI173" i="10"/>
  <c r="CJ171" i="10"/>
  <c r="CJ173" i="10"/>
  <c r="CN171" i="10"/>
  <c r="CN173" i="10"/>
  <c r="CV171" i="10"/>
  <c r="CV173" i="10"/>
  <c r="CZ171" i="10"/>
  <c r="CZ173" i="10"/>
  <c r="DI171" i="10"/>
  <c r="DI173" i="10"/>
  <c r="DJ173" i="10"/>
  <c r="DJ171" i="10"/>
  <c r="DP171" i="10"/>
  <c r="DP173" i="10"/>
  <c r="DW171" i="10"/>
  <c r="DW173" i="10"/>
  <c r="DZ173" i="10"/>
  <c r="DZ171" i="10"/>
  <c r="EE171" i="10"/>
  <c r="EE173" i="10"/>
  <c r="EH173" i="10"/>
  <c r="EH171" i="10"/>
  <c r="EK173" i="10"/>
  <c r="EK171" i="10"/>
  <c r="EQ171" i="10"/>
  <c r="EQ173" i="10"/>
  <c r="H171" i="10"/>
  <c r="H173" i="10"/>
  <c r="L171" i="10"/>
  <c r="L173" i="10"/>
  <c r="W171" i="10"/>
  <c r="W173" i="10"/>
  <c r="AA171" i="10"/>
  <c r="AA173" i="10"/>
  <c r="AD171" i="10"/>
  <c r="AD173" i="10"/>
  <c r="AH171" i="10"/>
  <c r="AH173" i="10"/>
  <c r="AL171" i="10"/>
  <c r="AL173" i="10"/>
  <c r="AU171" i="10"/>
  <c r="AU173" i="10"/>
  <c r="AY173" i="10"/>
  <c r="AY171" i="10"/>
  <c r="BF171" i="10"/>
  <c r="BF173" i="10"/>
  <c r="BH171" i="10"/>
  <c r="BH173" i="10"/>
  <c r="BU173" i="10"/>
  <c r="BU171" i="10"/>
  <c r="CK171" i="10"/>
  <c r="CK173" i="10"/>
  <c r="CQ171" i="10"/>
  <c r="CQ173" i="10"/>
  <c r="DF171" i="10"/>
  <c r="DF173" i="10"/>
  <c r="EB171" i="10"/>
  <c r="EB173" i="10"/>
  <c r="M171" i="10"/>
  <c r="M173" i="10"/>
  <c r="P171" i="10"/>
  <c r="P173" i="10"/>
  <c r="R173" i="10"/>
  <c r="R171" i="10"/>
  <c r="V171" i="10"/>
  <c r="V173" i="10"/>
  <c r="AB171" i="10"/>
  <c r="AB173" i="10"/>
  <c r="AK173" i="10"/>
  <c r="AK171" i="10"/>
  <c r="AN171" i="10"/>
  <c r="AN173" i="10"/>
  <c r="AR171" i="10"/>
  <c r="AR173" i="10"/>
  <c r="AX173" i="10"/>
  <c r="AX171" i="10"/>
  <c r="BB171" i="10"/>
  <c r="BB173" i="10"/>
  <c r="BG171" i="10"/>
  <c r="BG173" i="10"/>
  <c r="BI173" i="10"/>
  <c r="BI171" i="10"/>
  <c r="BN173" i="10"/>
  <c r="BN171" i="10"/>
  <c r="BT171" i="10"/>
  <c r="BT173" i="10"/>
  <c r="BX171" i="10"/>
  <c r="BX173" i="10"/>
  <c r="BZ171" i="10"/>
  <c r="BZ173" i="10"/>
  <c r="CD173" i="10"/>
  <c r="CD171" i="10"/>
  <c r="CH171" i="10"/>
  <c r="CH173" i="10"/>
  <c r="CT171" i="10"/>
  <c r="CT173" i="10"/>
  <c r="DA171" i="10"/>
  <c r="DA173" i="10"/>
  <c r="DD171" i="10"/>
  <c r="DD173" i="10"/>
  <c r="DG173" i="10"/>
  <c r="DG171" i="10"/>
  <c r="DL171" i="10"/>
  <c r="DL173" i="10"/>
  <c r="DN171" i="10"/>
  <c r="DN173" i="10"/>
  <c r="DY173" i="10"/>
  <c r="DY171" i="10"/>
  <c r="ED171" i="10"/>
  <c r="ED173" i="10"/>
  <c r="EI173" i="10"/>
  <c r="EI171" i="10"/>
  <c r="EM171" i="10"/>
  <c r="EM173" i="10"/>
  <c r="EO171" i="10"/>
  <c r="EO173" i="10"/>
  <c r="F173" i="10"/>
  <c r="F171" i="10"/>
  <c r="J171" i="10"/>
  <c r="J173" i="10"/>
  <c r="Q171" i="10"/>
  <c r="Q173" i="10"/>
  <c r="X173" i="10"/>
  <c r="X171" i="10"/>
  <c r="AE171" i="10"/>
  <c r="AE173" i="10"/>
  <c r="AQ173" i="10"/>
  <c r="AQ171" i="10"/>
  <c r="BJ171" i="10"/>
  <c r="BJ173" i="10"/>
  <c r="BP173" i="10"/>
  <c r="BP171" i="10"/>
  <c r="BW173" i="10"/>
  <c r="BW171" i="10"/>
  <c r="CB171" i="10"/>
  <c r="CB173" i="10"/>
  <c r="CF173" i="10"/>
  <c r="CF171" i="10"/>
  <c r="CO171" i="10"/>
  <c r="CO173" i="10"/>
  <c r="CS173" i="10"/>
  <c r="CS171" i="10"/>
  <c r="CX173" i="10"/>
  <c r="CX171" i="10"/>
  <c r="DC173" i="10"/>
  <c r="DC171" i="10"/>
  <c r="DM171" i="10"/>
  <c r="DM173" i="10"/>
  <c r="DO173" i="10"/>
  <c r="DO171" i="10"/>
  <c r="DU173" i="10"/>
  <c r="DU171" i="10"/>
  <c r="DX171" i="10"/>
  <c r="DX173" i="10"/>
  <c r="EF173" i="10"/>
  <c r="EF171" i="10"/>
  <c r="EJ171" i="10"/>
  <c r="EJ173" i="10"/>
  <c r="EN173" i="10"/>
  <c r="EN171" i="10"/>
  <c r="ER171" i="10"/>
  <c r="ER173" i="10"/>
  <c r="T171" i="10"/>
  <c r="T173" i="10"/>
  <c r="AG171" i="10"/>
  <c r="AG173" i="10"/>
  <c r="AM173" i="10"/>
  <c r="AM171" i="10"/>
  <c r="AV173" i="10"/>
  <c r="AV171" i="10"/>
  <c r="AZ173" i="10"/>
  <c r="AZ171" i="10"/>
  <c r="BD173" i="10"/>
  <c r="BD171" i="10"/>
  <c r="BM173" i="10"/>
  <c r="BM171" i="10"/>
  <c r="BR171" i="10"/>
  <c r="BR173" i="10"/>
  <c r="CE171" i="10"/>
  <c r="CE173" i="10"/>
  <c r="CL173" i="10"/>
  <c r="CL171" i="10"/>
  <c r="CP173" i="10"/>
  <c r="CP171" i="10"/>
  <c r="CY171" i="10"/>
  <c r="CY173" i="10"/>
  <c r="DE171" i="10"/>
  <c r="DE173" i="10"/>
  <c r="DR171" i="10"/>
  <c r="DR173" i="10"/>
  <c r="DT173" i="10"/>
  <c r="DT171" i="10"/>
  <c r="EC173" i="10"/>
  <c r="EC171" i="10"/>
  <c r="CQ15" i="10"/>
  <c r="CQ17" i="10"/>
  <c r="CO15" i="10"/>
  <c r="CO17" i="10"/>
  <c r="CM15" i="10"/>
  <c r="CM17" i="10"/>
  <c r="CJ17" i="10"/>
  <c r="CJ15" i="10"/>
  <c r="CH15" i="10"/>
  <c r="CH17" i="10"/>
  <c r="CF17" i="10"/>
  <c r="CF15" i="10"/>
  <c r="CB17" i="10"/>
  <c r="CB15" i="10"/>
  <c r="BY15" i="10"/>
  <c r="BY17" i="10"/>
  <c r="BT15" i="10"/>
  <c r="BT17" i="10"/>
  <c r="BQ17" i="10"/>
  <c r="BQ15" i="10"/>
  <c r="BK17" i="10"/>
  <c r="BK15" i="10"/>
  <c r="BH15" i="10"/>
  <c r="BH17" i="10"/>
  <c r="BF15" i="10"/>
  <c r="BF17" i="10"/>
  <c r="BB15" i="10"/>
  <c r="BB17" i="10"/>
  <c r="AT17" i="10"/>
  <c r="AT15" i="10"/>
  <c r="AO17" i="10"/>
  <c r="AO15" i="10"/>
  <c r="AL15" i="10"/>
  <c r="AL17" i="10"/>
  <c r="AG17" i="10"/>
  <c r="AG15" i="10"/>
  <c r="AC17" i="10"/>
  <c r="AC15" i="10"/>
  <c r="V17" i="10"/>
  <c r="V15" i="10"/>
  <c r="R17" i="10"/>
  <c r="R15" i="10"/>
  <c r="M17" i="10"/>
  <c r="M15" i="10"/>
  <c r="K17" i="10"/>
  <c r="K15" i="10"/>
  <c r="G17" i="10"/>
  <c r="G15" i="10"/>
  <c r="AZ15" i="10"/>
  <c r="AZ17" i="10"/>
  <c r="CW15" i="10"/>
  <c r="CW17" i="10"/>
  <c r="AW17" i="10"/>
  <c r="AW15" i="10"/>
  <c r="ES17" i="10"/>
  <c r="ES15" i="10"/>
  <c r="ER17" i="10"/>
  <c r="ER15" i="10"/>
  <c r="EP17" i="10"/>
  <c r="EP15" i="10"/>
  <c r="EM15" i="10"/>
  <c r="EM17" i="10"/>
  <c r="EK17" i="10"/>
  <c r="EK15" i="10"/>
  <c r="EI17" i="10"/>
  <c r="EI15" i="10"/>
  <c r="EG17" i="10"/>
  <c r="EG15" i="10"/>
  <c r="EE17" i="10"/>
  <c r="EE15" i="10"/>
  <c r="EB17" i="10"/>
  <c r="EB15" i="10"/>
  <c r="DZ17" i="10"/>
  <c r="DZ15" i="10"/>
  <c r="DX17" i="10"/>
  <c r="DX15" i="10"/>
  <c r="DV17" i="10"/>
  <c r="DV15" i="10"/>
  <c r="DT17" i="10"/>
  <c r="DT15" i="10"/>
  <c r="DQ15" i="10"/>
  <c r="DQ17" i="10"/>
  <c r="DN17" i="10"/>
  <c r="DN15" i="10"/>
  <c r="DL17" i="10"/>
  <c r="DL15" i="10"/>
  <c r="DI17" i="10"/>
  <c r="DI15" i="10"/>
  <c r="DG17" i="10"/>
  <c r="DG15" i="10"/>
  <c r="DE17" i="10"/>
  <c r="DE15" i="10"/>
  <c r="DC17" i="10"/>
  <c r="DC15" i="10"/>
  <c r="DA15" i="10"/>
  <c r="DA17" i="10"/>
  <c r="CY15" i="10"/>
  <c r="CY17" i="10"/>
  <c r="CU15" i="10"/>
  <c r="CU17" i="10"/>
  <c r="CS15" i="10"/>
  <c r="CS17" i="10"/>
  <c r="E172" i="10"/>
  <c r="N103" i="10"/>
  <c r="N273" i="10"/>
  <c r="N294" i="10"/>
  <c r="V103" i="10"/>
  <c r="V273" i="10"/>
  <c r="V294" i="10"/>
  <c r="AB273" i="10"/>
  <c r="AB103" i="10"/>
  <c r="AB294" i="10"/>
  <c r="AF103" i="10"/>
  <c r="AF294" i="10"/>
  <c r="AF273" i="10"/>
  <c r="AI103" i="10"/>
  <c r="AI294" i="10"/>
  <c r="AI273" i="10"/>
  <c r="AP294" i="10"/>
  <c r="AP273" i="10"/>
  <c r="AP103" i="10"/>
  <c r="AT294" i="10"/>
  <c r="AT103" i="10"/>
  <c r="AT273" i="10"/>
  <c r="BA294" i="10"/>
  <c r="BA273" i="10"/>
  <c r="BA103" i="10"/>
  <c r="BC103" i="10"/>
  <c r="BC294" i="10"/>
  <c r="BC273" i="10"/>
  <c r="BI294" i="10"/>
  <c r="BI273" i="10"/>
  <c r="BI103" i="10"/>
  <c r="BL294" i="10"/>
  <c r="BL103" i="10"/>
  <c r="BL273" i="10"/>
  <c r="BN294" i="10"/>
  <c r="BN103" i="10"/>
  <c r="BN273" i="10"/>
  <c r="CQ294" i="10"/>
  <c r="CQ273" i="10"/>
  <c r="CT294" i="10"/>
  <c r="CT273" i="10"/>
  <c r="CW294" i="10"/>
  <c r="CW273" i="10"/>
  <c r="DM273" i="10"/>
  <c r="DM294" i="10"/>
  <c r="DQ294" i="10"/>
  <c r="DQ273" i="10"/>
  <c r="EK273" i="10"/>
  <c r="EK299" i="10"/>
  <c r="EK294" i="10"/>
  <c r="EP299" i="10"/>
  <c r="EP294" i="10"/>
  <c r="EP273" i="10"/>
  <c r="AJ294" i="10"/>
  <c r="AJ273" i="10"/>
  <c r="AO294" i="10"/>
  <c r="AO273" i="10"/>
  <c r="AU273" i="10"/>
  <c r="AU294" i="10"/>
  <c r="CC273" i="10"/>
  <c r="CC294" i="10"/>
  <c r="AH273" i="10"/>
  <c r="AH294" i="10"/>
  <c r="AX294" i="10"/>
  <c r="AX273" i="10"/>
  <c r="BZ294" i="10"/>
  <c r="BZ273" i="10"/>
  <c r="AZ294" i="10"/>
  <c r="AZ273" i="10"/>
  <c r="BR294" i="10"/>
  <c r="BR273" i="10"/>
  <c r="BV294" i="10"/>
  <c r="BV273" i="10"/>
  <c r="U26" i="7"/>
  <c r="AJ259" i="10"/>
  <c r="AI259" i="10"/>
  <c r="AH259" i="10"/>
  <c r="AG259" i="10"/>
  <c r="AF259" i="10"/>
  <c r="BG259" i="10"/>
  <c r="AD259" i="10"/>
  <c r="AC259" i="10"/>
  <c r="AB259" i="10"/>
  <c r="AB20" i="11" s="1"/>
  <c r="AA259" i="10"/>
  <c r="AA20" i="11" s="1"/>
  <c r="Z259" i="10"/>
  <c r="Z20" i="11" s="1"/>
  <c r="Y259" i="10"/>
  <c r="X259" i="10"/>
  <c r="X20" i="11" s="1"/>
  <c r="W259" i="10"/>
  <c r="W20" i="11" s="1"/>
  <c r="V259" i="10"/>
  <c r="V20" i="11" s="1"/>
  <c r="U259" i="10"/>
  <c r="U20" i="11" s="1"/>
  <c r="T259" i="10"/>
  <c r="T20" i="11" s="1"/>
  <c r="S259" i="10"/>
  <c r="S20" i="11" s="1"/>
  <c r="R259" i="10"/>
  <c r="Q259" i="10"/>
  <c r="Q20" i="11" s="1"/>
  <c r="P259" i="10"/>
  <c r="P20" i="11" s="1"/>
  <c r="O259" i="10"/>
  <c r="N259" i="10"/>
  <c r="N20" i="11" s="1"/>
  <c r="M259" i="10"/>
  <c r="M20" i="11" s="1"/>
  <c r="L259" i="10"/>
  <c r="K259" i="10"/>
  <c r="K20" i="11" s="1"/>
  <c r="J259" i="10"/>
  <c r="I259" i="10"/>
  <c r="I20" i="11" s="1"/>
  <c r="H259" i="10"/>
  <c r="H20" i="11" s="1"/>
  <c r="G259" i="10"/>
  <c r="G20" i="11" s="1"/>
  <c r="F259" i="10"/>
  <c r="AT259" i="10"/>
  <c r="AU259" i="10"/>
  <c r="AV259" i="10"/>
  <c r="AW259" i="10"/>
  <c r="AX259" i="10"/>
  <c r="AY259" i="10"/>
  <c r="AZ259" i="10"/>
  <c r="BA259" i="10"/>
  <c r="AE259" i="10"/>
  <c r="BB259" i="10"/>
  <c r="BC259" i="10"/>
  <c r="BD259" i="10"/>
  <c r="BE259" i="10"/>
  <c r="BF259" i="10"/>
  <c r="BH259" i="10"/>
  <c r="BI259" i="10"/>
  <c r="BJ259" i="10"/>
  <c r="BK259" i="10"/>
  <c r="BL259" i="10"/>
  <c r="BM259" i="10"/>
  <c r="BN259" i="10"/>
  <c r="BO259" i="10"/>
  <c r="BP259" i="10"/>
  <c r="BQ259" i="10"/>
  <c r="BR259" i="10"/>
  <c r="BS259" i="10"/>
  <c r="BT259" i="10"/>
  <c r="BU259" i="10"/>
  <c r="BV259" i="10"/>
  <c r="BW259" i="10"/>
  <c r="BX259" i="10"/>
  <c r="BY259" i="10"/>
  <c r="BZ259" i="10"/>
  <c r="CA259" i="10"/>
  <c r="CB259" i="10"/>
  <c r="CC259" i="10"/>
  <c r="CD259" i="10"/>
  <c r="CE259" i="10"/>
  <c r="CF259" i="10"/>
  <c r="CG259" i="10"/>
  <c r="CH259" i="10"/>
  <c r="CI259" i="10"/>
  <c r="CJ259" i="10"/>
  <c r="CK259" i="10"/>
  <c r="CL259" i="10"/>
  <c r="CM259" i="10"/>
  <c r="CN259" i="10"/>
  <c r="CO259" i="10"/>
  <c r="AS259" i="10"/>
  <c r="CP259" i="10"/>
  <c r="CQ259" i="10"/>
  <c r="CR259" i="10"/>
  <c r="CS259" i="10"/>
  <c r="CT259" i="10"/>
  <c r="CU259" i="10"/>
  <c r="CV259" i="10"/>
  <c r="CW259" i="10"/>
  <c r="CX259" i="10"/>
  <c r="CY259" i="10"/>
  <c r="CZ259" i="10"/>
  <c r="DA259" i="10"/>
  <c r="DB259" i="10"/>
  <c r="DC259" i="10"/>
  <c r="DD259" i="10"/>
  <c r="DE259" i="10"/>
  <c r="DF259" i="10"/>
  <c r="DG259" i="10"/>
  <c r="DH259" i="10"/>
  <c r="DI259" i="10"/>
  <c r="DJ259" i="10"/>
  <c r="DK259" i="10"/>
  <c r="DL259" i="10"/>
  <c r="DM259" i="10"/>
  <c r="DN259" i="10"/>
  <c r="DO259" i="10"/>
  <c r="DP259" i="10"/>
  <c r="DQ259" i="10"/>
  <c r="DR259" i="10"/>
  <c r="DY259" i="10"/>
  <c r="DS259" i="10"/>
  <c r="DT259" i="10"/>
  <c r="DU259" i="10"/>
  <c r="DV259" i="10"/>
  <c r="DW259" i="10"/>
  <c r="DX259" i="10"/>
  <c r="DZ259" i="10"/>
  <c r="EA259" i="10"/>
  <c r="EB259" i="10"/>
  <c r="EC259" i="10"/>
  <c r="ED259" i="10"/>
  <c r="EE259" i="10"/>
  <c r="EF259" i="10"/>
  <c r="EG259" i="10"/>
  <c r="EH259" i="10"/>
  <c r="EI259" i="10"/>
  <c r="EJ259" i="10"/>
  <c r="EK259" i="10"/>
  <c r="EL259" i="10"/>
  <c r="EM259" i="10"/>
  <c r="EN259" i="10"/>
  <c r="EO259" i="10"/>
  <c r="EP259" i="10"/>
  <c r="EQ259" i="10"/>
  <c r="ER259" i="10"/>
  <c r="ES259" i="10"/>
  <c r="AR259" i="10"/>
  <c r="AQ259" i="10"/>
  <c r="AP259" i="10"/>
  <c r="AO259" i="10"/>
  <c r="AN259" i="10"/>
  <c r="AM259" i="10"/>
  <c r="AL259" i="10"/>
  <c r="AK259" i="10"/>
  <c r="CW136" i="10" l="1"/>
  <c r="CW146" i="10" s="1"/>
  <c r="AT136" i="10"/>
  <c r="AT146" i="10" s="1"/>
  <c r="BA23" i="10"/>
  <c r="BA48" i="10" s="1"/>
  <c r="BA27" i="10"/>
  <c r="BA52" i="10" s="1"/>
  <c r="BA30" i="10"/>
  <c r="BA55" i="10" s="1"/>
  <c r="BA34" i="10"/>
  <c r="BA59" i="10" s="1"/>
  <c r="BA36" i="10"/>
  <c r="BA61" i="10" s="1"/>
  <c r="BA38" i="10"/>
  <c r="BA63" i="10" s="1"/>
  <c r="BA40" i="10"/>
  <c r="BA65" i="10" s="1"/>
  <c r="BA41" i="10"/>
  <c r="BA66" i="10" s="1"/>
  <c r="BA29" i="10"/>
  <c r="BA54" i="10" s="1"/>
  <c r="BA32" i="10"/>
  <c r="BA57" i="10" s="1"/>
  <c r="BA35" i="10"/>
  <c r="BA60" i="10" s="1"/>
  <c r="BA37" i="10"/>
  <c r="BA62" i="10" s="1"/>
  <c r="BA39" i="10"/>
  <c r="BA64" i="10" s="1"/>
  <c r="BA42" i="10"/>
  <c r="BA67" i="10" s="1"/>
  <c r="BA44" i="10"/>
  <c r="BA69" i="10" s="1"/>
  <c r="BA26" i="10"/>
  <c r="BA51" i="10" s="1"/>
  <c r="BA43" i="10"/>
  <c r="BA68" i="10" s="1"/>
  <c r="BA33" i="10"/>
  <c r="BA58" i="10" s="1"/>
  <c r="BA45" i="10"/>
  <c r="BA70" i="10" s="1"/>
  <c r="BA28" i="10"/>
  <c r="BA53" i="10" s="1"/>
  <c r="BA31" i="10"/>
  <c r="BA56" i="10" s="1"/>
  <c r="BA21" i="10"/>
  <c r="BA22" i="10"/>
  <c r="BA47" i="10" s="1"/>
  <c r="BA24" i="10"/>
  <c r="BA49" i="10" s="1"/>
  <c r="BA25" i="10"/>
  <c r="BA50" i="10" s="1"/>
  <c r="BA88" i="10"/>
  <c r="BA91" i="10"/>
  <c r="BA101" i="10" s="1"/>
  <c r="BA111" i="10" s="1"/>
  <c r="BA86" i="10"/>
  <c r="BA87" i="10"/>
  <c r="BA79" i="10"/>
  <c r="BA80" i="10" s="1"/>
  <c r="BA81" i="10"/>
  <c r="BA82" i="10" s="1"/>
  <c r="BA77" i="10"/>
  <c r="BA78" i="10" s="1"/>
  <c r="BA95" i="10" s="1"/>
  <c r="AV24" i="10"/>
  <c r="AV49" i="10" s="1"/>
  <c r="AV26" i="10"/>
  <c r="AV51" i="10" s="1"/>
  <c r="AV29" i="10"/>
  <c r="AV54" i="10" s="1"/>
  <c r="AV33" i="10"/>
  <c r="AV58" i="10" s="1"/>
  <c r="AV34" i="10"/>
  <c r="AV59" i="10" s="1"/>
  <c r="AV21" i="10"/>
  <c r="AV22" i="10"/>
  <c r="AV47" i="10" s="1"/>
  <c r="AV23" i="10"/>
  <c r="AV48" i="10" s="1"/>
  <c r="AV25" i="10"/>
  <c r="AV50" i="10" s="1"/>
  <c r="AV27" i="10"/>
  <c r="AV52" i="10" s="1"/>
  <c r="AV28" i="10"/>
  <c r="AV53" i="10" s="1"/>
  <c r="AV30" i="10"/>
  <c r="AV55" i="10" s="1"/>
  <c r="AV31" i="10"/>
  <c r="AV56" i="10" s="1"/>
  <c r="AV32" i="10"/>
  <c r="AV57" i="10" s="1"/>
  <c r="AV35" i="10"/>
  <c r="AV60" i="10" s="1"/>
  <c r="AV36" i="10"/>
  <c r="AV61" i="10" s="1"/>
  <c r="AV37" i="10"/>
  <c r="AV62" i="10" s="1"/>
  <c r="AV38" i="10"/>
  <c r="AV63" i="10" s="1"/>
  <c r="AV39" i="10"/>
  <c r="AV64" i="10" s="1"/>
  <c r="AV40" i="10"/>
  <c r="AV65" i="10" s="1"/>
  <c r="AV41" i="10"/>
  <c r="AV66" i="10" s="1"/>
  <c r="AV42" i="10"/>
  <c r="AV67" i="10" s="1"/>
  <c r="AV43" i="10"/>
  <c r="AV68" i="10" s="1"/>
  <c r="AV44" i="10"/>
  <c r="AV69" i="10" s="1"/>
  <c r="AV45" i="10"/>
  <c r="AV70" i="10" s="1"/>
  <c r="AV88" i="10"/>
  <c r="AV91" i="10"/>
  <c r="AV101" i="10" s="1"/>
  <c r="AV111" i="10" s="1"/>
  <c r="AV87" i="10"/>
  <c r="AV86" i="10"/>
  <c r="AV79" i="10"/>
  <c r="AV80" i="10" s="1"/>
  <c r="AV77" i="10"/>
  <c r="AV78" i="10" s="1"/>
  <c r="AV95" i="10" s="1"/>
  <c r="AV81" i="10"/>
  <c r="AV82" i="10" s="1"/>
  <c r="BA136" i="10"/>
  <c r="BA146" i="10" s="1"/>
  <c r="CZ81" i="10"/>
  <c r="CZ82" i="10" s="1"/>
  <c r="CZ98" i="10" s="1"/>
  <c r="CL136" i="10"/>
  <c r="CL146" i="10" s="1"/>
  <c r="DW136" i="10"/>
  <c r="DW146" i="10" s="1"/>
  <c r="AB136" i="10"/>
  <c r="AB146" i="10" s="1"/>
  <c r="DT136" i="10"/>
  <c r="DT146" i="10" s="1"/>
  <c r="BI91" i="10"/>
  <c r="BI101" i="10" s="1"/>
  <c r="BI111" i="10" s="1"/>
  <c r="BI87" i="10"/>
  <c r="BI86" i="10"/>
  <c r="BI88" i="10"/>
  <c r="BD86" i="10"/>
  <c r="BD88" i="10"/>
  <c r="BD87" i="10"/>
  <c r="BD91" i="10"/>
  <c r="BD101" i="10" s="1"/>
  <c r="BD111" i="10" s="1"/>
  <c r="V136" i="10"/>
  <c r="V146" i="10" s="1"/>
  <c r="BQ136" i="10"/>
  <c r="BQ146" i="10" s="1"/>
  <c r="EB136" i="10"/>
  <c r="EB146" i="10" s="1"/>
  <c r="BI31" i="10"/>
  <c r="BI56" i="10" s="1"/>
  <c r="BI34" i="10"/>
  <c r="BI59" i="10" s="1"/>
  <c r="BI28" i="10"/>
  <c r="BI53" i="10" s="1"/>
  <c r="BI45" i="10"/>
  <c r="BI70" i="10" s="1"/>
  <c r="BI42" i="10"/>
  <c r="BI67" i="10" s="1"/>
  <c r="BI26" i="10"/>
  <c r="BI51" i="10" s="1"/>
  <c r="BI25" i="10"/>
  <c r="BI50" i="10" s="1"/>
  <c r="BI35" i="10"/>
  <c r="BI60" i="10" s="1"/>
  <c r="BI32" i="10"/>
  <c r="BI57" i="10" s="1"/>
  <c r="BI27" i="10"/>
  <c r="BI52" i="10" s="1"/>
  <c r="BI24" i="10"/>
  <c r="BI49" i="10" s="1"/>
  <c r="BI22" i="10"/>
  <c r="BI47" i="10" s="1"/>
  <c r="BI39" i="10"/>
  <c r="BI64" i="10" s="1"/>
  <c r="BI37" i="10"/>
  <c r="BI62" i="10" s="1"/>
  <c r="BI33" i="10"/>
  <c r="BI58" i="10" s="1"/>
  <c r="BI41" i="10"/>
  <c r="BI66" i="10" s="1"/>
  <c r="BI30" i="10"/>
  <c r="BI55" i="10" s="1"/>
  <c r="BI44" i="10"/>
  <c r="BI69" i="10" s="1"/>
  <c r="BI23" i="10"/>
  <c r="BI48" i="10" s="1"/>
  <c r="BI29" i="10"/>
  <c r="BI54" i="10" s="1"/>
  <c r="BI43" i="10"/>
  <c r="BI68" i="10" s="1"/>
  <c r="BI40" i="10"/>
  <c r="BI65" i="10" s="1"/>
  <c r="BI38" i="10"/>
  <c r="BI63" i="10" s="1"/>
  <c r="BI36" i="10"/>
  <c r="BI61" i="10" s="1"/>
  <c r="BI21" i="10"/>
  <c r="BI81" i="10"/>
  <c r="BI82" i="10" s="1"/>
  <c r="BI79" i="10"/>
  <c r="BI80" i="10" s="1"/>
  <c r="BI77" i="10"/>
  <c r="BI78" i="10" s="1"/>
  <c r="BD81" i="10"/>
  <c r="BD82" i="10" s="1"/>
  <c r="BD79" i="10"/>
  <c r="BD80" i="10" s="1"/>
  <c r="BD77" i="10"/>
  <c r="BD78" i="10" s="1"/>
  <c r="BD40" i="10"/>
  <c r="BD65" i="10" s="1"/>
  <c r="BD38" i="10"/>
  <c r="BD63" i="10" s="1"/>
  <c r="BD36" i="10"/>
  <c r="BD61" i="10" s="1"/>
  <c r="BD34" i="10"/>
  <c r="BD59" i="10" s="1"/>
  <c r="BD25" i="10"/>
  <c r="BD50" i="10" s="1"/>
  <c r="BD30" i="10"/>
  <c r="BD55" i="10" s="1"/>
  <c r="BD42" i="10"/>
  <c r="BD67" i="10" s="1"/>
  <c r="BD39" i="10"/>
  <c r="BD64" i="10" s="1"/>
  <c r="BD41" i="10"/>
  <c r="BD66" i="10" s="1"/>
  <c r="BD44" i="10"/>
  <c r="BD69" i="10" s="1"/>
  <c r="BD37" i="10"/>
  <c r="BD62" i="10" s="1"/>
  <c r="BD35" i="10"/>
  <c r="BD60" i="10" s="1"/>
  <c r="BD32" i="10"/>
  <c r="BD57" i="10" s="1"/>
  <c r="BD27" i="10"/>
  <c r="BD52" i="10" s="1"/>
  <c r="BD28" i="10"/>
  <c r="BD53" i="10" s="1"/>
  <c r="BD24" i="10"/>
  <c r="BD49" i="10" s="1"/>
  <c r="BD22" i="10"/>
  <c r="BD47" i="10" s="1"/>
  <c r="BD31" i="10"/>
  <c r="BD56" i="10" s="1"/>
  <c r="BD26" i="10"/>
  <c r="BD51" i="10" s="1"/>
  <c r="BD23" i="10"/>
  <c r="BD48" i="10" s="1"/>
  <c r="BD21" i="10"/>
  <c r="BD29" i="10"/>
  <c r="BD54" i="10" s="1"/>
  <c r="BD43" i="10"/>
  <c r="BD68" i="10" s="1"/>
  <c r="BD33" i="10"/>
  <c r="BD58" i="10" s="1"/>
  <c r="BD45" i="10"/>
  <c r="BD70" i="10" s="1"/>
  <c r="BU23" i="10"/>
  <c r="BU48" i="10" s="1"/>
  <c r="BU41" i="10"/>
  <c r="BU66" i="10" s="1"/>
  <c r="BU45" i="10"/>
  <c r="BU70" i="10" s="1"/>
  <c r="BU33" i="10"/>
  <c r="BU58" i="10" s="1"/>
  <c r="BU21" i="10"/>
  <c r="BU26" i="10"/>
  <c r="BU51" i="10" s="1"/>
  <c r="BU32" i="10"/>
  <c r="BU57" i="10" s="1"/>
  <c r="BU30" i="10"/>
  <c r="BU55" i="10" s="1"/>
  <c r="BU35" i="10"/>
  <c r="BU60" i="10" s="1"/>
  <c r="BU39" i="10"/>
  <c r="BU64" i="10" s="1"/>
  <c r="BU28" i="10"/>
  <c r="BU53" i="10" s="1"/>
  <c r="BU36" i="10"/>
  <c r="BU61" i="10" s="1"/>
  <c r="BU25" i="10"/>
  <c r="BU50" i="10" s="1"/>
  <c r="BU43" i="10"/>
  <c r="BU68" i="10" s="1"/>
  <c r="BU29" i="10"/>
  <c r="BU54" i="10" s="1"/>
  <c r="BU27" i="10"/>
  <c r="BU52" i="10" s="1"/>
  <c r="BU34" i="10"/>
  <c r="BU59" i="10" s="1"/>
  <c r="BU22" i="10"/>
  <c r="BU47" i="10" s="1"/>
  <c r="BU38" i="10"/>
  <c r="BU63" i="10" s="1"/>
  <c r="BU44" i="10"/>
  <c r="BU69" i="10" s="1"/>
  <c r="BU24" i="10"/>
  <c r="BU49" i="10" s="1"/>
  <c r="BU40" i="10"/>
  <c r="BU65" i="10" s="1"/>
  <c r="BU31" i="10"/>
  <c r="BU56" i="10" s="1"/>
  <c r="BU37" i="10"/>
  <c r="BU62" i="10" s="1"/>
  <c r="BU42" i="10"/>
  <c r="BU67" i="10" s="1"/>
  <c r="BU79" i="10"/>
  <c r="BU80" i="10" s="1"/>
  <c r="BU77" i="10"/>
  <c r="BU78" i="10" s="1"/>
  <c r="BU81" i="10"/>
  <c r="BU82" i="10" s="1"/>
  <c r="BU87" i="10"/>
  <c r="BU91" i="10"/>
  <c r="BU101" i="10" s="1"/>
  <c r="BU111" i="10" s="1"/>
  <c r="BU86" i="10"/>
  <c r="BU88" i="10"/>
  <c r="BL77" i="10"/>
  <c r="BL78" i="10" s="1"/>
  <c r="BL87" i="10"/>
  <c r="BL86" i="10"/>
  <c r="BL91" i="10"/>
  <c r="BL101" i="10" s="1"/>
  <c r="BL111" i="10" s="1"/>
  <c r="BL88" i="10"/>
  <c r="BL79" i="10"/>
  <c r="BL80" i="10" s="1"/>
  <c r="BL81" i="10"/>
  <c r="BL82" i="10" s="1"/>
  <c r="BL29" i="10"/>
  <c r="BL54" i="10" s="1"/>
  <c r="BL26" i="10"/>
  <c r="BL51" i="10" s="1"/>
  <c r="BL24" i="10"/>
  <c r="BL49" i="10" s="1"/>
  <c r="BL38" i="10"/>
  <c r="BL63" i="10" s="1"/>
  <c r="BL31" i="10"/>
  <c r="BL56" i="10" s="1"/>
  <c r="BL33" i="10"/>
  <c r="BL58" i="10" s="1"/>
  <c r="BL21" i="10"/>
  <c r="BL22" i="10"/>
  <c r="BL47" i="10" s="1"/>
  <c r="BL23" i="10"/>
  <c r="BL48" i="10" s="1"/>
  <c r="BL25" i="10"/>
  <c r="BL50" i="10" s="1"/>
  <c r="BL27" i="10"/>
  <c r="BL52" i="10" s="1"/>
  <c r="BL28" i="10"/>
  <c r="BL53" i="10" s="1"/>
  <c r="BL30" i="10"/>
  <c r="BL55" i="10" s="1"/>
  <c r="BL32" i="10"/>
  <c r="BL57" i="10" s="1"/>
  <c r="BL34" i="10"/>
  <c r="BL59" i="10" s="1"/>
  <c r="BL35" i="10"/>
  <c r="BL60" i="10" s="1"/>
  <c r="BL36" i="10"/>
  <c r="BL61" i="10" s="1"/>
  <c r="BL37" i="10"/>
  <c r="BL62" i="10" s="1"/>
  <c r="BL39" i="10"/>
  <c r="BL64" i="10" s="1"/>
  <c r="BL40" i="10"/>
  <c r="BL65" i="10" s="1"/>
  <c r="BL41" i="10"/>
  <c r="BL66" i="10" s="1"/>
  <c r="BL42" i="10"/>
  <c r="BL67" i="10" s="1"/>
  <c r="BL43" i="10"/>
  <c r="BL68" i="10" s="1"/>
  <c r="BL44" i="10"/>
  <c r="BL69" i="10" s="1"/>
  <c r="BL45" i="10"/>
  <c r="BL70" i="10" s="1"/>
  <c r="BZ37" i="10"/>
  <c r="BZ62" i="10" s="1"/>
  <c r="BZ24" i="10"/>
  <c r="BZ49" i="10" s="1"/>
  <c r="BZ21" i="10"/>
  <c r="BZ22" i="10"/>
  <c r="BZ47" i="10" s="1"/>
  <c r="BZ26" i="10"/>
  <c r="BZ51" i="10" s="1"/>
  <c r="BZ27" i="10"/>
  <c r="BZ52" i="10" s="1"/>
  <c r="BZ28" i="10"/>
  <c r="BZ53" i="10" s="1"/>
  <c r="BZ31" i="10"/>
  <c r="BZ56" i="10" s="1"/>
  <c r="BZ34" i="10"/>
  <c r="BZ59" i="10" s="1"/>
  <c r="BZ35" i="10"/>
  <c r="BZ60" i="10" s="1"/>
  <c r="BZ36" i="10"/>
  <c r="BZ61" i="10" s="1"/>
  <c r="BZ38" i="10"/>
  <c r="BZ63" i="10" s="1"/>
  <c r="BZ39" i="10"/>
  <c r="BZ64" i="10" s="1"/>
  <c r="BZ40" i="10"/>
  <c r="BZ65" i="10" s="1"/>
  <c r="BZ41" i="10"/>
  <c r="BZ66" i="10" s="1"/>
  <c r="BZ42" i="10"/>
  <c r="BZ67" i="10" s="1"/>
  <c r="BZ43" i="10"/>
  <c r="BZ68" i="10" s="1"/>
  <c r="BZ45" i="10"/>
  <c r="BZ70" i="10" s="1"/>
  <c r="BZ44" i="10"/>
  <c r="BZ69" i="10" s="1"/>
  <c r="BZ23" i="10"/>
  <c r="BZ48" i="10" s="1"/>
  <c r="BZ25" i="10"/>
  <c r="BZ50" i="10" s="1"/>
  <c r="BZ29" i="10"/>
  <c r="BZ54" i="10" s="1"/>
  <c r="BZ30" i="10"/>
  <c r="BZ55" i="10" s="1"/>
  <c r="BZ32" i="10"/>
  <c r="BZ57" i="10" s="1"/>
  <c r="BZ33" i="10"/>
  <c r="BZ58" i="10" s="1"/>
  <c r="BZ77" i="10"/>
  <c r="BZ78" i="10" s="1"/>
  <c r="BZ79" i="10"/>
  <c r="BZ80" i="10" s="1"/>
  <c r="BZ91" i="10"/>
  <c r="BZ101" i="10" s="1"/>
  <c r="BZ111" i="10" s="1"/>
  <c r="BZ88" i="10"/>
  <c r="BZ86" i="10"/>
  <c r="BZ81" i="10"/>
  <c r="BZ82" i="10" s="1"/>
  <c r="BZ87" i="10"/>
  <c r="BP244" i="10"/>
  <c r="EG136" i="10"/>
  <c r="EG146" i="10" s="1"/>
  <c r="U27" i="11"/>
  <c r="Z27" i="11"/>
  <c r="M27" i="11"/>
  <c r="S27" i="11"/>
  <c r="Q27" i="11"/>
  <c r="W27" i="11"/>
  <c r="H24" i="11"/>
  <c r="Z24" i="11"/>
  <c r="Y27" i="11"/>
  <c r="G27" i="11"/>
  <c r="K27" i="11"/>
  <c r="O27" i="11"/>
  <c r="AC27" i="11"/>
  <c r="AQ88" i="10"/>
  <c r="AQ77" i="10"/>
  <c r="AQ78" i="10" s="1"/>
  <c r="AQ81" i="10"/>
  <c r="AQ82" i="10" s="1"/>
  <c r="AQ86" i="10"/>
  <c r="AQ87" i="10"/>
  <c r="AQ79" i="10"/>
  <c r="AQ80" i="10" s="1"/>
  <c r="AQ41" i="10"/>
  <c r="AQ66" i="10" s="1"/>
  <c r="AQ42" i="10"/>
  <c r="AQ67" i="10" s="1"/>
  <c r="AQ43" i="10"/>
  <c r="AQ68" i="10" s="1"/>
  <c r="AQ44" i="10"/>
  <c r="AQ69" i="10" s="1"/>
  <c r="AQ45" i="10"/>
  <c r="AQ70" i="10" s="1"/>
  <c r="AQ30" i="10"/>
  <c r="AQ55" i="10" s="1"/>
  <c r="AQ31" i="10"/>
  <c r="AQ56" i="10" s="1"/>
  <c r="AQ33" i="10"/>
  <c r="AQ58" i="10" s="1"/>
  <c r="AQ21" i="10"/>
  <c r="AQ22" i="10"/>
  <c r="AQ47" i="10" s="1"/>
  <c r="AQ23" i="10"/>
  <c r="AQ48" i="10" s="1"/>
  <c r="AQ24" i="10"/>
  <c r="AQ49" i="10" s="1"/>
  <c r="AQ25" i="10"/>
  <c r="AQ50" i="10" s="1"/>
  <c r="AQ26" i="10"/>
  <c r="AQ51" i="10" s="1"/>
  <c r="AQ27" i="10"/>
  <c r="AQ52" i="10" s="1"/>
  <c r="AQ28" i="10"/>
  <c r="AQ53" i="10" s="1"/>
  <c r="AQ29" i="10"/>
  <c r="AQ54" i="10" s="1"/>
  <c r="AQ32" i="10"/>
  <c r="AQ57" i="10" s="1"/>
  <c r="AQ34" i="10"/>
  <c r="AQ59" i="10" s="1"/>
  <c r="AQ35" i="10"/>
  <c r="AQ60" i="10" s="1"/>
  <c r="AQ36" i="10"/>
  <c r="AQ61" i="10" s="1"/>
  <c r="AQ37" i="10"/>
  <c r="AQ62" i="10" s="1"/>
  <c r="AQ38" i="10"/>
  <c r="AQ63" i="10" s="1"/>
  <c r="AQ39" i="10"/>
  <c r="AQ64" i="10" s="1"/>
  <c r="AQ40" i="10"/>
  <c r="AQ65" i="10" s="1"/>
  <c r="AN28" i="10"/>
  <c r="AN53" i="10" s="1"/>
  <c r="AN31" i="10"/>
  <c r="AN56" i="10" s="1"/>
  <c r="AN34" i="10"/>
  <c r="AN59" i="10" s="1"/>
  <c r="AN32" i="10"/>
  <c r="AN57" i="10" s="1"/>
  <c r="AN21" i="10"/>
  <c r="AN22" i="10"/>
  <c r="AN47" i="10" s="1"/>
  <c r="AN23" i="10"/>
  <c r="AN48" i="10" s="1"/>
  <c r="AN24" i="10"/>
  <c r="AN49" i="10" s="1"/>
  <c r="AN25" i="10"/>
  <c r="AN50" i="10" s="1"/>
  <c r="AN26" i="10"/>
  <c r="AN51" i="10" s="1"/>
  <c r="AN27" i="10"/>
  <c r="AN52" i="10" s="1"/>
  <c r="AN29" i="10"/>
  <c r="AN54" i="10" s="1"/>
  <c r="AN30" i="10"/>
  <c r="AN55" i="10" s="1"/>
  <c r="AN33" i="10"/>
  <c r="AN58" i="10" s="1"/>
  <c r="AN35" i="10"/>
  <c r="AN60" i="10" s="1"/>
  <c r="AN36" i="10"/>
  <c r="AN61" i="10" s="1"/>
  <c r="AN37" i="10"/>
  <c r="AN62" i="10" s="1"/>
  <c r="AN38" i="10"/>
  <c r="AN63" i="10" s="1"/>
  <c r="AN39" i="10"/>
  <c r="AN64" i="10" s="1"/>
  <c r="AN40" i="10"/>
  <c r="AN65" i="10" s="1"/>
  <c r="AN41" i="10"/>
  <c r="AN66" i="10" s="1"/>
  <c r="AN42" i="10"/>
  <c r="AN67" i="10" s="1"/>
  <c r="AN43" i="10"/>
  <c r="AN68" i="10" s="1"/>
  <c r="AN87" i="10"/>
  <c r="AN86" i="10"/>
  <c r="AN91" i="10"/>
  <c r="AN101" i="10" s="1"/>
  <c r="AN111" i="10" s="1"/>
  <c r="AN88" i="10"/>
  <c r="AN79" i="10"/>
  <c r="AN80" i="10" s="1"/>
  <c r="AN77" i="10"/>
  <c r="AN78" i="10" s="1"/>
  <c r="AN81" i="10"/>
  <c r="AN82" i="10" s="1"/>
  <c r="Y24" i="11"/>
  <c r="G24" i="11"/>
  <c r="K24" i="11"/>
  <c r="T24" i="11"/>
  <c r="O24" i="11"/>
  <c r="AC24" i="11"/>
  <c r="O20" i="11"/>
  <c r="AC20" i="11"/>
  <c r="L20" i="11"/>
  <c r="EC242" i="10"/>
  <c r="EC247" i="10"/>
  <c r="EC257" i="10" s="1"/>
  <c r="F27" i="11"/>
  <c r="L27" i="11"/>
  <c r="L24" i="11"/>
  <c r="P24" i="11"/>
  <c r="P27" i="11"/>
  <c r="X24" i="11"/>
  <c r="H27" i="11"/>
  <c r="M24" i="11"/>
  <c r="AI136" i="10"/>
  <c r="AI146" i="10" s="1"/>
  <c r="AN44" i="10"/>
  <c r="AN69" i="10" s="1"/>
  <c r="AN45" i="10"/>
  <c r="AN70" i="10" s="1"/>
  <c r="AM91" i="10"/>
  <c r="AM101" i="10" s="1"/>
  <c r="AM111" i="10" s="1"/>
  <c r="AM88" i="10"/>
  <c r="AM87" i="10"/>
  <c r="AM86" i="10"/>
  <c r="AM21" i="10"/>
  <c r="AM46" i="10" s="1"/>
  <c r="AM22" i="10"/>
  <c r="AM47" i="10" s="1"/>
  <c r="AM23" i="10"/>
  <c r="AM48" i="10" s="1"/>
  <c r="AM27" i="10"/>
  <c r="AM52" i="10" s="1"/>
  <c r="J20" i="11"/>
  <c r="R27" i="11"/>
  <c r="Q24" i="11"/>
  <c r="R24" i="11"/>
  <c r="I27" i="11"/>
  <c r="S24" i="11"/>
  <c r="Y20" i="11"/>
  <c r="AA24" i="11"/>
  <c r="AA27" i="11"/>
  <c r="F24" i="11"/>
  <c r="I24" i="11"/>
  <c r="W24" i="11"/>
  <c r="AB24" i="11"/>
  <c r="ED136" i="10"/>
  <c r="ED146" i="10" s="1"/>
  <c r="L54" i="12"/>
  <c r="AP136" i="10"/>
  <c r="AP146" i="10" s="1"/>
  <c r="BZ95" i="10"/>
  <c r="EG247" i="10"/>
  <c r="EG257" i="10" s="1"/>
  <c r="EG244" i="10"/>
  <c r="EG243" i="10"/>
  <c r="EG242" i="10"/>
  <c r="N54" i="12"/>
  <c r="N56" i="12"/>
  <c r="M56" i="12"/>
  <c r="K56" i="12"/>
  <c r="L56" i="12"/>
  <c r="CT136" i="10"/>
  <c r="CT146" i="10" s="1"/>
  <c r="DH247" i="10"/>
  <c r="DH257" i="10" s="1"/>
  <c r="DH267" i="10" s="1"/>
  <c r="DH244" i="10"/>
  <c r="DH243" i="10"/>
  <c r="DH242" i="10"/>
  <c r="DS242" i="10"/>
  <c r="DS247" i="10"/>
  <c r="DS257" i="10" s="1"/>
  <c r="DS267" i="10" s="1"/>
  <c r="DS244" i="10"/>
  <c r="DS243" i="10"/>
  <c r="BY242" i="10"/>
  <c r="BY243" i="10"/>
  <c r="BY244" i="10"/>
  <c r="BY247" i="10"/>
  <c r="BY257" i="10" s="1"/>
  <c r="BY267" i="10" s="1"/>
  <c r="DJ247" i="10"/>
  <c r="DJ257" i="10" s="1"/>
  <c r="DJ267" i="10" s="1"/>
  <c r="DJ244" i="10"/>
  <c r="DJ242" i="10"/>
  <c r="DJ243" i="10"/>
  <c r="EQ242" i="10"/>
  <c r="EQ247" i="10"/>
  <c r="EQ257" i="10" s="1"/>
  <c r="EQ244" i="10"/>
  <c r="EQ243" i="10"/>
  <c r="BT247" i="10"/>
  <c r="BT257" i="10" s="1"/>
  <c r="BT267" i="10" s="1"/>
  <c r="BT244" i="10"/>
  <c r="BT243" i="10"/>
  <c r="BT242" i="10"/>
  <c r="CH244" i="10"/>
  <c r="CH243" i="10"/>
  <c r="CH242" i="10"/>
  <c r="CH247" i="10"/>
  <c r="CH257" i="10" s="1"/>
  <c r="CH267" i="10" s="1"/>
  <c r="BP247" i="10"/>
  <c r="BP257" i="10" s="1"/>
  <c r="BP267" i="10" s="1"/>
  <c r="BP242" i="10"/>
  <c r="BP243" i="10"/>
  <c r="CB242" i="10"/>
  <c r="CB247" i="10"/>
  <c r="CB257" i="10" s="1"/>
  <c r="CB267" i="10" s="1"/>
  <c r="CB244" i="10"/>
  <c r="CB243" i="10"/>
  <c r="DO244" i="10"/>
  <c r="DO247" i="10"/>
  <c r="DO257" i="10" s="1"/>
  <c r="DO267" i="10" s="1"/>
  <c r="DO242" i="10"/>
  <c r="DO243" i="10"/>
  <c r="EC243" i="10"/>
  <c r="EC244" i="10"/>
  <c r="F56" i="12"/>
  <c r="H56" i="12"/>
  <c r="O56" i="12"/>
  <c r="J54" i="12"/>
  <c r="F274" i="10"/>
  <c r="G274" i="10" s="1"/>
  <c r="H274" i="10" s="1"/>
  <c r="I274" i="10" s="1"/>
  <c r="J274" i="10" s="1"/>
  <c r="K274" i="10" s="1"/>
  <c r="L274" i="10" s="1"/>
  <c r="M274" i="10" s="1"/>
  <c r="N274" i="10" s="1"/>
  <c r="O274" i="10" s="1"/>
  <c r="P274" i="10" s="1"/>
  <c r="Q274" i="10" s="1"/>
  <c r="R274" i="10" s="1"/>
  <c r="S274" i="10" s="1"/>
  <c r="T274" i="10" s="1"/>
  <c r="U274" i="10" s="1"/>
  <c r="V274" i="10" s="1"/>
  <c r="W274" i="10" s="1"/>
  <c r="X274" i="10" s="1"/>
  <c r="Y274" i="10" s="1"/>
  <c r="Z274" i="10" s="1"/>
  <c r="AA274" i="10" s="1"/>
  <c r="AB274" i="10" s="1"/>
  <c r="AC274" i="10" s="1"/>
  <c r="AD274" i="10" s="1"/>
  <c r="AE274" i="10" s="1"/>
  <c r="AF274" i="10" s="1"/>
  <c r="AG274" i="10" s="1"/>
  <c r="AH274" i="10" s="1"/>
  <c r="AI274" i="10" s="1"/>
  <c r="AJ274" i="10" s="1"/>
  <c r="AK274" i="10" s="1"/>
  <c r="AL274" i="10" s="1"/>
  <c r="AM274" i="10" s="1"/>
  <c r="AN274" i="10" s="1"/>
  <c r="AO274" i="10" s="1"/>
  <c r="AP274" i="10" s="1"/>
  <c r="AQ274" i="10" s="1"/>
  <c r="AR274" i="10" s="1"/>
  <c r="AS274" i="10" s="1"/>
  <c r="AT274" i="10" s="1"/>
  <c r="AU274" i="10" s="1"/>
  <c r="AV274" i="10" s="1"/>
  <c r="AW274" i="10" s="1"/>
  <c r="AX274" i="10" s="1"/>
  <c r="AY274" i="10" s="1"/>
  <c r="AZ274" i="10" s="1"/>
  <c r="BA274" i="10" s="1"/>
  <c r="BB274" i="10" s="1"/>
  <c r="BC274" i="10" s="1"/>
  <c r="BD274" i="10" s="1"/>
  <c r="BE274" i="10" s="1"/>
  <c r="BF274" i="10" s="1"/>
  <c r="BG274" i="10" s="1"/>
  <c r="BH274" i="10" s="1"/>
  <c r="BI274" i="10" s="1"/>
  <c r="BJ274" i="10" s="1"/>
  <c r="BK274" i="10" s="1"/>
  <c r="BL274" i="10" s="1"/>
  <c r="BM274" i="10" s="1"/>
  <c r="BN274" i="10" s="1"/>
  <c r="BO274" i="10" s="1"/>
  <c r="BP274" i="10" s="1"/>
  <c r="BQ274" i="10" s="1"/>
  <c r="BR274" i="10" s="1"/>
  <c r="BS274" i="10" s="1"/>
  <c r="BT274" i="10" s="1"/>
  <c r="BU274" i="10" s="1"/>
  <c r="BV274" i="10" s="1"/>
  <c r="BW274" i="10" s="1"/>
  <c r="BX274" i="10" s="1"/>
  <c r="BY274" i="10" s="1"/>
  <c r="BZ274" i="10" s="1"/>
  <c r="CA274" i="10" s="1"/>
  <c r="CB274" i="10" s="1"/>
  <c r="CC274" i="10" s="1"/>
  <c r="CD274" i="10" s="1"/>
  <c r="CE274" i="10" s="1"/>
  <c r="CF274" i="10" s="1"/>
  <c r="CG274" i="10" s="1"/>
  <c r="CH274" i="10" s="1"/>
  <c r="CI274" i="10" s="1"/>
  <c r="CJ274" i="10" s="1"/>
  <c r="CK274" i="10" s="1"/>
  <c r="CL274" i="10" s="1"/>
  <c r="CM274" i="10" s="1"/>
  <c r="CN274" i="10" s="1"/>
  <c r="CO274" i="10" s="1"/>
  <c r="CP274" i="10" s="1"/>
  <c r="CQ274" i="10" s="1"/>
  <c r="CR274" i="10" s="1"/>
  <c r="CS274" i="10" s="1"/>
  <c r="CT274" i="10" s="1"/>
  <c r="CU274" i="10" s="1"/>
  <c r="CV274" i="10" s="1"/>
  <c r="CW274" i="10" s="1"/>
  <c r="CX274" i="10" s="1"/>
  <c r="CY274" i="10" s="1"/>
  <c r="CZ274" i="10" s="1"/>
  <c r="DA274" i="10" s="1"/>
  <c r="DB274" i="10" s="1"/>
  <c r="DC274" i="10" s="1"/>
  <c r="DD274" i="10" s="1"/>
  <c r="DE274" i="10" s="1"/>
  <c r="DF274" i="10" s="1"/>
  <c r="DG274" i="10" s="1"/>
  <c r="DH274" i="10" s="1"/>
  <c r="DI274" i="10" s="1"/>
  <c r="DJ274" i="10" s="1"/>
  <c r="DK274" i="10" s="1"/>
  <c r="DL274" i="10" s="1"/>
  <c r="DM274" i="10" s="1"/>
  <c r="DN274" i="10" s="1"/>
  <c r="DO274" i="10" s="1"/>
  <c r="DP274" i="10" s="1"/>
  <c r="DQ274" i="10" s="1"/>
  <c r="DR274" i="10" s="1"/>
  <c r="DS274" i="10" s="1"/>
  <c r="DT274" i="10" s="1"/>
  <c r="DU274" i="10" s="1"/>
  <c r="AM79" i="10"/>
  <c r="AM80" i="10" s="1"/>
  <c r="AM77" i="10"/>
  <c r="AM78" i="10" s="1"/>
  <c r="AM81" i="10"/>
  <c r="AM82" i="10" s="1"/>
  <c r="AM29" i="10"/>
  <c r="AM54" i="10" s="1"/>
  <c r="AM31" i="10"/>
  <c r="AM56" i="10" s="1"/>
  <c r="AM32" i="10"/>
  <c r="AM57" i="10" s="1"/>
  <c r="AM35" i="10"/>
  <c r="AM60" i="10" s="1"/>
  <c r="AM36" i="10"/>
  <c r="AM61" i="10" s="1"/>
  <c r="AM37" i="10"/>
  <c r="AM62" i="10" s="1"/>
  <c r="AM38" i="10"/>
  <c r="AM63" i="10" s="1"/>
  <c r="AM39" i="10"/>
  <c r="AM64" i="10" s="1"/>
  <c r="AM40" i="10"/>
  <c r="AM65" i="10" s="1"/>
  <c r="AM41" i="10"/>
  <c r="AM66" i="10" s="1"/>
  <c r="AM42" i="10"/>
  <c r="AM67" i="10" s="1"/>
  <c r="AM43" i="10"/>
  <c r="AM68" i="10" s="1"/>
  <c r="AM44" i="10"/>
  <c r="AM69" i="10" s="1"/>
  <c r="AM45" i="10"/>
  <c r="AM70" i="10" s="1"/>
  <c r="AM24" i="10"/>
  <c r="AM25" i="10"/>
  <c r="AM50" i="10" s="1"/>
  <c r="AM26" i="10"/>
  <c r="AM51" i="10" s="1"/>
  <c r="AM30" i="10"/>
  <c r="AM55" i="10" s="1"/>
  <c r="AM33" i="10"/>
  <c r="AM58" i="10" s="1"/>
  <c r="AM34" i="10"/>
  <c r="AM59" i="10" s="1"/>
  <c r="AM28" i="10"/>
  <c r="AM53" i="10" s="1"/>
  <c r="AJ81" i="10"/>
  <c r="AJ82" i="10" s="1"/>
  <c r="AJ98" i="10" s="1"/>
  <c r="AJ77" i="10"/>
  <c r="AJ78" i="10" s="1"/>
  <c r="AJ79" i="10"/>
  <c r="AJ80" i="10" s="1"/>
  <c r="AJ25" i="10"/>
  <c r="AJ50" i="10" s="1"/>
  <c r="AJ26" i="10"/>
  <c r="AJ51" i="10" s="1"/>
  <c r="AJ27" i="10"/>
  <c r="AJ52" i="10" s="1"/>
  <c r="AJ29" i="10"/>
  <c r="AJ54" i="10" s="1"/>
  <c r="AJ30" i="10"/>
  <c r="AJ55" i="10" s="1"/>
  <c r="AJ33" i="10"/>
  <c r="AJ58" i="10" s="1"/>
  <c r="AJ34" i="10"/>
  <c r="AJ59" i="10" s="1"/>
  <c r="AJ35" i="10"/>
  <c r="AJ60" i="10" s="1"/>
  <c r="AJ36" i="10"/>
  <c r="AJ61" i="10" s="1"/>
  <c r="AJ37" i="10"/>
  <c r="AJ62" i="10" s="1"/>
  <c r="AJ38" i="10"/>
  <c r="AJ63" i="10" s="1"/>
  <c r="AJ39" i="10"/>
  <c r="AJ64" i="10" s="1"/>
  <c r="AJ28" i="10"/>
  <c r="AJ53" i="10" s="1"/>
  <c r="AJ41" i="10"/>
  <c r="AJ66" i="10" s="1"/>
  <c r="AJ42" i="10"/>
  <c r="AJ67" i="10" s="1"/>
  <c r="AJ43" i="10"/>
  <c r="AJ68" i="10" s="1"/>
  <c r="AJ44" i="10"/>
  <c r="AJ69" i="10" s="1"/>
  <c r="AJ45" i="10"/>
  <c r="AJ70" i="10" s="1"/>
  <c r="AJ31" i="10"/>
  <c r="AJ56" i="10" s="1"/>
  <c r="AJ32" i="10"/>
  <c r="AJ57" i="10" s="1"/>
  <c r="AJ21" i="10"/>
  <c r="AJ22" i="10"/>
  <c r="AJ47" i="10" s="1"/>
  <c r="AJ40" i="10"/>
  <c r="AJ65" i="10" s="1"/>
  <c r="AJ23" i="10"/>
  <c r="AJ48" i="10" s="1"/>
  <c r="AJ24" i="10"/>
  <c r="AJ49" i="10" s="1"/>
  <c r="AI26" i="10"/>
  <c r="AI51" i="10" s="1"/>
  <c r="AI28" i="10"/>
  <c r="AI53" i="10" s="1"/>
  <c r="AI30" i="10"/>
  <c r="AI55" i="10" s="1"/>
  <c r="AI33" i="10"/>
  <c r="AI58" i="10" s="1"/>
  <c r="AI34" i="10"/>
  <c r="AI59" i="10" s="1"/>
  <c r="AI24" i="10"/>
  <c r="AI49" i="10" s="1"/>
  <c r="AI21" i="10"/>
  <c r="AI22" i="10"/>
  <c r="AI47" i="10" s="1"/>
  <c r="AI23" i="10"/>
  <c r="AI48" i="10" s="1"/>
  <c r="AI27" i="10"/>
  <c r="AI52" i="10" s="1"/>
  <c r="AI29" i="10"/>
  <c r="AI54" i="10" s="1"/>
  <c r="AI31" i="10"/>
  <c r="AI56" i="10" s="1"/>
  <c r="AI32" i="10"/>
  <c r="AI57" i="10" s="1"/>
  <c r="AI35" i="10"/>
  <c r="AI60" i="10" s="1"/>
  <c r="AI36" i="10"/>
  <c r="AI61" i="10" s="1"/>
  <c r="AI37" i="10"/>
  <c r="AI62" i="10" s="1"/>
  <c r="AI38" i="10"/>
  <c r="AI63" i="10" s="1"/>
  <c r="AI39" i="10"/>
  <c r="AI64" i="10" s="1"/>
  <c r="AI40" i="10"/>
  <c r="AI65" i="10" s="1"/>
  <c r="AI41" i="10"/>
  <c r="AI66" i="10" s="1"/>
  <c r="AI42" i="10"/>
  <c r="AI67" i="10" s="1"/>
  <c r="AI43" i="10"/>
  <c r="AI68" i="10" s="1"/>
  <c r="AI44" i="10"/>
  <c r="AI69" i="10" s="1"/>
  <c r="AI45" i="10"/>
  <c r="AI70" i="10" s="1"/>
  <c r="AI25" i="10"/>
  <c r="AI50" i="10" s="1"/>
  <c r="AI77" i="10"/>
  <c r="AI78" i="10" s="1"/>
  <c r="AI79" i="10"/>
  <c r="AI80" i="10" s="1"/>
  <c r="AI81" i="10"/>
  <c r="AI82" i="10" s="1"/>
  <c r="AI98" i="10" s="1"/>
  <c r="AF26" i="10"/>
  <c r="AF51" i="10" s="1"/>
  <c r="AF30" i="10"/>
  <c r="AF55" i="10" s="1"/>
  <c r="AF31" i="10"/>
  <c r="AF56" i="10" s="1"/>
  <c r="AF45" i="10"/>
  <c r="AF70" i="10" s="1"/>
  <c r="AF21" i="10"/>
  <c r="AF22" i="10"/>
  <c r="AF47" i="10" s="1"/>
  <c r="AF23" i="10"/>
  <c r="AF48" i="10" s="1"/>
  <c r="AF24" i="10"/>
  <c r="AF49" i="10" s="1"/>
  <c r="AF25" i="10"/>
  <c r="AF50" i="10" s="1"/>
  <c r="AF27" i="10"/>
  <c r="AF52" i="10" s="1"/>
  <c r="AF28" i="10"/>
  <c r="AF53" i="10" s="1"/>
  <c r="AF29" i="10"/>
  <c r="AF54" i="10" s="1"/>
  <c r="AF32" i="10"/>
  <c r="AF57" i="10" s="1"/>
  <c r="AF33" i="10"/>
  <c r="AF58" i="10" s="1"/>
  <c r="AF34" i="10"/>
  <c r="AF59" i="10" s="1"/>
  <c r="AF35" i="10"/>
  <c r="AF60" i="10" s="1"/>
  <c r="AF36" i="10"/>
  <c r="AF61" i="10" s="1"/>
  <c r="AF37" i="10"/>
  <c r="AF62" i="10" s="1"/>
  <c r="AF38" i="10"/>
  <c r="AF63" i="10" s="1"/>
  <c r="AF39" i="10"/>
  <c r="AF64" i="10" s="1"/>
  <c r="AF40" i="10"/>
  <c r="AF65" i="10" s="1"/>
  <c r="AF41" i="10"/>
  <c r="AF66" i="10" s="1"/>
  <c r="AF42" i="10"/>
  <c r="AF67" i="10" s="1"/>
  <c r="AF43" i="10"/>
  <c r="AF68" i="10" s="1"/>
  <c r="AF44" i="10"/>
  <c r="AF69" i="10" s="1"/>
  <c r="AF77" i="10"/>
  <c r="AF78" i="10" s="1"/>
  <c r="AF81" i="10"/>
  <c r="AF82" i="10" s="1"/>
  <c r="AF98" i="10" s="1"/>
  <c r="AF79" i="10"/>
  <c r="AF80" i="10" s="1"/>
  <c r="Z21" i="10"/>
  <c r="Z22" i="10"/>
  <c r="Z47" i="10" s="1"/>
  <c r="Z23" i="10"/>
  <c r="Z48" i="10" s="1"/>
  <c r="Z25" i="10"/>
  <c r="Z50" i="10" s="1"/>
  <c r="Z26" i="10"/>
  <c r="Z51" i="10" s="1"/>
  <c r="Z27" i="10"/>
  <c r="Z52" i="10" s="1"/>
  <c r="Z28" i="10"/>
  <c r="Z53" i="10" s="1"/>
  <c r="Z29" i="10"/>
  <c r="Z54" i="10" s="1"/>
  <c r="Z34" i="10"/>
  <c r="Z59" i="10" s="1"/>
  <c r="Z35" i="10"/>
  <c r="Z60" i="10" s="1"/>
  <c r="Z36" i="10"/>
  <c r="Z61" i="10" s="1"/>
  <c r="Z37" i="10"/>
  <c r="Z62" i="10" s="1"/>
  <c r="Z38" i="10"/>
  <c r="Z63" i="10" s="1"/>
  <c r="Z39" i="10"/>
  <c r="Z64" i="10" s="1"/>
  <c r="Z40" i="10"/>
  <c r="Z65" i="10" s="1"/>
  <c r="Z41" i="10"/>
  <c r="Z66" i="10" s="1"/>
  <c r="Z42" i="10"/>
  <c r="Z67" i="10" s="1"/>
  <c r="Z43" i="10"/>
  <c r="Z68" i="10" s="1"/>
  <c r="Z44" i="10"/>
  <c r="Z69" i="10" s="1"/>
  <c r="Z45" i="10"/>
  <c r="Z70" i="10" s="1"/>
  <c r="Z24" i="10"/>
  <c r="Z49" i="10" s="1"/>
  <c r="Z30" i="10"/>
  <c r="Z55" i="10" s="1"/>
  <c r="Z31" i="10"/>
  <c r="Z56" i="10" s="1"/>
  <c r="Z32" i="10"/>
  <c r="Z57" i="10" s="1"/>
  <c r="Z33" i="10"/>
  <c r="Z58" i="10" s="1"/>
  <c r="Z77" i="10"/>
  <c r="Z78" i="10" s="1"/>
  <c r="Z79" i="10"/>
  <c r="Z80" i="10" s="1"/>
  <c r="Z81" i="10"/>
  <c r="Z82" i="10" s="1"/>
  <c r="Z98" i="10" s="1"/>
  <c r="F25" i="10"/>
  <c r="F50" i="10" s="1"/>
  <c r="F27" i="10"/>
  <c r="F52" i="10" s="1"/>
  <c r="F28" i="10"/>
  <c r="F53" i="10" s="1"/>
  <c r="F29" i="10"/>
  <c r="F54" i="10" s="1"/>
  <c r="F30" i="10"/>
  <c r="F55" i="10" s="1"/>
  <c r="F31" i="10"/>
  <c r="F56" i="10" s="1"/>
  <c r="F34" i="10"/>
  <c r="F59" i="10" s="1"/>
  <c r="F35" i="10"/>
  <c r="F60" i="10" s="1"/>
  <c r="F36" i="10"/>
  <c r="F61" i="10" s="1"/>
  <c r="F37" i="10"/>
  <c r="F62" i="10" s="1"/>
  <c r="F38" i="10"/>
  <c r="F63" i="10" s="1"/>
  <c r="F39" i="10"/>
  <c r="F64" i="10" s="1"/>
  <c r="F40" i="10"/>
  <c r="F65" i="10" s="1"/>
  <c r="F41" i="10"/>
  <c r="F66" i="10" s="1"/>
  <c r="F42" i="10"/>
  <c r="F67" i="10" s="1"/>
  <c r="F43" i="10"/>
  <c r="F68" i="10" s="1"/>
  <c r="F44" i="10"/>
  <c r="F69" i="10" s="1"/>
  <c r="F45" i="10"/>
  <c r="F70" i="10" s="1"/>
  <c r="F21" i="10"/>
  <c r="F24" i="10"/>
  <c r="F49" i="10" s="1"/>
  <c r="F26" i="10"/>
  <c r="F51" i="10" s="1"/>
  <c r="F32" i="10"/>
  <c r="F57" i="10" s="1"/>
  <c r="F33" i="10"/>
  <c r="F58" i="10" s="1"/>
  <c r="F22" i="10"/>
  <c r="F47" i="10" s="1"/>
  <c r="F23" i="10"/>
  <c r="F48" i="10" s="1"/>
  <c r="F81" i="10"/>
  <c r="F86" i="10"/>
  <c r="F77" i="10"/>
  <c r="F91" i="10"/>
  <c r="F101" i="10" s="1"/>
  <c r="F82" i="10"/>
  <c r="F79" i="10"/>
  <c r="F80" i="10" s="1"/>
  <c r="F87" i="10"/>
  <c r="F88" i="10"/>
  <c r="F78" i="10"/>
  <c r="J81" i="10"/>
  <c r="J79" i="10"/>
  <c r="J80" i="10" s="1"/>
  <c r="J86" i="10"/>
  <c r="J77" i="10"/>
  <c r="J78" i="10" s="1"/>
  <c r="J87" i="10"/>
  <c r="J88" i="10"/>
  <c r="J91" i="10"/>
  <c r="J101" i="10" s="1"/>
  <c r="J111" i="10" s="1"/>
  <c r="J82" i="10"/>
  <c r="J45" i="10"/>
  <c r="J70" i="10" s="1"/>
  <c r="J21" i="10"/>
  <c r="J24" i="10"/>
  <c r="J49" i="10" s="1"/>
  <c r="J26" i="10"/>
  <c r="J51" i="10" s="1"/>
  <c r="J28" i="10"/>
  <c r="J53" i="10" s="1"/>
  <c r="J31" i="10"/>
  <c r="J56" i="10" s="1"/>
  <c r="J22" i="10"/>
  <c r="J47" i="10" s="1"/>
  <c r="J23" i="10"/>
  <c r="J48" i="10" s="1"/>
  <c r="J25" i="10"/>
  <c r="J50" i="10" s="1"/>
  <c r="J27" i="10"/>
  <c r="J52" i="10" s="1"/>
  <c r="J29" i="10"/>
  <c r="J54" i="10" s="1"/>
  <c r="J30" i="10"/>
  <c r="J55" i="10" s="1"/>
  <c r="J32" i="10"/>
  <c r="J57" i="10" s="1"/>
  <c r="J33" i="10"/>
  <c r="J58" i="10" s="1"/>
  <c r="J34" i="10"/>
  <c r="J59" i="10" s="1"/>
  <c r="J35" i="10"/>
  <c r="J60" i="10" s="1"/>
  <c r="J36" i="10"/>
  <c r="J61" i="10" s="1"/>
  <c r="J37" i="10"/>
  <c r="J62" i="10" s="1"/>
  <c r="J38" i="10"/>
  <c r="J63" i="10" s="1"/>
  <c r="J39" i="10"/>
  <c r="J64" i="10" s="1"/>
  <c r="J40" i="10"/>
  <c r="J65" i="10" s="1"/>
  <c r="J41" i="10"/>
  <c r="J66" i="10" s="1"/>
  <c r="J42" i="10"/>
  <c r="J67" i="10" s="1"/>
  <c r="J43" i="10"/>
  <c r="J68" i="10" s="1"/>
  <c r="J44" i="10"/>
  <c r="J69" i="10" s="1"/>
  <c r="O40" i="10"/>
  <c r="O65" i="10" s="1"/>
  <c r="O41" i="10"/>
  <c r="O66" i="10" s="1"/>
  <c r="O42" i="10"/>
  <c r="O67" i="10" s="1"/>
  <c r="O43" i="10"/>
  <c r="O68" i="10" s="1"/>
  <c r="O44" i="10"/>
  <c r="O69" i="10" s="1"/>
  <c r="O45" i="10"/>
  <c r="O70" i="10" s="1"/>
  <c r="O21" i="10"/>
  <c r="O26" i="10"/>
  <c r="O51" i="10" s="1"/>
  <c r="O33" i="10"/>
  <c r="O58" i="10" s="1"/>
  <c r="O22" i="10"/>
  <c r="O47" i="10" s="1"/>
  <c r="O27" i="10"/>
  <c r="O52" i="10" s="1"/>
  <c r="O28" i="10"/>
  <c r="O53" i="10" s="1"/>
  <c r="O29" i="10"/>
  <c r="O54" i="10" s="1"/>
  <c r="O30" i="10"/>
  <c r="O55" i="10" s="1"/>
  <c r="O31" i="10"/>
  <c r="O56" i="10" s="1"/>
  <c r="O39" i="10"/>
  <c r="O64" i="10" s="1"/>
  <c r="O38" i="10"/>
  <c r="O63" i="10" s="1"/>
  <c r="O37" i="10"/>
  <c r="O62" i="10" s="1"/>
  <c r="O36" i="10"/>
  <c r="O61" i="10" s="1"/>
  <c r="O35" i="10"/>
  <c r="O60" i="10" s="1"/>
  <c r="O34" i="10"/>
  <c r="O59" i="10" s="1"/>
  <c r="O32" i="10"/>
  <c r="O57" i="10" s="1"/>
  <c r="O25" i="10"/>
  <c r="O50" i="10" s="1"/>
  <c r="O24" i="10"/>
  <c r="O49" i="10" s="1"/>
  <c r="O23" i="10"/>
  <c r="O48" i="10" s="1"/>
  <c r="O77" i="10"/>
  <c r="O79" i="10"/>
  <c r="O81" i="10"/>
  <c r="O86" i="10"/>
  <c r="O80" i="10"/>
  <c r="O78" i="10"/>
  <c r="O82" i="10"/>
  <c r="O88" i="10"/>
  <c r="O87" i="10"/>
  <c r="O91" i="10"/>
  <c r="O101" i="10" s="1"/>
  <c r="O111" i="10" s="1"/>
  <c r="Q22" i="10"/>
  <c r="Q47" i="10" s="1"/>
  <c r="Q23" i="10"/>
  <c r="Q48" i="10" s="1"/>
  <c r="Q24" i="10"/>
  <c r="Q49" i="10" s="1"/>
  <c r="Q27" i="10"/>
  <c r="Q52" i="10" s="1"/>
  <c r="Q29" i="10"/>
  <c r="Q54" i="10" s="1"/>
  <c r="Q30" i="10"/>
  <c r="Q55" i="10" s="1"/>
  <c r="Q32" i="10"/>
  <c r="Q57" i="10" s="1"/>
  <c r="Q91" i="10"/>
  <c r="Q101" i="10" s="1"/>
  <c r="Q111" i="10" s="1"/>
  <c r="Q86" i="10"/>
  <c r="Q88" i="10"/>
  <c r="Q87" i="10"/>
  <c r="S91" i="10"/>
  <c r="S101" i="10" s="1"/>
  <c r="S111" i="10" s="1"/>
  <c r="S86" i="10"/>
  <c r="S87" i="10"/>
  <c r="S88" i="10"/>
  <c r="X77" i="10"/>
  <c r="X78" i="10" s="1"/>
  <c r="X79" i="10"/>
  <c r="X80" i="10" s="1"/>
  <c r="X81" i="10"/>
  <c r="X82" i="10" s="1"/>
  <c r="X98" i="10" s="1"/>
  <c r="AB25" i="10"/>
  <c r="AB50" i="10" s="1"/>
  <c r="AB26" i="10"/>
  <c r="AB51" i="10" s="1"/>
  <c r="AB27" i="10"/>
  <c r="AB52" i="10" s="1"/>
  <c r="AB28" i="10"/>
  <c r="AB53" i="10" s="1"/>
  <c r="AB29" i="10"/>
  <c r="AB54" i="10" s="1"/>
  <c r="AB35" i="10"/>
  <c r="AB60" i="10" s="1"/>
  <c r="AB34" i="10"/>
  <c r="AB59" i="10" s="1"/>
  <c r="AB33" i="10"/>
  <c r="AB58" i="10" s="1"/>
  <c r="AB32" i="10"/>
  <c r="AB57" i="10" s="1"/>
  <c r="AB45" i="10"/>
  <c r="AB70" i="10" s="1"/>
  <c r="AB31" i="10"/>
  <c r="AB56" i="10" s="1"/>
  <c r="AB30" i="10"/>
  <c r="AB55" i="10" s="1"/>
  <c r="AB38" i="10"/>
  <c r="AB63" i="10" s="1"/>
  <c r="AB24" i="10"/>
  <c r="AB49" i="10" s="1"/>
  <c r="AB44" i="10"/>
  <c r="AB69" i="10" s="1"/>
  <c r="AB43" i="10"/>
  <c r="AB68" i="10" s="1"/>
  <c r="AB21" i="10"/>
  <c r="AB42" i="10"/>
  <c r="AB67" i="10" s="1"/>
  <c r="AB41" i="10"/>
  <c r="AB66" i="10" s="1"/>
  <c r="AB40" i="10"/>
  <c r="AB65" i="10" s="1"/>
  <c r="AB39" i="10"/>
  <c r="AB64" i="10" s="1"/>
  <c r="AB22" i="10"/>
  <c r="AB47" i="10" s="1"/>
  <c r="AB37" i="10"/>
  <c r="AB62" i="10" s="1"/>
  <c r="AB36" i="10"/>
  <c r="AB61" i="10" s="1"/>
  <c r="AB23" i="10"/>
  <c r="AB48" i="10" s="1"/>
  <c r="H87" i="10"/>
  <c r="H86" i="10"/>
  <c r="H91" i="10"/>
  <c r="H101" i="10" s="1"/>
  <c r="H111" i="10" s="1"/>
  <c r="H88" i="10"/>
  <c r="P86" i="10"/>
  <c r="P88" i="10"/>
  <c r="P91" i="10"/>
  <c r="P101" i="10" s="1"/>
  <c r="P111" i="10" s="1"/>
  <c r="P87" i="10"/>
  <c r="T87" i="10"/>
  <c r="T86" i="10"/>
  <c r="T91" i="10"/>
  <c r="T101" i="10" s="1"/>
  <c r="T111" i="10" s="1"/>
  <c r="T88" i="10"/>
  <c r="W86" i="10"/>
  <c r="W87" i="10"/>
  <c r="W91" i="10"/>
  <c r="W101" i="10" s="1"/>
  <c r="W111" i="10" s="1"/>
  <c r="W88" i="10"/>
  <c r="BJ91" i="10"/>
  <c r="BJ101" i="10" s="1"/>
  <c r="BJ111" i="10" s="1"/>
  <c r="BJ86" i="10"/>
  <c r="BJ88" i="10"/>
  <c r="BJ87" i="10"/>
  <c r="BM86" i="10"/>
  <c r="BM88" i="10"/>
  <c r="BM87" i="10"/>
  <c r="BM91" i="10"/>
  <c r="BM101" i="10" s="1"/>
  <c r="BM111" i="10" s="1"/>
  <c r="BO88" i="10"/>
  <c r="BO91" i="10"/>
  <c r="BO101" i="10" s="1"/>
  <c r="BO111" i="10" s="1"/>
  <c r="BO86" i="10"/>
  <c r="BO87" i="10"/>
  <c r="BR86" i="10"/>
  <c r="BR81" i="10"/>
  <c r="BR91" i="10"/>
  <c r="BR101" i="10" s="1"/>
  <c r="BR111" i="10" s="1"/>
  <c r="BR79" i="10"/>
  <c r="BR77" i="10"/>
  <c r="BR82" i="10"/>
  <c r="BR78" i="10"/>
  <c r="BR88" i="10"/>
  <c r="BR80" i="10"/>
  <c r="BR87" i="10"/>
  <c r="BR27" i="10"/>
  <c r="BR52" i="10" s="1"/>
  <c r="BR26" i="10"/>
  <c r="BR51" i="10" s="1"/>
  <c r="BR22" i="10"/>
  <c r="BR47" i="10" s="1"/>
  <c r="BR21" i="10"/>
  <c r="BR46" i="10" s="1"/>
  <c r="BR30" i="10"/>
  <c r="BR55" i="10" s="1"/>
  <c r="BR23" i="10"/>
  <c r="BR48" i="10" s="1"/>
  <c r="BR32" i="10"/>
  <c r="BR57" i="10" s="1"/>
  <c r="BR35" i="10"/>
  <c r="BR60" i="10" s="1"/>
  <c r="BR38" i="10"/>
  <c r="BR63" i="10" s="1"/>
  <c r="BR37" i="10"/>
  <c r="BR62" i="10" s="1"/>
  <c r="BR36" i="10"/>
  <c r="BR61" i="10" s="1"/>
  <c r="BR34" i="10"/>
  <c r="BR59" i="10" s="1"/>
  <c r="BR31" i="10"/>
  <c r="BR56" i="10" s="1"/>
  <c r="BR29" i="10"/>
  <c r="BR54" i="10" s="1"/>
  <c r="BR33" i="10"/>
  <c r="BR58" i="10" s="1"/>
  <c r="BV87" i="10"/>
  <c r="BV88" i="10"/>
  <c r="BV86" i="10"/>
  <c r="BV91" i="10"/>
  <c r="BV101" i="10" s="1"/>
  <c r="BV111" i="10" s="1"/>
  <c r="BX88" i="10"/>
  <c r="BX91" i="10"/>
  <c r="BX101" i="10" s="1"/>
  <c r="BX111" i="10" s="1"/>
  <c r="BX87" i="10"/>
  <c r="BX86" i="10"/>
  <c r="CA86" i="10"/>
  <c r="CA88" i="10"/>
  <c r="CA91" i="10"/>
  <c r="CA101" i="10" s="1"/>
  <c r="CA111" i="10" s="1"/>
  <c r="CA87" i="10"/>
  <c r="CC88" i="10"/>
  <c r="CC87" i="10"/>
  <c r="CC86" i="10"/>
  <c r="CC91" i="10"/>
  <c r="CC101" i="10" s="1"/>
  <c r="CC111" i="10" s="1"/>
  <c r="CE88" i="10"/>
  <c r="CE86" i="10"/>
  <c r="CE91" i="10"/>
  <c r="CE101" i="10" s="1"/>
  <c r="CE111" i="10" s="1"/>
  <c r="CE87" i="10"/>
  <c r="CG91" i="10"/>
  <c r="CG101" i="10" s="1"/>
  <c r="CG111" i="10" s="1"/>
  <c r="CG87" i="10"/>
  <c r="CG86" i="10"/>
  <c r="CG88" i="10"/>
  <c r="DB81" i="10"/>
  <c r="DB82" i="10" s="1"/>
  <c r="DB98" i="10" s="1"/>
  <c r="DB79" i="10"/>
  <c r="DB80" i="10" s="1"/>
  <c r="DB77" i="10"/>
  <c r="DB78" i="10" s="1"/>
  <c r="DB42" i="10"/>
  <c r="DB67" i="10" s="1"/>
  <c r="DB43" i="10"/>
  <c r="DB68" i="10" s="1"/>
  <c r="DB44" i="10"/>
  <c r="DB69" i="10" s="1"/>
  <c r="DB45" i="10"/>
  <c r="DB70" i="10" s="1"/>
  <c r="DB23" i="10"/>
  <c r="DB48" i="10" s="1"/>
  <c r="DB29" i="10"/>
  <c r="DB54" i="10" s="1"/>
  <c r="DB32" i="10"/>
  <c r="DB57" i="10" s="1"/>
  <c r="DB21" i="10"/>
  <c r="DB22" i="10"/>
  <c r="DB47" i="10" s="1"/>
  <c r="DB24" i="10"/>
  <c r="DB49" i="10" s="1"/>
  <c r="DB25" i="10"/>
  <c r="DB50" i="10" s="1"/>
  <c r="DB26" i="10"/>
  <c r="DB51" i="10" s="1"/>
  <c r="DB27" i="10"/>
  <c r="DB52" i="10" s="1"/>
  <c r="DB28" i="10"/>
  <c r="DB53" i="10" s="1"/>
  <c r="DB30" i="10"/>
  <c r="DB55" i="10" s="1"/>
  <c r="DB31" i="10"/>
  <c r="DB56" i="10" s="1"/>
  <c r="DB33" i="10"/>
  <c r="DB58" i="10" s="1"/>
  <c r="DB34" i="10"/>
  <c r="DB59" i="10" s="1"/>
  <c r="DB35" i="10"/>
  <c r="DB60" i="10" s="1"/>
  <c r="DB36" i="10"/>
  <c r="DB61" i="10" s="1"/>
  <c r="DB37" i="10"/>
  <c r="DB62" i="10" s="1"/>
  <c r="DB38" i="10"/>
  <c r="DB63" i="10" s="1"/>
  <c r="DB39" i="10"/>
  <c r="DB64" i="10" s="1"/>
  <c r="DB40" i="10"/>
  <c r="DB65" i="10" s="1"/>
  <c r="DB41" i="10"/>
  <c r="DB66" i="10" s="1"/>
  <c r="DD77" i="10"/>
  <c r="DD78" i="10" s="1"/>
  <c r="DD79" i="10"/>
  <c r="DD80" i="10" s="1"/>
  <c r="DD81" i="10"/>
  <c r="DD82" i="10" s="1"/>
  <c r="DD98" i="10" s="1"/>
  <c r="DD28" i="10"/>
  <c r="DD53" i="10" s="1"/>
  <c r="DD35" i="10"/>
  <c r="DD60" i="10" s="1"/>
  <c r="DD34" i="10"/>
  <c r="DD59" i="10" s="1"/>
  <c r="DD23" i="10"/>
  <c r="DD48" i="10" s="1"/>
  <c r="DD33" i="10"/>
  <c r="DD58" i="10" s="1"/>
  <c r="DD29" i="10"/>
  <c r="DD54" i="10" s="1"/>
  <c r="DD31" i="10"/>
  <c r="DD56" i="10" s="1"/>
  <c r="DD30" i="10"/>
  <c r="DD55" i="10" s="1"/>
  <c r="DD21" i="10"/>
  <c r="DD22" i="10"/>
  <c r="DD47" i="10" s="1"/>
  <c r="DD24" i="10"/>
  <c r="DD49" i="10" s="1"/>
  <c r="DD25" i="10"/>
  <c r="DD50" i="10" s="1"/>
  <c r="DD26" i="10"/>
  <c r="DD51" i="10" s="1"/>
  <c r="DD44" i="10"/>
  <c r="DD69" i="10" s="1"/>
  <c r="DD43" i="10"/>
  <c r="DD68" i="10" s="1"/>
  <c r="DD42" i="10"/>
  <c r="DD67" i="10" s="1"/>
  <c r="DD27" i="10"/>
  <c r="DD52" i="10" s="1"/>
  <c r="DD32" i="10"/>
  <c r="DD57" i="10" s="1"/>
  <c r="DD41" i="10"/>
  <c r="DD66" i="10" s="1"/>
  <c r="DD40" i="10"/>
  <c r="DD65" i="10" s="1"/>
  <c r="DD39" i="10"/>
  <c r="DD64" i="10" s="1"/>
  <c r="DD38" i="10"/>
  <c r="DD63" i="10" s="1"/>
  <c r="DD37" i="10"/>
  <c r="DD62" i="10" s="1"/>
  <c r="DD36" i="10"/>
  <c r="DD61" i="10" s="1"/>
  <c r="DD45" i="10"/>
  <c r="DD70" i="10" s="1"/>
  <c r="DF36" i="10"/>
  <c r="DF61" i="10" s="1"/>
  <c r="DF35" i="10"/>
  <c r="DF60" i="10" s="1"/>
  <c r="DF34" i="10"/>
  <c r="DF59" i="10" s="1"/>
  <c r="DF33" i="10"/>
  <c r="DF58" i="10" s="1"/>
  <c r="DF32" i="10"/>
  <c r="DF57" i="10" s="1"/>
  <c r="DF31" i="10"/>
  <c r="DF56" i="10" s="1"/>
  <c r="DF30" i="10"/>
  <c r="DF55" i="10" s="1"/>
  <c r="DF28" i="10"/>
  <c r="DF53" i="10" s="1"/>
  <c r="DF26" i="10"/>
  <c r="DF51" i="10" s="1"/>
  <c r="DF25" i="10"/>
  <c r="DF50" i="10" s="1"/>
  <c r="DF24" i="10"/>
  <c r="DF49" i="10" s="1"/>
  <c r="DF22" i="10"/>
  <c r="DF47" i="10" s="1"/>
  <c r="DF21" i="10"/>
  <c r="DF29" i="10"/>
  <c r="DF54" i="10" s="1"/>
  <c r="DF23" i="10"/>
  <c r="DF48" i="10" s="1"/>
  <c r="DF27" i="10"/>
  <c r="DF52" i="10" s="1"/>
  <c r="DF39" i="10"/>
  <c r="DF64" i="10" s="1"/>
  <c r="DF38" i="10"/>
  <c r="DF63" i="10" s="1"/>
  <c r="DF37" i="10"/>
  <c r="DF62" i="10" s="1"/>
  <c r="DF79" i="10"/>
  <c r="DF80" i="10" s="1"/>
  <c r="DF81" i="10"/>
  <c r="DF82" i="10" s="1"/>
  <c r="DF98" i="10" s="1"/>
  <c r="DF77" i="10"/>
  <c r="DF78" i="10" s="1"/>
  <c r="DK33" i="10"/>
  <c r="DK58" i="10" s="1"/>
  <c r="DK31" i="10"/>
  <c r="DK56" i="10" s="1"/>
  <c r="DK81" i="10"/>
  <c r="DK82" i="10" s="1"/>
  <c r="DK98" i="10" s="1"/>
  <c r="DK79" i="10"/>
  <c r="DK80" i="10" s="1"/>
  <c r="DK77" i="10"/>
  <c r="DK78" i="10" s="1"/>
  <c r="DM33" i="10"/>
  <c r="DM58" i="10" s="1"/>
  <c r="DM43" i="10"/>
  <c r="DM68" i="10" s="1"/>
  <c r="DM44" i="10"/>
  <c r="DM69" i="10" s="1"/>
  <c r="DM45" i="10"/>
  <c r="DM70" i="10" s="1"/>
  <c r="DM21" i="10"/>
  <c r="DM22" i="10"/>
  <c r="DM47" i="10" s="1"/>
  <c r="DM28" i="10"/>
  <c r="DM53" i="10" s="1"/>
  <c r="DM30" i="10"/>
  <c r="DM55" i="10" s="1"/>
  <c r="DM31" i="10"/>
  <c r="DM56" i="10" s="1"/>
  <c r="DM32" i="10"/>
  <c r="DM57" i="10" s="1"/>
  <c r="DM23" i="10"/>
  <c r="DM48" i="10" s="1"/>
  <c r="DM24" i="10"/>
  <c r="DM49" i="10" s="1"/>
  <c r="DM25" i="10"/>
  <c r="DM50" i="10" s="1"/>
  <c r="DM26" i="10"/>
  <c r="DM51" i="10" s="1"/>
  <c r="DM27" i="10"/>
  <c r="DM52" i="10" s="1"/>
  <c r="DM29" i="10"/>
  <c r="DM54" i="10" s="1"/>
  <c r="DM34" i="10"/>
  <c r="DM59" i="10" s="1"/>
  <c r="DM35" i="10"/>
  <c r="DM60" i="10" s="1"/>
  <c r="DM36" i="10"/>
  <c r="DM61" i="10" s="1"/>
  <c r="DM37" i="10"/>
  <c r="DM62" i="10" s="1"/>
  <c r="DM38" i="10"/>
  <c r="DM63" i="10" s="1"/>
  <c r="DM39" i="10"/>
  <c r="DM64" i="10" s="1"/>
  <c r="DM40" i="10"/>
  <c r="DM65" i="10" s="1"/>
  <c r="DM41" i="10"/>
  <c r="DM66" i="10" s="1"/>
  <c r="DM42" i="10"/>
  <c r="DM67" i="10" s="1"/>
  <c r="DM77" i="10"/>
  <c r="DM78" i="10" s="1"/>
  <c r="DM79" i="10"/>
  <c r="DM80" i="10" s="1"/>
  <c r="DM81" i="10"/>
  <c r="DM82" i="10" s="1"/>
  <c r="DM98" i="10" s="1"/>
  <c r="DO77" i="10"/>
  <c r="DO78" i="10" s="1"/>
  <c r="DO79" i="10"/>
  <c r="DO80" i="10" s="1"/>
  <c r="DO81" i="10"/>
  <c r="DO82" i="10" s="1"/>
  <c r="DO98" i="10" s="1"/>
  <c r="DO23" i="10"/>
  <c r="DO48" i="10" s="1"/>
  <c r="DO24" i="10"/>
  <c r="DO49" i="10" s="1"/>
  <c r="DO25" i="10"/>
  <c r="DO50" i="10" s="1"/>
  <c r="DO26" i="10"/>
  <c r="DO51" i="10" s="1"/>
  <c r="DO27" i="10"/>
  <c r="DO52" i="10" s="1"/>
  <c r="DO28" i="10"/>
  <c r="DO53" i="10" s="1"/>
  <c r="DO29" i="10"/>
  <c r="DO54" i="10" s="1"/>
  <c r="DO32" i="10"/>
  <c r="DO57" i="10" s="1"/>
  <c r="DO34" i="10"/>
  <c r="DO59" i="10" s="1"/>
  <c r="DO35" i="10"/>
  <c r="DO60" i="10" s="1"/>
  <c r="DO36" i="10"/>
  <c r="DO61" i="10" s="1"/>
  <c r="DO37" i="10"/>
  <c r="DO62" i="10" s="1"/>
  <c r="DO38" i="10"/>
  <c r="DO63" i="10" s="1"/>
  <c r="DO39" i="10"/>
  <c r="DO64" i="10" s="1"/>
  <c r="DO40" i="10"/>
  <c r="DO65" i="10" s="1"/>
  <c r="DO41" i="10"/>
  <c r="DO66" i="10" s="1"/>
  <c r="DO42" i="10"/>
  <c r="DO67" i="10" s="1"/>
  <c r="DO43" i="10"/>
  <c r="DO68" i="10" s="1"/>
  <c r="DO30" i="10"/>
  <c r="DO55" i="10" s="1"/>
  <c r="DO31" i="10"/>
  <c r="DO56" i="10" s="1"/>
  <c r="DO33" i="10"/>
  <c r="DO58" i="10" s="1"/>
  <c r="DO44" i="10"/>
  <c r="DO69" i="10" s="1"/>
  <c r="DO45" i="10"/>
  <c r="DO70" i="10" s="1"/>
  <c r="DO22" i="10"/>
  <c r="DO47" i="10" s="1"/>
  <c r="DO21" i="10"/>
  <c r="DP44" i="10"/>
  <c r="DP69" i="10" s="1"/>
  <c r="DP30" i="10"/>
  <c r="DP55" i="10" s="1"/>
  <c r="DP29" i="10"/>
  <c r="DP54" i="10" s="1"/>
  <c r="DP31" i="10"/>
  <c r="DP56" i="10" s="1"/>
  <c r="DP42" i="10"/>
  <c r="DP67" i="10" s="1"/>
  <c r="DP22" i="10"/>
  <c r="DP47" i="10" s="1"/>
  <c r="DP28" i="10"/>
  <c r="DP53" i="10" s="1"/>
  <c r="DP26" i="10"/>
  <c r="DP51" i="10" s="1"/>
  <c r="DP27" i="10"/>
  <c r="DP52" i="10" s="1"/>
  <c r="DP33" i="10"/>
  <c r="DP58" i="10" s="1"/>
  <c r="DP32" i="10"/>
  <c r="DP57" i="10" s="1"/>
  <c r="DP24" i="10"/>
  <c r="DP49" i="10" s="1"/>
  <c r="DP23" i="10"/>
  <c r="DP48" i="10" s="1"/>
  <c r="DP45" i="10"/>
  <c r="DP70" i="10" s="1"/>
  <c r="DP25" i="10"/>
  <c r="DP50" i="10" s="1"/>
  <c r="DP43" i="10"/>
  <c r="DP68" i="10" s="1"/>
  <c r="DP41" i="10"/>
  <c r="DP66" i="10" s="1"/>
  <c r="DP40" i="10"/>
  <c r="DP65" i="10" s="1"/>
  <c r="DP39" i="10"/>
  <c r="DP64" i="10" s="1"/>
  <c r="DP38" i="10"/>
  <c r="DP63" i="10" s="1"/>
  <c r="DP37" i="10"/>
  <c r="DP62" i="10" s="1"/>
  <c r="DP36" i="10"/>
  <c r="DP61" i="10" s="1"/>
  <c r="DP35" i="10"/>
  <c r="DP60" i="10" s="1"/>
  <c r="DP21" i="10"/>
  <c r="DP34" i="10"/>
  <c r="DP59" i="10" s="1"/>
  <c r="DP77" i="10"/>
  <c r="DP78" i="10" s="1"/>
  <c r="DP79" i="10"/>
  <c r="DP80" i="10" s="1"/>
  <c r="DP81" i="10"/>
  <c r="DP82" i="10" s="1"/>
  <c r="DP98" i="10" s="1"/>
  <c r="DR28" i="10"/>
  <c r="DR53" i="10" s="1"/>
  <c r="DR27" i="10"/>
  <c r="DR52" i="10" s="1"/>
  <c r="DR30" i="10"/>
  <c r="DR55" i="10" s="1"/>
  <c r="DR21" i="10"/>
  <c r="DR38" i="10"/>
  <c r="DR63" i="10" s="1"/>
  <c r="DR39" i="10"/>
  <c r="DR64" i="10" s="1"/>
  <c r="DR40" i="10"/>
  <c r="DR65" i="10" s="1"/>
  <c r="DR41" i="10"/>
  <c r="DR66" i="10" s="1"/>
  <c r="DR42" i="10"/>
  <c r="DR67" i="10" s="1"/>
  <c r="DR22" i="10"/>
  <c r="DR47" i="10" s="1"/>
  <c r="DR43" i="10"/>
  <c r="DR68" i="10" s="1"/>
  <c r="DR44" i="10"/>
  <c r="DR69" i="10" s="1"/>
  <c r="DR45" i="10"/>
  <c r="DR70" i="10" s="1"/>
  <c r="DR23" i="10"/>
  <c r="DR48" i="10" s="1"/>
  <c r="DR24" i="10"/>
  <c r="DR49" i="10" s="1"/>
  <c r="DR25" i="10"/>
  <c r="DR50" i="10" s="1"/>
  <c r="DR29" i="10"/>
  <c r="DR54" i="10" s="1"/>
  <c r="DR31" i="10"/>
  <c r="DR56" i="10" s="1"/>
  <c r="DR26" i="10"/>
  <c r="DR51" i="10" s="1"/>
  <c r="DR33" i="10"/>
  <c r="DR58" i="10" s="1"/>
  <c r="DR37" i="10"/>
  <c r="DR62" i="10" s="1"/>
  <c r="DR36" i="10"/>
  <c r="DR61" i="10" s="1"/>
  <c r="DR35" i="10"/>
  <c r="DR60" i="10" s="1"/>
  <c r="DR34" i="10"/>
  <c r="DR59" i="10" s="1"/>
  <c r="DR32" i="10"/>
  <c r="DR57" i="10" s="1"/>
  <c r="DR77" i="10"/>
  <c r="DR78" i="10" s="1"/>
  <c r="DR79" i="10"/>
  <c r="DR80" i="10" s="1"/>
  <c r="DR81" i="10"/>
  <c r="DR82" i="10" s="1"/>
  <c r="DR98" i="10" s="1"/>
  <c r="DS77" i="10"/>
  <c r="DS78" i="10" s="1"/>
  <c r="DS81" i="10"/>
  <c r="DS82" i="10" s="1"/>
  <c r="DS98" i="10" s="1"/>
  <c r="DS79" i="10"/>
  <c r="DS80" i="10" s="1"/>
  <c r="DS22" i="10"/>
  <c r="DS47" i="10" s="1"/>
  <c r="DS23" i="10"/>
  <c r="DS48" i="10" s="1"/>
  <c r="DS24" i="10"/>
  <c r="DS49" i="10" s="1"/>
  <c r="DS25" i="10"/>
  <c r="DS50" i="10" s="1"/>
  <c r="DS26" i="10"/>
  <c r="DS51" i="10" s="1"/>
  <c r="DS27" i="10"/>
  <c r="DS52" i="10" s="1"/>
  <c r="DS31" i="10"/>
  <c r="DS56" i="10" s="1"/>
  <c r="DS32" i="10"/>
  <c r="DS57" i="10" s="1"/>
  <c r="DS33" i="10"/>
  <c r="DS58" i="10" s="1"/>
  <c r="DS34" i="10"/>
  <c r="DS59" i="10" s="1"/>
  <c r="DS35" i="10"/>
  <c r="DS60" i="10" s="1"/>
  <c r="DS28" i="10"/>
  <c r="DS53" i="10" s="1"/>
  <c r="DS29" i="10"/>
  <c r="DS54" i="10" s="1"/>
  <c r="DS30" i="10"/>
  <c r="DS55" i="10" s="1"/>
  <c r="DS21" i="10"/>
  <c r="DS46" i="10" s="1"/>
  <c r="EO81" i="10"/>
  <c r="EO82" i="10" s="1"/>
  <c r="EO98" i="10" s="1"/>
  <c r="EO79" i="10"/>
  <c r="EO80" i="10" s="1"/>
  <c r="EO77" i="10"/>
  <c r="EO78" i="10" s="1"/>
  <c r="EQ79" i="10"/>
  <c r="EQ80" i="10" s="1"/>
  <c r="EQ81" i="10"/>
  <c r="EQ82" i="10" s="1"/>
  <c r="EQ98" i="10" s="1"/>
  <c r="EQ77" i="10"/>
  <c r="EQ78" i="10" s="1"/>
  <c r="EQ21" i="10"/>
  <c r="EQ43" i="10"/>
  <c r="EQ68" i="10" s="1"/>
  <c r="EQ25" i="10"/>
  <c r="EQ50" i="10" s="1"/>
  <c r="EQ22" i="10"/>
  <c r="EQ47" i="10" s="1"/>
  <c r="EQ24" i="10"/>
  <c r="EQ49" i="10" s="1"/>
  <c r="EQ26" i="10"/>
  <c r="EQ51" i="10" s="1"/>
  <c r="EQ27" i="10"/>
  <c r="EQ52" i="10" s="1"/>
  <c r="EQ28" i="10"/>
  <c r="EQ53" i="10" s="1"/>
  <c r="EQ29" i="10"/>
  <c r="EQ54" i="10" s="1"/>
  <c r="EQ34" i="10"/>
  <c r="EQ59" i="10" s="1"/>
  <c r="EQ31" i="10"/>
  <c r="EQ56" i="10" s="1"/>
  <c r="EQ32" i="10"/>
  <c r="EQ57" i="10" s="1"/>
  <c r="EQ35" i="10"/>
  <c r="EQ60" i="10" s="1"/>
  <c r="EQ36" i="10"/>
  <c r="EQ61" i="10" s="1"/>
  <c r="EQ37" i="10"/>
  <c r="EQ62" i="10" s="1"/>
  <c r="EQ38" i="10"/>
  <c r="EQ63" i="10" s="1"/>
  <c r="EQ39" i="10"/>
  <c r="EQ64" i="10" s="1"/>
  <c r="EQ40" i="10"/>
  <c r="EQ65" i="10" s="1"/>
  <c r="EQ41" i="10"/>
  <c r="EQ66" i="10" s="1"/>
  <c r="EQ42" i="10"/>
  <c r="EQ67" i="10" s="1"/>
  <c r="EQ44" i="10"/>
  <c r="EQ69" i="10" s="1"/>
  <c r="EQ45" i="10"/>
  <c r="EQ70" i="10" s="1"/>
  <c r="EQ23" i="10"/>
  <c r="EQ48" i="10" s="1"/>
  <c r="EQ30" i="10"/>
  <c r="EQ55" i="10" s="1"/>
  <c r="EQ33" i="10"/>
  <c r="EQ58" i="10" s="1"/>
  <c r="AE28" i="10"/>
  <c r="AE53" i="10" s="1"/>
  <c r="AE25" i="10"/>
  <c r="AE50" i="10" s="1"/>
  <c r="AE45" i="10"/>
  <c r="AE70" i="10" s="1"/>
  <c r="AE44" i="10"/>
  <c r="AE69" i="10" s="1"/>
  <c r="AE43" i="10"/>
  <c r="AE68" i="10" s="1"/>
  <c r="AE42" i="10"/>
  <c r="AE67" i="10" s="1"/>
  <c r="AE41" i="10"/>
  <c r="AE66" i="10" s="1"/>
  <c r="AE40" i="10"/>
  <c r="AE65" i="10" s="1"/>
  <c r="AE39" i="10"/>
  <c r="AE64" i="10" s="1"/>
  <c r="AE38" i="10"/>
  <c r="AE63" i="10" s="1"/>
  <c r="AE37" i="10"/>
  <c r="AE62" i="10" s="1"/>
  <c r="AE36" i="10"/>
  <c r="AE61" i="10" s="1"/>
  <c r="AE35" i="10"/>
  <c r="AE60" i="10" s="1"/>
  <c r="AE32" i="10"/>
  <c r="AE57" i="10" s="1"/>
  <c r="AE29" i="10"/>
  <c r="AE54" i="10" s="1"/>
  <c r="AE27" i="10"/>
  <c r="AE52" i="10" s="1"/>
  <c r="AE26" i="10"/>
  <c r="AE51" i="10" s="1"/>
  <c r="AE24" i="10"/>
  <c r="AE49" i="10" s="1"/>
  <c r="AE23" i="10"/>
  <c r="AE48" i="10" s="1"/>
  <c r="AE22" i="10"/>
  <c r="AE47" i="10" s="1"/>
  <c r="AE21" i="10"/>
  <c r="AE34" i="10"/>
  <c r="AE59" i="10" s="1"/>
  <c r="AE33" i="10"/>
  <c r="AE58" i="10" s="1"/>
  <c r="AE31" i="10"/>
  <c r="AE56" i="10" s="1"/>
  <c r="AE30" i="10"/>
  <c r="AE55" i="10" s="1"/>
  <c r="AE81" i="10"/>
  <c r="AE82" i="10" s="1"/>
  <c r="AE98" i="10" s="1"/>
  <c r="AE79" i="10"/>
  <c r="AE80" i="10" s="1"/>
  <c r="AE77" i="10"/>
  <c r="AE78" i="10" s="1"/>
  <c r="AH27" i="10"/>
  <c r="AH52" i="10" s="1"/>
  <c r="AH28" i="10"/>
  <c r="AH53" i="10" s="1"/>
  <c r="AH31" i="10"/>
  <c r="AH56" i="10" s="1"/>
  <c r="AH25" i="10"/>
  <c r="AH50" i="10" s="1"/>
  <c r="AH21" i="10"/>
  <c r="AH22" i="10"/>
  <c r="AH47" i="10" s="1"/>
  <c r="AH23" i="10"/>
  <c r="AH48" i="10" s="1"/>
  <c r="AH24" i="10"/>
  <c r="AH49" i="10" s="1"/>
  <c r="AH36" i="10"/>
  <c r="AH61" i="10" s="1"/>
  <c r="AH35" i="10"/>
  <c r="AH60" i="10" s="1"/>
  <c r="AH34" i="10"/>
  <c r="AH59" i="10" s="1"/>
  <c r="AH33" i="10"/>
  <c r="AH58" i="10" s="1"/>
  <c r="AH32" i="10"/>
  <c r="AH57" i="10" s="1"/>
  <c r="AH30" i="10"/>
  <c r="AH55" i="10" s="1"/>
  <c r="AH29" i="10"/>
  <c r="AH54" i="10" s="1"/>
  <c r="AH26" i="10"/>
  <c r="AH51" i="10" s="1"/>
  <c r="AH45" i="10"/>
  <c r="AH70" i="10" s="1"/>
  <c r="AH44" i="10"/>
  <c r="AH69" i="10" s="1"/>
  <c r="AH43" i="10"/>
  <c r="AH68" i="10" s="1"/>
  <c r="AH40" i="10"/>
  <c r="AH65" i="10" s="1"/>
  <c r="AH42" i="10"/>
  <c r="AH67" i="10" s="1"/>
  <c r="AH41" i="10"/>
  <c r="AH66" i="10" s="1"/>
  <c r="AH39" i="10"/>
  <c r="AH64" i="10" s="1"/>
  <c r="AH38" i="10"/>
  <c r="AH63" i="10" s="1"/>
  <c r="AH37" i="10"/>
  <c r="AH62" i="10" s="1"/>
  <c r="AH77" i="10"/>
  <c r="AH78" i="10" s="1"/>
  <c r="AH79" i="10"/>
  <c r="AH80" i="10" s="1"/>
  <c r="AH81" i="10"/>
  <c r="AH82" i="10" s="1"/>
  <c r="AH98" i="10" s="1"/>
  <c r="AK81" i="10"/>
  <c r="AK82" i="10" s="1"/>
  <c r="AK98" i="10" s="1"/>
  <c r="AK79" i="10"/>
  <c r="AK80" i="10" s="1"/>
  <c r="AK77" i="10"/>
  <c r="AK78" i="10" s="1"/>
  <c r="AK24" i="10"/>
  <c r="AK49" i="10" s="1"/>
  <c r="AK25" i="10"/>
  <c r="AK50" i="10" s="1"/>
  <c r="AK26" i="10"/>
  <c r="AK51" i="10" s="1"/>
  <c r="AK28" i="10"/>
  <c r="AK53" i="10" s="1"/>
  <c r="AK30" i="10"/>
  <c r="AK55" i="10" s="1"/>
  <c r="AK33" i="10"/>
  <c r="AK58" i="10" s="1"/>
  <c r="AK34" i="10"/>
  <c r="AK59" i="10" s="1"/>
  <c r="AK21" i="10"/>
  <c r="AK22" i="10"/>
  <c r="AK47" i="10" s="1"/>
  <c r="AK23" i="10"/>
  <c r="AK48" i="10" s="1"/>
  <c r="AK27" i="10"/>
  <c r="AK52" i="10" s="1"/>
  <c r="AK29" i="10"/>
  <c r="AK54" i="10" s="1"/>
  <c r="AK31" i="10"/>
  <c r="AK56" i="10" s="1"/>
  <c r="AK32" i="10"/>
  <c r="AK57" i="10" s="1"/>
  <c r="AK35" i="10"/>
  <c r="AK60" i="10" s="1"/>
  <c r="AK36" i="10"/>
  <c r="AK61" i="10" s="1"/>
  <c r="AK37" i="10"/>
  <c r="AK62" i="10" s="1"/>
  <c r="AK38" i="10"/>
  <c r="AK63" i="10" s="1"/>
  <c r="AK39" i="10"/>
  <c r="AK64" i="10" s="1"/>
  <c r="AK40" i="10"/>
  <c r="AK65" i="10" s="1"/>
  <c r="AK42" i="10"/>
  <c r="AK67" i="10" s="1"/>
  <c r="AK43" i="10"/>
  <c r="AK68" i="10" s="1"/>
  <c r="AK44" i="10"/>
  <c r="AK69" i="10" s="1"/>
  <c r="AK45" i="10"/>
  <c r="AK70" i="10" s="1"/>
  <c r="AK41" i="10"/>
  <c r="AK66" i="10" s="1"/>
  <c r="AP25" i="10"/>
  <c r="AP50" i="10" s="1"/>
  <c r="AP28" i="10"/>
  <c r="AP53" i="10" s="1"/>
  <c r="AP31" i="10"/>
  <c r="AP56" i="10" s="1"/>
  <c r="AP32" i="10"/>
  <c r="AP57" i="10" s="1"/>
  <c r="AP33" i="10"/>
  <c r="AP58" i="10" s="1"/>
  <c r="AP34" i="10"/>
  <c r="AP59" i="10" s="1"/>
  <c r="AP21" i="10"/>
  <c r="AP22" i="10"/>
  <c r="AP47" i="10" s="1"/>
  <c r="AP23" i="10"/>
  <c r="AP48" i="10" s="1"/>
  <c r="AP24" i="10"/>
  <c r="AP49" i="10" s="1"/>
  <c r="AP26" i="10"/>
  <c r="AP51" i="10" s="1"/>
  <c r="AP27" i="10"/>
  <c r="AP52" i="10" s="1"/>
  <c r="AP29" i="10"/>
  <c r="AP54" i="10" s="1"/>
  <c r="AP30" i="10"/>
  <c r="AP55" i="10" s="1"/>
  <c r="AP35" i="10"/>
  <c r="AP60" i="10" s="1"/>
  <c r="AP36" i="10"/>
  <c r="AP61" i="10" s="1"/>
  <c r="AP37" i="10"/>
  <c r="AP62" i="10" s="1"/>
  <c r="AP38" i="10"/>
  <c r="AP63" i="10" s="1"/>
  <c r="AP39" i="10"/>
  <c r="AP64" i="10" s="1"/>
  <c r="AP40" i="10"/>
  <c r="AP65" i="10" s="1"/>
  <c r="AP41" i="10"/>
  <c r="AP66" i="10" s="1"/>
  <c r="AP42" i="10"/>
  <c r="AP67" i="10" s="1"/>
  <c r="AP43" i="10"/>
  <c r="AP68" i="10" s="1"/>
  <c r="AP44" i="10"/>
  <c r="AP69" i="10" s="1"/>
  <c r="AP45" i="10"/>
  <c r="AP70" i="10" s="1"/>
  <c r="AP77" i="10"/>
  <c r="AP78" i="10" s="1"/>
  <c r="AP79" i="10"/>
  <c r="AP80" i="10" s="1"/>
  <c r="AP81" i="10"/>
  <c r="AP82" i="10" s="1"/>
  <c r="AP98" i="10" s="1"/>
  <c r="AR21" i="10"/>
  <c r="AR22" i="10"/>
  <c r="AR47" i="10" s="1"/>
  <c r="AR23" i="10"/>
  <c r="AR48" i="10" s="1"/>
  <c r="AR27" i="10"/>
  <c r="AR52" i="10" s="1"/>
  <c r="AR30" i="10"/>
  <c r="AR55" i="10" s="1"/>
  <c r="AR31" i="10"/>
  <c r="AR56" i="10" s="1"/>
  <c r="AR33" i="10"/>
  <c r="AR58" i="10" s="1"/>
  <c r="AR35" i="10"/>
  <c r="AR60" i="10" s="1"/>
  <c r="AR36" i="10"/>
  <c r="AR61" i="10" s="1"/>
  <c r="AR37" i="10"/>
  <c r="AR62" i="10" s="1"/>
  <c r="AR38" i="10"/>
  <c r="AR63" i="10" s="1"/>
  <c r="AR39" i="10"/>
  <c r="AR64" i="10" s="1"/>
  <c r="AR40" i="10"/>
  <c r="AR65" i="10" s="1"/>
  <c r="AR41" i="10"/>
  <c r="AR66" i="10" s="1"/>
  <c r="AR42" i="10"/>
  <c r="AR67" i="10" s="1"/>
  <c r="AR43" i="10"/>
  <c r="AR68" i="10" s="1"/>
  <c r="AR44" i="10"/>
  <c r="AR69" i="10" s="1"/>
  <c r="AR45" i="10"/>
  <c r="AR70" i="10" s="1"/>
  <c r="AR24" i="10"/>
  <c r="AR49" i="10" s="1"/>
  <c r="AR25" i="10"/>
  <c r="AR50" i="10" s="1"/>
  <c r="AR26" i="10"/>
  <c r="AR51" i="10" s="1"/>
  <c r="AR28" i="10"/>
  <c r="AR53" i="10" s="1"/>
  <c r="AR29" i="10"/>
  <c r="AR54" i="10" s="1"/>
  <c r="AR32" i="10"/>
  <c r="AR57" i="10" s="1"/>
  <c r="AR34" i="10"/>
  <c r="AR59" i="10" s="1"/>
  <c r="AR77" i="10"/>
  <c r="AR78" i="10" s="1"/>
  <c r="AR79" i="10"/>
  <c r="AR80" i="10" s="1"/>
  <c r="AR81" i="10"/>
  <c r="AR82" i="10" s="1"/>
  <c r="AR98" i="10" s="1"/>
  <c r="AS45" i="10"/>
  <c r="AS70" i="10" s="1"/>
  <c r="AS21" i="10"/>
  <c r="AS22" i="10"/>
  <c r="AS47" i="10" s="1"/>
  <c r="AS23" i="10"/>
  <c r="AS48" i="10" s="1"/>
  <c r="AS24" i="10"/>
  <c r="AS49" i="10" s="1"/>
  <c r="AS26" i="10"/>
  <c r="AS51" i="10" s="1"/>
  <c r="AS27" i="10"/>
  <c r="AS52" i="10" s="1"/>
  <c r="AS28" i="10"/>
  <c r="AS53" i="10" s="1"/>
  <c r="AS29" i="10"/>
  <c r="AS54" i="10" s="1"/>
  <c r="AS30" i="10"/>
  <c r="AS55" i="10" s="1"/>
  <c r="AS32" i="10"/>
  <c r="AS57" i="10" s="1"/>
  <c r="AS34" i="10"/>
  <c r="AS59" i="10" s="1"/>
  <c r="AS35" i="10"/>
  <c r="AS60" i="10" s="1"/>
  <c r="AS36" i="10"/>
  <c r="AS61" i="10" s="1"/>
  <c r="AS37" i="10"/>
  <c r="AS62" i="10" s="1"/>
  <c r="AS39" i="10"/>
  <c r="AS64" i="10" s="1"/>
  <c r="AS41" i="10"/>
  <c r="AS66" i="10" s="1"/>
  <c r="AS42" i="10"/>
  <c r="AS67" i="10" s="1"/>
  <c r="AS43" i="10"/>
  <c r="AS68" i="10" s="1"/>
  <c r="AS44" i="10"/>
  <c r="AS69" i="10" s="1"/>
  <c r="AS40" i="10"/>
  <c r="AS65" i="10" s="1"/>
  <c r="AS38" i="10"/>
  <c r="AS63" i="10" s="1"/>
  <c r="AS25" i="10"/>
  <c r="AS50" i="10" s="1"/>
  <c r="AS31" i="10"/>
  <c r="AS56" i="10" s="1"/>
  <c r="AS33" i="10"/>
  <c r="AS58" i="10" s="1"/>
  <c r="AS81" i="10"/>
  <c r="AS82" i="10" s="1"/>
  <c r="AS98" i="10" s="1"/>
  <c r="AS77" i="10"/>
  <c r="AS78" i="10" s="1"/>
  <c r="AS79" i="10"/>
  <c r="AS80" i="10" s="1"/>
  <c r="AU24" i="10"/>
  <c r="AU49" i="10" s="1"/>
  <c r="AU23" i="10"/>
  <c r="AU48" i="10" s="1"/>
  <c r="AU22" i="10"/>
  <c r="AU47" i="10" s="1"/>
  <c r="AU21" i="10"/>
  <c r="AU46" i="10" s="1"/>
  <c r="AU42" i="10"/>
  <c r="AU67" i="10" s="1"/>
  <c r="AU41" i="10"/>
  <c r="AU66" i="10" s="1"/>
  <c r="AU40" i="10"/>
  <c r="AU65" i="10" s="1"/>
  <c r="AU39" i="10"/>
  <c r="AU64" i="10" s="1"/>
  <c r="AU38" i="10"/>
  <c r="AU63" i="10" s="1"/>
  <c r="AU37" i="10"/>
  <c r="AU62" i="10" s="1"/>
  <c r="AU36" i="10"/>
  <c r="AU61" i="10" s="1"/>
  <c r="AU35" i="10"/>
  <c r="AU60" i="10" s="1"/>
  <c r="AU34" i="10"/>
  <c r="AU59" i="10" s="1"/>
  <c r="AU33" i="10"/>
  <c r="AU58" i="10" s="1"/>
  <c r="AU29" i="10"/>
  <c r="AU54" i="10" s="1"/>
  <c r="AU27" i="10"/>
  <c r="AU52" i="10" s="1"/>
  <c r="AU26" i="10"/>
  <c r="AU51" i="10" s="1"/>
  <c r="AU43" i="10"/>
  <c r="AU68" i="10" s="1"/>
  <c r="AU44" i="10"/>
  <c r="AU69" i="10" s="1"/>
  <c r="AU45" i="10"/>
  <c r="AU70" i="10" s="1"/>
  <c r="AU81" i="10"/>
  <c r="AU82" i="10" s="1"/>
  <c r="AU98" i="10" s="1"/>
  <c r="AU77" i="10"/>
  <c r="AU78" i="10" s="1"/>
  <c r="AU79" i="10"/>
  <c r="AU80" i="10" s="1"/>
  <c r="AY77" i="10"/>
  <c r="AY78" i="10" s="1"/>
  <c r="AY79" i="10"/>
  <c r="AY80" i="10" s="1"/>
  <c r="AY81" i="10"/>
  <c r="AY82" i="10" s="1"/>
  <c r="AY98" i="10" s="1"/>
  <c r="AY34" i="10"/>
  <c r="AY59" i="10" s="1"/>
  <c r="AY35" i="10"/>
  <c r="AY60" i="10" s="1"/>
  <c r="AY36" i="10"/>
  <c r="AY61" i="10" s="1"/>
  <c r="AY37" i="10"/>
  <c r="AY62" i="10" s="1"/>
  <c r="AY38" i="10"/>
  <c r="AY63" i="10" s="1"/>
  <c r="AY39" i="10"/>
  <c r="AY64" i="10" s="1"/>
  <c r="AY40" i="10"/>
  <c r="AY65" i="10" s="1"/>
  <c r="AY41" i="10"/>
  <c r="AY66" i="10" s="1"/>
  <c r="AY42" i="10"/>
  <c r="AY67" i="10" s="1"/>
  <c r="AY43" i="10"/>
  <c r="AY68" i="10" s="1"/>
  <c r="AY45" i="10"/>
  <c r="AY70" i="10" s="1"/>
  <c r="AY25" i="10"/>
  <c r="AY50" i="10" s="1"/>
  <c r="AY26" i="10"/>
  <c r="AY51" i="10" s="1"/>
  <c r="AY28" i="10"/>
  <c r="AY53" i="10" s="1"/>
  <c r="AY31" i="10"/>
  <c r="AY56" i="10" s="1"/>
  <c r="AY32" i="10"/>
  <c r="AY57" i="10" s="1"/>
  <c r="AY33" i="10"/>
  <c r="AY58" i="10" s="1"/>
  <c r="AY21" i="10"/>
  <c r="AY22" i="10"/>
  <c r="AY47" i="10" s="1"/>
  <c r="AY23" i="10"/>
  <c r="AY48" i="10" s="1"/>
  <c r="AY24" i="10"/>
  <c r="AY49" i="10" s="1"/>
  <c r="AY44" i="10"/>
  <c r="AY69" i="10" s="1"/>
  <c r="AY27" i="10"/>
  <c r="AY52" i="10" s="1"/>
  <c r="AY29" i="10"/>
  <c r="AY54" i="10" s="1"/>
  <c r="AY30" i="10"/>
  <c r="AY55" i="10" s="1"/>
  <c r="BE43" i="10"/>
  <c r="BE68" i="10" s="1"/>
  <c r="BE42" i="10"/>
  <c r="BE67" i="10" s="1"/>
  <c r="BE35" i="10"/>
  <c r="BE60" i="10" s="1"/>
  <c r="BE41" i="10"/>
  <c r="BE66" i="10" s="1"/>
  <c r="BE40" i="10"/>
  <c r="BE65" i="10" s="1"/>
  <c r="BE30" i="10"/>
  <c r="BE55" i="10" s="1"/>
  <c r="BE44" i="10"/>
  <c r="BE69" i="10" s="1"/>
  <c r="BE45" i="10"/>
  <c r="BE70" i="10" s="1"/>
  <c r="BE24" i="10"/>
  <c r="BE49" i="10" s="1"/>
  <c r="BE26" i="10"/>
  <c r="BE51" i="10" s="1"/>
  <c r="BE28" i="10"/>
  <c r="BE53" i="10" s="1"/>
  <c r="BE32" i="10"/>
  <c r="BE57" i="10" s="1"/>
  <c r="BE34" i="10"/>
  <c r="BE59" i="10" s="1"/>
  <c r="BE39" i="10"/>
  <c r="BE64" i="10" s="1"/>
  <c r="BE38" i="10"/>
  <c r="BE63" i="10" s="1"/>
  <c r="BE37" i="10"/>
  <c r="BE62" i="10" s="1"/>
  <c r="BE36" i="10"/>
  <c r="BE61" i="10" s="1"/>
  <c r="BE23" i="10"/>
  <c r="BE48" i="10" s="1"/>
  <c r="BE29" i="10"/>
  <c r="BE54" i="10" s="1"/>
  <c r="BE27" i="10"/>
  <c r="BE52" i="10" s="1"/>
  <c r="BE25" i="10"/>
  <c r="BE50" i="10" s="1"/>
  <c r="BE22" i="10"/>
  <c r="BE47" i="10" s="1"/>
  <c r="BE21" i="10"/>
  <c r="BE31" i="10"/>
  <c r="BE56" i="10" s="1"/>
  <c r="BE33" i="10"/>
  <c r="BE58" i="10" s="1"/>
  <c r="BE81" i="10"/>
  <c r="BE82" i="10" s="1"/>
  <c r="BE98" i="10" s="1"/>
  <c r="BE79" i="10"/>
  <c r="BE80" i="10" s="1"/>
  <c r="BE77" i="10"/>
  <c r="BE78" i="10" s="1"/>
  <c r="BG24" i="10"/>
  <c r="BG49" i="10" s="1"/>
  <c r="BG31" i="10"/>
  <c r="BG56" i="10" s="1"/>
  <c r="BG33" i="10"/>
  <c r="BG58" i="10" s="1"/>
  <c r="BG28" i="10"/>
  <c r="BG53" i="10" s="1"/>
  <c r="BG27" i="10"/>
  <c r="BG52" i="10" s="1"/>
  <c r="BG29" i="10"/>
  <c r="BG54" i="10" s="1"/>
  <c r="BG30" i="10"/>
  <c r="BG55" i="10" s="1"/>
  <c r="BG32" i="10"/>
  <c r="BG57" i="10" s="1"/>
  <c r="BG34" i="10"/>
  <c r="BG59" i="10" s="1"/>
  <c r="BG35" i="10"/>
  <c r="BG60" i="10" s="1"/>
  <c r="BG36" i="10"/>
  <c r="BG61" i="10" s="1"/>
  <c r="BG37" i="10"/>
  <c r="BG62" i="10" s="1"/>
  <c r="BG38" i="10"/>
  <c r="BG63" i="10" s="1"/>
  <c r="BG39" i="10"/>
  <c r="BG64" i="10" s="1"/>
  <c r="BG21" i="10"/>
  <c r="BG40" i="10"/>
  <c r="BG65" i="10" s="1"/>
  <c r="BG41" i="10"/>
  <c r="BG66" i="10" s="1"/>
  <c r="BG42" i="10"/>
  <c r="BG67" i="10" s="1"/>
  <c r="BG43" i="10"/>
  <c r="BG68" i="10" s="1"/>
  <c r="BG44" i="10"/>
  <c r="BG69" i="10" s="1"/>
  <c r="BG45" i="10"/>
  <c r="BG70" i="10" s="1"/>
  <c r="BG22" i="10"/>
  <c r="BG47" i="10" s="1"/>
  <c r="BG23" i="10"/>
  <c r="BG48" i="10" s="1"/>
  <c r="BG26" i="10"/>
  <c r="BG51" i="10" s="1"/>
  <c r="BG25" i="10"/>
  <c r="BG50" i="10" s="1"/>
  <c r="BG77" i="10"/>
  <c r="BG78" i="10" s="1"/>
  <c r="BG79" i="10"/>
  <c r="BG80" i="10" s="1"/>
  <c r="BG81" i="10"/>
  <c r="BG82" i="10" s="1"/>
  <c r="BG98" i="10" s="1"/>
  <c r="BN36" i="10"/>
  <c r="BN61" i="10" s="1"/>
  <c r="BN45" i="10"/>
  <c r="BN70" i="10" s="1"/>
  <c r="BN42" i="10"/>
  <c r="BN67" i="10" s="1"/>
  <c r="BN41" i="10"/>
  <c r="BN66" i="10" s="1"/>
  <c r="BN40" i="10"/>
  <c r="BN65" i="10" s="1"/>
  <c r="BN39" i="10"/>
  <c r="BN64" i="10" s="1"/>
  <c r="BN38" i="10"/>
  <c r="BN63" i="10" s="1"/>
  <c r="BN37" i="10"/>
  <c r="BN62" i="10" s="1"/>
  <c r="BN44" i="10"/>
  <c r="BN69" i="10" s="1"/>
  <c r="BN35" i="10"/>
  <c r="BN60" i="10" s="1"/>
  <c r="BN43" i="10"/>
  <c r="BN68" i="10" s="1"/>
  <c r="BN34" i="10"/>
  <c r="BN59" i="10" s="1"/>
  <c r="BN33" i="10"/>
  <c r="BN58" i="10" s="1"/>
  <c r="BN32" i="10"/>
  <c r="BN57" i="10" s="1"/>
  <c r="BN31" i="10"/>
  <c r="BN56" i="10" s="1"/>
  <c r="BN27" i="10"/>
  <c r="BN52" i="10" s="1"/>
  <c r="BN23" i="10"/>
  <c r="BN48" i="10" s="1"/>
  <c r="BN22" i="10"/>
  <c r="BN47" i="10" s="1"/>
  <c r="BN21" i="10"/>
  <c r="BN30" i="10"/>
  <c r="BN55" i="10" s="1"/>
  <c r="BN29" i="10"/>
  <c r="BN54" i="10" s="1"/>
  <c r="BN28" i="10"/>
  <c r="BN53" i="10" s="1"/>
  <c r="BN25" i="10"/>
  <c r="BN50" i="10" s="1"/>
  <c r="BN24" i="10"/>
  <c r="BN49" i="10" s="1"/>
  <c r="BN26" i="10"/>
  <c r="BN51" i="10" s="1"/>
  <c r="BN86" i="10"/>
  <c r="BN77" i="10"/>
  <c r="BN79" i="10"/>
  <c r="BN80" i="10" s="1"/>
  <c r="BN81" i="10"/>
  <c r="BN82" i="10" s="1"/>
  <c r="BN87" i="10"/>
  <c r="BN88" i="10"/>
  <c r="BN78" i="10"/>
  <c r="BN91" i="10"/>
  <c r="BN101" i="10" s="1"/>
  <c r="BN111" i="10" s="1"/>
  <c r="BP29" i="10"/>
  <c r="BP54" i="10" s="1"/>
  <c r="BP27" i="10"/>
  <c r="BP52" i="10" s="1"/>
  <c r="BP38" i="10"/>
  <c r="BP63" i="10" s="1"/>
  <c r="BP23" i="10"/>
  <c r="BP48" i="10" s="1"/>
  <c r="BP22" i="10"/>
  <c r="BP47" i="10" s="1"/>
  <c r="BP28" i="10"/>
  <c r="BP53" i="10" s="1"/>
  <c r="BP21" i="10"/>
  <c r="BP37" i="10"/>
  <c r="BP62" i="10" s="1"/>
  <c r="BP36" i="10"/>
  <c r="BP61" i="10" s="1"/>
  <c r="BP35" i="10"/>
  <c r="BP60" i="10" s="1"/>
  <c r="BP34" i="10"/>
  <c r="BP59" i="10" s="1"/>
  <c r="BP32" i="10"/>
  <c r="BP57" i="10" s="1"/>
  <c r="BP33" i="10"/>
  <c r="BP58" i="10" s="1"/>
  <c r="BP26" i="10"/>
  <c r="BP51" i="10" s="1"/>
  <c r="BP31" i="10"/>
  <c r="BP56" i="10" s="1"/>
  <c r="BP30" i="10"/>
  <c r="BP55" i="10" s="1"/>
  <c r="BP25" i="10"/>
  <c r="BP50" i="10" s="1"/>
  <c r="BP24" i="10"/>
  <c r="BP49" i="10" s="1"/>
  <c r="BP45" i="10"/>
  <c r="BP70" i="10" s="1"/>
  <c r="BP44" i="10"/>
  <c r="BP69" i="10" s="1"/>
  <c r="BP43" i="10"/>
  <c r="BP68" i="10" s="1"/>
  <c r="BP42" i="10"/>
  <c r="BP67" i="10" s="1"/>
  <c r="BP41" i="10"/>
  <c r="BP66" i="10" s="1"/>
  <c r="BP40" i="10"/>
  <c r="BP65" i="10" s="1"/>
  <c r="BP39" i="10"/>
  <c r="BP64" i="10" s="1"/>
  <c r="BP88" i="10"/>
  <c r="BP81" i="10"/>
  <c r="BP82" i="10" s="1"/>
  <c r="BP91" i="10"/>
  <c r="BP101" i="10" s="1"/>
  <c r="BP111" i="10" s="1"/>
  <c r="BP87" i="10"/>
  <c r="BP79" i="10"/>
  <c r="BP80" i="10" s="1"/>
  <c r="BP77" i="10"/>
  <c r="BP78" i="10" s="1"/>
  <c r="BP86" i="10"/>
  <c r="BS40" i="10"/>
  <c r="BS65" i="10" s="1"/>
  <c r="BS41" i="10"/>
  <c r="BS66" i="10" s="1"/>
  <c r="BS42" i="10"/>
  <c r="BS67" i="10" s="1"/>
  <c r="BS43" i="10"/>
  <c r="BS68" i="10" s="1"/>
  <c r="BS44" i="10"/>
  <c r="BS69" i="10" s="1"/>
  <c r="BS45" i="10"/>
  <c r="BS70" i="10" s="1"/>
  <c r="BS26" i="10"/>
  <c r="BS51" i="10" s="1"/>
  <c r="BS28" i="10"/>
  <c r="BS53" i="10" s="1"/>
  <c r="BS31" i="10"/>
  <c r="BS56" i="10" s="1"/>
  <c r="BS32" i="10"/>
  <c r="BS57" i="10" s="1"/>
  <c r="BS33" i="10"/>
  <c r="BS58" i="10" s="1"/>
  <c r="BS30" i="10"/>
  <c r="BS55" i="10" s="1"/>
  <c r="BS34" i="10"/>
  <c r="BS59" i="10" s="1"/>
  <c r="BS36" i="10"/>
  <c r="BS61" i="10" s="1"/>
  <c r="BS37" i="10"/>
  <c r="BS62" i="10" s="1"/>
  <c r="BS38" i="10"/>
  <c r="BS63" i="10" s="1"/>
  <c r="BS39" i="10"/>
  <c r="BS64" i="10" s="1"/>
  <c r="BS35" i="10"/>
  <c r="BS60" i="10" s="1"/>
  <c r="BS27" i="10"/>
  <c r="BS52" i="10" s="1"/>
  <c r="BS21" i="10"/>
  <c r="BS22" i="10"/>
  <c r="BS47" i="10" s="1"/>
  <c r="BS23" i="10"/>
  <c r="BS48" i="10" s="1"/>
  <c r="BS24" i="10"/>
  <c r="BS49" i="10" s="1"/>
  <c r="BS25" i="10"/>
  <c r="BS50" i="10" s="1"/>
  <c r="BS29" i="10"/>
  <c r="BS54" i="10" s="1"/>
  <c r="BS77" i="10"/>
  <c r="BS79" i="10"/>
  <c r="BS88" i="10"/>
  <c r="BS91" i="10"/>
  <c r="BS101" i="10" s="1"/>
  <c r="BS111" i="10" s="1"/>
  <c r="BS78" i="10"/>
  <c r="BS87" i="10"/>
  <c r="BS86" i="10"/>
  <c r="BS81" i="10"/>
  <c r="BS82" i="10" s="1"/>
  <c r="BS80" i="10"/>
  <c r="BW86" i="10"/>
  <c r="BW87" i="10"/>
  <c r="BW91" i="10"/>
  <c r="BW101" i="10" s="1"/>
  <c r="BW111" i="10" s="1"/>
  <c r="BW88" i="10"/>
  <c r="CD35" i="10"/>
  <c r="CD60" i="10" s="1"/>
  <c r="CD38" i="10"/>
  <c r="CD63" i="10" s="1"/>
  <c r="CD40" i="10"/>
  <c r="CD65" i="10" s="1"/>
  <c r="CD42" i="10"/>
  <c r="CD67" i="10" s="1"/>
  <c r="CD44" i="10"/>
  <c r="CD69" i="10" s="1"/>
  <c r="CD23" i="10"/>
  <c r="CD48" i="10" s="1"/>
  <c r="CD28" i="10"/>
  <c r="CD53" i="10" s="1"/>
  <c r="CD29" i="10"/>
  <c r="CD54" i="10" s="1"/>
  <c r="CD39" i="10"/>
  <c r="CD64" i="10" s="1"/>
  <c r="CD31" i="10"/>
  <c r="CD56" i="10" s="1"/>
  <c r="CD45" i="10"/>
  <c r="CD70" i="10" s="1"/>
  <c r="CD32" i="10"/>
  <c r="CD57" i="10" s="1"/>
  <c r="CD34" i="10"/>
  <c r="CD59" i="10" s="1"/>
  <c r="CD36" i="10"/>
  <c r="CD61" i="10" s="1"/>
  <c r="CD43" i="10"/>
  <c r="CD68" i="10" s="1"/>
  <c r="CD41" i="10"/>
  <c r="CD66" i="10" s="1"/>
  <c r="CD37" i="10"/>
  <c r="CD62" i="10" s="1"/>
  <c r="CD33" i="10"/>
  <c r="CD58" i="10" s="1"/>
  <c r="CD91" i="10"/>
  <c r="CD101" i="10" s="1"/>
  <c r="CD111" i="10" s="1"/>
  <c r="CD79" i="10"/>
  <c r="CD80" i="10" s="1"/>
  <c r="CD87" i="10"/>
  <c r="CD77" i="10"/>
  <c r="CD81" i="10"/>
  <c r="CD78" i="10"/>
  <c r="CD86" i="10"/>
  <c r="CD82" i="10"/>
  <c r="CD88" i="10"/>
  <c r="CK81" i="10"/>
  <c r="CK82" i="10" s="1"/>
  <c r="CK98" i="10" s="1"/>
  <c r="CK79" i="10"/>
  <c r="CK80" i="10" s="1"/>
  <c r="CK77" i="10"/>
  <c r="CK78" i="10" s="1"/>
  <c r="CK24" i="10"/>
  <c r="CK49" i="10" s="1"/>
  <c r="CK26" i="10"/>
  <c r="CK51" i="10" s="1"/>
  <c r="CK27" i="10"/>
  <c r="CK52" i="10" s="1"/>
  <c r="CK29" i="10"/>
  <c r="CK54" i="10" s="1"/>
  <c r="CK32" i="10"/>
  <c r="CK57" i="10" s="1"/>
  <c r="CK33" i="10"/>
  <c r="CK58" i="10" s="1"/>
  <c r="CK34" i="10"/>
  <c r="CK59" i="10" s="1"/>
  <c r="CK35" i="10"/>
  <c r="CK60" i="10" s="1"/>
  <c r="CK36" i="10"/>
  <c r="CK61" i="10" s="1"/>
  <c r="CK37" i="10"/>
  <c r="CK62" i="10" s="1"/>
  <c r="CK38" i="10"/>
  <c r="CK63" i="10" s="1"/>
  <c r="CK39" i="10"/>
  <c r="CK64" i="10" s="1"/>
  <c r="CK40" i="10"/>
  <c r="CK65" i="10" s="1"/>
  <c r="CK42" i="10"/>
  <c r="CK67" i="10" s="1"/>
  <c r="CK44" i="10"/>
  <c r="CK69" i="10" s="1"/>
  <c r="CK23" i="10"/>
  <c r="CK48" i="10" s="1"/>
  <c r="CK25" i="10"/>
  <c r="CK50" i="10" s="1"/>
  <c r="CK28" i="10"/>
  <c r="CK53" i="10" s="1"/>
  <c r="CK30" i="10"/>
  <c r="CK55" i="10" s="1"/>
  <c r="CK31" i="10"/>
  <c r="CK56" i="10" s="1"/>
  <c r="CK41" i="10"/>
  <c r="CK66" i="10" s="1"/>
  <c r="CK43" i="10"/>
  <c r="CK68" i="10" s="1"/>
  <c r="CK45" i="10"/>
  <c r="CK70" i="10" s="1"/>
  <c r="CK21" i="10"/>
  <c r="CK22" i="10"/>
  <c r="CK47" i="10" s="1"/>
  <c r="U42" i="10"/>
  <c r="U67" i="10" s="1"/>
  <c r="U26" i="10"/>
  <c r="U51" i="10" s="1"/>
  <c r="U22" i="10"/>
  <c r="U47" i="10" s="1"/>
  <c r="U41" i="10"/>
  <c r="U66" i="10" s="1"/>
  <c r="U43" i="10"/>
  <c r="U68" i="10" s="1"/>
  <c r="U38" i="10"/>
  <c r="U63" i="10" s="1"/>
  <c r="U45" i="10"/>
  <c r="U70" i="10" s="1"/>
  <c r="U37" i="10"/>
  <c r="U62" i="10" s="1"/>
  <c r="U44" i="10"/>
  <c r="U69" i="10" s="1"/>
  <c r="U29" i="10"/>
  <c r="U54" i="10" s="1"/>
  <c r="U35" i="10"/>
  <c r="U60" i="10" s="1"/>
  <c r="U31" i="10"/>
  <c r="U56" i="10" s="1"/>
  <c r="U27" i="10"/>
  <c r="U52" i="10" s="1"/>
  <c r="U40" i="10"/>
  <c r="U65" i="10" s="1"/>
  <c r="U21" i="10"/>
  <c r="U30" i="10"/>
  <c r="U55" i="10" s="1"/>
  <c r="U32" i="10"/>
  <c r="U57" i="10" s="1"/>
  <c r="U36" i="10"/>
  <c r="U61" i="10" s="1"/>
  <c r="U23" i="10"/>
  <c r="U48" i="10" s="1"/>
  <c r="U34" i="10"/>
  <c r="U59" i="10" s="1"/>
  <c r="U33" i="10"/>
  <c r="U58" i="10" s="1"/>
  <c r="U28" i="10"/>
  <c r="U53" i="10" s="1"/>
  <c r="U25" i="10"/>
  <c r="U50" i="10" s="1"/>
  <c r="U24" i="10"/>
  <c r="U49" i="10" s="1"/>
  <c r="U39" i="10"/>
  <c r="U64" i="10" s="1"/>
  <c r="U81" i="10"/>
  <c r="U82" i="10"/>
  <c r="U86" i="10"/>
  <c r="U91" i="10"/>
  <c r="U101" i="10" s="1"/>
  <c r="U111" i="10" s="1"/>
  <c r="U88" i="10"/>
  <c r="U79" i="10"/>
  <c r="U80" i="10" s="1"/>
  <c r="U87" i="10"/>
  <c r="U77" i="10"/>
  <c r="U78" i="10" s="1"/>
  <c r="N44" i="10"/>
  <c r="N69" i="10" s="1"/>
  <c r="N39" i="10"/>
  <c r="N64" i="10" s="1"/>
  <c r="N41" i="10"/>
  <c r="N66" i="10" s="1"/>
  <c r="N45" i="10"/>
  <c r="N70" i="10" s="1"/>
  <c r="N42" i="10"/>
  <c r="N67" i="10" s="1"/>
  <c r="N40" i="10"/>
  <c r="N65" i="10" s="1"/>
  <c r="N34" i="10"/>
  <c r="N59" i="10" s="1"/>
  <c r="N32" i="10"/>
  <c r="N57" i="10" s="1"/>
  <c r="N31" i="10"/>
  <c r="N56" i="10" s="1"/>
  <c r="N26" i="10"/>
  <c r="N51" i="10" s="1"/>
  <c r="N25" i="10"/>
  <c r="N50" i="10" s="1"/>
  <c r="N21" i="10"/>
  <c r="N43" i="10"/>
  <c r="N68" i="10" s="1"/>
  <c r="N24" i="10"/>
  <c r="N49" i="10" s="1"/>
  <c r="N28" i="10"/>
  <c r="N53" i="10" s="1"/>
  <c r="N37" i="10"/>
  <c r="N62" i="10" s="1"/>
  <c r="N22" i="10"/>
  <c r="N47" i="10" s="1"/>
  <c r="N23" i="10"/>
  <c r="N48" i="10" s="1"/>
  <c r="N27" i="10"/>
  <c r="N52" i="10" s="1"/>
  <c r="N29" i="10"/>
  <c r="N54" i="10" s="1"/>
  <c r="N30" i="10"/>
  <c r="N55" i="10" s="1"/>
  <c r="N33" i="10"/>
  <c r="N58" i="10" s="1"/>
  <c r="N35" i="10"/>
  <c r="N60" i="10" s="1"/>
  <c r="N36" i="10"/>
  <c r="N61" i="10" s="1"/>
  <c r="N38" i="10"/>
  <c r="N63" i="10" s="1"/>
  <c r="N87" i="10"/>
  <c r="N79" i="10"/>
  <c r="N81" i="10"/>
  <c r="N80" i="10"/>
  <c r="N82" i="10"/>
  <c r="N88" i="10"/>
  <c r="N86" i="10"/>
  <c r="N91" i="10"/>
  <c r="N101" i="10" s="1"/>
  <c r="N111" i="10" s="1"/>
  <c r="N77" i="10"/>
  <c r="N78" i="10"/>
  <c r="N95" i="10" s="1"/>
  <c r="L29" i="10"/>
  <c r="L30" i="10"/>
  <c r="L55" i="10" s="1"/>
  <c r="L39" i="10"/>
  <c r="L64" i="10" s="1"/>
  <c r="L37" i="10"/>
  <c r="L62" i="10" s="1"/>
  <c r="L34" i="10"/>
  <c r="L59" i="10" s="1"/>
  <c r="L31" i="10"/>
  <c r="L56" i="10" s="1"/>
  <c r="L26" i="10"/>
  <c r="L51" i="10" s="1"/>
  <c r="L22" i="10"/>
  <c r="L47" i="10" s="1"/>
  <c r="L24" i="10"/>
  <c r="L49" i="10" s="1"/>
  <c r="L21" i="10"/>
  <c r="L46" i="10" s="1"/>
  <c r="L23" i="10"/>
  <c r="L48" i="10" s="1"/>
  <c r="L45" i="10"/>
  <c r="L70" i="10" s="1"/>
  <c r="L44" i="10"/>
  <c r="L69" i="10" s="1"/>
  <c r="L43" i="10"/>
  <c r="L68" i="10" s="1"/>
  <c r="L42" i="10"/>
  <c r="L67" i="10" s="1"/>
  <c r="L27" i="10"/>
  <c r="L52" i="10" s="1"/>
  <c r="L28" i="10"/>
  <c r="L53" i="10" s="1"/>
  <c r="L32" i="10"/>
  <c r="L57" i="10" s="1"/>
  <c r="L35" i="10"/>
  <c r="L60" i="10" s="1"/>
  <c r="L36" i="10"/>
  <c r="L61" i="10" s="1"/>
  <c r="L38" i="10"/>
  <c r="L63" i="10" s="1"/>
  <c r="L40" i="10"/>
  <c r="L65" i="10" s="1"/>
  <c r="L41" i="10"/>
  <c r="L66" i="10" s="1"/>
  <c r="L33" i="10"/>
  <c r="L58" i="10" s="1"/>
  <c r="L25" i="10"/>
  <c r="L50" i="10" s="1"/>
  <c r="L79" i="10"/>
  <c r="L80" i="10" s="1"/>
  <c r="L81" i="10"/>
  <c r="L82" i="10" s="1"/>
  <c r="L88" i="10"/>
  <c r="L87" i="10"/>
  <c r="L91" i="10"/>
  <c r="L101" i="10" s="1"/>
  <c r="L111" i="10" s="1"/>
  <c r="L86" i="10"/>
  <c r="L77" i="10"/>
  <c r="L78" i="10" s="1"/>
  <c r="I30" i="10"/>
  <c r="I55" i="10" s="1"/>
  <c r="I29" i="10"/>
  <c r="I54" i="10" s="1"/>
  <c r="I39" i="10"/>
  <c r="I64" i="10" s="1"/>
  <c r="I24" i="10"/>
  <c r="I49" i="10" s="1"/>
  <c r="I23" i="10"/>
  <c r="I48" i="10" s="1"/>
  <c r="I21" i="10"/>
  <c r="I46" i="10" s="1"/>
  <c r="I25" i="10"/>
  <c r="I50" i="10" s="1"/>
  <c r="I26" i="10"/>
  <c r="I51" i="10" s="1"/>
  <c r="I32" i="10"/>
  <c r="I57" i="10" s="1"/>
  <c r="I33" i="10"/>
  <c r="I58" i="10" s="1"/>
  <c r="I34" i="10"/>
  <c r="I59" i="10" s="1"/>
  <c r="I40" i="10"/>
  <c r="I65" i="10" s="1"/>
  <c r="I22" i="10"/>
  <c r="I47" i="10" s="1"/>
  <c r="I28" i="10"/>
  <c r="I53" i="10" s="1"/>
  <c r="I27" i="10"/>
  <c r="I52" i="10" s="1"/>
  <c r="I38" i="10"/>
  <c r="I63" i="10" s="1"/>
  <c r="I37" i="10"/>
  <c r="I62" i="10" s="1"/>
  <c r="I36" i="10"/>
  <c r="I61" i="10" s="1"/>
  <c r="I35" i="10"/>
  <c r="I60" i="10" s="1"/>
  <c r="I31" i="10"/>
  <c r="I56" i="10" s="1"/>
  <c r="I88" i="10"/>
  <c r="I77" i="10"/>
  <c r="I78" i="10" s="1"/>
  <c r="I86" i="10"/>
  <c r="I91" i="10"/>
  <c r="I101" i="10" s="1"/>
  <c r="I111" i="10" s="1"/>
  <c r="I87" i="10"/>
  <c r="I81" i="10"/>
  <c r="I79" i="10"/>
  <c r="I80" i="10"/>
  <c r="I82" i="10"/>
  <c r="AQ91" i="10"/>
  <c r="AQ101" i="10" s="1"/>
  <c r="AQ111" i="10" s="1"/>
  <c r="DM136" i="10"/>
  <c r="DM146" i="10" s="1"/>
  <c r="G49" i="12"/>
  <c r="AB81" i="10"/>
  <c r="AB82" i="10" s="1"/>
  <c r="AB98" i="10" s="1"/>
  <c r="AB79" i="10"/>
  <c r="AB80" i="10" s="1"/>
  <c r="AB95" i="10" s="1"/>
  <c r="H81" i="10"/>
  <c r="H82" i="10" s="1"/>
  <c r="H79" i="10"/>
  <c r="H80" i="10" s="1"/>
  <c r="H77" i="10"/>
  <c r="H78" i="10" s="1"/>
  <c r="H28" i="10"/>
  <c r="H53" i="10" s="1"/>
  <c r="H29" i="10"/>
  <c r="H54" i="10" s="1"/>
  <c r="H30" i="10"/>
  <c r="H55" i="10" s="1"/>
  <c r="H32" i="10"/>
  <c r="H57" i="10" s="1"/>
  <c r="H33" i="10"/>
  <c r="H58" i="10" s="1"/>
  <c r="H35" i="10"/>
  <c r="H60" i="10" s="1"/>
  <c r="H36" i="10"/>
  <c r="H61" i="10" s="1"/>
  <c r="H37" i="10"/>
  <c r="H62" i="10" s="1"/>
  <c r="H38" i="10"/>
  <c r="H63" i="10" s="1"/>
  <c r="H39" i="10"/>
  <c r="H64" i="10" s="1"/>
  <c r="H40" i="10"/>
  <c r="H65" i="10" s="1"/>
  <c r="H41" i="10"/>
  <c r="H66" i="10" s="1"/>
  <c r="H42" i="10"/>
  <c r="H67" i="10" s="1"/>
  <c r="H43" i="10"/>
  <c r="H68" i="10" s="1"/>
  <c r="H44" i="10"/>
  <c r="H69" i="10" s="1"/>
  <c r="H21" i="10"/>
  <c r="H24" i="10"/>
  <c r="H49" i="10" s="1"/>
  <c r="H26" i="10"/>
  <c r="H51" i="10" s="1"/>
  <c r="H31" i="10"/>
  <c r="H56" i="10" s="1"/>
  <c r="H34" i="10"/>
  <c r="H59" i="10" s="1"/>
  <c r="H45" i="10"/>
  <c r="H70" i="10" s="1"/>
  <c r="H22" i="10"/>
  <c r="H47" i="10" s="1"/>
  <c r="H23" i="10"/>
  <c r="H48" i="10" s="1"/>
  <c r="H25" i="10"/>
  <c r="H50" i="10" s="1"/>
  <c r="H27" i="10"/>
  <c r="H52" i="10" s="1"/>
  <c r="P79" i="10"/>
  <c r="P80" i="10" s="1"/>
  <c r="P81" i="10"/>
  <c r="P82" i="10" s="1"/>
  <c r="P77" i="10"/>
  <c r="P78" i="10" s="1"/>
  <c r="P21" i="10"/>
  <c r="P24" i="10"/>
  <c r="P49" i="10" s="1"/>
  <c r="P25" i="10"/>
  <c r="P50" i="10" s="1"/>
  <c r="P26" i="10"/>
  <c r="P51" i="10" s="1"/>
  <c r="P28" i="10"/>
  <c r="P53" i="10" s="1"/>
  <c r="P31" i="10"/>
  <c r="P56" i="10" s="1"/>
  <c r="P23" i="10"/>
  <c r="P48" i="10" s="1"/>
  <c r="P32" i="10"/>
  <c r="P57" i="10" s="1"/>
  <c r="P34" i="10"/>
  <c r="P59" i="10" s="1"/>
  <c r="P22" i="10"/>
  <c r="P47" i="10" s="1"/>
  <c r="P27" i="10"/>
  <c r="P52" i="10" s="1"/>
  <c r="P29" i="10"/>
  <c r="P54" i="10" s="1"/>
  <c r="P30" i="10"/>
  <c r="P55" i="10" s="1"/>
  <c r="P33" i="10"/>
  <c r="P58" i="10" s="1"/>
  <c r="P35" i="10"/>
  <c r="P60" i="10" s="1"/>
  <c r="P36" i="10"/>
  <c r="P61" i="10" s="1"/>
  <c r="P37" i="10"/>
  <c r="P62" i="10" s="1"/>
  <c r="P38" i="10"/>
  <c r="P63" i="10" s="1"/>
  <c r="P39" i="10"/>
  <c r="P64" i="10" s="1"/>
  <c r="P40" i="10"/>
  <c r="P65" i="10" s="1"/>
  <c r="P41" i="10"/>
  <c r="P66" i="10" s="1"/>
  <c r="P42" i="10"/>
  <c r="P67" i="10" s="1"/>
  <c r="P43" i="10"/>
  <c r="P68" i="10" s="1"/>
  <c r="P44" i="10"/>
  <c r="P69" i="10" s="1"/>
  <c r="P45" i="10"/>
  <c r="P70" i="10" s="1"/>
  <c r="T79" i="10"/>
  <c r="T80" i="10" s="1"/>
  <c r="T77" i="10"/>
  <c r="T78" i="10" s="1"/>
  <c r="T81" i="10"/>
  <c r="T82" i="10" s="1"/>
  <c r="T40" i="10"/>
  <c r="T65" i="10" s="1"/>
  <c r="T41" i="10"/>
  <c r="T66" i="10" s="1"/>
  <c r="T42" i="10"/>
  <c r="T67" i="10" s="1"/>
  <c r="T43" i="10"/>
  <c r="T68" i="10" s="1"/>
  <c r="T45" i="10"/>
  <c r="T70" i="10" s="1"/>
  <c r="T21" i="10"/>
  <c r="T24" i="10"/>
  <c r="T49" i="10" s="1"/>
  <c r="T26" i="10"/>
  <c r="T51" i="10" s="1"/>
  <c r="T31" i="10"/>
  <c r="T56" i="10" s="1"/>
  <c r="T44" i="10"/>
  <c r="T69" i="10" s="1"/>
  <c r="T37" i="10"/>
  <c r="T62" i="10" s="1"/>
  <c r="T38" i="10"/>
  <c r="T63" i="10" s="1"/>
  <c r="T39" i="10"/>
  <c r="T64" i="10" s="1"/>
  <c r="T22" i="10"/>
  <c r="T47" i="10" s="1"/>
  <c r="T23" i="10"/>
  <c r="T48" i="10" s="1"/>
  <c r="T25" i="10"/>
  <c r="T50" i="10" s="1"/>
  <c r="T27" i="10"/>
  <c r="T52" i="10" s="1"/>
  <c r="T28" i="10"/>
  <c r="T53" i="10" s="1"/>
  <c r="T29" i="10"/>
  <c r="T54" i="10" s="1"/>
  <c r="T30" i="10"/>
  <c r="T55" i="10" s="1"/>
  <c r="T32" i="10"/>
  <c r="T57" i="10" s="1"/>
  <c r="T33" i="10"/>
  <c r="T58" i="10" s="1"/>
  <c r="T34" i="10"/>
  <c r="T59" i="10" s="1"/>
  <c r="T35" i="10"/>
  <c r="T60" i="10" s="1"/>
  <c r="T36" i="10"/>
  <c r="T61" i="10" s="1"/>
  <c r="W81" i="10"/>
  <c r="W82" i="10" s="1"/>
  <c r="W77" i="10"/>
  <c r="W78" i="10" s="1"/>
  <c r="W79" i="10"/>
  <c r="W80" i="10" s="1"/>
  <c r="W24" i="10"/>
  <c r="W49" i="10" s="1"/>
  <c r="W22" i="10"/>
  <c r="W47" i="10" s="1"/>
  <c r="W44" i="10"/>
  <c r="W69" i="10" s="1"/>
  <c r="W27" i="10"/>
  <c r="W52" i="10" s="1"/>
  <c r="W29" i="10"/>
  <c r="W54" i="10" s="1"/>
  <c r="W32" i="10"/>
  <c r="W57" i="10" s="1"/>
  <c r="W35" i="10"/>
  <c r="W60" i="10" s="1"/>
  <c r="W36" i="10"/>
  <c r="W61" i="10" s="1"/>
  <c r="W37" i="10"/>
  <c r="W62" i="10" s="1"/>
  <c r="W38" i="10"/>
  <c r="W63" i="10" s="1"/>
  <c r="W45" i="10"/>
  <c r="W70" i="10" s="1"/>
  <c r="W40" i="10"/>
  <c r="W65" i="10" s="1"/>
  <c r="W41" i="10"/>
  <c r="W66" i="10" s="1"/>
  <c r="W23" i="10"/>
  <c r="W48" i="10" s="1"/>
  <c r="W42" i="10"/>
  <c r="W67" i="10" s="1"/>
  <c r="W39" i="10"/>
  <c r="W64" i="10" s="1"/>
  <c r="W21" i="10"/>
  <c r="W43" i="10"/>
  <c r="W68" i="10" s="1"/>
  <c r="W25" i="10"/>
  <c r="W50" i="10" s="1"/>
  <c r="W26" i="10"/>
  <c r="W51" i="10" s="1"/>
  <c r="W28" i="10"/>
  <c r="W53" i="10" s="1"/>
  <c r="W30" i="10"/>
  <c r="W55" i="10" s="1"/>
  <c r="W31" i="10"/>
  <c r="W56" i="10" s="1"/>
  <c r="W33" i="10"/>
  <c r="W58" i="10" s="1"/>
  <c r="W34" i="10"/>
  <c r="W59" i="10" s="1"/>
  <c r="Y45" i="10"/>
  <c r="Y70" i="10" s="1"/>
  <c r="Y21" i="10"/>
  <c r="Y22" i="10"/>
  <c r="Y47" i="10" s="1"/>
  <c r="Y23" i="10"/>
  <c r="Y48" i="10" s="1"/>
  <c r="Y27" i="10"/>
  <c r="Y52" i="10" s="1"/>
  <c r="Y29" i="10"/>
  <c r="Y54" i="10" s="1"/>
  <c r="Y30" i="10"/>
  <c r="Y55" i="10" s="1"/>
  <c r="Y32" i="10"/>
  <c r="Y57" i="10" s="1"/>
  <c r="Y35" i="10"/>
  <c r="Y60" i="10" s="1"/>
  <c r="Y36" i="10"/>
  <c r="Y61" i="10" s="1"/>
  <c r="Y37" i="10"/>
  <c r="Y62" i="10" s="1"/>
  <c r="Y38" i="10"/>
  <c r="Y63" i="10" s="1"/>
  <c r="Y39" i="10"/>
  <c r="Y64" i="10" s="1"/>
  <c r="Y40" i="10"/>
  <c r="Y65" i="10" s="1"/>
  <c r="Y41" i="10"/>
  <c r="Y66" i="10" s="1"/>
  <c r="Y42" i="10"/>
  <c r="Y67" i="10" s="1"/>
  <c r="Y24" i="10"/>
  <c r="Y49" i="10" s="1"/>
  <c r="Y25" i="10"/>
  <c r="Y50" i="10" s="1"/>
  <c r="Y26" i="10"/>
  <c r="Y51" i="10" s="1"/>
  <c r="Y28" i="10"/>
  <c r="Y53" i="10" s="1"/>
  <c r="Y31" i="10"/>
  <c r="Y56" i="10" s="1"/>
  <c r="Y33" i="10"/>
  <c r="Y58" i="10" s="1"/>
  <c r="Y34" i="10"/>
  <c r="Y59" i="10" s="1"/>
  <c r="Y43" i="10"/>
  <c r="Y68" i="10" s="1"/>
  <c r="Y44" i="10"/>
  <c r="Y69" i="10" s="1"/>
  <c r="Y81" i="10"/>
  <c r="Y82" i="10" s="1"/>
  <c r="Y98" i="10" s="1"/>
  <c r="Y77" i="10"/>
  <c r="Y78" i="10" s="1"/>
  <c r="Y79" i="10"/>
  <c r="Y80" i="10" s="1"/>
  <c r="AA81" i="10"/>
  <c r="AA82" i="10" s="1"/>
  <c r="AA98" i="10" s="1"/>
  <c r="AA79" i="10"/>
  <c r="AA80" i="10" s="1"/>
  <c r="AA77" i="10"/>
  <c r="AA78" i="10" s="1"/>
  <c r="AA33" i="10"/>
  <c r="AA58" i="10" s="1"/>
  <c r="AA32" i="10"/>
  <c r="AA57" i="10" s="1"/>
  <c r="AA30" i="10"/>
  <c r="AA55" i="10" s="1"/>
  <c r="AA29" i="10"/>
  <c r="AA54" i="10" s="1"/>
  <c r="AA27" i="10"/>
  <c r="AA52" i="10" s="1"/>
  <c r="AA24" i="10"/>
  <c r="AA49" i="10" s="1"/>
  <c r="AA23" i="10"/>
  <c r="AA48" i="10" s="1"/>
  <c r="AA22" i="10"/>
  <c r="AA47" i="10" s="1"/>
  <c r="AA21" i="10"/>
  <c r="AA31" i="10"/>
  <c r="AA56" i="10" s="1"/>
  <c r="AA26" i="10"/>
  <c r="AA51" i="10" s="1"/>
  <c r="AA34" i="10"/>
  <c r="AA59" i="10" s="1"/>
  <c r="AA28" i="10"/>
  <c r="AA53" i="10" s="1"/>
  <c r="AA25" i="10"/>
  <c r="AA50" i="10" s="1"/>
  <c r="AA35" i="10"/>
  <c r="AA60" i="10" s="1"/>
  <c r="AA36" i="10"/>
  <c r="AA61" i="10" s="1"/>
  <c r="AA37" i="10"/>
  <c r="AA62" i="10" s="1"/>
  <c r="AA38" i="10"/>
  <c r="AA63" i="10" s="1"/>
  <c r="AA39" i="10"/>
  <c r="AA64" i="10" s="1"/>
  <c r="AA40" i="10"/>
  <c r="AA65" i="10" s="1"/>
  <c r="AA41" i="10"/>
  <c r="AA66" i="10" s="1"/>
  <c r="AA42" i="10"/>
  <c r="AA67" i="10" s="1"/>
  <c r="AA43" i="10"/>
  <c r="AA68" i="10" s="1"/>
  <c r="AA44" i="10"/>
  <c r="AA69" i="10" s="1"/>
  <c r="AA45" i="10"/>
  <c r="AA70" i="10" s="1"/>
  <c r="AD21" i="10"/>
  <c r="AD22" i="10"/>
  <c r="AD47" i="10" s="1"/>
  <c r="AD23" i="10"/>
  <c r="AD48" i="10" s="1"/>
  <c r="AD25" i="10"/>
  <c r="AD50" i="10" s="1"/>
  <c r="AD26" i="10"/>
  <c r="AD51" i="10" s="1"/>
  <c r="AD27" i="10"/>
  <c r="AD52" i="10" s="1"/>
  <c r="AD28" i="10"/>
  <c r="AD53" i="10" s="1"/>
  <c r="AD29" i="10"/>
  <c r="AD54" i="10" s="1"/>
  <c r="AD35" i="10"/>
  <c r="AD60" i="10" s="1"/>
  <c r="AD36" i="10"/>
  <c r="AD61" i="10" s="1"/>
  <c r="AD37" i="10"/>
  <c r="AD62" i="10" s="1"/>
  <c r="AD38" i="10"/>
  <c r="AD63" i="10" s="1"/>
  <c r="AD39" i="10"/>
  <c r="AD64" i="10" s="1"/>
  <c r="AD40" i="10"/>
  <c r="AD65" i="10" s="1"/>
  <c r="AD41" i="10"/>
  <c r="AD66" i="10" s="1"/>
  <c r="AD42" i="10"/>
  <c r="AD67" i="10" s="1"/>
  <c r="AD43" i="10"/>
  <c r="AD68" i="10" s="1"/>
  <c r="AD44" i="10"/>
  <c r="AD69" i="10" s="1"/>
  <c r="AD45" i="10"/>
  <c r="AD70" i="10" s="1"/>
  <c r="AD24" i="10"/>
  <c r="AD49" i="10" s="1"/>
  <c r="AD30" i="10"/>
  <c r="AD55" i="10" s="1"/>
  <c r="AD31" i="10"/>
  <c r="AD56" i="10" s="1"/>
  <c r="AD32" i="10"/>
  <c r="AD57" i="10" s="1"/>
  <c r="AD33" i="10"/>
  <c r="AD58" i="10" s="1"/>
  <c r="AD34" i="10"/>
  <c r="AD59" i="10" s="1"/>
  <c r="AD77" i="10"/>
  <c r="AD78" i="10" s="1"/>
  <c r="AD79" i="10"/>
  <c r="AD80" i="10" s="1"/>
  <c r="AD81" i="10"/>
  <c r="AD82" i="10" s="1"/>
  <c r="AD98" i="10" s="1"/>
  <c r="AX40" i="10"/>
  <c r="AX65" i="10" s="1"/>
  <c r="AX39" i="10"/>
  <c r="AX64" i="10" s="1"/>
  <c r="AX38" i="10"/>
  <c r="AX63" i="10" s="1"/>
  <c r="AX37" i="10"/>
  <c r="AX62" i="10" s="1"/>
  <c r="AX36" i="10"/>
  <c r="AX61" i="10" s="1"/>
  <c r="AX35" i="10"/>
  <c r="AX60" i="10" s="1"/>
  <c r="AX34" i="10"/>
  <c r="AX59" i="10" s="1"/>
  <c r="AX45" i="10"/>
  <c r="AX70" i="10" s="1"/>
  <c r="AX44" i="10"/>
  <c r="AX69" i="10" s="1"/>
  <c r="AX43" i="10"/>
  <c r="AX68" i="10" s="1"/>
  <c r="AX32" i="10"/>
  <c r="AX57" i="10" s="1"/>
  <c r="AX42" i="10"/>
  <c r="AX67" i="10" s="1"/>
  <c r="AX41" i="10"/>
  <c r="AX66" i="10" s="1"/>
  <c r="AX24" i="10"/>
  <c r="AX49" i="10" s="1"/>
  <c r="AX26" i="10"/>
  <c r="AX51" i="10" s="1"/>
  <c r="AX29" i="10"/>
  <c r="AX54" i="10" s="1"/>
  <c r="AX30" i="10"/>
  <c r="AX55" i="10" s="1"/>
  <c r="AX33" i="10"/>
  <c r="AX58" i="10" s="1"/>
  <c r="AX21" i="10"/>
  <c r="AX22" i="10"/>
  <c r="AX47" i="10" s="1"/>
  <c r="AX23" i="10"/>
  <c r="AX48" i="10" s="1"/>
  <c r="AX25" i="10"/>
  <c r="AX50" i="10" s="1"/>
  <c r="AX27" i="10"/>
  <c r="AX52" i="10" s="1"/>
  <c r="AX28" i="10"/>
  <c r="AX53" i="10" s="1"/>
  <c r="AX31" i="10"/>
  <c r="AX56" i="10" s="1"/>
  <c r="AX77" i="10"/>
  <c r="AX78" i="10" s="1"/>
  <c r="AX79" i="10"/>
  <c r="AX80" i="10" s="1"/>
  <c r="AX81" i="10"/>
  <c r="AX82" i="10" s="1"/>
  <c r="AX98" i="10" s="1"/>
  <c r="BC77" i="10"/>
  <c r="BC78" i="10" s="1"/>
  <c r="BC79" i="10"/>
  <c r="BC80" i="10" s="1"/>
  <c r="BC81" i="10"/>
  <c r="BC82" i="10" s="1"/>
  <c r="BC98" i="10" s="1"/>
  <c r="BC41" i="10"/>
  <c r="BC66" i="10" s="1"/>
  <c r="BC42" i="10"/>
  <c r="BC67" i="10" s="1"/>
  <c r="BC43" i="10"/>
  <c r="BC68" i="10" s="1"/>
  <c r="BC44" i="10"/>
  <c r="BC69" i="10" s="1"/>
  <c r="BC45" i="10"/>
  <c r="BC70" i="10" s="1"/>
  <c r="BC24" i="10"/>
  <c r="BC49" i="10" s="1"/>
  <c r="BC25" i="10"/>
  <c r="BC50" i="10" s="1"/>
  <c r="BC26" i="10"/>
  <c r="BC51" i="10" s="1"/>
  <c r="BC28" i="10"/>
  <c r="BC53" i="10" s="1"/>
  <c r="BC30" i="10"/>
  <c r="BC55" i="10" s="1"/>
  <c r="BC31" i="10"/>
  <c r="BC56" i="10" s="1"/>
  <c r="BC33" i="10"/>
  <c r="BC58" i="10" s="1"/>
  <c r="BC36" i="10"/>
  <c r="BC61" i="10" s="1"/>
  <c r="BC21" i="10"/>
  <c r="BC22" i="10"/>
  <c r="BC47" i="10" s="1"/>
  <c r="BC23" i="10"/>
  <c r="BC48" i="10" s="1"/>
  <c r="BC27" i="10"/>
  <c r="BC52" i="10" s="1"/>
  <c r="BC29" i="10"/>
  <c r="BC54" i="10" s="1"/>
  <c r="BC32" i="10"/>
  <c r="BC57" i="10" s="1"/>
  <c r="BC34" i="10"/>
  <c r="BC59" i="10" s="1"/>
  <c r="BC35" i="10"/>
  <c r="BC60" i="10" s="1"/>
  <c r="BC37" i="10"/>
  <c r="BC62" i="10" s="1"/>
  <c r="BC38" i="10"/>
  <c r="BC63" i="10" s="1"/>
  <c r="BC39" i="10"/>
  <c r="BC64" i="10" s="1"/>
  <c r="BC40" i="10"/>
  <c r="BC65" i="10" s="1"/>
  <c r="BJ28" i="10"/>
  <c r="BJ53" i="10" s="1"/>
  <c r="BJ27" i="10"/>
  <c r="BJ52" i="10" s="1"/>
  <c r="BJ45" i="10"/>
  <c r="BJ70" i="10" s="1"/>
  <c r="BJ30" i="10"/>
  <c r="BJ55" i="10" s="1"/>
  <c r="BJ32" i="10"/>
  <c r="BJ57" i="10" s="1"/>
  <c r="BJ34" i="10"/>
  <c r="BJ59" i="10" s="1"/>
  <c r="BJ35" i="10"/>
  <c r="BJ60" i="10" s="1"/>
  <c r="BJ36" i="10"/>
  <c r="BJ61" i="10" s="1"/>
  <c r="BJ37" i="10"/>
  <c r="BJ62" i="10" s="1"/>
  <c r="BJ38" i="10"/>
  <c r="BJ63" i="10" s="1"/>
  <c r="BJ39" i="10"/>
  <c r="BJ64" i="10" s="1"/>
  <c r="BJ40" i="10"/>
  <c r="BJ65" i="10" s="1"/>
  <c r="BJ41" i="10"/>
  <c r="BJ66" i="10" s="1"/>
  <c r="BJ42" i="10"/>
  <c r="BJ67" i="10" s="1"/>
  <c r="BJ43" i="10"/>
  <c r="BJ68" i="10" s="1"/>
  <c r="BJ24" i="10"/>
  <c r="BJ49" i="10" s="1"/>
  <c r="BJ26" i="10"/>
  <c r="BJ51" i="10" s="1"/>
  <c r="BJ29" i="10"/>
  <c r="BJ54" i="10" s="1"/>
  <c r="BJ31" i="10"/>
  <c r="BJ56" i="10" s="1"/>
  <c r="BJ33" i="10"/>
  <c r="BJ58" i="10" s="1"/>
  <c r="BJ44" i="10"/>
  <c r="BJ69" i="10" s="1"/>
  <c r="BJ21" i="10"/>
  <c r="BJ22" i="10"/>
  <c r="BJ47" i="10" s="1"/>
  <c r="BJ23" i="10"/>
  <c r="BJ48" i="10" s="1"/>
  <c r="BJ25" i="10"/>
  <c r="BJ50" i="10" s="1"/>
  <c r="BJ79" i="10"/>
  <c r="BJ80" i="10" s="1"/>
  <c r="BJ77" i="10"/>
  <c r="BJ78" i="10" s="1"/>
  <c r="BJ81" i="10"/>
  <c r="BJ82" i="10" s="1"/>
  <c r="BM34" i="10"/>
  <c r="BM59" i="10" s="1"/>
  <c r="BM35" i="10"/>
  <c r="BM60" i="10" s="1"/>
  <c r="BM36" i="10"/>
  <c r="BM61" i="10" s="1"/>
  <c r="BM37" i="10"/>
  <c r="BM62" i="10" s="1"/>
  <c r="BM38" i="10"/>
  <c r="BM63" i="10" s="1"/>
  <c r="BM40" i="10"/>
  <c r="BM65" i="10" s="1"/>
  <c r="BM41" i="10"/>
  <c r="BM66" i="10" s="1"/>
  <c r="BM42" i="10"/>
  <c r="BM67" i="10" s="1"/>
  <c r="BM43" i="10"/>
  <c r="BM68" i="10" s="1"/>
  <c r="BM44" i="10"/>
  <c r="BM69" i="10" s="1"/>
  <c r="BM45" i="10"/>
  <c r="BM70" i="10" s="1"/>
  <c r="BM28" i="10"/>
  <c r="BM53" i="10" s="1"/>
  <c r="BM30" i="10"/>
  <c r="BM55" i="10" s="1"/>
  <c r="BM31" i="10"/>
  <c r="BM56" i="10" s="1"/>
  <c r="BM33" i="10"/>
  <c r="BM58" i="10" s="1"/>
  <c r="BM39" i="10"/>
  <c r="BM64" i="10" s="1"/>
  <c r="BM21" i="10"/>
  <c r="BM22" i="10"/>
  <c r="BM47" i="10" s="1"/>
  <c r="BM23" i="10"/>
  <c r="BM48" i="10" s="1"/>
  <c r="BM24" i="10"/>
  <c r="BM49" i="10" s="1"/>
  <c r="BM25" i="10"/>
  <c r="BM50" i="10" s="1"/>
  <c r="BM26" i="10"/>
  <c r="BM51" i="10" s="1"/>
  <c r="BM27" i="10"/>
  <c r="BM52" i="10" s="1"/>
  <c r="BM29" i="10"/>
  <c r="BM54" i="10" s="1"/>
  <c r="BM32" i="10"/>
  <c r="BM57" i="10" s="1"/>
  <c r="BM81" i="10"/>
  <c r="BM82" i="10" s="1"/>
  <c r="BM77" i="10"/>
  <c r="BM78" i="10" s="1"/>
  <c r="BM79" i="10"/>
  <c r="BM80" i="10" s="1"/>
  <c r="BO77" i="10"/>
  <c r="BO78" i="10" s="1"/>
  <c r="BO79" i="10"/>
  <c r="BO80" i="10" s="1"/>
  <c r="BO81" i="10"/>
  <c r="BO82" i="10" s="1"/>
  <c r="BO28" i="10"/>
  <c r="BO53" i="10" s="1"/>
  <c r="BO31" i="10"/>
  <c r="BO56" i="10" s="1"/>
  <c r="BO33" i="10"/>
  <c r="BO58" i="10" s="1"/>
  <c r="BO37" i="10"/>
  <c r="BO62" i="10" s="1"/>
  <c r="BO38" i="10"/>
  <c r="BO63" i="10" s="1"/>
  <c r="BO39" i="10"/>
  <c r="BO64" i="10" s="1"/>
  <c r="BO40" i="10"/>
  <c r="BO65" i="10" s="1"/>
  <c r="BO41" i="10"/>
  <c r="BO66" i="10" s="1"/>
  <c r="BO42" i="10"/>
  <c r="BO67" i="10" s="1"/>
  <c r="BO43" i="10"/>
  <c r="BO68" i="10" s="1"/>
  <c r="BO44" i="10"/>
  <c r="BO69" i="10" s="1"/>
  <c r="BO45" i="10"/>
  <c r="BO70" i="10" s="1"/>
  <c r="BO26" i="10"/>
  <c r="BO51" i="10" s="1"/>
  <c r="BO21" i="10"/>
  <c r="BO22" i="10"/>
  <c r="BO47" i="10" s="1"/>
  <c r="BO23" i="10"/>
  <c r="BO48" i="10" s="1"/>
  <c r="BO24" i="10"/>
  <c r="BO49" i="10" s="1"/>
  <c r="BO25" i="10"/>
  <c r="BO50" i="10" s="1"/>
  <c r="BO27" i="10"/>
  <c r="BO52" i="10" s="1"/>
  <c r="BO29" i="10"/>
  <c r="BO54" i="10" s="1"/>
  <c r="BO30" i="10"/>
  <c r="BO55" i="10" s="1"/>
  <c r="BO32" i="10"/>
  <c r="BO57" i="10" s="1"/>
  <c r="BO34" i="10"/>
  <c r="BO59" i="10" s="1"/>
  <c r="BO35" i="10"/>
  <c r="BO60" i="10" s="1"/>
  <c r="BO36" i="10"/>
  <c r="BO61" i="10" s="1"/>
  <c r="BR24" i="10"/>
  <c r="BR25" i="10"/>
  <c r="BR50" i="10" s="1"/>
  <c r="BR28" i="10"/>
  <c r="BR53" i="10" s="1"/>
  <c r="BR39" i="10"/>
  <c r="BR64" i="10" s="1"/>
  <c r="BR41" i="10"/>
  <c r="BR66" i="10" s="1"/>
  <c r="BR42" i="10"/>
  <c r="BR67" i="10" s="1"/>
  <c r="BR43" i="10"/>
  <c r="BR68" i="10" s="1"/>
  <c r="BR44" i="10"/>
  <c r="BR69" i="10" s="1"/>
  <c r="BR40" i="10"/>
  <c r="BR65" i="10" s="1"/>
  <c r="BR45" i="10"/>
  <c r="BR70" i="10" s="1"/>
  <c r="BV77" i="10"/>
  <c r="BV78" i="10" s="1"/>
  <c r="BV79" i="10"/>
  <c r="BV80" i="10" s="1"/>
  <c r="BV81" i="10"/>
  <c r="BV82" i="10" s="1"/>
  <c r="BV29" i="10"/>
  <c r="BV54" i="10" s="1"/>
  <c r="BV32" i="10"/>
  <c r="BV57" i="10" s="1"/>
  <c r="BV21" i="10"/>
  <c r="BV22" i="10"/>
  <c r="BV47" i="10" s="1"/>
  <c r="BV24" i="10"/>
  <c r="BV49" i="10" s="1"/>
  <c r="BV25" i="10"/>
  <c r="BV50" i="10" s="1"/>
  <c r="BV26" i="10"/>
  <c r="BV51" i="10" s="1"/>
  <c r="BV23" i="10"/>
  <c r="BV48" i="10" s="1"/>
  <c r="BV39" i="10"/>
  <c r="BV64" i="10" s="1"/>
  <c r="BV30" i="10"/>
  <c r="BV55" i="10" s="1"/>
  <c r="BV31" i="10"/>
  <c r="BV56" i="10" s="1"/>
  <c r="BV27" i="10"/>
  <c r="BV52" i="10" s="1"/>
  <c r="BV28" i="10"/>
  <c r="BV53" i="10" s="1"/>
  <c r="BV33" i="10"/>
  <c r="BV58" i="10" s="1"/>
  <c r="BV34" i="10"/>
  <c r="BV59" i="10" s="1"/>
  <c r="BV35" i="10"/>
  <c r="BV60" i="10" s="1"/>
  <c r="BV36" i="10"/>
  <c r="BV61" i="10" s="1"/>
  <c r="BV37" i="10"/>
  <c r="BV62" i="10" s="1"/>
  <c r="BV38" i="10"/>
  <c r="BV63" i="10" s="1"/>
  <c r="BV40" i="10"/>
  <c r="BV65" i="10" s="1"/>
  <c r="BV41" i="10"/>
  <c r="BV66" i="10" s="1"/>
  <c r="BV42" i="10"/>
  <c r="BV67" i="10" s="1"/>
  <c r="BV43" i="10"/>
  <c r="BV68" i="10" s="1"/>
  <c r="BV44" i="10"/>
  <c r="BV69" i="10" s="1"/>
  <c r="BV45" i="10"/>
  <c r="BV70" i="10" s="1"/>
  <c r="BX41" i="10"/>
  <c r="BX66" i="10" s="1"/>
  <c r="BX36" i="10"/>
  <c r="BX61" i="10" s="1"/>
  <c r="BX37" i="10"/>
  <c r="BX62" i="10" s="1"/>
  <c r="BX38" i="10"/>
  <c r="BX63" i="10" s="1"/>
  <c r="BX39" i="10"/>
  <c r="BX64" i="10" s="1"/>
  <c r="BX40" i="10"/>
  <c r="BX65" i="10" s="1"/>
  <c r="BX42" i="10"/>
  <c r="BX67" i="10" s="1"/>
  <c r="BX43" i="10"/>
  <c r="BX68" i="10" s="1"/>
  <c r="BX44" i="10"/>
  <c r="BX69" i="10" s="1"/>
  <c r="BX33" i="10"/>
  <c r="BX58" i="10" s="1"/>
  <c r="BX45" i="10"/>
  <c r="BX70" i="10" s="1"/>
  <c r="BX23" i="10"/>
  <c r="BX48" i="10" s="1"/>
  <c r="BX25" i="10"/>
  <c r="BX50" i="10" s="1"/>
  <c r="BX29" i="10"/>
  <c r="BX54" i="10" s="1"/>
  <c r="BX30" i="10"/>
  <c r="BX55" i="10" s="1"/>
  <c r="BX32" i="10"/>
  <c r="BX57" i="10" s="1"/>
  <c r="BX21" i="10"/>
  <c r="BX22" i="10"/>
  <c r="BX47" i="10" s="1"/>
  <c r="BX24" i="10"/>
  <c r="BX49" i="10" s="1"/>
  <c r="BX26" i="10"/>
  <c r="BX51" i="10" s="1"/>
  <c r="BX27" i="10"/>
  <c r="BX52" i="10" s="1"/>
  <c r="BX28" i="10"/>
  <c r="BX53" i="10" s="1"/>
  <c r="BX31" i="10"/>
  <c r="BX56" i="10" s="1"/>
  <c r="BX34" i="10"/>
  <c r="BX59" i="10" s="1"/>
  <c r="BX35" i="10"/>
  <c r="BX60" i="10" s="1"/>
  <c r="BX81" i="10"/>
  <c r="BX82" i="10" s="1"/>
  <c r="BX77" i="10"/>
  <c r="BX78" i="10" s="1"/>
  <c r="BX79" i="10"/>
  <c r="BX80" i="10" s="1"/>
  <c r="CA77" i="10"/>
  <c r="CA78" i="10" s="1"/>
  <c r="CA79" i="10"/>
  <c r="CA80" i="10" s="1"/>
  <c r="CA81" i="10"/>
  <c r="CA82" i="10" s="1"/>
  <c r="CA27" i="10"/>
  <c r="CA52" i="10" s="1"/>
  <c r="CA28" i="10"/>
  <c r="CA53" i="10" s="1"/>
  <c r="CA30" i="10"/>
  <c r="CA55" i="10" s="1"/>
  <c r="CA32" i="10"/>
  <c r="CA57" i="10" s="1"/>
  <c r="CA33" i="10"/>
  <c r="CA58" i="10" s="1"/>
  <c r="CA34" i="10"/>
  <c r="CA59" i="10" s="1"/>
  <c r="CA35" i="10"/>
  <c r="CA60" i="10" s="1"/>
  <c r="CA36" i="10"/>
  <c r="CA61" i="10" s="1"/>
  <c r="CA37" i="10"/>
  <c r="CA62" i="10" s="1"/>
  <c r="CA44" i="10"/>
  <c r="CA69" i="10" s="1"/>
  <c r="CA38" i="10"/>
  <c r="CA63" i="10" s="1"/>
  <c r="CA39" i="10"/>
  <c r="CA64" i="10" s="1"/>
  <c r="CA40" i="10"/>
  <c r="CA65" i="10" s="1"/>
  <c r="CA41" i="10"/>
  <c r="CA66" i="10" s="1"/>
  <c r="CA42" i="10"/>
  <c r="CA67" i="10" s="1"/>
  <c r="CA23" i="10"/>
  <c r="CA48" i="10" s="1"/>
  <c r="CA24" i="10"/>
  <c r="CA49" i="10" s="1"/>
  <c r="CA29" i="10"/>
  <c r="CA54" i="10" s="1"/>
  <c r="CA31" i="10"/>
  <c r="CA56" i="10" s="1"/>
  <c r="CA43" i="10"/>
  <c r="CA68" i="10" s="1"/>
  <c r="CA21" i="10"/>
  <c r="CA22" i="10"/>
  <c r="CA47" i="10" s="1"/>
  <c r="CA25" i="10"/>
  <c r="CA50" i="10" s="1"/>
  <c r="CA26" i="10"/>
  <c r="CA51" i="10" s="1"/>
  <c r="CA45" i="10"/>
  <c r="CA70" i="10" s="1"/>
  <c r="CC21" i="10"/>
  <c r="CC22" i="10"/>
  <c r="CC47" i="10" s="1"/>
  <c r="CC26" i="10"/>
  <c r="CC51" i="10" s="1"/>
  <c r="CC27" i="10"/>
  <c r="CC52" i="10" s="1"/>
  <c r="CC28" i="10"/>
  <c r="CC53" i="10" s="1"/>
  <c r="CC29" i="10"/>
  <c r="CC54" i="10" s="1"/>
  <c r="CC30" i="10"/>
  <c r="CC55" i="10" s="1"/>
  <c r="CC31" i="10"/>
  <c r="CC56" i="10" s="1"/>
  <c r="CC32" i="10"/>
  <c r="CC57" i="10" s="1"/>
  <c r="CC34" i="10"/>
  <c r="CC59" i="10" s="1"/>
  <c r="CC35" i="10"/>
  <c r="CC60" i="10" s="1"/>
  <c r="CC36" i="10"/>
  <c r="CC61" i="10" s="1"/>
  <c r="CC37" i="10"/>
  <c r="CC62" i="10" s="1"/>
  <c r="CC38" i="10"/>
  <c r="CC63" i="10" s="1"/>
  <c r="CC39" i="10"/>
  <c r="CC64" i="10" s="1"/>
  <c r="CC40" i="10"/>
  <c r="CC65" i="10" s="1"/>
  <c r="CC41" i="10"/>
  <c r="CC66" i="10" s="1"/>
  <c r="CC42" i="10"/>
  <c r="CC67" i="10" s="1"/>
  <c r="CC43" i="10"/>
  <c r="CC68" i="10" s="1"/>
  <c r="CC44" i="10"/>
  <c r="CC69" i="10" s="1"/>
  <c r="CC45" i="10"/>
  <c r="CC70" i="10" s="1"/>
  <c r="CC23" i="10"/>
  <c r="CC48" i="10" s="1"/>
  <c r="CC24" i="10"/>
  <c r="CC49" i="10" s="1"/>
  <c r="CC25" i="10"/>
  <c r="CC50" i="10" s="1"/>
  <c r="CC33" i="10"/>
  <c r="CC58" i="10" s="1"/>
  <c r="CC77" i="10"/>
  <c r="CC78" i="10" s="1"/>
  <c r="CC79" i="10"/>
  <c r="CC80" i="10" s="1"/>
  <c r="CC81" i="10"/>
  <c r="CC82" i="10" s="1"/>
  <c r="CC98" i="10" s="1"/>
  <c r="CE77" i="10"/>
  <c r="CE78" i="10" s="1"/>
  <c r="CE79" i="10"/>
  <c r="CE80" i="10" s="1"/>
  <c r="CE81" i="10"/>
  <c r="CE82" i="10" s="1"/>
  <c r="CE32" i="10"/>
  <c r="CE57" i="10" s="1"/>
  <c r="CE34" i="10"/>
  <c r="CE59" i="10" s="1"/>
  <c r="CE35" i="10"/>
  <c r="CE60" i="10" s="1"/>
  <c r="CE36" i="10"/>
  <c r="CE61" i="10" s="1"/>
  <c r="CE37" i="10"/>
  <c r="CE62" i="10" s="1"/>
  <c r="CE38" i="10"/>
  <c r="CE63" i="10" s="1"/>
  <c r="CE39" i="10"/>
  <c r="CE64" i="10" s="1"/>
  <c r="CE40" i="10"/>
  <c r="CE65" i="10" s="1"/>
  <c r="CE41" i="10"/>
  <c r="CE66" i="10" s="1"/>
  <c r="CE44" i="10"/>
  <c r="CE69" i="10" s="1"/>
  <c r="CE43" i="10"/>
  <c r="CE68" i="10" s="1"/>
  <c r="CE42" i="10"/>
  <c r="CE67" i="10" s="1"/>
  <c r="CE27" i="10"/>
  <c r="CE52" i="10" s="1"/>
  <c r="CE23" i="10"/>
  <c r="CE48" i="10" s="1"/>
  <c r="CE24" i="10"/>
  <c r="CE49" i="10" s="1"/>
  <c r="CE25" i="10"/>
  <c r="CE50" i="10" s="1"/>
  <c r="CE30" i="10"/>
  <c r="CE55" i="10" s="1"/>
  <c r="CE31" i="10"/>
  <c r="CE56" i="10" s="1"/>
  <c r="CE33" i="10"/>
  <c r="CE58" i="10" s="1"/>
  <c r="CE28" i="10"/>
  <c r="CE53" i="10" s="1"/>
  <c r="CE45" i="10"/>
  <c r="CE70" i="10" s="1"/>
  <c r="CE29" i="10"/>
  <c r="CE54" i="10" s="1"/>
  <c r="CE21" i="10"/>
  <c r="CE22" i="10"/>
  <c r="CE47" i="10" s="1"/>
  <c r="CE26" i="10"/>
  <c r="CE51" i="10" s="1"/>
  <c r="CG26" i="10"/>
  <c r="CG51" i="10" s="1"/>
  <c r="CG27" i="10"/>
  <c r="CG52" i="10" s="1"/>
  <c r="CG28" i="10"/>
  <c r="CG53" i="10" s="1"/>
  <c r="CG29" i="10"/>
  <c r="CG54" i="10" s="1"/>
  <c r="CG34" i="10"/>
  <c r="CG59" i="10" s="1"/>
  <c r="CG35" i="10"/>
  <c r="CG60" i="10" s="1"/>
  <c r="CG36" i="10"/>
  <c r="CG61" i="10" s="1"/>
  <c r="CG37" i="10"/>
  <c r="CG62" i="10" s="1"/>
  <c r="CG38" i="10"/>
  <c r="CG63" i="10" s="1"/>
  <c r="CG39" i="10"/>
  <c r="CG64" i="10" s="1"/>
  <c r="CG40" i="10"/>
  <c r="CG65" i="10" s="1"/>
  <c r="CG41" i="10"/>
  <c r="CG66" i="10" s="1"/>
  <c r="CG42" i="10"/>
  <c r="CG67" i="10" s="1"/>
  <c r="CG43" i="10"/>
  <c r="CG68" i="10" s="1"/>
  <c r="CG44" i="10"/>
  <c r="CG69" i="10" s="1"/>
  <c r="CG45" i="10"/>
  <c r="CG70" i="10" s="1"/>
  <c r="CG23" i="10"/>
  <c r="CG48" i="10" s="1"/>
  <c r="CG25" i="10"/>
  <c r="CG50" i="10" s="1"/>
  <c r="CG30" i="10"/>
  <c r="CG55" i="10" s="1"/>
  <c r="CG31" i="10"/>
  <c r="CG56" i="10" s="1"/>
  <c r="CG32" i="10"/>
  <c r="CG57" i="10" s="1"/>
  <c r="CG33" i="10"/>
  <c r="CG58" i="10" s="1"/>
  <c r="CG21" i="10"/>
  <c r="CG22" i="10"/>
  <c r="CG47" i="10" s="1"/>
  <c r="CG24" i="10"/>
  <c r="CG49" i="10" s="1"/>
  <c r="CG77" i="10"/>
  <c r="CG78" i="10" s="1"/>
  <c r="CG79" i="10"/>
  <c r="CG80" i="10" s="1"/>
  <c r="CG81" i="10"/>
  <c r="CG82" i="10" s="1"/>
  <c r="CI77" i="10"/>
  <c r="CI78" i="10" s="1"/>
  <c r="CI81" i="10"/>
  <c r="CI82" i="10" s="1"/>
  <c r="CI98" i="10" s="1"/>
  <c r="CI79" i="10"/>
  <c r="CI80" i="10" s="1"/>
  <c r="CI37" i="10"/>
  <c r="CI62" i="10" s="1"/>
  <c r="CI36" i="10"/>
  <c r="CI61" i="10" s="1"/>
  <c r="CI38" i="10"/>
  <c r="CI63" i="10" s="1"/>
  <c r="CI39" i="10"/>
  <c r="CI64" i="10" s="1"/>
  <c r="CI40" i="10"/>
  <c r="CI65" i="10" s="1"/>
  <c r="CI41" i="10"/>
  <c r="CI66" i="10" s="1"/>
  <c r="CI43" i="10"/>
  <c r="CI68" i="10" s="1"/>
  <c r="CI44" i="10"/>
  <c r="CI69" i="10" s="1"/>
  <c r="CI45" i="10"/>
  <c r="CI70" i="10" s="1"/>
  <c r="CI23" i="10"/>
  <c r="CI48" i="10" s="1"/>
  <c r="CI25" i="10"/>
  <c r="CI50" i="10" s="1"/>
  <c r="CI26" i="10"/>
  <c r="CI51" i="10" s="1"/>
  <c r="CI30" i="10"/>
  <c r="CI55" i="10" s="1"/>
  <c r="CI31" i="10"/>
  <c r="CI56" i="10" s="1"/>
  <c r="CI32" i="10"/>
  <c r="CI57" i="10" s="1"/>
  <c r="CI33" i="10"/>
  <c r="CI58" i="10" s="1"/>
  <c r="CI21" i="10"/>
  <c r="CI22" i="10"/>
  <c r="CI47" i="10" s="1"/>
  <c r="CI24" i="10"/>
  <c r="CI49" i="10" s="1"/>
  <c r="CI42" i="10"/>
  <c r="CI67" i="10" s="1"/>
  <c r="CI27" i="10"/>
  <c r="CI52" i="10" s="1"/>
  <c r="CI28" i="10"/>
  <c r="CI53" i="10" s="1"/>
  <c r="CI29" i="10"/>
  <c r="CI54" i="10" s="1"/>
  <c r="CI34" i="10"/>
  <c r="CI59" i="10" s="1"/>
  <c r="CI35" i="10"/>
  <c r="CI60" i="10" s="1"/>
  <c r="CL30" i="10"/>
  <c r="CL55" i="10" s="1"/>
  <c r="CL21" i="10"/>
  <c r="CL22" i="10"/>
  <c r="CL47" i="10" s="1"/>
  <c r="CL25" i="10"/>
  <c r="CL50" i="10" s="1"/>
  <c r="CL38" i="10"/>
  <c r="CL63" i="10" s="1"/>
  <c r="CL26" i="10"/>
  <c r="CL51" i="10" s="1"/>
  <c r="CL27" i="10"/>
  <c r="CL52" i="10" s="1"/>
  <c r="CL34" i="10"/>
  <c r="CL59" i="10" s="1"/>
  <c r="CL31" i="10"/>
  <c r="CL56" i="10" s="1"/>
  <c r="CL28" i="10"/>
  <c r="CL53" i="10" s="1"/>
  <c r="CL33" i="10"/>
  <c r="CL58" i="10" s="1"/>
  <c r="CL23" i="10"/>
  <c r="CL48" i="10" s="1"/>
  <c r="CL24" i="10"/>
  <c r="CL49" i="10" s="1"/>
  <c r="CL29" i="10"/>
  <c r="CL54" i="10" s="1"/>
  <c r="CL32" i="10"/>
  <c r="CL57" i="10" s="1"/>
  <c r="CL35" i="10"/>
  <c r="CL60" i="10" s="1"/>
  <c r="CL36" i="10"/>
  <c r="CL61" i="10" s="1"/>
  <c r="CL37" i="10"/>
  <c r="CL62" i="10" s="1"/>
  <c r="CL39" i="10"/>
  <c r="CL64" i="10" s="1"/>
  <c r="CL40" i="10"/>
  <c r="CL65" i="10" s="1"/>
  <c r="CL41" i="10"/>
  <c r="CL66" i="10" s="1"/>
  <c r="CL42" i="10"/>
  <c r="CL67" i="10" s="1"/>
  <c r="CL43" i="10"/>
  <c r="CL68" i="10" s="1"/>
  <c r="CL44" i="10"/>
  <c r="CL69" i="10" s="1"/>
  <c r="CL45" i="10"/>
  <c r="CL70" i="10" s="1"/>
  <c r="CL77" i="10"/>
  <c r="CL78" i="10" s="1"/>
  <c r="CL79" i="10"/>
  <c r="CL80" i="10" s="1"/>
  <c r="CL81" i="10"/>
  <c r="CL82" i="10" s="1"/>
  <c r="CL98" i="10" s="1"/>
  <c r="CN77" i="10"/>
  <c r="CN78" i="10" s="1"/>
  <c r="CN79" i="10"/>
  <c r="CN80" i="10" s="1"/>
  <c r="CN81" i="10"/>
  <c r="CN82" i="10" s="1"/>
  <c r="CN98" i="10" s="1"/>
  <c r="CN45" i="10"/>
  <c r="CN70" i="10" s="1"/>
  <c r="CN23" i="10"/>
  <c r="CN48" i="10" s="1"/>
  <c r="CN24" i="10"/>
  <c r="CN49" i="10" s="1"/>
  <c r="CN25" i="10"/>
  <c r="CN50" i="10" s="1"/>
  <c r="CN29" i="10"/>
  <c r="CN54" i="10" s="1"/>
  <c r="CN31" i="10"/>
  <c r="CN56" i="10" s="1"/>
  <c r="CN32" i="10"/>
  <c r="CN57" i="10" s="1"/>
  <c r="CN30" i="10"/>
  <c r="CN55" i="10" s="1"/>
  <c r="CN43" i="10"/>
  <c r="CN68" i="10" s="1"/>
  <c r="CN44" i="10"/>
  <c r="CN69" i="10" s="1"/>
  <c r="CN21" i="10"/>
  <c r="CN22" i="10"/>
  <c r="CN47" i="10" s="1"/>
  <c r="CN26" i="10"/>
  <c r="CN51" i="10" s="1"/>
  <c r="CN27" i="10"/>
  <c r="CN52" i="10" s="1"/>
  <c r="CN28" i="10"/>
  <c r="CN53" i="10" s="1"/>
  <c r="CN33" i="10"/>
  <c r="CN58" i="10" s="1"/>
  <c r="CN34" i="10"/>
  <c r="CN59" i="10" s="1"/>
  <c r="CN35" i="10"/>
  <c r="CN60" i="10" s="1"/>
  <c r="CN36" i="10"/>
  <c r="CN61" i="10" s="1"/>
  <c r="CN37" i="10"/>
  <c r="CN62" i="10" s="1"/>
  <c r="CN38" i="10"/>
  <c r="CN63" i="10" s="1"/>
  <c r="CN39" i="10"/>
  <c r="CN64" i="10" s="1"/>
  <c r="CN40" i="10"/>
  <c r="CN65" i="10" s="1"/>
  <c r="CN41" i="10"/>
  <c r="CN66" i="10" s="1"/>
  <c r="CN42" i="10"/>
  <c r="CN67" i="10" s="1"/>
  <c r="CP81" i="10"/>
  <c r="CP82" i="10" s="1"/>
  <c r="CP98" i="10" s="1"/>
  <c r="CP77" i="10"/>
  <c r="CP78" i="10" s="1"/>
  <c r="CP79" i="10"/>
  <c r="CP80" i="10" s="1"/>
  <c r="CP40" i="10"/>
  <c r="CP65" i="10" s="1"/>
  <c r="CP41" i="10"/>
  <c r="CP66" i="10" s="1"/>
  <c r="CP42" i="10"/>
  <c r="CP67" i="10" s="1"/>
  <c r="CP43" i="10"/>
  <c r="CP68" i="10" s="1"/>
  <c r="CP44" i="10"/>
  <c r="CP69" i="10" s="1"/>
  <c r="CP45" i="10"/>
  <c r="CP70" i="10" s="1"/>
  <c r="CP24" i="10"/>
  <c r="CP49" i="10" s="1"/>
  <c r="CP25" i="10"/>
  <c r="CP50" i="10" s="1"/>
  <c r="CP28" i="10"/>
  <c r="CP53" i="10" s="1"/>
  <c r="CP30" i="10"/>
  <c r="CP55" i="10" s="1"/>
  <c r="CP31" i="10"/>
  <c r="CP56" i="10" s="1"/>
  <c r="CP32" i="10"/>
  <c r="CP57" i="10" s="1"/>
  <c r="CP29" i="10"/>
  <c r="CP54" i="10" s="1"/>
  <c r="CP21" i="10"/>
  <c r="CP22" i="10"/>
  <c r="CP47" i="10" s="1"/>
  <c r="CP23" i="10"/>
  <c r="CP48" i="10" s="1"/>
  <c r="CP26" i="10"/>
  <c r="CP51" i="10" s="1"/>
  <c r="CP27" i="10"/>
  <c r="CP52" i="10" s="1"/>
  <c r="CP33" i="10"/>
  <c r="CP58" i="10" s="1"/>
  <c r="CP34" i="10"/>
  <c r="CP59" i="10" s="1"/>
  <c r="CP35" i="10"/>
  <c r="CP60" i="10" s="1"/>
  <c r="CP36" i="10"/>
  <c r="CP61" i="10" s="1"/>
  <c r="CP37" i="10"/>
  <c r="CP62" i="10" s="1"/>
  <c r="CP38" i="10"/>
  <c r="CP63" i="10" s="1"/>
  <c r="CP39" i="10"/>
  <c r="CP64" i="10" s="1"/>
  <c r="CR38" i="10"/>
  <c r="CR63" i="10" s="1"/>
  <c r="CR35" i="10"/>
  <c r="CR60" i="10" s="1"/>
  <c r="CR36" i="10"/>
  <c r="CR61" i="10" s="1"/>
  <c r="CR37" i="10"/>
  <c r="CR62" i="10" s="1"/>
  <c r="CR33" i="10"/>
  <c r="CR58" i="10" s="1"/>
  <c r="CR39" i="10"/>
  <c r="CR64" i="10" s="1"/>
  <c r="CR40" i="10"/>
  <c r="CR65" i="10" s="1"/>
  <c r="CR41" i="10"/>
  <c r="CR66" i="10" s="1"/>
  <c r="CR21" i="10"/>
  <c r="CR42" i="10"/>
  <c r="CR67" i="10" s="1"/>
  <c r="CR43" i="10"/>
  <c r="CR68" i="10" s="1"/>
  <c r="CR44" i="10"/>
  <c r="CR69" i="10" s="1"/>
  <c r="CR45" i="10"/>
  <c r="CR70" i="10" s="1"/>
  <c r="CR24" i="10"/>
  <c r="CR49" i="10" s="1"/>
  <c r="CR25" i="10"/>
  <c r="CR50" i="10" s="1"/>
  <c r="CR29" i="10"/>
  <c r="CR54" i="10" s="1"/>
  <c r="CR32" i="10"/>
  <c r="CR57" i="10" s="1"/>
  <c r="CR22" i="10"/>
  <c r="CR47" i="10" s="1"/>
  <c r="CR23" i="10"/>
  <c r="CR48" i="10" s="1"/>
  <c r="CR26" i="10"/>
  <c r="CR51" i="10" s="1"/>
  <c r="CR27" i="10"/>
  <c r="CR52" i="10" s="1"/>
  <c r="CR28" i="10"/>
  <c r="CR53" i="10" s="1"/>
  <c r="CR30" i="10"/>
  <c r="CR55" i="10" s="1"/>
  <c r="CR31" i="10"/>
  <c r="CR56" i="10" s="1"/>
  <c r="CR34" i="10"/>
  <c r="CR59" i="10" s="1"/>
  <c r="CZ79" i="10"/>
  <c r="CZ80" i="10" s="1"/>
  <c r="CZ77" i="10"/>
  <c r="CZ78" i="10" s="1"/>
  <c r="DS38" i="10"/>
  <c r="DS63" i="10" s="1"/>
  <c r="DS36" i="10"/>
  <c r="DS37" i="10"/>
  <c r="DS62" i="10" s="1"/>
  <c r="DS39" i="10"/>
  <c r="DS64" i="10" s="1"/>
  <c r="DS40" i="10"/>
  <c r="DS65" i="10" s="1"/>
  <c r="DS41" i="10"/>
  <c r="DS66" i="10" s="1"/>
  <c r="DS42" i="10"/>
  <c r="DS67" i="10" s="1"/>
  <c r="DS43" i="10"/>
  <c r="DS68" i="10" s="1"/>
  <c r="DS44" i="10"/>
  <c r="DS69" i="10" s="1"/>
  <c r="DS45" i="10"/>
  <c r="DS70" i="10" s="1"/>
  <c r="DU37" i="10"/>
  <c r="DU62" i="10" s="1"/>
  <c r="DU36" i="10"/>
  <c r="DU61" i="10" s="1"/>
  <c r="DU35" i="10"/>
  <c r="DU60" i="10" s="1"/>
  <c r="DU34" i="10"/>
  <c r="DU59" i="10" s="1"/>
  <c r="DU28" i="10"/>
  <c r="DU53" i="10" s="1"/>
  <c r="DU32" i="10"/>
  <c r="DU57" i="10" s="1"/>
  <c r="DU39" i="10"/>
  <c r="DU64" i="10" s="1"/>
  <c r="DU29" i="10"/>
  <c r="DU54" i="10" s="1"/>
  <c r="DU23" i="10"/>
  <c r="DU48" i="10" s="1"/>
  <c r="DU45" i="10"/>
  <c r="DU70" i="10" s="1"/>
  <c r="DU44" i="10"/>
  <c r="DU69" i="10" s="1"/>
  <c r="DU43" i="10"/>
  <c r="DU68" i="10" s="1"/>
  <c r="DU42" i="10"/>
  <c r="DU67" i="10" s="1"/>
  <c r="DU41" i="10"/>
  <c r="DU66" i="10" s="1"/>
  <c r="DU40" i="10"/>
  <c r="DU65" i="10" s="1"/>
  <c r="DU38" i="10"/>
  <c r="DU63" i="10" s="1"/>
  <c r="DU21" i="10"/>
  <c r="DU22" i="10"/>
  <c r="DU47" i="10" s="1"/>
  <c r="DU24" i="10"/>
  <c r="DU49" i="10" s="1"/>
  <c r="DU25" i="10"/>
  <c r="DU50" i="10" s="1"/>
  <c r="DU26" i="10"/>
  <c r="DU51" i="10" s="1"/>
  <c r="DU27" i="10"/>
  <c r="DU52" i="10" s="1"/>
  <c r="DU30" i="10"/>
  <c r="DU55" i="10" s="1"/>
  <c r="DU31" i="10"/>
  <c r="DU56" i="10" s="1"/>
  <c r="DU33" i="10"/>
  <c r="DU58" i="10" s="1"/>
  <c r="DU77" i="10"/>
  <c r="DU78" i="10" s="1"/>
  <c r="DU79" i="10"/>
  <c r="DU80" i="10" s="1"/>
  <c r="DU81" i="10"/>
  <c r="DU82" i="10" s="1"/>
  <c r="DU98" i="10" s="1"/>
  <c r="DW45" i="10"/>
  <c r="DW70" i="10" s="1"/>
  <c r="DW21" i="10"/>
  <c r="DW22" i="10"/>
  <c r="DW47" i="10" s="1"/>
  <c r="DW24" i="10"/>
  <c r="DW49" i="10" s="1"/>
  <c r="DW25" i="10"/>
  <c r="DW50" i="10" s="1"/>
  <c r="DW26" i="10"/>
  <c r="DW51" i="10" s="1"/>
  <c r="DW27" i="10"/>
  <c r="DW52" i="10" s="1"/>
  <c r="DW28" i="10"/>
  <c r="DW53" i="10" s="1"/>
  <c r="DW29" i="10"/>
  <c r="DW54" i="10" s="1"/>
  <c r="DW30" i="10"/>
  <c r="DW55" i="10" s="1"/>
  <c r="DW32" i="10"/>
  <c r="DW57" i="10" s="1"/>
  <c r="DW33" i="10"/>
  <c r="DW58" i="10" s="1"/>
  <c r="DW34" i="10"/>
  <c r="DW59" i="10" s="1"/>
  <c r="DW35" i="10"/>
  <c r="DW60" i="10" s="1"/>
  <c r="DW36" i="10"/>
  <c r="DW61" i="10" s="1"/>
  <c r="DW37" i="10"/>
  <c r="DW62" i="10" s="1"/>
  <c r="DW38" i="10"/>
  <c r="DW63" i="10" s="1"/>
  <c r="DW39" i="10"/>
  <c r="DW64" i="10" s="1"/>
  <c r="DW40" i="10"/>
  <c r="DW65" i="10" s="1"/>
  <c r="DW41" i="10"/>
  <c r="DW66" i="10" s="1"/>
  <c r="DW42" i="10"/>
  <c r="DW67" i="10" s="1"/>
  <c r="DW43" i="10"/>
  <c r="DW68" i="10" s="1"/>
  <c r="DW44" i="10"/>
  <c r="DW69" i="10" s="1"/>
  <c r="DW23" i="10"/>
  <c r="DW48" i="10" s="1"/>
  <c r="DW31" i="10"/>
  <c r="DW56" i="10" s="1"/>
  <c r="DW77" i="10"/>
  <c r="DW78" i="10" s="1"/>
  <c r="DW79" i="10"/>
  <c r="DW80" i="10" s="1"/>
  <c r="DW81" i="10"/>
  <c r="DW82" i="10" s="1"/>
  <c r="DW98" i="10" s="1"/>
  <c r="DY24" i="10"/>
  <c r="DY49" i="10" s="1"/>
  <c r="DY23" i="10"/>
  <c r="DY48" i="10" s="1"/>
  <c r="DY25" i="10"/>
  <c r="DY50" i="10" s="1"/>
  <c r="DY31" i="10"/>
  <c r="DY56" i="10" s="1"/>
  <c r="DY45" i="10"/>
  <c r="DY70" i="10" s="1"/>
  <c r="DY44" i="10"/>
  <c r="DY69" i="10" s="1"/>
  <c r="DY43" i="10"/>
  <c r="DY68" i="10" s="1"/>
  <c r="DY42" i="10"/>
  <c r="DY67" i="10" s="1"/>
  <c r="DY41" i="10"/>
  <c r="DY66" i="10" s="1"/>
  <c r="DY40" i="10"/>
  <c r="DY65" i="10" s="1"/>
  <c r="DY39" i="10"/>
  <c r="DY64" i="10" s="1"/>
  <c r="DY38" i="10"/>
  <c r="DY63" i="10" s="1"/>
  <c r="DY37" i="10"/>
  <c r="DY62" i="10" s="1"/>
  <c r="DY34" i="10"/>
  <c r="DY59" i="10" s="1"/>
  <c r="DY36" i="10"/>
  <c r="DY61" i="10" s="1"/>
  <c r="DY35" i="10"/>
  <c r="DY60" i="10" s="1"/>
  <c r="DY21" i="10"/>
  <c r="DY22" i="10"/>
  <c r="DY47" i="10" s="1"/>
  <c r="DY26" i="10"/>
  <c r="DY51" i="10" s="1"/>
  <c r="DY27" i="10"/>
  <c r="DY52" i="10" s="1"/>
  <c r="DY28" i="10"/>
  <c r="DY53" i="10" s="1"/>
  <c r="DY29" i="10"/>
  <c r="DY54" i="10" s="1"/>
  <c r="DY30" i="10"/>
  <c r="DY55" i="10" s="1"/>
  <c r="DY32" i="10"/>
  <c r="DY57" i="10" s="1"/>
  <c r="DY33" i="10"/>
  <c r="DY58" i="10" s="1"/>
  <c r="DY81" i="10"/>
  <c r="DY82" i="10" s="1"/>
  <c r="DY98" i="10" s="1"/>
  <c r="DY77" i="10"/>
  <c r="DY78" i="10" s="1"/>
  <c r="DY79" i="10"/>
  <c r="DY80" i="10" s="1"/>
  <c r="EA77" i="10"/>
  <c r="EA78" i="10" s="1"/>
  <c r="EA79" i="10"/>
  <c r="EA80" i="10" s="1"/>
  <c r="EA81" i="10"/>
  <c r="EA82" i="10" s="1"/>
  <c r="EA98" i="10" s="1"/>
  <c r="EA42" i="10"/>
  <c r="EA67" i="10" s="1"/>
  <c r="EA40" i="10"/>
  <c r="EA65" i="10" s="1"/>
  <c r="EA41" i="10"/>
  <c r="EA66" i="10" s="1"/>
  <c r="EA43" i="10"/>
  <c r="EA68" i="10" s="1"/>
  <c r="EA44" i="10"/>
  <c r="EA69" i="10" s="1"/>
  <c r="EA45" i="10"/>
  <c r="EA70" i="10" s="1"/>
  <c r="EA23" i="10"/>
  <c r="EA48" i="10" s="1"/>
  <c r="EA24" i="10"/>
  <c r="EA49" i="10" s="1"/>
  <c r="EA25" i="10"/>
  <c r="EA50" i="10" s="1"/>
  <c r="EA31" i="10"/>
  <c r="EA56" i="10" s="1"/>
  <c r="EA21" i="10"/>
  <c r="EA22" i="10"/>
  <c r="EA47" i="10" s="1"/>
  <c r="EA26" i="10"/>
  <c r="EA51" i="10" s="1"/>
  <c r="EA27" i="10"/>
  <c r="EA52" i="10" s="1"/>
  <c r="EA28" i="10"/>
  <c r="EA53" i="10" s="1"/>
  <c r="EA29" i="10"/>
  <c r="EA54" i="10" s="1"/>
  <c r="EA30" i="10"/>
  <c r="EA55" i="10" s="1"/>
  <c r="EA32" i="10"/>
  <c r="EA57" i="10" s="1"/>
  <c r="EA33" i="10"/>
  <c r="EA58" i="10" s="1"/>
  <c r="EA34" i="10"/>
  <c r="EA59" i="10" s="1"/>
  <c r="EA35" i="10"/>
  <c r="EA60" i="10" s="1"/>
  <c r="EA36" i="10"/>
  <c r="EA61" i="10" s="1"/>
  <c r="EA37" i="10"/>
  <c r="EA62" i="10" s="1"/>
  <c r="EA38" i="10"/>
  <c r="EA63" i="10" s="1"/>
  <c r="EA39" i="10"/>
  <c r="EA64" i="10" s="1"/>
  <c r="EC77" i="10"/>
  <c r="EC78" i="10" s="1"/>
  <c r="EC81" i="10"/>
  <c r="EC82" i="10" s="1"/>
  <c r="EC98" i="10" s="1"/>
  <c r="EC79" i="10"/>
  <c r="EC80" i="10" s="1"/>
  <c r="EC36" i="10"/>
  <c r="EC61" i="10" s="1"/>
  <c r="EC37" i="10"/>
  <c r="EC62" i="10" s="1"/>
  <c r="EC38" i="10"/>
  <c r="EC63" i="10" s="1"/>
  <c r="EC39" i="10"/>
  <c r="EC64" i="10" s="1"/>
  <c r="EC40" i="10"/>
  <c r="EC65" i="10" s="1"/>
  <c r="EC41" i="10"/>
  <c r="EC66" i="10" s="1"/>
  <c r="EC42" i="10"/>
  <c r="EC67" i="10" s="1"/>
  <c r="EC43" i="10"/>
  <c r="EC68" i="10" s="1"/>
  <c r="EC44" i="10"/>
  <c r="EC69" i="10" s="1"/>
  <c r="EC45" i="10"/>
  <c r="EC70" i="10" s="1"/>
  <c r="EC23" i="10"/>
  <c r="EC48" i="10" s="1"/>
  <c r="EC25" i="10"/>
  <c r="EC50" i="10" s="1"/>
  <c r="EC31" i="10"/>
  <c r="EC56" i="10" s="1"/>
  <c r="EC24" i="10"/>
  <c r="EC49" i="10" s="1"/>
  <c r="EC21" i="10"/>
  <c r="EC22" i="10"/>
  <c r="EC47" i="10" s="1"/>
  <c r="EC26" i="10"/>
  <c r="EC51" i="10" s="1"/>
  <c r="EC27" i="10"/>
  <c r="EC52" i="10" s="1"/>
  <c r="EC28" i="10"/>
  <c r="EC53" i="10" s="1"/>
  <c r="EC29" i="10"/>
  <c r="EC54" i="10" s="1"/>
  <c r="EC30" i="10"/>
  <c r="EC55" i="10" s="1"/>
  <c r="EC32" i="10"/>
  <c r="EC57" i="10" s="1"/>
  <c r="EC33" i="10"/>
  <c r="EC58" i="10" s="1"/>
  <c r="EC34" i="10"/>
  <c r="EC59" i="10" s="1"/>
  <c r="EC35" i="10"/>
  <c r="EC60" i="10" s="1"/>
  <c r="ED27" i="10"/>
  <c r="ED52" i="10" s="1"/>
  <c r="ED28" i="10"/>
  <c r="ED53" i="10" s="1"/>
  <c r="ED29" i="10"/>
  <c r="ED54" i="10" s="1"/>
  <c r="ED31" i="10"/>
  <c r="ED56" i="10" s="1"/>
  <c r="ED34" i="10"/>
  <c r="ED59" i="10" s="1"/>
  <c r="ED35" i="10"/>
  <c r="ED60" i="10" s="1"/>
  <c r="ED36" i="10"/>
  <c r="ED61" i="10" s="1"/>
  <c r="ED37" i="10"/>
  <c r="ED62" i="10" s="1"/>
  <c r="ED38" i="10"/>
  <c r="ED63" i="10" s="1"/>
  <c r="ED42" i="10"/>
  <c r="ED67" i="10" s="1"/>
  <c r="ED39" i="10"/>
  <c r="ED64" i="10" s="1"/>
  <c r="ED40" i="10"/>
  <c r="ED65" i="10" s="1"/>
  <c r="ED41" i="10"/>
  <c r="ED66" i="10" s="1"/>
  <c r="ED45" i="10"/>
  <c r="ED70" i="10" s="1"/>
  <c r="ED44" i="10"/>
  <c r="ED69" i="10" s="1"/>
  <c r="ED30" i="10"/>
  <c r="ED55" i="10" s="1"/>
  <c r="ED32" i="10"/>
  <c r="ED57" i="10" s="1"/>
  <c r="ED33" i="10"/>
  <c r="ED58" i="10" s="1"/>
  <c r="ED43" i="10"/>
  <c r="ED68" i="10" s="1"/>
  <c r="ED21" i="10"/>
  <c r="ED22" i="10"/>
  <c r="ED47" i="10" s="1"/>
  <c r="ED23" i="10"/>
  <c r="ED48" i="10" s="1"/>
  <c r="ED24" i="10"/>
  <c r="ED49" i="10" s="1"/>
  <c r="ED25" i="10"/>
  <c r="ED50" i="10" s="1"/>
  <c r="ED26" i="10"/>
  <c r="ED51" i="10" s="1"/>
  <c r="ED79" i="10"/>
  <c r="ED80" i="10" s="1"/>
  <c r="ED77" i="10"/>
  <c r="ED78" i="10" s="1"/>
  <c r="ED81" i="10"/>
  <c r="ED82" i="10" s="1"/>
  <c r="ED98" i="10" s="1"/>
  <c r="EF31" i="10"/>
  <c r="EF56" i="10" s="1"/>
  <c r="EF32" i="10"/>
  <c r="EF57" i="10" s="1"/>
  <c r="EF34" i="10"/>
  <c r="EF59" i="10" s="1"/>
  <c r="EF35" i="10"/>
  <c r="EF60" i="10" s="1"/>
  <c r="EF36" i="10"/>
  <c r="EF61" i="10" s="1"/>
  <c r="EF38" i="10"/>
  <c r="EF63" i="10" s="1"/>
  <c r="EF39" i="10"/>
  <c r="EF64" i="10" s="1"/>
  <c r="EF40" i="10"/>
  <c r="EF65" i="10" s="1"/>
  <c r="EF41" i="10"/>
  <c r="EF66" i="10" s="1"/>
  <c r="EF42" i="10"/>
  <c r="EF67" i="10" s="1"/>
  <c r="EF43" i="10"/>
  <c r="EF68" i="10" s="1"/>
  <c r="EF45" i="10"/>
  <c r="EF70" i="10" s="1"/>
  <c r="EF44" i="10"/>
  <c r="EF69" i="10" s="1"/>
  <c r="EF24" i="10"/>
  <c r="EF49" i="10" s="1"/>
  <c r="EF33" i="10"/>
  <c r="EF58" i="10" s="1"/>
  <c r="EF37" i="10"/>
  <c r="EF62" i="10" s="1"/>
  <c r="EF21" i="10"/>
  <c r="EF22" i="10"/>
  <c r="EF47" i="10" s="1"/>
  <c r="EF23" i="10"/>
  <c r="EF48" i="10" s="1"/>
  <c r="EF25" i="10"/>
  <c r="EF50" i="10" s="1"/>
  <c r="EF26" i="10"/>
  <c r="EF51" i="10" s="1"/>
  <c r="EF27" i="10"/>
  <c r="EF52" i="10" s="1"/>
  <c r="EF28" i="10"/>
  <c r="EF53" i="10" s="1"/>
  <c r="EF29" i="10"/>
  <c r="EF54" i="10" s="1"/>
  <c r="EF30" i="10"/>
  <c r="EF55" i="10" s="1"/>
  <c r="EF79" i="10"/>
  <c r="EF80" i="10" s="1"/>
  <c r="EF77" i="10"/>
  <c r="EF78" i="10" s="1"/>
  <c r="EF81" i="10"/>
  <c r="EF82" i="10" s="1"/>
  <c r="EF98" i="10" s="1"/>
  <c r="EH39" i="10"/>
  <c r="EH64" i="10" s="1"/>
  <c r="EH38" i="10"/>
  <c r="EH63" i="10" s="1"/>
  <c r="EH37" i="10"/>
  <c r="EH62" i="10" s="1"/>
  <c r="EH36" i="10"/>
  <c r="EH61" i="10" s="1"/>
  <c r="EH35" i="10"/>
  <c r="EH60" i="10" s="1"/>
  <c r="EH34" i="10"/>
  <c r="EH59" i="10" s="1"/>
  <c r="EH32" i="10"/>
  <c r="EH57" i="10" s="1"/>
  <c r="EH30" i="10"/>
  <c r="EH55" i="10" s="1"/>
  <c r="EH29" i="10"/>
  <c r="EH54" i="10" s="1"/>
  <c r="EH27" i="10"/>
  <c r="EH52" i="10" s="1"/>
  <c r="EH26" i="10"/>
  <c r="EH51" i="10" s="1"/>
  <c r="EH21" i="10"/>
  <c r="EH28" i="10"/>
  <c r="EH53" i="10" s="1"/>
  <c r="EH23" i="10"/>
  <c r="EH48" i="10" s="1"/>
  <c r="EH22" i="10"/>
  <c r="EH47" i="10" s="1"/>
  <c r="EH40" i="10"/>
  <c r="EH65" i="10" s="1"/>
  <c r="EH24" i="10"/>
  <c r="EH49" i="10" s="1"/>
  <c r="EH25" i="10"/>
  <c r="EH50" i="10" s="1"/>
  <c r="EH31" i="10"/>
  <c r="EH56" i="10" s="1"/>
  <c r="EH33" i="10"/>
  <c r="EH58" i="10" s="1"/>
  <c r="EH41" i="10"/>
  <c r="EH66" i="10" s="1"/>
  <c r="EH42" i="10"/>
  <c r="EH67" i="10" s="1"/>
  <c r="EH43" i="10"/>
  <c r="EH68" i="10" s="1"/>
  <c r="EH44" i="10"/>
  <c r="EH69" i="10" s="1"/>
  <c r="EH45" i="10"/>
  <c r="EH70" i="10" s="1"/>
  <c r="EH81" i="10"/>
  <c r="EH82" i="10" s="1"/>
  <c r="EH98" i="10" s="1"/>
  <c r="EH77" i="10"/>
  <c r="EH78" i="10" s="1"/>
  <c r="EH79" i="10"/>
  <c r="EH80" i="10" s="1"/>
  <c r="EJ30" i="10"/>
  <c r="EJ55" i="10" s="1"/>
  <c r="EJ23" i="10"/>
  <c r="EJ48" i="10" s="1"/>
  <c r="EJ26" i="10"/>
  <c r="EJ51" i="10" s="1"/>
  <c r="EJ27" i="10"/>
  <c r="EJ52" i="10" s="1"/>
  <c r="EJ28" i="10"/>
  <c r="EJ53" i="10" s="1"/>
  <c r="EJ29" i="10"/>
  <c r="EJ54" i="10" s="1"/>
  <c r="EJ45" i="10"/>
  <c r="EJ70" i="10" s="1"/>
  <c r="EJ33" i="10"/>
  <c r="EJ58" i="10" s="1"/>
  <c r="EJ34" i="10"/>
  <c r="EJ59" i="10" s="1"/>
  <c r="EJ35" i="10"/>
  <c r="EJ60" i="10" s="1"/>
  <c r="EJ44" i="10"/>
  <c r="EJ69" i="10" s="1"/>
  <c r="EJ36" i="10"/>
  <c r="EJ61" i="10" s="1"/>
  <c r="EJ37" i="10"/>
  <c r="EJ62" i="10" s="1"/>
  <c r="EJ38" i="10"/>
  <c r="EJ63" i="10" s="1"/>
  <c r="EJ39" i="10"/>
  <c r="EJ64" i="10" s="1"/>
  <c r="EJ40" i="10"/>
  <c r="EJ65" i="10" s="1"/>
  <c r="EJ24" i="10"/>
  <c r="EJ49" i="10" s="1"/>
  <c r="EJ25" i="10"/>
  <c r="EJ50" i="10" s="1"/>
  <c r="EJ31" i="10"/>
  <c r="EJ56" i="10" s="1"/>
  <c r="EJ32" i="10"/>
  <c r="EJ57" i="10" s="1"/>
  <c r="EJ41" i="10"/>
  <c r="EJ66" i="10" s="1"/>
  <c r="EJ42" i="10"/>
  <c r="EJ67" i="10" s="1"/>
  <c r="EJ43" i="10"/>
  <c r="EJ68" i="10" s="1"/>
  <c r="EJ21" i="10"/>
  <c r="EJ22" i="10"/>
  <c r="EJ47" i="10" s="1"/>
  <c r="EJ79" i="10"/>
  <c r="EJ80" i="10" s="1"/>
  <c r="EJ81" i="10"/>
  <c r="EJ82" i="10" s="1"/>
  <c r="EJ98" i="10" s="1"/>
  <c r="EJ77" i="10"/>
  <c r="EJ78" i="10" s="1"/>
  <c r="EL30" i="10"/>
  <c r="EL55" i="10" s="1"/>
  <c r="EL33" i="10"/>
  <c r="EL58" i="10" s="1"/>
  <c r="EL41" i="10"/>
  <c r="EL66" i="10" s="1"/>
  <c r="EL40" i="10"/>
  <c r="EL65" i="10" s="1"/>
  <c r="EL39" i="10"/>
  <c r="EL64" i="10" s="1"/>
  <c r="EL38" i="10"/>
  <c r="EL63" i="10" s="1"/>
  <c r="EL34" i="10"/>
  <c r="EL59" i="10" s="1"/>
  <c r="EL36" i="10"/>
  <c r="EL61" i="10" s="1"/>
  <c r="EL35" i="10"/>
  <c r="EL60" i="10" s="1"/>
  <c r="EL29" i="10"/>
  <c r="EL54" i="10" s="1"/>
  <c r="EL23" i="10"/>
  <c r="EL48" i="10" s="1"/>
  <c r="EL45" i="10"/>
  <c r="EL70" i="10" s="1"/>
  <c r="EL44" i="10"/>
  <c r="EL69" i="10" s="1"/>
  <c r="EL42" i="10"/>
  <c r="EL67" i="10" s="1"/>
  <c r="EL37" i="10"/>
  <c r="EL62" i="10" s="1"/>
  <c r="EL43" i="10"/>
  <c r="EL68" i="10" s="1"/>
  <c r="EL21" i="10"/>
  <c r="EL22" i="10"/>
  <c r="EL47" i="10" s="1"/>
  <c r="EL24" i="10"/>
  <c r="EL49" i="10" s="1"/>
  <c r="EL25" i="10"/>
  <c r="EL50" i="10" s="1"/>
  <c r="EL26" i="10"/>
  <c r="EL51" i="10" s="1"/>
  <c r="EL27" i="10"/>
  <c r="EL52" i="10" s="1"/>
  <c r="EL28" i="10"/>
  <c r="EL53" i="10" s="1"/>
  <c r="EL31" i="10"/>
  <c r="EL56" i="10" s="1"/>
  <c r="EL32" i="10"/>
  <c r="EL57" i="10" s="1"/>
  <c r="EL79" i="10"/>
  <c r="EL80" i="10" s="1"/>
  <c r="EL81" i="10"/>
  <c r="EL82" i="10" s="1"/>
  <c r="EL98" i="10" s="1"/>
  <c r="EL77" i="10"/>
  <c r="EL78" i="10" s="1"/>
  <c r="EN81" i="10"/>
  <c r="EN82" i="10" s="1"/>
  <c r="EN98" i="10" s="1"/>
  <c r="EN77" i="10"/>
  <c r="EN78" i="10" s="1"/>
  <c r="EN79" i="10"/>
  <c r="EN80" i="10" s="1"/>
  <c r="EN27" i="10"/>
  <c r="EN52" i="10" s="1"/>
  <c r="EN28" i="10"/>
  <c r="EN53" i="10" s="1"/>
  <c r="EN21" i="10"/>
  <c r="EN22" i="10"/>
  <c r="EN47" i="10" s="1"/>
  <c r="EN24" i="10"/>
  <c r="EN49" i="10" s="1"/>
  <c r="EN26" i="10"/>
  <c r="EN51" i="10" s="1"/>
  <c r="EN31" i="10"/>
  <c r="EN56" i="10" s="1"/>
  <c r="EN34" i="10"/>
  <c r="EN59" i="10" s="1"/>
  <c r="EN35" i="10"/>
  <c r="EN60" i="10" s="1"/>
  <c r="EN36" i="10"/>
  <c r="EN61" i="10" s="1"/>
  <c r="EN37" i="10"/>
  <c r="EN62" i="10" s="1"/>
  <c r="EN38" i="10"/>
  <c r="EN63" i="10" s="1"/>
  <c r="EN39" i="10"/>
  <c r="EN64" i="10" s="1"/>
  <c r="EN40" i="10"/>
  <c r="EN65" i="10" s="1"/>
  <c r="EN41" i="10"/>
  <c r="EN66" i="10" s="1"/>
  <c r="EN42" i="10"/>
  <c r="EN67" i="10" s="1"/>
  <c r="EN32" i="10"/>
  <c r="EN57" i="10" s="1"/>
  <c r="EN44" i="10"/>
  <c r="EN69" i="10" s="1"/>
  <c r="EN45" i="10"/>
  <c r="EN70" i="10" s="1"/>
  <c r="EN23" i="10"/>
  <c r="EN48" i="10" s="1"/>
  <c r="EN25" i="10"/>
  <c r="EN50" i="10" s="1"/>
  <c r="EN29" i="10"/>
  <c r="EN54" i="10" s="1"/>
  <c r="EN30" i="10"/>
  <c r="EN55" i="10" s="1"/>
  <c r="EN33" i="10"/>
  <c r="EN58" i="10" s="1"/>
  <c r="EN43" i="10"/>
  <c r="EN68" i="10" s="1"/>
  <c r="EO33" i="10"/>
  <c r="EO58" i="10" s="1"/>
  <c r="EO21" i="10"/>
  <c r="EO22" i="10"/>
  <c r="EO47" i="10" s="1"/>
  <c r="EO24" i="10"/>
  <c r="EO49" i="10" s="1"/>
  <c r="EO26" i="10"/>
  <c r="EO51" i="10" s="1"/>
  <c r="EO27" i="10"/>
  <c r="EO52" i="10" s="1"/>
  <c r="EO28" i="10"/>
  <c r="EO53" i="10" s="1"/>
  <c r="EO29" i="10"/>
  <c r="EO54" i="10" s="1"/>
  <c r="EO31" i="10"/>
  <c r="EO56" i="10" s="1"/>
  <c r="EO32" i="10"/>
  <c r="EO57" i="10" s="1"/>
  <c r="EO34" i="10"/>
  <c r="EO59" i="10" s="1"/>
  <c r="EO35" i="10"/>
  <c r="EO60" i="10" s="1"/>
  <c r="EO36" i="10"/>
  <c r="EO61" i="10" s="1"/>
  <c r="EO37" i="10"/>
  <c r="EO62" i="10" s="1"/>
  <c r="EO38" i="10"/>
  <c r="EO63" i="10" s="1"/>
  <c r="EO39" i="10"/>
  <c r="EO64" i="10" s="1"/>
  <c r="EO40" i="10"/>
  <c r="EO65" i="10" s="1"/>
  <c r="EO41" i="10"/>
  <c r="EO66" i="10" s="1"/>
  <c r="EO42" i="10"/>
  <c r="EO67" i="10" s="1"/>
  <c r="EO43" i="10"/>
  <c r="EO68" i="10" s="1"/>
  <c r="EO44" i="10"/>
  <c r="EO69" i="10" s="1"/>
  <c r="EO45" i="10"/>
  <c r="EO70" i="10" s="1"/>
  <c r="EO23" i="10"/>
  <c r="EO48" i="10" s="1"/>
  <c r="EO25" i="10"/>
  <c r="EO50" i="10" s="1"/>
  <c r="EO30" i="10"/>
  <c r="EO55" i="10" s="1"/>
  <c r="E56" i="12"/>
  <c r="T27" i="11"/>
  <c r="N24" i="11"/>
  <c r="D54" i="12"/>
  <c r="E273" i="10"/>
  <c r="D12" i="12" s="1"/>
  <c r="D56" i="12"/>
  <c r="E294" i="10"/>
  <c r="D15" i="12" s="1"/>
  <c r="V24" i="11"/>
  <c r="E54" i="12"/>
  <c r="AJ91" i="10"/>
  <c r="AJ101" i="10" s="1"/>
  <c r="AJ111" i="10" s="1"/>
  <c r="AJ86" i="10"/>
  <c r="AJ87" i="10"/>
  <c r="AJ88" i="10"/>
  <c r="AI91" i="10"/>
  <c r="AI101" i="10" s="1"/>
  <c r="AI111" i="10" s="1"/>
  <c r="AI86" i="10"/>
  <c r="AI87" i="10"/>
  <c r="AI88" i="10"/>
  <c r="AF86" i="10"/>
  <c r="AF87" i="10"/>
  <c r="AF91" i="10"/>
  <c r="AF101" i="10" s="1"/>
  <c r="AF111" i="10" s="1"/>
  <c r="AF88" i="10"/>
  <c r="Z91" i="10"/>
  <c r="Z101" i="10" s="1"/>
  <c r="Z111" i="10" s="1"/>
  <c r="Z86" i="10"/>
  <c r="Z87" i="10"/>
  <c r="Z88" i="10"/>
  <c r="X86" i="10"/>
  <c r="X88" i="10"/>
  <c r="X91" i="10"/>
  <c r="X101" i="10" s="1"/>
  <c r="X111" i="10" s="1"/>
  <c r="X87" i="10"/>
  <c r="AB86" i="10"/>
  <c r="AB91" i="10"/>
  <c r="AB101" i="10" s="1"/>
  <c r="AB111" i="10" s="1"/>
  <c r="AB87" i="10"/>
  <c r="AB88" i="10"/>
  <c r="Y91" i="10"/>
  <c r="Y101" i="10" s="1"/>
  <c r="Y111" i="10" s="1"/>
  <c r="Y87" i="10"/>
  <c r="Y88" i="10"/>
  <c r="Y86" i="10"/>
  <c r="AA87" i="10"/>
  <c r="AA86" i="10"/>
  <c r="AA91" i="10"/>
  <c r="AA101" i="10" s="1"/>
  <c r="AA111" i="10" s="1"/>
  <c r="AA88" i="10"/>
  <c r="AD91" i="10"/>
  <c r="AD101" i="10" s="1"/>
  <c r="AD111" i="10" s="1"/>
  <c r="AD87" i="10"/>
  <c r="AD86" i="10"/>
  <c r="AD88" i="10"/>
  <c r="AX86" i="10"/>
  <c r="AX87" i="10"/>
  <c r="AX91" i="10"/>
  <c r="AX101" i="10" s="1"/>
  <c r="AX111" i="10" s="1"/>
  <c r="AX88" i="10"/>
  <c r="BC87" i="10"/>
  <c r="BC86" i="10"/>
  <c r="BC88" i="10"/>
  <c r="BC91" i="10"/>
  <c r="BC101" i="10" s="1"/>
  <c r="BC111" i="10" s="1"/>
  <c r="CI86" i="10"/>
  <c r="CI88" i="10"/>
  <c r="CI91" i="10"/>
  <c r="CI101" i="10" s="1"/>
  <c r="CI111" i="10" s="1"/>
  <c r="CI87" i="10"/>
  <c r="CL88" i="10"/>
  <c r="CL87" i="10"/>
  <c r="CL91" i="10"/>
  <c r="CL101" i="10" s="1"/>
  <c r="CL111" i="10" s="1"/>
  <c r="CL86" i="10"/>
  <c r="CN88" i="10"/>
  <c r="CN87" i="10"/>
  <c r="CN91" i="10"/>
  <c r="CN101" i="10" s="1"/>
  <c r="CN111" i="10" s="1"/>
  <c r="CN86" i="10"/>
  <c r="CP91" i="10"/>
  <c r="CP101" i="10" s="1"/>
  <c r="CP111" i="10" s="1"/>
  <c r="CP88" i="10"/>
  <c r="CP87" i="10"/>
  <c r="CP86" i="10"/>
  <c r="CR86" i="10"/>
  <c r="CR87" i="10"/>
  <c r="CR88" i="10"/>
  <c r="CR91" i="10"/>
  <c r="CR101" i="10" s="1"/>
  <c r="CR111" i="10" s="1"/>
  <c r="CT88" i="10"/>
  <c r="CT86" i="10"/>
  <c r="CT87" i="10"/>
  <c r="CT91" i="10"/>
  <c r="CT101" i="10" s="1"/>
  <c r="CT111" i="10" s="1"/>
  <c r="CV91" i="10"/>
  <c r="CV101" i="10" s="1"/>
  <c r="CV111" i="10" s="1"/>
  <c r="CV88" i="10"/>
  <c r="CV87" i="10"/>
  <c r="CV86" i="10"/>
  <c r="CX91" i="10"/>
  <c r="CX101" i="10" s="1"/>
  <c r="CX111" i="10" s="1"/>
  <c r="CX87" i="10"/>
  <c r="CX86" i="10"/>
  <c r="CX88" i="10"/>
  <c r="CZ86" i="10"/>
  <c r="CZ88" i="10"/>
  <c r="CZ87" i="10"/>
  <c r="CZ91" i="10"/>
  <c r="CZ101" i="10" s="1"/>
  <c r="CZ111" i="10" s="1"/>
  <c r="DB88" i="10"/>
  <c r="DB91" i="10"/>
  <c r="DB101" i="10" s="1"/>
  <c r="DB111" i="10" s="1"/>
  <c r="DB86" i="10"/>
  <c r="DB87" i="10"/>
  <c r="DD91" i="10"/>
  <c r="DD101" i="10" s="1"/>
  <c r="DD111" i="10" s="1"/>
  <c r="DD88" i="10"/>
  <c r="DD86" i="10"/>
  <c r="DD87" i="10"/>
  <c r="DF88" i="10"/>
  <c r="DF91" i="10"/>
  <c r="DF101" i="10" s="1"/>
  <c r="DF111" i="10" s="1"/>
  <c r="DF86" i="10"/>
  <c r="DF87" i="10"/>
  <c r="DH86" i="10"/>
  <c r="DH88" i="10"/>
  <c r="DH91" i="10"/>
  <c r="DH101" i="10" s="1"/>
  <c r="DH111" i="10" s="1"/>
  <c r="DH87" i="10"/>
  <c r="DJ88" i="10"/>
  <c r="DJ91" i="10"/>
  <c r="DJ101" i="10" s="1"/>
  <c r="DJ111" i="10" s="1"/>
  <c r="DJ87" i="10"/>
  <c r="DJ86" i="10"/>
  <c r="DK87" i="10"/>
  <c r="DK88" i="10"/>
  <c r="DK86" i="10"/>
  <c r="DK91" i="10"/>
  <c r="DK101" i="10" s="1"/>
  <c r="DK111" i="10" s="1"/>
  <c r="DM86" i="10"/>
  <c r="DM91" i="10"/>
  <c r="DM101" i="10" s="1"/>
  <c r="DM111" i="10" s="1"/>
  <c r="DM87" i="10"/>
  <c r="DM88" i="10"/>
  <c r="DO91" i="10"/>
  <c r="DO101" i="10" s="1"/>
  <c r="DO111" i="10" s="1"/>
  <c r="DO87" i="10"/>
  <c r="DO88" i="10"/>
  <c r="DO86" i="10"/>
  <c r="DP88" i="10"/>
  <c r="DP86" i="10"/>
  <c r="DP91" i="10"/>
  <c r="DP101" i="10" s="1"/>
  <c r="DP111" i="10" s="1"/>
  <c r="DP87" i="10"/>
  <c r="DR88" i="10"/>
  <c r="DR86" i="10"/>
  <c r="DR87" i="10"/>
  <c r="DR91" i="10"/>
  <c r="DR101" i="10" s="1"/>
  <c r="DR111" i="10" s="1"/>
  <c r="DS87" i="10"/>
  <c r="DS86" i="10"/>
  <c r="DS88" i="10"/>
  <c r="DS91" i="10"/>
  <c r="DS101" i="10" s="1"/>
  <c r="DS111" i="10" s="1"/>
  <c r="DU86" i="10"/>
  <c r="DU88" i="10"/>
  <c r="DU87" i="10"/>
  <c r="DU91" i="10"/>
  <c r="DU101" i="10" s="1"/>
  <c r="DU111" i="10" s="1"/>
  <c r="DW91" i="10"/>
  <c r="DW101" i="10" s="1"/>
  <c r="DW87" i="10"/>
  <c r="DW86" i="10"/>
  <c r="DW88" i="10"/>
  <c r="DY86" i="10"/>
  <c r="DY91" i="10"/>
  <c r="DY101" i="10" s="1"/>
  <c r="DY88" i="10"/>
  <c r="DY87" i="10"/>
  <c r="EA86" i="10"/>
  <c r="EA87" i="10"/>
  <c r="EA88" i="10"/>
  <c r="EA91" i="10"/>
  <c r="EA101" i="10" s="1"/>
  <c r="EC88" i="10"/>
  <c r="EC87" i="10"/>
  <c r="EC91" i="10"/>
  <c r="EC101" i="10" s="1"/>
  <c r="EC86" i="10"/>
  <c r="ED91" i="10"/>
  <c r="ED101" i="10" s="1"/>
  <c r="ED86" i="10"/>
  <c r="ED88" i="10"/>
  <c r="ED87" i="10"/>
  <c r="EF86" i="10"/>
  <c r="EF91" i="10"/>
  <c r="EF101" i="10" s="1"/>
  <c r="EF87" i="10"/>
  <c r="EF88" i="10"/>
  <c r="EH86" i="10"/>
  <c r="EH91" i="10"/>
  <c r="EH101" i="10" s="1"/>
  <c r="EH88" i="10"/>
  <c r="EH87" i="10"/>
  <c r="EJ86" i="10"/>
  <c r="EJ91" i="10"/>
  <c r="EJ101" i="10" s="1"/>
  <c r="EJ87" i="10"/>
  <c r="EJ88" i="10"/>
  <c r="EL86" i="10"/>
  <c r="EL91" i="10"/>
  <c r="EL101" i="10" s="1"/>
  <c r="EL88" i="10"/>
  <c r="EL87" i="10"/>
  <c r="EN88" i="10"/>
  <c r="EN87" i="10"/>
  <c r="EN86" i="10"/>
  <c r="EN91" i="10"/>
  <c r="EN101" i="10" s="1"/>
  <c r="EO86" i="10"/>
  <c r="EO88" i="10"/>
  <c r="EO87" i="10"/>
  <c r="EO91" i="10"/>
  <c r="EO101" i="10" s="1"/>
  <c r="EQ88" i="10"/>
  <c r="EQ91" i="10"/>
  <c r="EQ101" i="10" s="1"/>
  <c r="EQ86" i="10"/>
  <c r="EQ87" i="10"/>
  <c r="AE88" i="10"/>
  <c r="AE91" i="10"/>
  <c r="AE101" i="10" s="1"/>
  <c r="AE111" i="10" s="1"/>
  <c r="AE86" i="10"/>
  <c r="AE87" i="10"/>
  <c r="AH88" i="10"/>
  <c r="AH87" i="10"/>
  <c r="AH91" i="10"/>
  <c r="AH101" i="10" s="1"/>
  <c r="AH111" i="10" s="1"/>
  <c r="AH86" i="10"/>
  <c r="AK91" i="10"/>
  <c r="AK101" i="10" s="1"/>
  <c r="AK111" i="10" s="1"/>
  <c r="AK87" i="10"/>
  <c r="AK86" i="10"/>
  <c r="AK88" i="10"/>
  <c r="AP86" i="10"/>
  <c r="AP88" i="10"/>
  <c r="AP87" i="10"/>
  <c r="AP91" i="10"/>
  <c r="AP101" i="10" s="1"/>
  <c r="AP111" i="10" s="1"/>
  <c r="AR87" i="10"/>
  <c r="AR88" i="10"/>
  <c r="AR91" i="10"/>
  <c r="AR101" i="10" s="1"/>
  <c r="AR111" i="10" s="1"/>
  <c r="AR86" i="10"/>
  <c r="AS87" i="10"/>
  <c r="AS91" i="10"/>
  <c r="AS101" i="10" s="1"/>
  <c r="AS111" i="10" s="1"/>
  <c r="AS86" i="10"/>
  <c r="AS88" i="10"/>
  <c r="AU86" i="10"/>
  <c r="AU87" i="10"/>
  <c r="AU88" i="10"/>
  <c r="AU91" i="10"/>
  <c r="AU101" i="10" s="1"/>
  <c r="AU111" i="10" s="1"/>
  <c r="AY87" i="10"/>
  <c r="AY91" i="10"/>
  <c r="AY101" i="10" s="1"/>
  <c r="AY111" i="10" s="1"/>
  <c r="AY88" i="10"/>
  <c r="AY86" i="10"/>
  <c r="BE87" i="10"/>
  <c r="BE91" i="10"/>
  <c r="BE101" i="10" s="1"/>
  <c r="BE111" i="10" s="1"/>
  <c r="BE88" i="10"/>
  <c r="BE86" i="10"/>
  <c r="BG86" i="10"/>
  <c r="BG88" i="10"/>
  <c r="BG91" i="10"/>
  <c r="BG101" i="10" s="1"/>
  <c r="BG111" i="10" s="1"/>
  <c r="BG87" i="10"/>
  <c r="CK88" i="10"/>
  <c r="CK86" i="10"/>
  <c r="CK91" i="10"/>
  <c r="CK101" i="10" s="1"/>
  <c r="CK111" i="10" s="1"/>
  <c r="CK87" i="10"/>
  <c r="AF136" i="10"/>
  <c r="AF146" i="10" s="1"/>
  <c r="CQ146" i="10"/>
  <c r="CZ146" i="10"/>
  <c r="DE146" i="10"/>
  <c r="DQ146" i="10"/>
  <c r="DY146" i="10"/>
  <c r="EK146" i="10"/>
  <c r="EP146" i="10"/>
  <c r="ES146" i="10"/>
  <c r="DB136" i="10"/>
  <c r="DB146" i="10" s="1"/>
  <c r="E103" i="10"/>
  <c r="E15" i="10"/>
  <c r="K54" i="12"/>
  <c r="M54" i="12"/>
  <c r="O54" i="12"/>
  <c r="Q33" i="10"/>
  <c r="Q58" i="10" s="1"/>
  <c r="Q34" i="10"/>
  <c r="Q59" i="10" s="1"/>
  <c r="Q35" i="10"/>
  <c r="Q60" i="10" s="1"/>
  <c r="Q36" i="10"/>
  <c r="Q61" i="10" s="1"/>
  <c r="Q37" i="10"/>
  <c r="Q62" i="10" s="1"/>
  <c r="Q38" i="10"/>
  <c r="Q63" i="10" s="1"/>
  <c r="Q39" i="10"/>
  <c r="Q64" i="10" s="1"/>
  <c r="Q40" i="10"/>
  <c r="Q65" i="10" s="1"/>
  <c r="Q41" i="10"/>
  <c r="Q66" i="10" s="1"/>
  <c r="Q42" i="10"/>
  <c r="Q67" i="10" s="1"/>
  <c r="Q43" i="10"/>
  <c r="Q68" i="10" s="1"/>
  <c r="Q44" i="10"/>
  <c r="Q69" i="10" s="1"/>
  <c r="Q45" i="10"/>
  <c r="Q70" i="10" s="1"/>
  <c r="Q21" i="10"/>
  <c r="Q25" i="10"/>
  <c r="Q50" i="10" s="1"/>
  <c r="Q26" i="10"/>
  <c r="Q51" i="10" s="1"/>
  <c r="Q28" i="10"/>
  <c r="Q53" i="10" s="1"/>
  <c r="Q31" i="10"/>
  <c r="Q56" i="10" s="1"/>
  <c r="Q77" i="10"/>
  <c r="Q78" i="10" s="1"/>
  <c r="Q79" i="10"/>
  <c r="Q80" i="10" s="1"/>
  <c r="Q81" i="10"/>
  <c r="Q82" i="10" s="1"/>
  <c r="S81" i="10"/>
  <c r="S82" i="10" s="1"/>
  <c r="S77" i="10"/>
  <c r="S78" i="10" s="1"/>
  <c r="S79" i="10"/>
  <c r="S80" i="10" s="1"/>
  <c r="S21" i="10"/>
  <c r="S25" i="10"/>
  <c r="S50" i="10" s="1"/>
  <c r="S26" i="10"/>
  <c r="S51" i="10" s="1"/>
  <c r="S34" i="10"/>
  <c r="S59" i="10" s="1"/>
  <c r="S31" i="10"/>
  <c r="S56" i="10" s="1"/>
  <c r="S32" i="10"/>
  <c r="S57" i="10" s="1"/>
  <c r="S28" i="10"/>
  <c r="S53" i="10" s="1"/>
  <c r="S22" i="10"/>
  <c r="S47" i="10" s="1"/>
  <c r="S23" i="10"/>
  <c r="S48" i="10" s="1"/>
  <c r="S24" i="10"/>
  <c r="S49" i="10" s="1"/>
  <c r="S27" i="10"/>
  <c r="S52" i="10" s="1"/>
  <c r="S29" i="10"/>
  <c r="S54" i="10" s="1"/>
  <c r="S30" i="10"/>
  <c r="S55" i="10" s="1"/>
  <c r="S33" i="10"/>
  <c r="S58" i="10" s="1"/>
  <c r="S35" i="10"/>
  <c r="S60" i="10" s="1"/>
  <c r="S36" i="10"/>
  <c r="S61" i="10" s="1"/>
  <c r="S37" i="10"/>
  <c r="S62" i="10" s="1"/>
  <c r="S38" i="10"/>
  <c r="S63" i="10" s="1"/>
  <c r="S39" i="10"/>
  <c r="S64" i="10" s="1"/>
  <c r="S40" i="10"/>
  <c r="S65" i="10" s="1"/>
  <c r="S41" i="10"/>
  <c r="S66" i="10" s="1"/>
  <c r="S42" i="10"/>
  <c r="S67" i="10" s="1"/>
  <c r="S43" i="10"/>
  <c r="S68" i="10" s="1"/>
  <c r="S44" i="10"/>
  <c r="S69" i="10" s="1"/>
  <c r="S45" i="10"/>
  <c r="S70" i="10" s="1"/>
  <c r="X21" i="10"/>
  <c r="X22" i="10"/>
  <c r="X47" i="10" s="1"/>
  <c r="X23" i="10"/>
  <c r="X48" i="10" s="1"/>
  <c r="X24" i="10"/>
  <c r="X49" i="10" s="1"/>
  <c r="X25" i="10"/>
  <c r="X50" i="10" s="1"/>
  <c r="X26" i="10"/>
  <c r="X51" i="10" s="1"/>
  <c r="X27" i="10"/>
  <c r="X52" i="10" s="1"/>
  <c r="X28" i="10"/>
  <c r="X53" i="10" s="1"/>
  <c r="X29" i="10"/>
  <c r="X54" i="10" s="1"/>
  <c r="X33" i="10"/>
  <c r="X58" i="10" s="1"/>
  <c r="X34" i="10"/>
  <c r="X59" i="10" s="1"/>
  <c r="X35" i="10"/>
  <c r="X60" i="10" s="1"/>
  <c r="X36" i="10"/>
  <c r="X61" i="10" s="1"/>
  <c r="X37" i="10"/>
  <c r="X62" i="10" s="1"/>
  <c r="X38" i="10"/>
  <c r="X63" i="10" s="1"/>
  <c r="X39" i="10"/>
  <c r="X64" i="10" s="1"/>
  <c r="X40" i="10"/>
  <c r="X65" i="10" s="1"/>
  <c r="X41" i="10"/>
  <c r="X66" i="10" s="1"/>
  <c r="X42" i="10"/>
  <c r="X67" i="10" s="1"/>
  <c r="X43" i="10"/>
  <c r="X68" i="10" s="1"/>
  <c r="X44" i="10"/>
  <c r="X69" i="10" s="1"/>
  <c r="X45" i="10"/>
  <c r="X70" i="10" s="1"/>
  <c r="X30" i="10"/>
  <c r="X55" i="10" s="1"/>
  <c r="X31" i="10"/>
  <c r="X56" i="10" s="1"/>
  <c r="X32" i="10"/>
  <c r="X57" i="10" s="1"/>
  <c r="CR77" i="10"/>
  <c r="CR78" i="10" s="1"/>
  <c r="CR79" i="10"/>
  <c r="CR80" i="10" s="1"/>
  <c r="CR81" i="10"/>
  <c r="CR82" i="10" s="1"/>
  <c r="CT77" i="10"/>
  <c r="CT78" i="10" s="1"/>
  <c r="CT79" i="10"/>
  <c r="CT80" i="10" s="1"/>
  <c r="CT81" i="10"/>
  <c r="CT82" i="10" s="1"/>
  <c r="CT22" i="10"/>
  <c r="CT47" i="10" s="1"/>
  <c r="CT26" i="10"/>
  <c r="CT51" i="10" s="1"/>
  <c r="CT27" i="10"/>
  <c r="CT52" i="10" s="1"/>
  <c r="CT28" i="10"/>
  <c r="CT53" i="10" s="1"/>
  <c r="CT29" i="10"/>
  <c r="CT54" i="10" s="1"/>
  <c r="CT30" i="10"/>
  <c r="CT55" i="10" s="1"/>
  <c r="CT31" i="10"/>
  <c r="CT56" i="10" s="1"/>
  <c r="CT34" i="10"/>
  <c r="CT59" i="10" s="1"/>
  <c r="CT35" i="10"/>
  <c r="CT60" i="10" s="1"/>
  <c r="CT36" i="10"/>
  <c r="CT61" i="10" s="1"/>
  <c r="CT37" i="10"/>
  <c r="CT62" i="10" s="1"/>
  <c r="CT38" i="10"/>
  <c r="CT63" i="10" s="1"/>
  <c r="CT39" i="10"/>
  <c r="CT64" i="10" s="1"/>
  <c r="CT40" i="10"/>
  <c r="CT65" i="10" s="1"/>
  <c r="CT41" i="10"/>
  <c r="CT66" i="10" s="1"/>
  <c r="CT42" i="10"/>
  <c r="CT67" i="10" s="1"/>
  <c r="CT43" i="10"/>
  <c r="CT68" i="10" s="1"/>
  <c r="CT44" i="10"/>
  <c r="CT69" i="10" s="1"/>
  <c r="CT23" i="10"/>
  <c r="CT48" i="10" s="1"/>
  <c r="CT24" i="10"/>
  <c r="CT49" i="10" s="1"/>
  <c r="CT25" i="10"/>
  <c r="CT50" i="10" s="1"/>
  <c r="CT32" i="10"/>
  <c r="CT57" i="10" s="1"/>
  <c r="CT33" i="10"/>
  <c r="CT58" i="10" s="1"/>
  <c r="CT45" i="10"/>
  <c r="CT70" i="10" s="1"/>
  <c r="CT21" i="10"/>
  <c r="CV21" i="10"/>
  <c r="CV22" i="10"/>
  <c r="CV47" i="10" s="1"/>
  <c r="CV23" i="10"/>
  <c r="CV48" i="10" s="1"/>
  <c r="CV24" i="10"/>
  <c r="CV49" i="10" s="1"/>
  <c r="CV25" i="10"/>
  <c r="CV50" i="10" s="1"/>
  <c r="CV26" i="10"/>
  <c r="CV51" i="10" s="1"/>
  <c r="CV27" i="10"/>
  <c r="CV52" i="10" s="1"/>
  <c r="CV28" i="10"/>
  <c r="CV53" i="10" s="1"/>
  <c r="CV29" i="10"/>
  <c r="CV54" i="10" s="1"/>
  <c r="CV30" i="10"/>
  <c r="CV55" i="10" s="1"/>
  <c r="CV31" i="10"/>
  <c r="CV56" i="10" s="1"/>
  <c r="CV34" i="10"/>
  <c r="CV59" i="10" s="1"/>
  <c r="CV35" i="10"/>
  <c r="CV60" i="10" s="1"/>
  <c r="CV36" i="10"/>
  <c r="CV61" i="10" s="1"/>
  <c r="CV37" i="10"/>
  <c r="CV62" i="10" s="1"/>
  <c r="CV38" i="10"/>
  <c r="CV63" i="10" s="1"/>
  <c r="CV39" i="10"/>
  <c r="CV64" i="10" s="1"/>
  <c r="CV40" i="10"/>
  <c r="CV65" i="10" s="1"/>
  <c r="CV41" i="10"/>
  <c r="CV66" i="10" s="1"/>
  <c r="CV42" i="10"/>
  <c r="CV67" i="10" s="1"/>
  <c r="CV43" i="10"/>
  <c r="CV68" i="10" s="1"/>
  <c r="CV44" i="10"/>
  <c r="CV69" i="10" s="1"/>
  <c r="CV45" i="10"/>
  <c r="CV70" i="10" s="1"/>
  <c r="CV32" i="10"/>
  <c r="CV57" i="10" s="1"/>
  <c r="CV33" i="10"/>
  <c r="CV58" i="10" s="1"/>
  <c r="CV77" i="10"/>
  <c r="CV78" i="10" s="1"/>
  <c r="CV79" i="10"/>
  <c r="CV80" i="10" s="1"/>
  <c r="CV81" i="10"/>
  <c r="CV82" i="10" s="1"/>
  <c r="CV98" i="10" s="1"/>
  <c r="CX81" i="10"/>
  <c r="CX82" i="10" s="1"/>
  <c r="CX98" i="10" s="1"/>
  <c r="CX77" i="10"/>
  <c r="CX78" i="10" s="1"/>
  <c r="CX79" i="10"/>
  <c r="CX80" i="10" s="1"/>
  <c r="CX21" i="10"/>
  <c r="CX22" i="10"/>
  <c r="CX47" i="10" s="1"/>
  <c r="CX25" i="10"/>
  <c r="CX50" i="10" s="1"/>
  <c r="CX26" i="10"/>
  <c r="CX51" i="10" s="1"/>
  <c r="CX27" i="10"/>
  <c r="CX52" i="10" s="1"/>
  <c r="CX28" i="10"/>
  <c r="CX53" i="10" s="1"/>
  <c r="CX29" i="10"/>
  <c r="CX54" i="10" s="1"/>
  <c r="CX31" i="10"/>
  <c r="CX56" i="10" s="1"/>
  <c r="CX34" i="10"/>
  <c r="CX59" i="10" s="1"/>
  <c r="CX35" i="10"/>
  <c r="CX60" i="10" s="1"/>
  <c r="CX36" i="10"/>
  <c r="CX61" i="10" s="1"/>
  <c r="CX37" i="10"/>
  <c r="CX62" i="10" s="1"/>
  <c r="CX38" i="10"/>
  <c r="CX63" i="10" s="1"/>
  <c r="CX39" i="10"/>
  <c r="CX64" i="10" s="1"/>
  <c r="CX40" i="10"/>
  <c r="CX65" i="10" s="1"/>
  <c r="CX41" i="10"/>
  <c r="CX66" i="10" s="1"/>
  <c r="CX42" i="10"/>
  <c r="CX67" i="10" s="1"/>
  <c r="CX43" i="10"/>
  <c r="CX68" i="10" s="1"/>
  <c r="CX44" i="10"/>
  <c r="CX69" i="10" s="1"/>
  <c r="CX45" i="10"/>
  <c r="CX70" i="10" s="1"/>
  <c r="CX23" i="10"/>
  <c r="CX48" i="10" s="1"/>
  <c r="CX24" i="10"/>
  <c r="CX49" i="10" s="1"/>
  <c r="CX30" i="10"/>
  <c r="CX55" i="10" s="1"/>
  <c r="CX32" i="10"/>
  <c r="CX57" i="10" s="1"/>
  <c r="CX33" i="10"/>
  <c r="CX58" i="10" s="1"/>
  <c r="CZ21" i="10"/>
  <c r="CZ22" i="10"/>
  <c r="CZ47" i="10" s="1"/>
  <c r="CZ24" i="10"/>
  <c r="CZ49" i="10" s="1"/>
  <c r="CZ25" i="10"/>
  <c r="CZ50" i="10" s="1"/>
  <c r="CZ26" i="10"/>
  <c r="CZ51" i="10" s="1"/>
  <c r="CZ27" i="10"/>
  <c r="CZ52" i="10" s="1"/>
  <c r="CZ28" i="10"/>
  <c r="CZ53" i="10" s="1"/>
  <c r="CZ34" i="10"/>
  <c r="CZ59" i="10" s="1"/>
  <c r="CZ35" i="10"/>
  <c r="CZ60" i="10" s="1"/>
  <c r="CZ36" i="10"/>
  <c r="CZ61" i="10" s="1"/>
  <c r="CZ37" i="10"/>
  <c r="CZ62" i="10" s="1"/>
  <c r="CZ38" i="10"/>
  <c r="CZ63" i="10" s="1"/>
  <c r="CZ39" i="10"/>
  <c r="CZ64" i="10" s="1"/>
  <c r="CZ40" i="10"/>
  <c r="CZ65" i="10" s="1"/>
  <c r="CZ41" i="10"/>
  <c r="CZ66" i="10" s="1"/>
  <c r="CZ42" i="10"/>
  <c r="CZ67" i="10" s="1"/>
  <c r="CZ43" i="10"/>
  <c r="CZ68" i="10" s="1"/>
  <c r="CZ44" i="10"/>
  <c r="CZ69" i="10" s="1"/>
  <c r="CZ45" i="10"/>
  <c r="CZ70" i="10" s="1"/>
  <c r="CZ23" i="10"/>
  <c r="CZ48" i="10" s="1"/>
  <c r="CZ29" i="10"/>
  <c r="CZ54" i="10" s="1"/>
  <c r="CZ30" i="10"/>
  <c r="CZ55" i="10" s="1"/>
  <c r="CZ31" i="10"/>
  <c r="CZ56" i="10" s="1"/>
  <c r="CZ32" i="10"/>
  <c r="CZ57" i="10" s="1"/>
  <c r="CZ33" i="10"/>
  <c r="CZ58" i="10" s="1"/>
  <c r="DF40" i="10"/>
  <c r="DF65" i="10" s="1"/>
  <c r="DF41" i="10"/>
  <c r="DF66" i="10" s="1"/>
  <c r="DF42" i="10"/>
  <c r="DF67" i="10" s="1"/>
  <c r="DF43" i="10"/>
  <c r="DF68" i="10" s="1"/>
  <c r="DF44" i="10"/>
  <c r="DF69" i="10" s="1"/>
  <c r="DF45" i="10"/>
  <c r="DF70" i="10" s="1"/>
  <c r="DH23" i="10"/>
  <c r="DH48" i="10" s="1"/>
  <c r="DH28" i="10"/>
  <c r="DH53" i="10" s="1"/>
  <c r="DH30" i="10"/>
  <c r="DH55" i="10" s="1"/>
  <c r="DH43" i="10"/>
  <c r="DH68" i="10" s="1"/>
  <c r="DH44" i="10"/>
  <c r="DH69" i="10" s="1"/>
  <c r="DH45" i="10"/>
  <c r="DH70" i="10" s="1"/>
  <c r="DH21" i="10"/>
  <c r="DH22" i="10"/>
  <c r="DH47" i="10" s="1"/>
  <c r="DH24" i="10"/>
  <c r="DH49" i="10" s="1"/>
  <c r="DH25" i="10"/>
  <c r="DH50" i="10" s="1"/>
  <c r="DH26" i="10"/>
  <c r="DH51" i="10" s="1"/>
  <c r="DH27" i="10"/>
  <c r="DH52" i="10" s="1"/>
  <c r="DH29" i="10"/>
  <c r="DH54" i="10" s="1"/>
  <c r="DH31" i="10"/>
  <c r="DH56" i="10" s="1"/>
  <c r="DH32" i="10"/>
  <c r="DH57" i="10" s="1"/>
  <c r="DH33" i="10"/>
  <c r="DH58" i="10" s="1"/>
  <c r="DH34" i="10"/>
  <c r="DH59" i="10" s="1"/>
  <c r="DH35" i="10"/>
  <c r="DH60" i="10" s="1"/>
  <c r="DH36" i="10"/>
  <c r="DH61" i="10" s="1"/>
  <c r="DH37" i="10"/>
  <c r="DH62" i="10" s="1"/>
  <c r="DH38" i="10"/>
  <c r="DH63" i="10" s="1"/>
  <c r="DH39" i="10"/>
  <c r="DH64" i="10" s="1"/>
  <c r="DH40" i="10"/>
  <c r="DH65" i="10" s="1"/>
  <c r="DH41" i="10"/>
  <c r="DH66" i="10" s="1"/>
  <c r="DH42" i="10"/>
  <c r="DH67" i="10" s="1"/>
  <c r="DH77" i="10"/>
  <c r="DH78" i="10" s="1"/>
  <c r="DH79" i="10"/>
  <c r="DH80" i="10" s="1"/>
  <c r="DH81" i="10"/>
  <c r="DH82" i="10" s="1"/>
  <c r="DH98" i="10" s="1"/>
  <c r="DJ29" i="10"/>
  <c r="DJ54" i="10" s="1"/>
  <c r="DJ30" i="10"/>
  <c r="DJ55" i="10" s="1"/>
  <c r="DJ32" i="10"/>
  <c r="DJ57" i="10" s="1"/>
  <c r="DJ43" i="10"/>
  <c r="DJ68" i="10" s="1"/>
  <c r="DJ44" i="10"/>
  <c r="DJ69" i="10" s="1"/>
  <c r="DJ45" i="10"/>
  <c r="DJ70" i="10" s="1"/>
  <c r="DJ21" i="10"/>
  <c r="DJ46" i="10" s="1"/>
  <c r="DJ22" i="10"/>
  <c r="DJ47" i="10" s="1"/>
  <c r="DJ23" i="10"/>
  <c r="DJ48" i="10" s="1"/>
  <c r="DJ24" i="10"/>
  <c r="DJ49" i="10" s="1"/>
  <c r="DJ25" i="10"/>
  <c r="DJ50" i="10" s="1"/>
  <c r="DJ26" i="10"/>
  <c r="DJ51" i="10" s="1"/>
  <c r="DJ27" i="10"/>
  <c r="DJ52" i="10" s="1"/>
  <c r="DJ28" i="10"/>
  <c r="DJ53" i="10" s="1"/>
  <c r="DJ31" i="10"/>
  <c r="DJ56" i="10" s="1"/>
  <c r="DJ33" i="10"/>
  <c r="DJ58" i="10" s="1"/>
  <c r="DJ34" i="10"/>
  <c r="DJ59" i="10" s="1"/>
  <c r="DJ35" i="10"/>
  <c r="DJ60" i="10" s="1"/>
  <c r="DJ36" i="10"/>
  <c r="DJ61" i="10" s="1"/>
  <c r="DJ37" i="10"/>
  <c r="DJ62" i="10" s="1"/>
  <c r="DJ38" i="10"/>
  <c r="DJ63" i="10" s="1"/>
  <c r="DJ39" i="10"/>
  <c r="DJ64" i="10" s="1"/>
  <c r="DJ40" i="10"/>
  <c r="DJ65" i="10" s="1"/>
  <c r="DJ41" i="10"/>
  <c r="DJ66" i="10" s="1"/>
  <c r="DJ42" i="10"/>
  <c r="DJ67" i="10" s="1"/>
  <c r="DJ77" i="10"/>
  <c r="DJ78" i="10" s="1"/>
  <c r="DJ79" i="10"/>
  <c r="DJ80" i="10" s="1"/>
  <c r="DJ81" i="10"/>
  <c r="DJ82" i="10" s="1"/>
  <c r="DK21" i="10"/>
  <c r="DK22" i="10"/>
  <c r="DK47" i="10" s="1"/>
  <c r="DK25" i="10"/>
  <c r="DK50" i="10" s="1"/>
  <c r="DK26" i="10"/>
  <c r="DK51" i="10" s="1"/>
  <c r="DK27" i="10"/>
  <c r="DK52" i="10" s="1"/>
  <c r="DK29" i="10"/>
  <c r="DK54" i="10" s="1"/>
  <c r="DK30" i="10"/>
  <c r="DK55" i="10" s="1"/>
  <c r="DK32" i="10"/>
  <c r="DK57" i="10" s="1"/>
  <c r="DK34" i="10"/>
  <c r="DK59" i="10" s="1"/>
  <c r="DK35" i="10"/>
  <c r="DK60" i="10" s="1"/>
  <c r="DK36" i="10"/>
  <c r="DK61" i="10" s="1"/>
  <c r="DK37" i="10"/>
  <c r="DK62" i="10" s="1"/>
  <c r="DK38" i="10"/>
  <c r="DK63" i="10" s="1"/>
  <c r="DK39" i="10"/>
  <c r="DK64" i="10" s="1"/>
  <c r="DK40" i="10"/>
  <c r="DK65" i="10" s="1"/>
  <c r="DK41" i="10"/>
  <c r="DK66" i="10" s="1"/>
  <c r="DK42" i="10"/>
  <c r="DK67" i="10" s="1"/>
  <c r="DK43" i="10"/>
  <c r="DK68" i="10" s="1"/>
  <c r="DK44" i="10"/>
  <c r="DK69" i="10" s="1"/>
  <c r="DK45" i="10"/>
  <c r="DK70" i="10" s="1"/>
  <c r="DK23" i="10"/>
  <c r="DK48" i="10" s="1"/>
  <c r="DK24" i="10"/>
  <c r="DK49" i="10" s="1"/>
  <c r="DK28" i="10"/>
  <c r="DK53" i="10" s="1"/>
  <c r="AU25" i="10"/>
  <c r="AU28" i="10"/>
  <c r="AU53" i="10" s="1"/>
  <c r="AU30" i="10"/>
  <c r="AU55" i="10" s="1"/>
  <c r="AU31" i="10"/>
  <c r="AU56" i="10" s="1"/>
  <c r="AU32" i="10"/>
  <c r="AU57" i="10" s="1"/>
  <c r="BW22" i="10"/>
  <c r="BW23" i="10"/>
  <c r="BW48" i="10" s="1"/>
  <c r="BW26" i="10"/>
  <c r="BW51" i="10" s="1"/>
  <c r="BW27" i="10"/>
  <c r="BW52" i="10" s="1"/>
  <c r="BW29" i="10"/>
  <c r="BW54" i="10" s="1"/>
  <c r="BW30" i="10"/>
  <c r="BW55" i="10" s="1"/>
  <c r="BW32" i="10"/>
  <c r="BW57" i="10" s="1"/>
  <c r="BW34" i="10"/>
  <c r="BW59" i="10" s="1"/>
  <c r="BW35" i="10"/>
  <c r="BW60" i="10" s="1"/>
  <c r="BW36" i="10"/>
  <c r="BW61" i="10" s="1"/>
  <c r="BW37" i="10"/>
  <c r="BW62" i="10" s="1"/>
  <c r="BW38" i="10"/>
  <c r="BW63" i="10" s="1"/>
  <c r="BW39" i="10"/>
  <c r="BW64" i="10" s="1"/>
  <c r="BW40" i="10"/>
  <c r="BW65" i="10" s="1"/>
  <c r="BW41" i="10"/>
  <c r="BW66" i="10" s="1"/>
  <c r="BW42" i="10"/>
  <c r="BW67" i="10" s="1"/>
  <c r="BW43" i="10"/>
  <c r="BW68" i="10" s="1"/>
  <c r="BW44" i="10"/>
  <c r="BW69" i="10" s="1"/>
  <c r="BW45" i="10"/>
  <c r="BW70" i="10" s="1"/>
  <c r="BW24" i="10"/>
  <c r="BW49" i="10" s="1"/>
  <c r="BW25" i="10"/>
  <c r="BW50" i="10" s="1"/>
  <c r="BW28" i="10"/>
  <c r="BW53" i="10" s="1"/>
  <c r="BW31" i="10"/>
  <c r="BW56" i="10" s="1"/>
  <c r="BW33" i="10"/>
  <c r="BW58" i="10" s="1"/>
  <c r="BW77" i="10"/>
  <c r="BW78" i="10" s="1"/>
  <c r="BW79" i="10"/>
  <c r="BW80" i="10" s="1"/>
  <c r="BW81" i="10"/>
  <c r="BW82" i="10" s="1"/>
  <c r="CD21" i="10"/>
  <c r="CD22" i="10"/>
  <c r="CD47" i="10" s="1"/>
  <c r="CD24" i="10"/>
  <c r="CD49" i="10" s="1"/>
  <c r="CD25" i="10"/>
  <c r="CD50" i="10" s="1"/>
  <c r="CD26" i="10"/>
  <c r="CD51" i="10" s="1"/>
  <c r="CD27" i="10"/>
  <c r="CD52" i="10" s="1"/>
  <c r="CD30" i="10"/>
  <c r="CD55" i="10" s="1"/>
  <c r="I41" i="10"/>
  <c r="I42" i="10"/>
  <c r="I67" i="10" s="1"/>
  <c r="I43" i="10"/>
  <c r="I68" i="10" s="1"/>
  <c r="I44" i="10"/>
  <c r="I69" i="10" s="1"/>
  <c r="I45" i="10"/>
  <c r="I70" i="10" s="1"/>
  <c r="G107" i="12"/>
  <c r="I107" i="12"/>
  <c r="K107" i="12"/>
  <c r="E143" i="10"/>
  <c r="F145" i="10"/>
  <c r="D105" i="12"/>
  <c r="F118" i="10"/>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AC118" i="10" s="1"/>
  <c r="AD118" i="10" s="1"/>
  <c r="AE118" i="10" s="1"/>
  <c r="AF118" i="10" s="1"/>
  <c r="AG118" i="10" s="1"/>
  <c r="AH118" i="10" s="1"/>
  <c r="AI118" i="10" s="1"/>
  <c r="AJ118" i="10" s="1"/>
  <c r="AK118" i="10" s="1"/>
  <c r="AL118" i="10" s="1"/>
  <c r="AM118" i="10" s="1"/>
  <c r="AN118" i="10" s="1"/>
  <c r="AO118" i="10" s="1"/>
  <c r="AP118" i="10" s="1"/>
  <c r="AQ118" i="10" s="1"/>
  <c r="AR118" i="10" s="1"/>
  <c r="AS118" i="10" s="1"/>
  <c r="AT118" i="10" s="1"/>
  <c r="AU118" i="10" s="1"/>
  <c r="AV118" i="10" s="1"/>
  <c r="AW118" i="10" s="1"/>
  <c r="AX118" i="10" s="1"/>
  <c r="AY118" i="10" s="1"/>
  <c r="AZ118" i="10" s="1"/>
  <c r="BA118" i="10" s="1"/>
  <c r="BB118" i="10" s="1"/>
  <c r="BC118" i="10" s="1"/>
  <c r="BD118" i="10" s="1"/>
  <c r="BE118" i="10" s="1"/>
  <c r="BF118" i="10" s="1"/>
  <c r="BG118" i="10" s="1"/>
  <c r="BH118" i="10" s="1"/>
  <c r="BI118" i="10" s="1"/>
  <c r="BJ118" i="10" s="1"/>
  <c r="BK118" i="10" s="1"/>
  <c r="BL118" i="10" s="1"/>
  <c r="BM118" i="10" s="1"/>
  <c r="BN118" i="10" s="1"/>
  <c r="BO118" i="10" s="1"/>
  <c r="BP118" i="10" s="1"/>
  <c r="BQ118" i="10" s="1"/>
  <c r="BR118" i="10" s="1"/>
  <c r="BS118" i="10" s="1"/>
  <c r="BT118" i="10" s="1"/>
  <c r="BU118" i="10" s="1"/>
  <c r="BV118" i="10" s="1"/>
  <c r="BW118" i="10" s="1"/>
  <c r="BX118" i="10" s="1"/>
  <c r="BY118" i="10" s="1"/>
  <c r="BZ118" i="10" s="1"/>
  <c r="CA118" i="10" s="1"/>
  <c r="CB118" i="10" s="1"/>
  <c r="CC118" i="10" s="1"/>
  <c r="CD118" i="10" s="1"/>
  <c r="CE118" i="10" s="1"/>
  <c r="CF118" i="10" s="1"/>
  <c r="CG118" i="10" s="1"/>
  <c r="CH118" i="10" s="1"/>
  <c r="CI118" i="10" s="1"/>
  <c r="CJ118" i="10" s="1"/>
  <c r="CK118" i="10" s="1"/>
  <c r="CL118" i="10" s="1"/>
  <c r="CM118" i="10" s="1"/>
  <c r="CN118" i="10" s="1"/>
  <c r="CO118" i="10" s="1"/>
  <c r="CP118" i="10" s="1"/>
  <c r="CQ118" i="10" s="1"/>
  <c r="CR118" i="10" s="1"/>
  <c r="CS118" i="10" s="1"/>
  <c r="CT118" i="10" s="1"/>
  <c r="CU118" i="10" s="1"/>
  <c r="CV118" i="10" s="1"/>
  <c r="CW118" i="10" s="1"/>
  <c r="CX118" i="10" s="1"/>
  <c r="CY118" i="10" s="1"/>
  <c r="CZ118" i="10" s="1"/>
  <c r="DA118" i="10" s="1"/>
  <c r="DB118" i="10" s="1"/>
  <c r="DC118" i="10" s="1"/>
  <c r="DD118" i="10" s="1"/>
  <c r="DE118" i="10" s="1"/>
  <c r="DF118" i="10" s="1"/>
  <c r="DG118" i="10" s="1"/>
  <c r="DH118" i="10" s="1"/>
  <c r="DI118" i="10" s="1"/>
  <c r="DJ118" i="10" s="1"/>
  <c r="DK118" i="10" s="1"/>
  <c r="DL118" i="10" s="1"/>
  <c r="DM118" i="10" s="1"/>
  <c r="DN118" i="10" s="1"/>
  <c r="DO118" i="10" s="1"/>
  <c r="DP118" i="10" s="1"/>
  <c r="DQ118" i="10" s="1"/>
  <c r="DR118" i="10" s="1"/>
  <c r="DS118" i="10" s="1"/>
  <c r="DT118" i="10" s="1"/>
  <c r="DU118" i="10" s="1"/>
  <c r="E117" i="10"/>
  <c r="C12" i="12" s="1"/>
  <c r="F136" i="10"/>
  <c r="E123" i="10"/>
  <c r="F105" i="10"/>
  <c r="F126" i="10"/>
  <c r="F130" i="10"/>
  <c r="E129" i="10"/>
  <c r="F134" i="10"/>
  <c r="E133" i="10"/>
  <c r="D107" i="12"/>
  <c r="E138" i="10"/>
  <c r="C15" i="12" s="1"/>
  <c r="F292" i="10"/>
  <c r="E279" i="10"/>
  <c r="F261" i="10"/>
  <c r="F282" i="10"/>
  <c r="F286" i="10"/>
  <c r="F290" i="10"/>
  <c r="E289" i="10"/>
  <c r="E107" i="12"/>
  <c r="H107" i="12"/>
  <c r="L107" i="12"/>
  <c r="M107" i="12"/>
  <c r="F107" i="12"/>
  <c r="J107" i="12"/>
  <c r="N107" i="12"/>
  <c r="O107" i="12"/>
  <c r="BW46" i="10"/>
  <c r="K184" i="10"/>
  <c r="K209" i="10" s="1"/>
  <c r="K183" i="10"/>
  <c r="K208" i="10" s="1"/>
  <c r="K187" i="10"/>
  <c r="K212" i="10" s="1"/>
  <c r="K182" i="10"/>
  <c r="K207" i="10" s="1"/>
  <c r="K179" i="10"/>
  <c r="K204" i="10" s="1"/>
  <c r="K177" i="10"/>
  <c r="K197" i="10"/>
  <c r="K222" i="10" s="1"/>
  <c r="K196" i="10"/>
  <c r="K221" i="10" s="1"/>
  <c r="K191" i="10"/>
  <c r="K216" i="10" s="1"/>
  <c r="K190" i="10"/>
  <c r="K215" i="10" s="1"/>
  <c r="K186" i="10"/>
  <c r="K211" i="10" s="1"/>
  <c r="K181" i="10"/>
  <c r="K206" i="10" s="1"/>
  <c r="K199" i="10"/>
  <c r="K224" i="10" s="1"/>
  <c r="K198" i="10"/>
  <c r="K223" i="10" s="1"/>
  <c r="K195" i="10"/>
  <c r="K220" i="10" s="1"/>
  <c r="K180" i="10"/>
  <c r="K205" i="10" s="1"/>
  <c r="K194" i="10"/>
  <c r="K219" i="10" s="1"/>
  <c r="K189" i="10"/>
  <c r="K214" i="10" s="1"/>
  <c r="K188" i="10"/>
  <c r="K213" i="10" s="1"/>
  <c r="K185" i="10"/>
  <c r="K210" i="10" s="1"/>
  <c r="K178" i="10"/>
  <c r="K203" i="10" s="1"/>
  <c r="K193" i="10"/>
  <c r="K218" i="10" s="1"/>
  <c r="K192" i="10"/>
  <c r="K217" i="10" s="1"/>
  <c r="K201" i="10"/>
  <c r="K226" i="10" s="1"/>
  <c r="K200" i="10"/>
  <c r="K225" i="10" s="1"/>
  <c r="K242" i="10"/>
  <c r="K243" i="10"/>
  <c r="K244" i="10"/>
  <c r="K247" i="10"/>
  <c r="K257" i="10" s="1"/>
  <c r="K267" i="10" s="1"/>
  <c r="K237" i="10"/>
  <c r="K238" i="10" s="1"/>
  <c r="K233" i="10"/>
  <c r="K234" i="10" s="1"/>
  <c r="K235" i="10"/>
  <c r="K236" i="10" s="1"/>
  <c r="O182" i="10"/>
  <c r="O207" i="10" s="1"/>
  <c r="O195" i="10"/>
  <c r="O220" i="10" s="1"/>
  <c r="O186" i="10"/>
  <c r="O211" i="10" s="1"/>
  <c r="O184" i="10"/>
  <c r="O209" i="10" s="1"/>
  <c r="O177" i="10"/>
  <c r="O196" i="10"/>
  <c r="O221" i="10" s="1"/>
  <c r="O193" i="10"/>
  <c r="O218" i="10" s="1"/>
  <c r="O192" i="10"/>
  <c r="O217" i="10" s="1"/>
  <c r="O180" i="10"/>
  <c r="O205" i="10" s="1"/>
  <c r="O179" i="10"/>
  <c r="O204" i="10" s="1"/>
  <c r="O178" i="10"/>
  <c r="O203" i="10" s="1"/>
  <c r="O199" i="10"/>
  <c r="O224" i="10" s="1"/>
  <c r="O190" i="10"/>
  <c r="O215" i="10" s="1"/>
  <c r="O189" i="10"/>
  <c r="O214" i="10" s="1"/>
  <c r="O188" i="10"/>
  <c r="O213" i="10" s="1"/>
  <c r="O183" i="10"/>
  <c r="O208" i="10" s="1"/>
  <c r="O198" i="10"/>
  <c r="O223" i="10" s="1"/>
  <c r="O197" i="10"/>
  <c r="O222" i="10" s="1"/>
  <c r="O194" i="10"/>
  <c r="O219" i="10" s="1"/>
  <c r="O191" i="10"/>
  <c r="O216" i="10" s="1"/>
  <c r="O187" i="10"/>
  <c r="O212" i="10" s="1"/>
  <c r="O185" i="10"/>
  <c r="O210" i="10" s="1"/>
  <c r="O181" i="10"/>
  <c r="O206" i="10" s="1"/>
  <c r="O201" i="10"/>
  <c r="O226" i="10" s="1"/>
  <c r="O200" i="10"/>
  <c r="O225" i="10" s="1"/>
  <c r="O243" i="10"/>
  <c r="O244" i="10"/>
  <c r="O247" i="10"/>
  <c r="O257" i="10" s="1"/>
  <c r="O267" i="10" s="1"/>
  <c r="O242" i="10"/>
  <c r="O235" i="10"/>
  <c r="O236" i="10" s="1"/>
  <c r="O233" i="10"/>
  <c r="O234" i="10" s="1"/>
  <c r="O237" i="10"/>
  <c r="O238" i="10"/>
  <c r="S244" i="10"/>
  <c r="S247" i="10"/>
  <c r="S257" i="10" s="1"/>
  <c r="S267" i="10" s="1"/>
  <c r="S243" i="10"/>
  <c r="S242" i="10"/>
  <c r="S233" i="10"/>
  <c r="S234" i="10" s="1"/>
  <c r="S235" i="10"/>
  <c r="S236" i="10" s="1"/>
  <c r="S237" i="10"/>
  <c r="S238" i="10" s="1"/>
  <c r="S181" i="10"/>
  <c r="S206" i="10" s="1"/>
  <c r="S180" i="10"/>
  <c r="S205" i="10" s="1"/>
  <c r="S195" i="10"/>
  <c r="S220" i="10" s="1"/>
  <c r="S187" i="10"/>
  <c r="S212" i="10" s="1"/>
  <c r="S179" i="10"/>
  <c r="S204" i="10" s="1"/>
  <c r="S193" i="10"/>
  <c r="S218" i="10" s="1"/>
  <c r="S189" i="10"/>
  <c r="S214" i="10" s="1"/>
  <c r="S188" i="10"/>
  <c r="S213" i="10" s="1"/>
  <c r="S186" i="10"/>
  <c r="S211" i="10" s="1"/>
  <c r="S185" i="10"/>
  <c r="S210" i="10" s="1"/>
  <c r="S183" i="10"/>
  <c r="S208" i="10" s="1"/>
  <c r="S178" i="10"/>
  <c r="S203" i="10" s="1"/>
  <c r="S190" i="10"/>
  <c r="S215" i="10" s="1"/>
  <c r="S182" i="10"/>
  <c r="S207" i="10" s="1"/>
  <c r="S199" i="10"/>
  <c r="S224" i="10" s="1"/>
  <c r="S197" i="10"/>
  <c r="S222" i="10" s="1"/>
  <c r="S196" i="10"/>
  <c r="S221" i="10" s="1"/>
  <c r="S184" i="10"/>
  <c r="S209" i="10" s="1"/>
  <c r="S177" i="10"/>
  <c r="S198" i="10"/>
  <c r="S223" i="10" s="1"/>
  <c r="S194" i="10"/>
  <c r="S219" i="10" s="1"/>
  <c r="S192" i="10"/>
  <c r="S217" i="10" s="1"/>
  <c r="S191" i="10"/>
  <c r="S216" i="10" s="1"/>
  <c r="S201" i="10"/>
  <c r="S226" i="10" s="1"/>
  <c r="S200" i="10"/>
  <c r="S225" i="10" s="1"/>
  <c r="Y198" i="10"/>
  <c r="Y223" i="10" s="1"/>
  <c r="Y192" i="10"/>
  <c r="Y217" i="10" s="1"/>
  <c r="Y190" i="10"/>
  <c r="Y215" i="10" s="1"/>
  <c r="Y189" i="10"/>
  <c r="Y214" i="10" s="1"/>
  <c r="Y187" i="10"/>
  <c r="Y212" i="10" s="1"/>
  <c r="Y181" i="10"/>
  <c r="Y206" i="10" s="1"/>
  <c r="Y177" i="10"/>
  <c r="Y197" i="10"/>
  <c r="Y222" i="10" s="1"/>
  <c r="Y188" i="10"/>
  <c r="Y213" i="10" s="1"/>
  <c r="Y182" i="10"/>
  <c r="Y207" i="10" s="1"/>
  <c r="Y180" i="10"/>
  <c r="Y205" i="10" s="1"/>
  <c r="Y178" i="10"/>
  <c r="Y203" i="10" s="1"/>
  <c r="Y196" i="10"/>
  <c r="Y221" i="10" s="1"/>
  <c r="Y195" i="10"/>
  <c r="Y220" i="10" s="1"/>
  <c r="Y191" i="10"/>
  <c r="Y216" i="10" s="1"/>
  <c r="Y186" i="10"/>
  <c r="Y211" i="10" s="1"/>
  <c r="Y183" i="10"/>
  <c r="Y208" i="10" s="1"/>
  <c r="Y194" i="10"/>
  <c r="Y219" i="10" s="1"/>
  <c r="Y185" i="10"/>
  <c r="Y210" i="10" s="1"/>
  <c r="Y179" i="10"/>
  <c r="Y204" i="10" s="1"/>
  <c r="Y199" i="10"/>
  <c r="Y224" i="10" s="1"/>
  <c r="Y193" i="10"/>
  <c r="Y218" i="10" s="1"/>
  <c r="Y184" i="10"/>
  <c r="Y209" i="10" s="1"/>
  <c r="Y201" i="10"/>
  <c r="Y226" i="10" s="1"/>
  <c r="Y200" i="10"/>
  <c r="Y225" i="10" s="1"/>
  <c r="Y247" i="10"/>
  <c r="Y257" i="10" s="1"/>
  <c r="Y267" i="10" s="1"/>
  <c r="Y244" i="10"/>
  <c r="Y243" i="10"/>
  <c r="Y242" i="10"/>
  <c r="Y233" i="10"/>
  <c r="Y234" i="10"/>
  <c r="Y237" i="10"/>
  <c r="Y238" i="10" s="1"/>
  <c r="Y235" i="10"/>
  <c r="Y236" i="10" s="1"/>
  <c r="AC185" i="10"/>
  <c r="AC210" i="10" s="1"/>
  <c r="AC196" i="10"/>
  <c r="AC221" i="10" s="1"/>
  <c r="AC191" i="10"/>
  <c r="AC216" i="10" s="1"/>
  <c r="AC184" i="10"/>
  <c r="AC209" i="10" s="1"/>
  <c r="AC180" i="10"/>
  <c r="AC205" i="10" s="1"/>
  <c r="AC179" i="10"/>
  <c r="AC204" i="10" s="1"/>
  <c r="AC178" i="10"/>
  <c r="AC203" i="10" s="1"/>
  <c r="AC199" i="10"/>
  <c r="AC224" i="10" s="1"/>
  <c r="AC197" i="10"/>
  <c r="AC222" i="10" s="1"/>
  <c r="AC194" i="10"/>
  <c r="AC219" i="10" s="1"/>
  <c r="AC188" i="10"/>
  <c r="AC213" i="10" s="1"/>
  <c r="AC187" i="10"/>
  <c r="AC212" i="10" s="1"/>
  <c r="AC186" i="10"/>
  <c r="AC211" i="10" s="1"/>
  <c r="AC198" i="10"/>
  <c r="AC223" i="10" s="1"/>
  <c r="AC195" i="10"/>
  <c r="AC220" i="10" s="1"/>
  <c r="AC192" i="10"/>
  <c r="AC217" i="10" s="1"/>
  <c r="AC190" i="10"/>
  <c r="AC215" i="10" s="1"/>
  <c r="AC189" i="10"/>
  <c r="AC214" i="10" s="1"/>
  <c r="AC182" i="10"/>
  <c r="AC207" i="10" s="1"/>
  <c r="AC177" i="10"/>
  <c r="AC193" i="10"/>
  <c r="AC218" i="10" s="1"/>
  <c r="AC183" i="10"/>
  <c r="AC208" i="10" s="1"/>
  <c r="AC181" i="10"/>
  <c r="AC206" i="10" s="1"/>
  <c r="AC201" i="10"/>
  <c r="AC226" i="10" s="1"/>
  <c r="AC200" i="10"/>
  <c r="AC225" i="10" s="1"/>
  <c r="AC242" i="10"/>
  <c r="AC247" i="10"/>
  <c r="AC257" i="10" s="1"/>
  <c r="AC267" i="10" s="1"/>
  <c r="AC244" i="10"/>
  <c r="AC243" i="10"/>
  <c r="AC233" i="10"/>
  <c r="AC234" i="10" s="1"/>
  <c r="AC235" i="10"/>
  <c r="AC236" i="10"/>
  <c r="AC237" i="10"/>
  <c r="AC238" i="10" s="1"/>
  <c r="AJ185" i="10"/>
  <c r="AJ210" i="10" s="1"/>
  <c r="AJ179" i="10"/>
  <c r="AJ204" i="10" s="1"/>
  <c r="AJ184" i="10"/>
  <c r="AJ209" i="10" s="1"/>
  <c r="AJ199" i="10"/>
  <c r="AJ224" i="10" s="1"/>
  <c r="AJ198" i="10"/>
  <c r="AJ223" i="10" s="1"/>
  <c r="AJ197" i="10"/>
  <c r="AJ222" i="10" s="1"/>
  <c r="AJ194" i="10"/>
  <c r="AJ219" i="10" s="1"/>
  <c r="AJ188" i="10"/>
  <c r="AJ213" i="10" s="1"/>
  <c r="AJ180" i="10"/>
  <c r="AJ205" i="10" s="1"/>
  <c r="AJ196" i="10"/>
  <c r="AJ221" i="10" s="1"/>
  <c r="AJ189" i="10"/>
  <c r="AJ214" i="10" s="1"/>
  <c r="AJ187" i="10"/>
  <c r="AJ212" i="10" s="1"/>
  <c r="AJ182" i="10"/>
  <c r="AJ207" i="10" s="1"/>
  <c r="AJ192" i="10"/>
  <c r="AJ217" i="10" s="1"/>
  <c r="AJ183" i="10"/>
  <c r="AJ208" i="10" s="1"/>
  <c r="AJ181" i="10"/>
  <c r="AJ206" i="10" s="1"/>
  <c r="AJ195" i="10"/>
  <c r="AJ220" i="10" s="1"/>
  <c r="AJ193" i="10"/>
  <c r="AJ218" i="10" s="1"/>
  <c r="AJ191" i="10"/>
  <c r="AJ216" i="10" s="1"/>
  <c r="AJ190" i="10"/>
  <c r="AJ215" i="10" s="1"/>
  <c r="AJ186" i="10"/>
  <c r="AJ211" i="10" s="1"/>
  <c r="AJ178" i="10"/>
  <c r="AJ203" i="10" s="1"/>
  <c r="AJ177" i="10"/>
  <c r="AJ201" i="10"/>
  <c r="AJ226" i="10" s="1"/>
  <c r="AJ200" i="10"/>
  <c r="AJ225" i="10" s="1"/>
  <c r="AJ247" i="10"/>
  <c r="AJ257" i="10" s="1"/>
  <c r="AJ267" i="10" s="1"/>
  <c r="AJ244" i="10"/>
  <c r="AJ242" i="10"/>
  <c r="AJ243" i="10"/>
  <c r="AJ237" i="10"/>
  <c r="AJ238" i="10" s="1"/>
  <c r="AJ233" i="10"/>
  <c r="AJ234" i="10" s="1"/>
  <c r="AJ235" i="10"/>
  <c r="AJ236" i="10" s="1"/>
  <c r="AP242" i="10"/>
  <c r="AP247" i="10"/>
  <c r="AP257" i="10" s="1"/>
  <c r="AP244" i="10"/>
  <c r="AP243" i="10"/>
  <c r="AP237" i="10"/>
  <c r="AP238" i="10" s="1"/>
  <c r="AP235" i="10"/>
  <c r="AP233" i="10"/>
  <c r="AP234" i="10" s="1"/>
  <c r="AP236" i="10"/>
  <c r="AP187" i="10"/>
  <c r="AP198" i="10"/>
  <c r="AP195" i="10"/>
  <c r="AP199" i="10"/>
  <c r="AP197" i="10"/>
  <c r="AP196" i="10"/>
  <c r="AP189" i="10"/>
  <c r="AP185" i="10"/>
  <c r="AP183" i="10"/>
  <c r="AP178" i="10"/>
  <c r="AP192" i="10"/>
  <c r="AP190" i="10"/>
  <c r="AP182" i="10"/>
  <c r="AP181" i="10"/>
  <c r="AP180" i="10"/>
  <c r="AP194" i="10"/>
  <c r="AP188" i="10"/>
  <c r="AP193" i="10"/>
  <c r="AP191" i="10"/>
  <c r="AP186" i="10"/>
  <c r="AP184" i="10"/>
  <c r="AP179" i="10"/>
  <c r="AP177" i="10"/>
  <c r="AP201" i="10"/>
  <c r="AP200" i="10"/>
  <c r="AS187" i="10"/>
  <c r="AS212" i="10" s="1"/>
  <c r="AS183" i="10"/>
  <c r="AS208" i="10" s="1"/>
  <c r="AS182" i="10"/>
  <c r="AS207" i="10" s="1"/>
  <c r="AS181" i="10"/>
  <c r="AS206" i="10" s="1"/>
  <c r="AS179" i="10"/>
  <c r="AS204" i="10" s="1"/>
  <c r="AS191" i="10"/>
  <c r="AS216" i="10" s="1"/>
  <c r="AS186" i="10"/>
  <c r="AS211" i="10" s="1"/>
  <c r="AS180" i="10"/>
  <c r="AS205" i="10" s="1"/>
  <c r="AS197" i="10"/>
  <c r="AS222" i="10" s="1"/>
  <c r="AS196" i="10"/>
  <c r="AS221" i="10" s="1"/>
  <c r="AS195" i="10"/>
  <c r="AS220" i="10" s="1"/>
  <c r="AS189" i="10"/>
  <c r="AS214" i="10" s="1"/>
  <c r="AS188" i="10"/>
  <c r="AS213" i="10" s="1"/>
  <c r="AS185" i="10"/>
  <c r="AS210" i="10" s="1"/>
  <c r="AS184" i="10"/>
  <c r="AS209" i="10" s="1"/>
  <c r="AS177" i="10"/>
  <c r="AS198" i="10"/>
  <c r="AS223" i="10" s="1"/>
  <c r="AS178" i="10"/>
  <c r="AS203" i="10" s="1"/>
  <c r="AS194" i="10"/>
  <c r="AS219" i="10" s="1"/>
  <c r="AS190" i="10"/>
  <c r="AS215" i="10" s="1"/>
  <c r="AS199" i="10"/>
  <c r="AS224" i="10" s="1"/>
  <c r="AS193" i="10"/>
  <c r="AS218" i="10" s="1"/>
  <c r="AS192" i="10"/>
  <c r="AS217" i="10" s="1"/>
  <c r="AS201" i="10"/>
  <c r="AS226" i="10" s="1"/>
  <c r="AS200" i="10"/>
  <c r="AS225" i="10" s="1"/>
  <c r="AS244" i="10"/>
  <c r="AS242" i="10"/>
  <c r="AS243" i="10"/>
  <c r="AS247" i="10"/>
  <c r="AS257" i="10" s="1"/>
  <c r="AS267" i="10" s="1"/>
  <c r="AS233" i="10"/>
  <c r="AS234" i="10" s="1"/>
  <c r="AS237" i="10"/>
  <c r="AS235" i="10"/>
  <c r="AS238" i="10"/>
  <c r="AS236" i="10"/>
  <c r="BA183" i="10"/>
  <c r="BA208" i="10" s="1"/>
  <c r="BA196" i="10"/>
  <c r="BA221" i="10" s="1"/>
  <c r="BA191" i="10"/>
  <c r="BA216" i="10" s="1"/>
  <c r="BA177" i="10"/>
  <c r="BA197" i="10"/>
  <c r="BA222" i="10" s="1"/>
  <c r="BA189" i="10"/>
  <c r="BA214" i="10" s="1"/>
  <c r="BA199" i="10"/>
  <c r="BA224" i="10" s="1"/>
  <c r="BA188" i="10"/>
  <c r="BA213" i="10" s="1"/>
  <c r="BA187" i="10"/>
  <c r="BA212" i="10" s="1"/>
  <c r="BA181" i="10"/>
  <c r="BA206" i="10" s="1"/>
  <c r="BA179" i="10"/>
  <c r="BA204" i="10" s="1"/>
  <c r="BA195" i="10"/>
  <c r="BA220" i="10" s="1"/>
  <c r="BA193" i="10"/>
  <c r="BA218" i="10" s="1"/>
  <c r="BA192" i="10"/>
  <c r="BA217" i="10" s="1"/>
  <c r="BA185" i="10"/>
  <c r="BA210" i="10" s="1"/>
  <c r="BA184" i="10"/>
  <c r="BA209" i="10" s="1"/>
  <c r="BA182" i="10"/>
  <c r="BA207" i="10" s="1"/>
  <c r="BA198" i="10"/>
  <c r="BA223" i="10" s="1"/>
  <c r="BA194" i="10"/>
  <c r="BA219" i="10" s="1"/>
  <c r="BA190" i="10"/>
  <c r="BA215" i="10" s="1"/>
  <c r="BA186" i="10"/>
  <c r="BA211" i="10" s="1"/>
  <c r="BA180" i="10"/>
  <c r="BA205" i="10" s="1"/>
  <c r="BA178" i="10"/>
  <c r="BA203" i="10" s="1"/>
  <c r="BA201" i="10"/>
  <c r="BA226" i="10" s="1"/>
  <c r="BA200" i="10"/>
  <c r="BA225" i="10" s="1"/>
  <c r="BA242" i="10"/>
  <c r="BA243" i="10"/>
  <c r="BA244" i="10"/>
  <c r="BA247" i="10"/>
  <c r="BA257" i="10" s="1"/>
  <c r="BA267" i="10" s="1"/>
  <c r="BA235" i="10"/>
  <c r="BA236" i="10" s="1"/>
  <c r="BA237" i="10"/>
  <c r="BA238" i="10" s="1"/>
  <c r="BA233" i="10"/>
  <c r="BA234" i="10" s="1"/>
  <c r="BC189" i="10"/>
  <c r="BC214" i="10" s="1"/>
  <c r="BC184" i="10"/>
  <c r="BC209" i="10" s="1"/>
  <c r="BC194" i="10"/>
  <c r="BC219" i="10" s="1"/>
  <c r="BC182" i="10"/>
  <c r="BC207" i="10" s="1"/>
  <c r="BC195" i="10"/>
  <c r="BC220" i="10" s="1"/>
  <c r="BC196" i="10"/>
  <c r="BC221" i="10" s="1"/>
  <c r="BC193" i="10"/>
  <c r="BC218" i="10" s="1"/>
  <c r="BC200" i="10"/>
  <c r="BC225" i="10" s="1"/>
  <c r="BC187" i="10"/>
  <c r="BC212" i="10" s="1"/>
  <c r="BC181" i="10"/>
  <c r="BC206" i="10" s="1"/>
  <c r="BC197" i="10"/>
  <c r="BC222" i="10" s="1"/>
  <c r="BC183" i="10"/>
  <c r="BC208" i="10" s="1"/>
  <c r="BC177" i="10"/>
  <c r="BC186" i="10"/>
  <c r="BC211" i="10" s="1"/>
  <c r="BC192" i="10"/>
  <c r="BC217" i="10" s="1"/>
  <c r="BC185" i="10"/>
  <c r="BC210" i="10" s="1"/>
  <c r="BC179" i="10"/>
  <c r="BC204" i="10" s="1"/>
  <c r="BC198" i="10"/>
  <c r="BC223" i="10" s="1"/>
  <c r="BC188" i="10"/>
  <c r="BC213" i="10" s="1"/>
  <c r="BC178" i="10"/>
  <c r="BC203" i="10" s="1"/>
  <c r="BC190" i="10"/>
  <c r="BC215" i="10" s="1"/>
  <c r="BC199" i="10"/>
  <c r="BC224" i="10" s="1"/>
  <c r="BC191" i="10"/>
  <c r="BC216" i="10" s="1"/>
  <c r="BC180" i="10"/>
  <c r="BC205" i="10" s="1"/>
  <c r="BC201" i="10"/>
  <c r="BC226" i="10" s="1"/>
  <c r="BC243" i="10"/>
  <c r="BC242" i="10"/>
  <c r="BC247" i="10"/>
  <c r="BC257" i="10" s="1"/>
  <c r="BC267" i="10" s="1"/>
  <c r="BC244" i="10"/>
  <c r="BC235" i="10"/>
  <c r="BC236" i="10" s="1"/>
  <c r="BC237" i="10"/>
  <c r="BC238" i="10" s="1"/>
  <c r="BC233" i="10"/>
  <c r="BC234" i="10" s="1"/>
  <c r="BE194" i="10"/>
  <c r="BE219" i="10" s="1"/>
  <c r="BE189" i="10"/>
  <c r="BE214" i="10" s="1"/>
  <c r="BE182" i="10"/>
  <c r="BE207" i="10" s="1"/>
  <c r="BE178" i="10"/>
  <c r="BE203" i="10" s="1"/>
  <c r="BE198" i="10"/>
  <c r="BE223" i="10" s="1"/>
  <c r="BE190" i="10"/>
  <c r="BE215" i="10" s="1"/>
  <c r="BE185" i="10"/>
  <c r="BE210" i="10" s="1"/>
  <c r="BE177" i="10"/>
  <c r="BE199" i="10"/>
  <c r="BE224" i="10" s="1"/>
  <c r="BE186" i="10"/>
  <c r="BE211" i="10" s="1"/>
  <c r="BE197" i="10"/>
  <c r="BE222" i="10" s="1"/>
  <c r="BE196" i="10"/>
  <c r="BE221" i="10" s="1"/>
  <c r="BE192" i="10"/>
  <c r="BE217" i="10" s="1"/>
  <c r="BE188" i="10"/>
  <c r="BE213" i="10" s="1"/>
  <c r="BE184" i="10"/>
  <c r="BE209" i="10" s="1"/>
  <c r="BE183" i="10"/>
  <c r="BE208" i="10" s="1"/>
  <c r="BE181" i="10"/>
  <c r="BE206" i="10" s="1"/>
  <c r="BE180" i="10"/>
  <c r="BE205" i="10" s="1"/>
  <c r="BE179" i="10"/>
  <c r="BE204" i="10" s="1"/>
  <c r="BE195" i="10"/>
  <c r="BE220" i="10" s="1"/>
  <c r="BE193" i="10"/>
  <c r="BE218" i="10" s="1"/>
  <c r="BE191" i="10"/>
  <c r="BE216" i="10" s="1"/>
  <c r="BE187" i="10"/>
  <c r="BE212" i="10" s="1"/>
  <c r="BE201" i="10"/>
  <c r="BE226" i="10" s="1"/>
  <c r="BE200" i="10"/>
  <c r="BE225" i="10" s="1"/>
  <c r="BE247" i="10"/>
  <c r="BE257" i="10" s="1"/>
  <c r="BE267" i="10" s="1"/>
  <c r="BE243" i="10"/>
  <c r="BE244" i="10"/>
  <c r="BE242" i="10"/>
  <c r="BE233" i="10"/>
  <c r="BE234" i="10" s="1"/>
  <c r="BE237" i="10"/>
  <c r="BE238" i="10" s="1"/>
  <c r="BE235" i="10"/>
  <c r="BE236" i="10" s="1"/>
  <c r="BK247" i="10"/>
  <c r="BK257" i="10" s="1"/>
  <c r="BK267" i="10" s="1"/>
  <c r="BK243" i="10"/>
  <c r="BK244" i="10"/>
  <c r="BK242" i="10"/>
  <c r="BK235" i="10"/>
  <c r="BK236" i="10" s="1"/>
  <c r="BK237" i="10"/>
  <c r="BK238" i="10"/>
  <c r="BK233" i="10"/>
  <c r="BK234" i="10" s="1"/>
  <c r="BK185" i="10"/>
  <c r="BK210" i="10" s="1"/>
  <c r="BK199" i="10"/>
  <c r="BK224" i="10" s="1"/>
  <c r="BK196" i="10"/>
  <c r="BK221" i="10" s="1"/>
  <c r="BK183" i="10"/>
  <c r="BK208" i="10" s="1"/>
  <c r="BK177" i="10"/>
  <c r="BK187" i="10"/>
  <c r="BK212" i="10" s="1"/>
  <c r="BK181" i="10"/>
  <c r="BK206" i="10" s="1"/>
  <c r="BK182" i="10"/>
  <c r="BK207" i="10" s="1"/>
  <c r="BK193" i="10"/>
  <c r="BK218" i="10" s="1"/>
  <c r="BK189" i="10"/>
  <c r="BK214" i="10" s="1"/>
  <c r="BK198" i="10"/>
  <c r="BK223" i="10" s="1"/>
  <c r="BK190" i="10"/>
  <c r="BK215" i="10" s="1"/>
  <c r="BK201" i="10"/>
  <c r="BK226" i="10" s="1"/>
  <c r="BK200" i="10"/>
  <c r="BK225" i="10" s="1"/>
  <c r="BK197" i="10"/>
  <c r="BK222" i="10" s="1"/>
  <c r="BK194" i="10"/>
  <c r="BK219" i="10" s="1"/>
  <c r="BK180" i="10"/>
  <c r="BK205" i="10" s="1"/>
  <c r="BK192" i="10"/>
  <c r="BK217" i="10" s="1"/>
  <c r="BK184" i="10"/>
  <c r="BK209" i="10" s="1"/>
  <c r="BK186" i="10"/>
  <c r="BK211" i="10" s="1"/>
  <c r="BK195" i="10"/>
  <c r="BK220" i="10" s="1"/>
  <c r="BK191" i="10"/>
  <c r="BK216" i="10" s="1"/>
  <c r="BK188" i="10"/>
  <c r="BK213" i="10" s="1"/>
  <c r="BK179" i="10"/>
  <c r="BK204" i="10" s="1"/>
  <c r="BK178" i="10"/>
  <c r="BK203" i="10" s="1"/>
  <c r="BO195" i="10"/>
  <c r="BO220" i="10" s="1"/>
  <c r="BO190" i="10"/>
  <c r="BO215" i="10" s="1"/>
  <c r="BO180" i="10"/>
  <c r="BO205" i="10" s="1"/>
  <c r="BO199" i="10"/>
  <c r="BO224" i="10" s="1"/>
  <c r="BO187" i="10"/>
  <c r="BO212" i="10" s="1"/>
  <c r="BO184" i="10"/>
  <c r="BO209" i="10" s="1"/>
  <c r="BO178" i="10"/>
  <c r="BO203" i="10" s="1"/>
  <c r="BO183" i="10"/>
  <c r="BO208" i="10" s="1"/>
  <c r="BO198" i="10"/>
  <c r="BO223" i="10" s="1"/>
  <c r="BO193" i="10"/>
  <c r="BO218" i="10" s="1"/>
  <c r="BO191" i="10"/>
  <c r="BO216" i="10" s="1"/>
  <c r="BO201" i="10"/>
  <c r="BO226" i="10" s="1"/>
  <c r="BO196" i="10"/>
  <c r="BO221" i="10" s="1"/>
  <c r="BO189" i="10"/>
  <c r="BO214" i="10" s="1"/>
  <c r="BO177" i="10"/>
  <c r="BO197" i="10"/>
  <c r="BO222" i="10" s="1"/>
  <c r="BO185" i="10"/>
  <c r="BO210" i="10" s="1"/>
  <c r="BO181" i="10"/>
  <c r="BO206" i="10" s="1"/>
  <c r="BO179" i="10"/>
  <c r="BO204" i="10" s="1"/>
  <c r="BO188" i="10"/>
  <c r="BO213" i="10" s="1"/>
  <c r="BO182" i="10"/>
  <c r="BO207" i="10" s="1"/>
  <c r="BO194" i="10"/>
  <c r="BO219" i="10" s="1"/>
  <c r="BO192" i="10"/>
  <c r="BO217" i="10" s="1"/>
  <c r="BO186" i="10"/>
  <c r="BO211" i="10" s="1"/>
  <c r="BO200" i="10"/>
  <c r="BO225" i="10" s="1"/>
  <c r="BO247" i="10"/>
  <c r="BO257" i="10" s="1"/>
  <c r="BO267" i="10" s="1"/>
  <c r="BO244" i="10"/>
  <c r="BO243" i="10"/>
  <c r="BO242" i="10"/>
  <c r="BO235" i="10"/>
  <c r="BO236" i="10" s="1"/>
  <c r="BO233" i="10"/>
  <c r="BO234" i="10" s="1"/>
  <c r="BO237" i="10"/>
  <c r="BO238" i="10" s="1"/>
  <c r="BS182" i="10"/>
  <c r="BS207" i="10" s="1"/>
  <c r="BS178" i="10"/>
  <c r="BS203" i="10" s="1"/>
  <c r="BS191" i="10"/>
  <c r="BS216" i="10" s="1"/>
  <c r="BS190" i="10"/>
  <c r="BS215" i="10" s="1"/>
  <c r="BS188" i="10"/>
  <c r="BS213" i="10" s="1"/>
  <c r="BS187" i="10"/>
  <c r="BS212" i="10" s="1"/>
  <c r="BS186" i="10"/>
  <c r="BS211" i="10" s="1"/>
  <c r="BS195" i="10"/>
  <c r="BS220" i="10" s="1"/>
  <c r="BS194" i="10"/>
  <c r="BS219" i="10" s="1"/>
  <c r="BS192" i="10"/>
  <c r="BS217" i="10" s="1"/>
  <c r="BS189" i="10"/>
  <c r="BS214" i="10" s="1"/>
  <c r="BS185" i="10"/>
  <c r="BS210" i="10" s="1"/>
  <c r="BS199" i="10"/>
  <c r="BS224" i="10" s="1"/>
  <c r="BS197" i="10"/>
  <c r="BS222" i="10" s="1"/>
  <c r="BS179" i="10"/>
  <c r="BS204" i="10" s="1"/>
  <c r="BS196" i="10"/>
  <c r="BS221" i="10" s="1"/>
  <c r="BS183" i="10"/>
  <c r="BS208" i="10" s="1"/>
  <c r="BS177" i="10"/>
  <c r="BS198" i="10"/>
  <c r="BS223" i="10" s="1"/>
  <c r="BS193" i="10"/>
  <c r="BS218" i="10" s="1"/>
  <c r="BS184" i="10"/>
  <c r="BS209" i="10" s="1"/>
  <c r="BS181" i="10"/>
  <c r="BS206" i="10" s="1"/>
  <c r="BS180" i="10"/>
  <c r="BS205" i="10" s="1"/>
  <c r="BS201" i="10"/>
  <c r="BS226" i="10" s="1"/>
  <c r="BS200" i="10"/>
  <c r="BS225" i="10" s="1"/>
  <c r="BS242" i="10"/>
  <c r="BS243" i="10"/>
  <c r="BS247" i="10"/>
  <c r="BS257" i="10" s="1"/>
  <c r="BS267" i="10" s="1"/>
  <c r="BS244" i="10"/>
  <c r="BS233" i="10"/>
  <c r="BS234" i="10" s="1"/>
  <c r="BS235" i="10"/>
  <c r="BS236" i="10" s="1"/>
  <c r="BS237" i="10"/>
  <c r="BS238" i="10" s="1"/>
  <c r="BV186" i="10"/>
  <c r="BV211" i="10" s="1"/>
  <c r="BV195" i="10"/>
  <c r="BV220" i="10" s="1"/>
  <c r="BV191" i="10"/>
  <c r="BV216" i="10" s="1"/>
  <c r="BV189" i="10"/>
  <c r="BV214" i="10" s="1"/>
  <c r="BV188" i="10"/>
  <c r="BV213" i="10" s="1"/>
  <c r="BV198" i="10"/>
  <c r="BV223" i="10" s="1"/>
  <c r="BV197" i="10"/>
  <c r="BV222" i="10" s="1"/>
  <c r="BV194" i="10"/>
  <c r="BV219" i="10" s="1"/>
  <c r="BV193" i="10"/>
  <c r="BV218" i="10" s="1"/>
  <c r="BV184" i="10"/>
  <c r="BV209" i="10" s="1"/>
  <c r="BV182" i="10"/>
  <c r="BV207" i="10" s="1"/>
  <c r="BV181" i="10"/>
  <c r="BV206" i="10" s="1"/>
  <c r="BV199" i="10"/>
  <c r="BV224" i="10" s="1"/>
  <c r="BV196" i="10"/>
  <c r="BV221" i="10" s="1"/>
  <c r="BV192" i="10"/>
  <c r="BV217" i="10" s="1"/>
  <c r="BV178" i="10"/>
  <c r="BV203" i="10" s="1"/>
  <c r="BV177" i="10"/>
  <c r="BV190" i="10"/>
  <c r="BV215" i="10" s="1"/>
  <c r="BV187" i="10"/>
  <c r="BV212" i="10" s="1"/>
  <c r="BV185" i="10"/>
  <c r="BV210" i="10" s="1"/>
  <c r="BV183" i="10"/>
  <c r="BV208" i="10" s="1"/>
  <c r="BV180" i="10"/>
  <c r="BV205" i="10" s="1"/>
  <c r="BV179" i="10"/>
  <c r="BV204" i="10" s="1"/>
  <c r="BV201" i="10"/>
  <c r="BV226" i="10" s="1"/>
  <c r="BV200" i="10"/>
  <c r="BV225" i="10" s="1"/>
  <c r="BV243" i="10"/>
  <c r="BV247" i="10"/>
  <c r="BV257" i="10" s="1"/>
  <c r="BV267" i="10" s="1"/>
  <c r="BV242" i="10"/>
  <c r="BV244" i="10"/>
  <c r="BV235" i="10"/>
  <c r="BV236" i="10"/>
  <c r="BV237" i="10"/>
  <c r="BV238" i="10"/>
  <c r="BV233" i="10"/>
  <c r="BV234" i="10" s="1"/>
  <c r="CA178" i="10"/>
  <c r="CA203" i="10" s="1"/>
  <c r="CA185" i="10"/>
  <c r="CA210" i="10" s="1"/>
  <c r="CA181" i="10"/>
  <c r="CA206" i="10" s="1"/>
  <c r="CA199" i="10"/>
  <c r="CA224" i="10" s="1"/>
  <c r="CA187" i="10"/>
  <c r="CA212" i="10" s="1"/>
  <c r="CA192" i="10"/>
  <c r="CA217" i="10" s="1"/>
  <c r="CA186" i="10"/>
  <c r="CA211" i="10" s="1"/>
  <c r="CA180" i="10"/>
  <c r="CA205" i="10" s="1"/>
  <c r="CA198" i="10"/>
  <c r="CA223" i="10" s="1"/>
  <c r="CA184" i="10"/>
  <c r="CA209" i="10" s="1"/>
  <c r="CA183" i="10"/>
  <c r="CA208" i="10" s="1"/>
  <c r="CA182" i="10"/>
  <c r="CA207" i="10" s="1"/>
  <c r="CA179" i="10"/>
  <c r="CA204" i="10" s="1"/>
  <c r="CA197" i="10"/>
  <c r="CA222" i="10" s="1"/>
  <c r="CA196" i="10"/>
  <c r="CA221" i="10" s="1"/>
  <c r="CA195" i="10"/>
  <c r="CA220" i="10" s="1"/>
  <c r="CA193" i="10"/>
  <c r="CA218" i="10" s="1"/>
  <c r="CA189" i="10"/>
  <c r="CA214" i="10" s="1"/>
  <c r="CA188" i="10"/>
  <c r="CA213" i="10" s="1"/>
  <c r="CA177" i="10"/>
  <c r="CA194" i="10"/>
  <c r="CA219" i="10" s="1"/>
  <c r="CA191" i="10"/>
  <c r="CA216" i="10" s="1"/>
  <c r="CA190" i="10"/>
  <c r="CA215" i="10" s="1"/>
  <c r="CA201" i="10"/>
  <c r="CA226" i="10" s="1"/>
  <c r="CA200" i="10"/>
  <c r="CA225" i="10" s="1"/>
  <c r="CA242" i="10"/>
  <c r="CA244" i="10"/>
  <c r="CA243" i="10"/>
  <c r="CA247" i="10"/>
  <c r="CA257" i="10" s="1"/>
  <c r="CA267" i="10" s="1"/>
  <c r="CA235" i="10"/>
  <c r="CA236" i="10" s="1"/>
  <c r="CA233" i="10"/>
  <c r="CA237" i="10"/>
  <c r="CA238" i="10" s="1"/>
  <c r="CA234" i="10"/>
  <c r="CC185" i="10"/>
  <c r="CC210" i="10" s="1"/>
  <c r="CC194" i="10"/>
  <c r="CC219" i="10" s="1"/>
  <c r="CC193" i="10"/>
  <c r="CC218" i="10" s="1"/>
  <c r="CC192" i="10"/>
  <c r="CC217" i="10" s="1"/>
  <c r="CC190" i="10"/>
  <c r="CC215" i="10" s="1"/>
  <c r="CC188" i="10"/>
  <c r="CC213" i="10" s="1"/>
  <c r="CC184" i="10"/>
  <c r="CC209" i="10" s="1"/>
  <c r="CC181" i="10"/>
  <c r="CC206" i="10" s="1"/>
  <c r="CC179" i="10"/>
  <c r="CC204" i="10" s="1"/>
  <c r="CC198" i="10"/>
  <c r="CC223" i="10" s="1"/>
  <c r="CC196" i="10"/>
  <c r="CC221" i="10" s="1"/>
  <c r="CC195" i="10"/>
  <c r="CC220" i="10" s="1"/>
  <c r="CC191" i="10"/>
  <c r="CC216" i="10" s="1"/>
  <c r="CC180" i="10"/>
  <c r="CC205" i="10" s="1"/>
  <c r="CC197" i="10"/>
  <c r="CC222" i="10" s="1"/>
  <c r="CC177" i="10"/>
  <c r="CC189" i="10"/>
  <c r="CC214" i="10" s="1"/>
  <c r="CC187" i="10"/>
  <c r="CC212" i="10" s="1"/>
  <c r="CC183" i="10"/>
  <c r="CC208" i="10" s="1"/>
  <c r="CC182" i="10"/>
  <c r="CC207" i="10" s="1"/>
  <c r="CC178" i="10"/>
  <c r="CC203" i="10" s="1"/>
  <c r="CC199" i="10"/>
  <c r="CC224" i="10" s="1"/>
  <c r="CC186" i="10"/>
  <c r="CC211" i="10" s="1"/>
  <c r="CC201" i="10"/>
  <c r="CC226" i="10" s="1"/>
  <c r="CC200" i="10"/>
  <c r="CC225" i="10" s="1"/>
  <c r="CC242" i="10"/>
  <c r="CC243" i="10"/>
  <c r="CC247" i="10"/>
  <c r="CC257" i="10" s="1"/>
  <c r="CC267" i="10" s="1"/>
  <c r="CC244" i="10"/>
  <c r="CC233" i="10"/>
  <c r="CC234" i="10" s="1"/>
  <c r="CC237" i="10"/>
  <c r="CC238" i="10" s="1"/>
  <c r="CC235" i="10"/>
  <c r="CC236" i="10" s="1"/>
  <c r="CG185" i="10"/>
  <c r="CG210" i="10" s="1"/>
  <c r="CG177" i="10"/>
  <c r="CG194" i="10"/>
  <c r="CG219" i="10" s="1"/>
  <c r="CG193" i="10"/>
  <c r="CG218" i="10" s="1"/>
  <c r="CG184" i="10"/>
  <c r="CG209" i="10" s="1"/>
  <c r="CG181" i="10"/>
  <c r="CG206" i="10" s="1"/>
  <c r="CG179" i="10"/>
  <c r="CG204" i="10" s="1"/>
  <c r="CG199" i="10"/>
  <c r="CG224" i="10" s="1"/>
  <c r="CG196" i="10"/>
  <c r="CG221" i="10" s="1"/>
  <c r="CG195" i="10"/>
  <c r="CG220" i="10" s="1"/>
  <c r="CG192" i="10"/>
  <c r="CG217" i="10" s="1"/>
  <c r="CG191" i="10"/>
  <c r="CG216" i="10" s="1"/>
  <c r="CG190" i="10"/>
  <c r="CG215" i="10" s="1"/>
  <c r="CG189" i="10"/>
  <c r="CG214" i="10" s="1"/>
  <c r="CG187" i="10"/>
  <c r="CG212" i="10" s="1"/>
  <c r="CG183" i="10"/>
  <c r="CG208" i="10" s="1"/>
  <c r="CG198" i="10"/>
  <c r="CG223" i="10" s="1"/>
  <c r="CG178" i="10"/>
  <c r="CG203" i="10" s="1"/>
  <c r="CG197" i="10"/>
  <c r="CG222" i="10" s="1"/>
  <c r="CG188" i="10"/>
  <c r="CG213" i="10" s="1"/>
  <c r="CG182" i="10"/>
  <c r="CG207" i="10" s="1"/>
  <c r="CG180" i="10"/>
  <c r="CG205" i="10" s="1"/>
  <c r="CG186" i="10"/>
  <c r="CG211" i="10" s="1"/>
  <c r="CG201" i="10"/>
  <c r="CG226" i="10" s="1"/>
  <c r="CG200" i="10"/>
  <c r="CG225" i="10" s="1"/>
  <c r="CG243" i="10"/>
  <c r="CG244" i="10"/>
  <c r="CG242" i="10"/>
  <c r="CG247" i="10"/>
  <c r="CG257" i="10" s="1"/>
  <c r="CG267" i="10" s="1"/>
  <c r="CG233" i="10"/>
  <c r="CG234" i="10" s="1"/>
  <c r="CG235" i="10"/>
  <c r="CG236" i="10" s="1"/>
  <c r="CG237" i="10"/>
  <c r="CG238" i="10" s="1"/>
  <c r="CM242" i="10"/>
  <c r="CM244" i="10"/>
  <c r="CM247" i="10"/>
  <c r="CM257" i="10" s="1"/>
  <c r="CM267" i="10" s="1"/>
  <c r="CM243" i="10"/>
  <c r="CM233" i="10"/>
  <c r="CM234" i="10" s="1"/>
  <c r="CM237" i="10"/>
  <c r="CM238" i="10"/>
  <c r="CM235" i="10"/>
  <c r="CM236" i="10" s="1"/>
  <c r="CM186" i="10"/>
  <c r="CM211" i="10" s="1"/>
  <c r="CM179" i="10"/>
  <c r="CM204" i="10" s="1"/>
  <c r="CM192" i="10"/>
  <c r="CM217" i="10" s="1"/>
  <c r="CM188" i="10"/>
  <c r="CM213" i="10" s="1"/>
  <c r="CM178" i="10"/>
  <c r="CM203" i="10" s="1"/>
  <c r="CM196" i="10"/>
  <c r="CM221" i="10" s="1"/>
  <c r="CM195" i="10"/>
  <c r="CM220" i="10" s="1"/>
  <c r="CM190" i="10"/>
  <c r="CM215" i="10" s="1"/>
  <c r="CM183" i="10"/>
  <c r="CM208" i="10" s="1"/>
  <c r="CM177" i="10"/>
  <c r="CM194" i="10"/>
  <c r="CM219" i="10" s="1"/>
  <c r="CM187" i="10"/>
  <c r="CM212" i="10" s="1"/>
  <c r="CM182" i="10"/>
  <c r="CM207" i="10" s="1"/>
  <c r="CM181" i="10"/>
  <c r="CM206" i="10" s="1"/>
  <c r="CM198" i="10"/>
  <c r="CM223" i="10" s="1"/>
  <c r="CM197" i="10"/>
  <c r="CM222" i="10" s="1"/>
  <c r="CM193" i="10"/>
  <c r="CM218" i="10" s="1"/>
  <c r="CM189" i="10"/>
  <c r="CM214" i="10" s="1"/>
  <c r="CM191" i="10"/>
  <c r="CM216" i="10" s="1"/>
  <c r="CM185" i="10"/>
  <c r="CM210" i="10" s="1"/>
  <c r="CM184" i="10"/>
  <c r="CM209" i="10" s="1"/>
  <c r="CM180" i="10"/>
  <c r="CM205" i="10" s="1"/>
  <c r="CM201" i="10"/>
  <c r="CM226" i="10" s="1"/>
  <c r="CM200" i="10"/>
  <c r="CM225" i="10" s="1"/>
  <c r="CM199" i="10"/>
  <c r="CM224" i="10" s="1"/>
  <c r="CR180" i="10"/>
  <c r="CR205" i="10" s="1"/>
  <c r="CR198" i="10"/>
  <c r="CR223" i="10" s="1"/>
  <c r="CR189" i="10"/>
  <c r="CR214" i="10" s="1"/>
  <c r="CR177" i="10"/>
  <c r="CR190" i="10"/>
  <c r="CR215" i="10" s="1"/>
  <c r="CR186" i="10"/>
  <c r="CR211" i="10" s="1"/>
  <c r="CR196" i="10"/>
  <c r="CR221" i="10" s="1"/>
  <c r="CR193" i="10"/>
  <c r="CR218" i="10" s="1"/>
  <c r="CR185" i="10"/>
  <c r="CR210" i="10" s="1"/>
  <c r="CR182" i="10"/>
  <c r="CR207" i="10" s="1"/>
  <c r="CR194" i="10"/>
  <c r="CR219" i="10" s="1"/>
  <c r="CR183" i="10"/>
  <c r="CR208" i="10" s="1"/>
  <c r="CR200" i="10"/>
  <c r="CR225" i="10" s="1"/>
  <c r="CR199" i="10"/>
  <c r="CR224" i="10" s="1"/>
  <c r="CR191" i="10"/>
  <c r="CR216" i="10" s="1"/>
  <c r="CR188" i="10"/>
  <c r="CR213" i="10" s="1"/>
  <c r="CR179" i="10"/>
  <c r="CR204" i="10" s="1"/>
  <c r="CR197" i="10"/>
  <c r="CR222" i="10" s="1"/>
  <c r="CR187" i="10"/>
  <c r="CR212" i="10" s="1"/>
  <c r="CR195" i="10"/>
  <c r="CR220" i="10" s="1"/>
  <c r="CR192" i="10"/>
  <c r="CR217" i="10" s="1"/>
  <c r="CR181" i="10"/>
  <c r="CR206" i="10" s="1"/>
  <c r="CR184" i="10"/>
  <c r="CR209" i="10" s="1"/>
  <c r="CR178" i="10"/>
  <c r="CR203" i="10" s="1"/>
  <c r="CR201" i="10"/>
  <c r="CR226" i="10" s="1"/>
  <c r="CR247" i="10"/>
  <c r="CR257" i="10" s="1"/>
  <c r="CR267" i="10" s="1"/>
  <c r="CR243" i="10"/>
  <c r="CR242" i="10"/>
  <c r="CR244" i="10"/>
  <c r="CR233" i="10"/>
  <c r="CR234" i="10" s="1"/>
  <c r="CR237" i="10"/>
  <c r="CR235" i="10"/>
  <c r="CR236" i="10" s="1"/>
  <c r="CR238" i="10"/>
  <c r="CU242" i="10"/>
  <c r="CU247" i="10"/>
  <c r="CU257" i="10" s="1"/>
  <c r="CU267" i="10" s="1"/>
  <c r="CU243" i="10"/>
  <c r="CU244" i="10"/>
  <c r="CU237" i="10"/>
  <c r="CU235" i="10"/>
  <c r="CU236" i="10" s="1"/>
  <c r="CU233" i="10"/>
  <c r="CU238" i="10"/>
  <c r="CU234" i="10"/>
  <c r="CU197" i="10"/>
  <c r="CU222" i="10" s="1"/>
  <c r="CU193" i="10"/>
  <c r="CU218" i="10" s="1"/>
  <c r="CU187" i="10"/>
  <c r="CU212" i="10" s="1"/>
  <c r="CU189" i="10"/>
  <c r="CU214" i="10" s="1"/>
  <c r="CU181" i="10"/>
  <c r="CU206" i="10" s="1"/>
  <c r="CU190" i="10"/>
  <c r="CU215" i="10" s="1"/>
  <c r="CU194" i="10"/>
  <c r="CU219" i="10" s="1"/>
  <c r="CU183" i="10"/>
  <c r="CU208" i="10" s="1"/>
  <c r="CU179" i="10"/>
  <c r="CU204" i="10" s="1"/>
  <c r="CU195" i="10"/>
  <c r="CU220" i="10" s="1"/>
  <c r="CU185" i="10"/>
  <c r="CU210" i="10" s="1"/>
  <c r="CU180" i="10"/>
  <c r="CU205" i="10" s="1"/>
  <c r="CU177" i="10"/>
  <c r="CU201" i="10"/>
  <c r="CU226" i="10" s="1"/>
  <c r="CU200" i="10"/>
  <c r="CU225" i="10" s="1"/>
  <c r="CU199" i="10"/>
  <c r="CU224" i="10" s="1"/>
  <c r="CU196" i="10"/>
  <c r="CU221" i="10" s="1"/>
  <c r="CU192" i="10"/>
  <c r="CU217" i="10" s="1"/>
  <c r="CU186" i="10"/>
  <c r="CU211" i="10" s="1"/>
  <c r="CU184" i="10"/>
  <c r="CU209" i="10" s="1"/>
  <c r="CU191" i="10"/>
  <c r="CU216" i="10" s="1"/>
  <c r="CU188" i="10"/>
  <c r="CU213" i="10" s="1"/>
  <c r="CU182" i="10"/>
  <c r="CU207" i="10" s="1"/>
  <c r="CU178" i="10"/>
  <c r="CU203" i="10" s="1"/>
  <c r="CU198" i="10"/>
  <c r="CU223" i="10" s="1"/>
  <c r="CW183" i="10"/>
  <c r="CW208" i="10" s="1"/>
  <c r="CW178" i="10"/>
  <c r="CW203" i="10" s="1"/>
  <c r="CW197" i="10"/>
  <c r="CW222" i="10" s="1"/>
  <c r="CW196" i="10"/>
  <c r="CW221" i="10" s="1"/>
  <c r="CW195" i="10"/>
  <c r="CW220" i="10" s="1"/>
  <c r="CW194" i="10"/>
  <c r="CW219" i="10" s="1"/>
  <c r="CW190" i="10"/>
  <c r="CW215" i="10" s="1"/>
  <c r="CW192" i="10"/>
  <c r="CW217" i="10" s="1"/>
  <c r="CW181" i="10"/>
  <c r="CW206" i="10" s="1"/>
  <c r="CW180" i="10"/>
  <c r="CW205" i="10" s="1"/>
  <c r="CW179" i="10"/>
  <c r="CW204" i="10" s="1"/>
  <c r="CW191" i="10"/>
  <c r="CW216" i="10" s="1"/>
  <c r="CW188" i="10"/>
  <c r="CW213" i="10" s="1"/>
  <c r="CW184" i="10"/>
  <c r="CW209" i="10" s="1"/>
  <c r="CW198" i="10"/>
  <c r="CW223" i="10" s="1"/>
  <c r="CW189" i="10"/>
  <c r="CW214" i="10" s="1"/>
  <c r="CW187" i="10"/>
  <c r="CW212" i="10" s="1"/>
  <c r="CW182" i="10"/>
  <c r="CW207" i="10" s="1"/>
  <c r="CW193" i="10"/>
  <c r="CW218" i="10" s="1"/>
  <c r="CW186" i="10"/>
  <c r="CW211" i="10" s="1"/>
  <c r="CW185" i="10"/>
  <c r="CW210" i="10" s="1"/>
  <c r="CW177" i="10"/>
  <c r="CW201" i="10"/>
  <c r="CW226" i="10" s="1"/>
  <c r="CW200" i="10"/>
  <c r="CW225" i="10" s="1"/>
  <c r="CW199" i="10"/>
  <c r="CW224" i="10" s="1"/>
  <c r="CW242" i="10"/>
  <c r="CW247" i="10"/>
  <c r="CW257" i="10" s="1"/>
  <c r="CW267" i="10" s="1"/>
  <c r="CW244" i="10"/>
  <c r="CW243" i="10"/>
  <c r="CW237" i="10"/>
  <c r="CW238" i="10" s="1"/>
  <c r="CW233" i="10"/>
  <c r="CW234" i="10" s="1"/>
  <c r="CW235" i="10"/>
  <c r="CW236" i="10" s="1"/>
  <c r="DB244" i="10"/>
  <c r="DB243" i="10"/>
  <c r="DB247" i="10"/>
  <c r="DB257" i="10" s="1"/>
  <c r="DB267" i="10" s="1"/>
  <c r="DB242" i="10"/>
  <c r="DB235" i="10"/>
  <c r="DB236" i="10" s="1"/>
  <c r="DB233" i="10"/>
  <c r="DB234" i="10" s="1"/>
  <c r="DB237" i="10"/>
  <c r="DB238" i="10" s="1"/>
  <c r="DB196" i="10"/>
  <c r="DB221" i="10" s="1"/>
  <c r="DB192" i="10"/>
  <c r="DB217" i="10" s="1"/>
  <c r="DB190" i="10"/>
  <c r="DB215" i="10" s="1"/>
  <c r="DB181" i="10"/>
  <c r="DB206" i="10" s="1"/>
  <c r="DB179" i="10"/>
  <c r="DB204" i="10" s="1"/>
  <c r="DB178" i="10"/>
  <c r="DB203" i="10" s="1"/>
  <c r="DB194" i="10"/>
  <c r="DB219" i="10" s="1"/>
  <c r="DB193" i="10"/>
  <c r="DB218" i="10" s="1"/>
  <c r="DB189" i="10"/>
  <c r="DB214" i="10" s="1"/>
  <c r="DB180" i="10"/>
  <c r="DB205" i="10" s="1"/>
  <c r="DB177" i="10"/>
  <c r="DB198" i="10"/>
  <c r="DB223" i="10" s="1"/>
  <c r="DB184" i="10"/>
  <c r="DB209" i="10" s="1"/>
  <c r="DB182" i="10"/>
  <c r="DB207" i="10" s="1"/>
  <c r="DB197" i="10"/>
  <c r="DB222" i="10" s="1"/>
  <c r="DB195" i="10"/>
  <c r="DB220" i="10" s="1"/>
  <c r="DB188" i="10"/>
  <c r="DB213" i="10" s="1"/>
  <c r="DB191" i="10"/>
  <c r="DB216" i="10" s="1"/>
  <c r="DB187" i="10"/>
  <c r="DB212" i="10" s="1"/>
  <c r="DB186" i="10"/>
  <c r="DB211" i="10" s="1"/>
  <c r="DB185" i="10"/>
  <c r="DB210" i="10" s="1"/>
  <c r="DB183" i="10"/>
  <c r="DB208" i="10" s="1"/>
  <c r="DB201" i="10"/>
  <c r="DB226" i="10" s="1"/>
  <c r="DB200" i="10"/>
  <c r="DB225" i="10" s="1"/>
  <c r="DB199" i="10"/>
  <c r="DB224" i="10" s="1"/>
  <c r="DH233" i="10"/>
  <c r="DH234" i="10" s="1"/>
  <c r="DH235" i="10"/>
  <c r="DH236" i="10" s="1"/>
  <c r="DH237" i="10"/>
  <c r="DH238" i="10" s="1"/>
  <c r="DH177" i="10"/>
  <c r="DH194" i="10"/>
  <c r="DH219" i="10" s="1"/>
  <c r="DH198" i="10"/>
  <c r="DH223" i="10" s="1"/>
  <c r="DH196" i="10"/>
  <c r="DH221" i="10" s="1"/>
  <c r="DH191" i="10"/>
  <c r="DH216" i="10" s="1"/>
  <c r="DH189" i="10"/>
  <c r="DH214" i="10" s="1"/>
  <c r="DH185" i="10"/>
  <c r="DH210" i="10" s="1"/>
  <c r="DH183" i="10"/>
  <c r="DH208" i="10" s="1"/>
  <c r="DH182" i="10"/>
  <c r="DH207" i="10" s="1"/>
  <c r="DH180" i="10"/>
  <c r="DH205" i="10" s="1"/>
  <c r="DH179" i="10"/>
  <c r="DH204" i="10" s="1"/>
  <c r="DH178" i="10"/>
  <c r="DH203" i="10" s="1"/>
  <c r="DH195" i="10"/>
  <c r="DH220" i="10" s="1"/>
  <c r="DH192" i="10"/>
  <c r="DH217" i="10" s="1"/>
  <c r="DH188" i="10"/>
  <c r="DH213" i="10" s="1"/>
  <c r="DH186" i="10"/>
  <c r="DH211" i="10" s="1"/>
  <c r="DH184" i="10"/>
  <c r="DH209" i="10" s="1"/>
  <c r="DH197" i="10"/>
  <c r="DH222" i="10" s="1"/>
  <c r="DH193" i="10"/>
  <c r="DH218" i="10" s="1"/>
  <c r="DH181" i="10"/>
  <c r="DH206" i="10" s="1"/>
  <c r="DH190" i="10"/>
  <c r="DH215" i="10" s="1"/>
  <c r="DH187" i="10"/>
  <c r="DH212" i="10" s="1"/>
  <c r="DH201" i="10"/>
  <c r="DH226" i="10" s="1"/>
  <c r="DH200" i="10"/>
  <c r="DH225" i="10" s="1"/>
  <c r="DH199" i="10"/>
  <c r="DH224" i="10" s="1"/>
  <c r="DK243" i="10"/>
  <c r="DK242" i="10"/>
  <c r="DK247" i="10"/>
  <c r="DK257" i="10" s="1"/>
  <c r="DK244" i="10"/>
  <c r="DK233" i="10"/>
  <c r="DK234" i="10"/>
  <c r="DK235" i="10"/>
  <c r="DK236" i="10" s="1"/>
  <c r="DK237" i="10"/>
  <c r="DK238" i="10" s="1"/>
  <c r="DK182" i="10"/>
  <c r="DK207" i="10" s="1"/>
  <c r="DK197" i="10"/>
  <c r="DK222" i="10" s="1"/>
  <c r="DK193" i="10"/>
  <c r="DK218" i="10" s="1"/>
  <c r="DK191" i="10"/>
  <c r="DK216" i="10" s="1"/>
  <c r="DK189" i="10"/>
  <c r="DK214" i="10" s="1"/>
  <c r="DK181" i="10"/>
  <c r="DK206" i="10" s="1"/>
  <c r="DK179" i="10"/>
  <c r="DK204" i="10" s="1"/>
  <c r="DK178" i="10"/>
  <c r="DK203" i="10" s="1"/>
  <c r="DK187" i="10"/>
  <c r="DK212" i="10" s="1"/>
  <c r="DK198" i="10"/>
  <c r="DK223" i="10" s="1"/>
  <c r="DK195" i="10"/>
  <c r="DK220" i="10" s="1"/>
  <c r="DK188" i="10"/>
  <c r="DK213" i="10" s="1"/>
  <c r="DK184" i="10"/>
  <c r="DK209" i="10" s="1"/>
  <c r="DK180" i="10"/>
  <c r="DK205" i="10" s="1"/>
  <c r="DK196" i="10"/>
  <c r="DK221" i="10" s="1"/>
  <c r="DK194" i="10"/>
  <c r="DK219" i="10" s="1"/>
  <c r="DK192" i="10"/>
  <c r="DK217" i="10" s="1"/>
  <c r="DK177" i="10"/>
  <c r="DK190" i="10"/>
  <c r="DK215" i="10" s="1"/>
  <c r="DK186" i="10"/>
  <c r="DK211" i="10" s="1"/>
  <c r="DK185" i="10"/>
  <c r="DK210" i="10" s="1"/>
  <c r="DK183" i="10"/>
  <c r="DK208" i="10" s="1"/>
  <c r="DK201" i="10"/>
  <c r="DK226" i="10" s="1"/>
  <c r="DK200" i="10"/>
  <c r="DK225" i="10" s="1"/>
  <c r="DK199" i="10"/>
  <c r="DK224" i="10" s="1"/>
  <c r="DQ244" i="10"/>
  <c r="DQ242" i="10"/>
  <c r="DQ247" i="10"/>
  <c r="DQ257" i="10" s="1"/>
  <c r="DQ267" i="10" s="1"/>
  <c r="DQ243" i="10"/>
  <c r="DQ235" i="10"/>
  <c r="DQ236" i="10" s="1"/>
  <c r="DQ237" i="10"/>
  <c r="DQ238" i="10" s="1"/>
  <c r="DQ233" i="10"/>
  <c r="DQ234" i="10" s="1"/>
  <c r="DQ183" i="10"/>
  <c r="DQ208" i="10" s="1"/>
  <c r="DQ178" i="10"/>
  <c r="DQ203" i="10" s="1"/>
  <c r="DQ195" i="10"/>
  <c r="DQ220" i="10" s="1"/>
  <c r="DQ194" i="10"/>
  <c r="DQ219" i="10" s="1"/>
  <c r="DQ193" i="10"/>
  <c r="DQ218" i="10" s="1"/>
  <c r="DQ191" i="10"/>
  <c r="DQ216" i="10" s="1"/>
  <c r="DQ189" i="10"/>
  <c r="DQ214" i="10" s="1"/>
  <c r="DQ186" i="10"/>
  <c r="DQ211" i="10" s="1"/>
  <c r="DQ181" i="10"/>
  <c r="DQ206" i="10" s="1"/>
  <c r="DQ179" i="10"/>
  <c r="DQ204" i="10" s="1"/>
  <c r="DQ197" i="10"/>
  <c r="DQ222" i="10" s="1"/>
  <c r="DQ196" i="10"/>
  <c r="DQ221" i="10" s="1"/>
  <c r="DQ185" i="10"/>
  <c r="DQ210" i="10" s="1"/>
  <c r="DQ177" i="10"/>
  <c r="DQ198" i="10"/>
  <c r="DQ223" i="10" s="1"/>
  <c r="DQ192" i="10"/>
  <c r="DQ217" i="10" s="1"/>
  <c r="DQ188" i="10"/>
  <c r="DQ213" i="10" s="1"/>
  <c r="DQ184" i="10"/>
  <c r="DQ209" i="10" s="1"/>
  <c r="DQ182" i="10"/>
  <c r="DQ207" i="10" s="1"/>
  <c r="DQ190" i="10"/>
  <c r="DQ215" i="10" s="1"/>
  <c r="DQ187" i="10"/>
  <c r="DQ212" i="10" s="1"/>
  <c r="DQ180" i="10"/>
  <c r="DQ205" i="10" s="1"/>
  <c r="DQ201" i="10"/>
  <c r="DQ226" i="10" s="1"/>
  <c r="DQ200" i="10"/>
  <c r="DQ225" i="10" s="1"/>
  <c r="DQ199" i="10"/>
  <c r="DQ224" i="10" s="1"/>
  <c r="DS235" i="10"/>
  <c r="DS236" i="10" s="1"/>
  <c r="DS237" i="10"/>
  <c r="DS238" i="10" s="1"/>
  <c r="DS233" i="10"/>
  <c r="DS234" i="10" s="1"/>
  <c r="DS185" i="10"/>
  <c r="DS210" i="10" s="1"/>
  <c r="DS184" i="10"/>
  <c r="DS209" i="10" s="1"/>
  <c r="DS181" i="10"/>
  <c r="DS206" i="10" s="1"/>
  <c r="DS197" i="10"/>
  <c r="DS222" i="10" s="1"/>
  <c r="DS196" i="10"/>
  <c r="DS221" i="10" s="1"/>
  <c r="DS195" i="10"/>
  <c r="DS220" i="10" s="1"/>
  <c r="DS194" i="10"/>
  <c r="DS219" i="10" s="1"/>
  <c r="DS190" i="10"/>
  <c r="DS215" i="10" s="1"/>
  <c r="DS179" i="10"/>
  <c r="DS204" i="10" s="1"/>
  <c r="DS178" i="10"/>
  <c r="DS203" i="10" s="1"/>
  <c r="DS192" i="10"/>
  <c r="DS217" i="10" s="1"/>
  <c r="DS188" i="10"/>
  <c r="DS213" i="10" s="1"/>
  <c r="DS187" i="10"/>
  <c r="DS212" i="10" s="1"/>
  <c r="DS182" i="10"/>
  <c r="DS207" i="10" s="1"/>
  <c r="DS177" i="10"/>
  <c r="DS191" i="10"/>
  <c r="DS216" i="10" s="1"/>
  <c r="DS186" i="10"/>
  <c r="DS211" i="10" s="1"/>
  <c r="DS198" i="10"/>
  <c r="DS223" i="10" s="1"/>
  <c r="DS189" i="10"/>
  <c r="DS214" i="10" s="1"/>
  <c r="DS193" i="10"/>
  <c r="DS218" i="10" s="1"/>
  <c r="DS183" i="10"/>
  <c r="DS208" i="10" s="1"/>
  <c r="DS180" i="10"/>
  <c r="DS205" i="10" s="1"/>
  <c r="DS201" i="10"/>
  <c r="DS226" i="10" s="1"/>
  <c r="DS200" i="10"/>
  <c r="DS225" i="10" s="1"/>
  <c r="DS199" i="10"/>
  <c r="DS224" i="10" s="1"/>
  <c r="DV181" i="10"/>
  <c r="DV179" i="10"/>
  <c r="DV196" i="10"/>
  <c r="DV195" i="10"/>
  <c r="DV194" i="10"/>
  <c r="DV182" i="10"/>
  <c r="DV193" i="10"/>
  <c r="DV192" i="10"/>
  <c r="DV185" i="10"/>
  <c r="DV197" i="10"/>
  <c r="DV188" i="10"/>
  <c r="DV187" i="10"/>
  <c r="DV186" i="10"/>
  <c r="DV184" i="10"/>
  <c r="DV190" i="10"/>
  <c r="DV189" i="10"/>
  <c r="DV178" i="10"/>
  <c r="DV177" i="10"/>
  <c r="DV198" i="10"/>
  <c r="DV191" i="10"/>
  <c r="DV183" i="10"/>
  <c r="DV180" i="10"/>
  <c r="DV201" i="10"/>
  <c r="DV200" i="10"/>
  <c r="DV199" i="10"/>
  <c r="DV247" i="10"/>
  <c r="DV257" i="10" s="1"/>
  <c r="DV243" i="10"/>
  <c r="DV244" i="10"/>
  <c r="DV242" i="10"/>
  <c r="DV235" i="10"/>
  <c r="DV236" i="10"/>
  <c r="DV233" i="10"/>
  <c r="DV234" i="10" s="1"/>
  <c r="DV237" i="10"/>
  <c r="DV238" i="10" s="1"/>
  <c r="EA191" i="10"/>
  <c r="EA216" i="10" s="1"/>
  <c r="EA184" i="10"/>
  <c r="EA209" i="10" s="1"/>
  <c r="EA177" i="10"/>
  <c r="EA179" i="10"/>
  <c r="EA204" i="10" s="1"/>
  <c r="EA193" i="10"/>
  <c r="EA218" i="10" s="1"/>
  <c r="EA188" i="10"/>
  <c r="EA213" i="10" s="1"/>
  <c r="EA201" i="10"/>
  <c r="EA226" i="10" s="1"/>
  <c r="EA189" i="10"/>
  <c r="EA214" i="10" s="1"/>
  <c r="EA194" i="10"/>
  <c r="EA219" i="10" s="1"/>
  <c r="EA197" i="10"/>
  <c r="EA222" i="10" s="1"/>
  <c r="EA198" i="10"/>
  <c r="EA223" i="10" s="1"/>
  <c r="EA187" i="10"/>
  <c r="EA212" i="10" s="1"/>
  <c r="EA181" i="10"/>
  <c r="EA206" i="10" s="1"/>
  <c r="EA185" i="10"/>
  <c r="EA210" i="10" s="1"/>
  <c r="EA180" i="10"/>
  <c r="EA205" i="10" s="1"/>
  <c r="EA190" i="10"/>
  <c r="EA215" i="10" s="1"/>
  <c r="EA182" i="10"/>
  <c r="EA207" i="10" s="1"/>
  <c r="EA183" i="10"/>
  <c r="EA208" i="10" s="1"/>
  <c r="EA192" i="10"/>
  <c r="EA217" i="10" s="1"/>
  <c r="EA199" i="10"/>
  <c r="EA224" i="10" s="1"/>
  <c r="EA178" i="10"/>
  <c r="EA203" i="10" s="1"/>
  <c r="EA186" i="10"/>
  <c r="EA211" i="10" s="1"/>
  <c r="EA195" i="10"/>
  <c r="EA220" i="10" s="1"/>
  <c r="EA196" i="10"/>
  <c r="EA221" i="10" s="1"/>
  <c r="EA200" i="10"/>
  <c r="EA225" i="10" s="1"/>
  <c r="EA244" i="10"/>
  <c r="EA242" i="10"/>
  <c r="EA243" i="10"/>
  <c r="EA247" i="10"/>
  <c r="EA257" i="10" s="1"/>
  <c r="EA235" i="10"/>
  <c r="EA236" i="10" s="1"/>
  <c r="EA233" i="10"/>
  <c r="EA234" i="10" s="1"/>
  <c r="EA237" i="10"/>
  <c r="EA238" i="10" s="1"/>
  <c r="EG235" i="10"/>
  <c r="EG236" i="10" s="1"/>
  <c r="EG237" i="10"/>
  <c r="EG238" i="10" s="1"/>
  <c r="EG233" i="10"/>
  <c r="EG234" i="10" s="1"/>
  <c r="EG178" i="10"/>
  <c r="EG203" i="10" s="1"/>
  <c r="EG191" i="10"/>
  <c r="EG216" i="10" s="1"/>
  <c r="EG195" i="10"/>
  <c r="EG220" i="10" s="1"/>
  <c r="EG184" i="10"/>
  <c r="EG209" i="10" s="1"/>
  <c r="EG179" i="10"/>
  <c r="EG204" i="10" s="1"/>
  <c r="EG201" i="10"/>
  <c r="EG226" i="10" s="1"/>
  <c r="EG198" i="10"/>
  <c r="EG223" i="10" s="1"/>
  <c r="EG185" i="10"/>
  <c r="EG210" i="10" s="1"/>
  <c r="EG189" i="10"/>
  <c r="EG214" i="10" s="1"/>
  <c r="EG183" i="10"/>
  <c r="EG208" i="10" s="1"/>
  <c r="EG177" i="10"/>
  <c r="EG182" i="10"/>
  <c r="EG207" i="10" s="1"/>
  <c r="EG192" i="10"/>
  <c r="EG217" i="10" s="1"/>
  <c r="EG197" i="10"/>
  <c r="EG222" i="10" s="1"/>
  <c r="EG186" i="10"/>
  <c r="EG211" i="10" s="1"/>
  <c r="EG181" i="10"/>
  <c r="EG206" i="10" s="1"/>
  <c r="EG194" i="10"/>
  <c r="EG219" i="10" s="1"/>
  <c r="EG200" i="10"/>
  <c r="EG225" i="10" s="1"/>
  <c r="EG196" i="10"/>
  <c r="EG221" i="10" s="1"/>
  <c r="EG193" i="10"/>
  <c r="EG218" i="10" s="1"/>
  <c r="EG188" i="10"/>
  <c r="EG213" i="10" s="1"/>
  <c r="EG190" i="10"/>
  <c r="EG215" i="10" s="1"/>
  <c r="EG199" i="10"/>
  <c r="EG224" i="10" s="1"/>
  <c r="EG180" i="10"/>
  <c r="EG205" i="10" s="1"/>
  <c r="EG187" i="10"/>
  <c r="EG212" i="10" s="1"/>
  <c r="EL247" i="10"/>
  <c r="EL257" i="10" s="1"/>
  <c r="EL244" i="10"/>
  <c r="EL243" i="10"/>
  <c r="EL242" i="10"/>
  <c r="EL235" i="10"/>
  <c r="EL236" i="10" s="1"/>
  <c r="EL237" i="10"/>
  <c r="EL238" i="10" s="1"/>
  <c r="EL233" i="10"/>
  <c r="EL234" i="10" s="1"/>
  <c r="EL185" i="10"/>
  <c r="EL210" i="10" s="1"/>
  <c r="EL180" i="10"/>
  <c r="EL205" i="10" s="1"/>
  <c r="EL198" i="10"/>
  <c r="EL223" i="10" s="1"/>
  <c r="EL197" i="10"/>
  <c r="EL222" i="10" s="1"/>
  <c r="EL193" i="10"/>
  <c r="EL218" i="10" s="1"/>
  <c r="EL191" i="10"/>
  <c r="EL216" i="10" s="1"/>
  <c r="EL186" i="10"/>
  <c r="EL211" i="10" s="1"/>
  <c r="EL183" i="10"/>
  <c r="EL208" i="10" s="1"/>
  <c r="EL196" i="10"/>
  <c r="EL221" i="10" s="1"/>
  <c r="EL195" i="10"/>
  <c r="EL220" i="10" s="1"/>
  <c r="EL194" i="10"/>
  <c r="EL219" i="10" s="1"/>
  <c r="EL189" i="10"/>
  <c r="EL214" i="10" s="1"/>
  <c r="EL187" i="10"/>
  <c r="EL212" i="10" s="1"/>
  <c r="EL182" i="10"/>
  <c r="EL207" i="10" s="1"/>
  <c r="EL179" i="10"/>
  <c r="EL204" i="10" s="1"/>
  <c r="EL188" i="10"/>
  <c r="EL213" i="10" s="1"/>
  <c r="EL184" i="10"/>
  <c r="EL209" i="10" s="1"/>
  <c r="EL181" i="10"/>
  <c r="EL206" i="10" s="1"/>
  <c r="EL190" i="10"/>
  <c r="EL215" i="10" s="1"/>
  <c r="EL178" i="10"/>
  <c r="EL203" i="10" s="1"/>
  <c r="EL192" i="10"/>
  <c r="EL217" i="10" s="1"/>
  <c r="EL177" i="10"/>
  <c r="EL201" i="10"/>
  <c r="EL226" i="10" s="1"/>
  <c r="EL200" i="10"/>
  <c r="EL225" i="10" s="1"/>
  <c r="EL199" i="10"/>
  <c r="EL224" i="10" s="1"/>
  <c r="EP178" i="10"/>
  <c r="EP203" i="10" s="1"/>
  <c r="EP196" i="10"/>
  <c r="EP221" i="10" s="1"/>
  <c r="EP195" i="10"/>
  <c r="EP220" i="10" s="1"/>
  <c r="EP189" i="10"/>
  <c r="EP214" i="10" s="1"/>
  <c r="EP185" i="10"/>
  <c r="EP210" i="10" s="1"/>
  <c r="EP183" i="10"/>
  <c r="EP208" i="10" s="1"/>
  <c r="EP193" i="10"/>
  <c r="EP218" i="10" s="1"/>
  <c r="EP187" i="10"/>
  <c r="EP212" i="10" s="1"/>
  <c r="EP182" i="10"/>
  <c r="EP207" i="10" s="1"/>
  <c r="EP198" i="10"/>
  <c r="EP223" i="10" s="1"/>
  <c r="EP186" i="10"/>
  <c r="EP211" i="10" s="1"/>
  <c r="EP184" i="10"/>
  <c r="EP209" i="10" s="1"/>
  <c r="EP181" i="10"/>
  <c r="EP206" i="10" s="1"/>
  <c r="EP180" i="10"/>
  <c r="EP205" i="10" s="1"/>
  <c r="EP197" i="10"/>
  <c r="EP222" i="10" s="1"/>
  <c r="EP191" i="10"/>
  <c r="EP216" i="10" s="1"/>
  <c r="EP190" i="10"/>
  <c r="EP215" i="10" s="1"/>
  <c r="EP188" i="10"/>
  <c r="EP213" i="10" s="1"/>
  <c r="EP194" i="10"/>
  <c r="EP219" i="10" s="1"/>
  <c r="EP192" i="10"/>
  <c r="EP217" i="10" s="1"/>
  <c r="EP179" i="10"/>
  <c r="EP204" i="10" s="1"/>
  <c r="EP177" i="10"/>
  <c r="EP201" i="10"/>
  <c r="EP226" i="10" s="1"/>
  <c r="EP200" i="10"/>
  <c r="EP225" i="10" s="1"/>
  <c r="EP199" i="10"/>
  <c r="EP224" i="10" s="1"/>
  <c r="EP244" i="10"/>
  <c r="EP247" i="10"/>
  <c r="EP257" i="10" s="1"/>
  <c r="EP243" i="10"/>
  <c r="EP242" i="10"/>
  <c r="EP233" i="10"/>
  <c r="EP234" i="10" s="1"/>
  <c r="EP237" i="10"/>
  <c r="EP238" i="10" s="1"/>
  <c r="EP235" i="10"/>
  <c r="EP236" i="10" s="1"/>
  <c r="ES180" i="10"/>
  <c r="ES205" i="10" s="1"/>
  <c r="ES186" i="10"/>
  <c r="ES211" i="10" s="1"/>
  <c r="ES195" i="10"/>
  <c r="ES220" i="10" s="1"/>
  <c r="ES187" i="10"/>
  <c r="ES212" i="10" s="1"/>
  <c r="ES181" i="10"/>
  <c r="ES206" i="10" s="1"/>
  <c r="ES196" i="10"/>
  <c r="ES221" i="10" s="1"/>
  <c r="ES189" i="10"/>
  <c r="ES214" i="10" s="1"/>
  <c r="ES185" i="10"/>
  <c r="ES210" i="10" s="1"/>
  <c r="ES182" i="10"/>
  <c r="ES207" i="10" s="1"/>
  <c r="ES191" i="10"/>
  <c r="ES216" i="10" s="1"/>
  <c r="ES194" i="10"/>
  <c r="ES219" i="10" s="1"/>
  <c r="ES193" i="10"/>
  <c r="ES218" i="10" s="1"/>
  <c r="ES178" i="10"/>
  <c r="ES203" i="10" s="1"/>
  <c r="ES184" i="10"/>
  <c r="ES209" i="10" s="1"/>
  <c r="ES179" i="10"/>
  <c r="ES204" i="10" s="1"/>
  <c r="ES198" i="10"/>
  <c r="ES223" i="10" s="1"/>
  <c r="ES190" i="10"/>
  <c r="ES215" i="10" s="1"/>
  <c r="ES188" i="10"/>
  <c r="ES213" i="10" s="1"/>
  <c r="ES183" i="10"/>
  <c r="ES208" i="10" s="1"/>
  <c r="ES197" i="10"/>
  <c r="ES222" i="10" s="1"/>
  <c r="ES192" i="10"/>
  <c r="ES217" i="10" s="1"/>
  <c r="ES177" i="10"/>
  <c r="ES201" i="10"/>
  <c r="ES226" i="10" s="1"/>
  <c r="ES200" i="10"/>
  <c r="ES225" i="10" s="1"/>
  <c r="ES199" i="10"/>
  <c r="ES224" i="10" s="1"/>
  <c r="ES244" i="10"/>
  <c r="ES242" i="10"/>
  <c r="ES243" i="10"/>
  <c r="ES247" i="10"/>
  <c r="ES257" i="10" s="1"/>
  <c r="ES235" i="10"/>
  <c r="ES236" i="10" s="1"/>
  <c r="ES237" i="10"/>
  <c r="ES238" i="10" s="1"/>
  <c r="ES233" i="10"/>
  <c r="ES234" i="10" s="1"/>
  <c r="G244" i="10"/>
  <c r="G243" i="10"/>
  <c r="G247" i="10"/>
  <c r="G257" i="10" s="1"/>
  <c r="G267" i="10" s="1"/>
  <c r="G242" i="10"/>
  <c r="G233" i="10"/>
  <c r="G234" i="10" s="1"/>
  <c r="G235" i="10"/>
  <c r="G236" i="10" s="1"/>
  <c r="G237" i="10"/>
  <c r="G238" i="10" s="1"/>
  <c r="G186" i="10"/>
  <c r="G211" i="10" s="1"/>
  <c r="G182" i="10"/>
  <c r="G207" i="10" s="1"/>
  <c r="G197" i="10"/>
  <c r="G222" i="10" s="1"/>
  <c r="G194" i="10"/>
  <c r="G219" i="10" s="1"/>
  <c r="G187" i="10"/>
  <c r="G212" i="10" s="1"/>
  <c r="G177" i="10"/>
  <c r="G198" i="10"/>
  <c r="G223" i="10" s="1"/>
  <c r="G188" i="10"/>
  <c r="G213" i="10" s="1"/>
  <c r="G178" i="10"/>
  <c r="G203" i="10" s="1"/>
  <c r="G195" i="10"/>
  <c r="G220" i="10" s="1"/>
  <c r="G190" i="10"/>
  <c r="G215" i="10" s="1"/>
  <c r="G185" i="10"/>
  <c r="G210" i="10" s="1"/>
  <c r="G183" i="10"/>
  <c r="G208" i="10" s="1"/>
  <c r="G181" i="10"/>
  <c r="G206" i="10" s="1"/>
  <c r="G199" i="10"/>
  <c r="G224" i="10" s="1"/>
  <c r="G196" i="10"/>
  <c r="G221" i="10" s="1"/>
  <c r="G192" i="10"/>
  <c r="G217" i="10" s="1"/>
  <c r="G189" i="10"/>
  <c r="G214" i="10" s="1"/>
  <c r="G193" i="10"/>
  <c r="G218" i="10" s="1"/>
  <c r="G191" i="10"/>
  <c r="G216" i="10" s="1"/>
  <c r="G184" i="10"/>
  <c r="G209" i="10" s="1"/>
  <c r="G180" i="10"/>
  <c r="G205" i="10" s="1"/>
  <c r="G179" i="10"/>
  <c r="G204" i="10" s="1"/>
  <c r="G201" i="10"/>
  <c r="G226" i="10" s="1"/>
  <c r="G200" i="10"/>
  <c r="G225" i="10" s="1"/>
  <c r="I242" i="10"/>
  <c r="I244" i="10"/>
  <c r="I247" i="10"/>
  <c r="I257" i="10" s="1"/>
  <c r="I267" i="10" s="1"/>
  <c r="I243" i="10"/>
  <c r="I235" i="10"/>
  <c r="I236" i="10" s="1"/>
  <c r="I233" i="10"/>
  <c r="I234" i="10"/>
  <c r="I237" i="10"/>
  <c r="I238" i="10" s="1"/>
  <c r="I184" i="10"/>
  <c r="I209" i="10" s="1"/>
  <c r="I198" i="10"/>
  <c r="I223" i="10" s="1"/>
  <c r="I190" i="10"/>
  <c r="I215" i="10" s="1"/>
  <c r="I183" i="10"/>
  <c r="I208" i="10" s="1"/>
  <c r="I182" i="10"/>
  <c r="I207" i="10" s="1"/>
  <c r="I196" i="10"/>
  <c r="I221" i="10" s="1"/>
  <c r="I195" i="10"/>
  <c r="I220" i="10" s="1"/>
  <c r="I194" i="10"/>
  <c r="I219" i="10" s="1"/>
  <c r="I189" i="10"/>
  <c r="I214" i="10" s="1"/>
  <c r="I185" i="10"/>
  <c r="I210" i="10" s="1"/>
  <c r="I178" i="10"/>
  <c r="I203" i="10" s="1"/>
  <c r="I192" i="10"/>
  <c r="I217" i="10" s="1"/>
  <c r="I191" i="10"/>
  <c r="I216" i="10" s="1"/>
  <c r="I188" i="10"/>
  <c r="I213" i="10" s="1"/>
  <c r="I186" i="10"/>
  <c r="I211" i="10" s="1"/>
  <c r="I179" i="10"/>
  <c r="I204" i="10" s="1"/>
  <c r="I197" i="10"/>
  <c r="I222" i="10" s="1"/>
  <c r="I193" i="10"/>
  <c r="I218" i="10" s="1"/>
  <c r="I199" i="10"/>
  <c r="I224" i="10" s="1"/>
  <c r="I187" i="10"/>
  <c r="I212" i="10" s="1"/>
  <c r="I181" i="10"/>
  <c r="I206" i="10" s="1"/>
  <c r="I180" i="10"/>
  <c r="I205" i="10" s="1"/>
  <c r="I177" i="10"/>
  <c r="I201" i="10"/>
  <c r="I226" i="10" s="1"/>
  <c r="I200" i="10"/>
  <c r="I225" i="10" s="1"/>
  <c r="N187" i="10"/>
  <c r="N212" i="10" s="1"/>
  <c r="N199" i="10"/>
  <c r="N224" i="10" s="1"/>
  <c r="N183" i="10"/>
  <c r="N208" i="10" s="1"/>
  <c r="N179" i="10"/>
  <c r="N204" i="10" s="1"/>
  <c r="N198" i="10"/>
  <c r="N223" i="10" s="1"/>
  <c r="N194" i="10"/>
  <c r="N219" i="10" s="1"/>
  <c r="N188" i="10"/>
  <c r="N213" i="10" s="1"/>
  <c r="N186" i="10"/>
  <c r="N211" i="10" s="1"/>
  <c r="N185" i="10"/>
  <c r="N210" i="10" s="1"/>
  <c r="N181" i="10"/>
  <c r="N206" i="10" s="1"/>
  <c r="N177" i="10"/>
  <c r="N197" i="10"/>
  <c r="N222" i="10" s="1"/>
  <c r="N196" i="10"/>
  <c r="N221" i="10" s="1"/>
  <c r="N190" i="10"/>
  <c r="N215" i="10" s="1"/>
  <c r="N189" i="10"/>
  <c r="N214" i="10" s="1"/>
  <c r="N184" i="10"/>
  <c r="N209" i="10" s="1"/>
  <c r="N182" i="10"/>
  <c r="N207" i="10" s="1"/>
  <c r="N195" i="10"/>
  <c r="N220" i="10" s="1"/>
  <c r="N193" i="10"/>
  <c r="N218" i="10" s="1"/>
  <c r="N192" i="10"/>
  <c r="N217" i="10" s="1"/>
  <c r="N191" i="10"/>
  <c r="N216" i="10" s="1"/>
  <c r="N180" i="10"/>
  <c r="N205" i="10" s="1"/>
  <c r="N178" i="10"/>
  <c r="N203" i="10" s="1"/>
  <c r="N201" i="10"/>
  <c r="N226" i="10" s="1"/>
  <c r="N200" i="10"/>
  <c r="N225" i="10" s="1"/>
  <c r="N243" i="10"/>
  <c r="N247" i="10"/>
  <c r="N257" i="10" s="1"/>
  <c r="N267" i="10" s="1"/>
  <c r="N242" i="10"/>
  <c r="N244" i="10"/>
  <c r="N233" i="10"/>
  <c r="N234" i="10" s="1"/>
  <c r="N237" i="10"/>
  <c r="N238" i="10"/>
  <c r="N235" i="10"/>
  <c r="N236" i="10" s="1"/>
  <c r="U196" i="10"/>
  <c r="U221" i="10" s="1"/>
  <c r="U183" i="10"/>
  <c r="U208" i="10" s="1"/>
  <c r="U180" i="10"/>
  <c r="U205" i="10" s="1"/>
  <c r="U195" i="10"/>
  <c r="U220" i="10" s="1"/>
  <c r="U198" i="10"/>
  <c r="U223" i="10" s="1"/>
  <c r="U194" i="10"/>
  <c r="U219" i="10" s="1"/>
  <c r="U186" i="10"/>
  <c r="U211" i="10" s="1"/>
  <c r="U178" i="10"/>
  <c r="U203" i="10" s="1"/>
  <c r="U193" i="10"/>
  <c r="U218" i="10" s="1"/>
  <c r="U179" i="10"/>
  <c r="U204" i="10" s="1"/>
  <c r="U201" i="10"/>
  <c r="U226" i="10" s="1"/>
  <c r="U185" i="10"/>
  <c r="U210" i="10" s="1"/>
  <c r="U190" i="10"/>
  <c r="U215" i="10" s="1"/>
  <c r="U181" i="10"/>
  <c r="U206" i="10" s="1"/>
  <c r="U192" i="10"/>
  <c r="U217" i="10" s="1"/>
  <c r="U191" i="10"/>
  <c r="U216" i="10" s="1"/>
  <c r="U184" i="10"/>
  <c r="U209" i="10" s="1"/>
  <c r="U187" i="10"/>
  <c r="U212" i="10" s="1"/>
  <c r="U199" i="10"/>
  <c r="U224" i="10" s="1"/>
  <c r="U197" i="10"/>
  <c r="U222" i="10" s="1"/>
  <c r="U189" i="10"/>
  <c r="U214" i="10" s="1"/>
  <c r="U182" i="10"/>
  <c r="U207" i="10" s="1"/>
  <c r="U177" i="10"/>
  <c r="U188" i="10"/>
  <c r="U213" i="10" s="1"/>
  <c r="U200" i="10"/>
  <c r="U225" i="10" s="1"/>
  <c r="U244" i="10"/>
  <c r="U243" i="10"/>
  <c r="U242" i="10"/>
  <c r="U247" i="10"/>
  <c r="U257" i="10" s="1"/>
  <c r="U267" i="10" s="1"/>
  <c r="U235" i="10"/>
  <c r="U236" i="10" s="1"/>
  <c r="U237" i="10"/>
  <c r="U233" i="10"/>
  <c r="U234" i="10" s="1"/>
  <c r="U238" i="10"/>
  <c r="Z244" i="10"/>
  <c r="Z243" i="10"/>
  <c r="Z247" i="10"/>
  <c r="Z257" i="10" s="1"/>
  <c r="Z267" i="10" s="1"/>
  <c r="Z242" i="10"/>
  <c r="Z233" i="10"/>
  <c r="Z235" i="10"/>
  <c r="Z236" i="10" s="1"/>
  <c r="Z234" i="10"/>
  <c r="Z237" i="10"/>
  <c r="Z238" i="10" s="1"/>
  <c r="Z185" i="10"/>
  <c r="Z210" i="10" s="1"/>
  <c r="Z184" i="10"/>
  <c r="Z209" i="10" s="1"/>
  <c r="Z180" i="10"/>
  <c r="Z205" i="10" s="1"/>
  <c r="Z195" i="10"/>
  <c r="Z220" i="10" s="1"/>
  <c r="Z192" i="10"/>
  <c r="Z217" i="10" s="1"/>
  <c r="Z190" i="10"/>
  <c r="Z215" i="10" s="1"/>
  <c r="Z187" i="10"/>
  <c r="Z212" i="10" s="1"/>
  <c r="Z196" i="10"/>
  <c r="Z221" i="10" s="1"/>
  <c r="Z181" i="10"/>
  <c r="Z206" i="10" s="1"/>
  <c r="Z191" i="10"/>
  <c r="Z216" i="10" s="1"/>
  <c r="Z186" i="10"/>
  <c r="Z211" i="10" s="1"/>
  <c r="Z179" i="10"/>
  <c r="Z204" i="10" s="1"/>
  <c r="Z200" i="10"/>
  <c r="Z225" i="10" s="1"/>
  <c r="Z183" i="10"/>
  <c r="Z208" i="10" s="1"/>
  <c r="Z199" i="10"/>
  <c r="Z224" i="10" s="1"/>
  <c r="Z194" i="10"/>
  <c r="Z219" i="10" s="1"/>
  <c r="Z193" i="10"/>
  <c r="Z218" i="10" s="1"/>
  <c r="Z177" i="10"/>
  <c r="Z198" i="10"/>
  <c r="Z223" i="10" s="1"/>
  <c r="Z189" i="10"/>
  <c r="Z214" i="10" s="1"/>
  <c r="Z197" i="10"/>
  <c r="Z222" i="10" s="1"/>
  <c r="Z182" i="10"/>
  <c r="Z207" i="10" s="1"/>
  <c r="Z188" i="10"/>
  <c r="Z213" i="10" s="1"/>
  <c r="Z178" i="10"/>
  <c r="Z203" i="10" s="1"/>
  <c r="Z201" i="10"/>
  <c r="Z226" i="10" s="1"/>
  <c r="AF185" i="10"/>
  <c r="AF210" i="10" s="1"/>
  <c r="AF187" i="10"/>
  <c r="AF212" i="10" s="1"/>
  <c r="AF184" i="10"/>
  <c r="AF209" i="10" s="1"/>
  <c r="AF178" i="10"/>
  <c r="AF203" i="10" s="1"/>
  <c r="AF194" i="10"/>
  <c r="AF219" i="10" s="1"/>
  <c r="AF192" i="10"/>
  <c r="AF217" i="10" s="1"/>
  <c r="AF186" i="10"/>
  <c r="AF211" i="10" s="1"/>
  <c r="AF182" i="10"/>
  <c r="AF207" i="10" s="1"/>
  <c r="AF180" i="10"/>
  <c r="AF205" i="10" s="1"/>
  <c r="AF179" i="10"/>
  <c r="AF204" i="10" s="1"/>
  <c r="AF198" i="10"/>
  <c r="AF223" i="10" s="1"/>
  <c r="AF196" i="10"/>
  <c r="AF221" i="10" s="1"/>
  <c r="AF190" i="10"/>
  <c r="AF215" i="10" s="1"/>
  <c r="AF189" i="10"/>
  <c r="AF214" i="10" s="1"/>
  <c r="AF188" i="10"/>
  <c r="AF213" i="10" s="1"/>
  <c r="AF183" i="10"/>
  <c r="AF208" i="10" s="1"/>
  <c r="AF197" i="10"/>
  <c r="AF222" i="10" s="1"/>
  <c r="AF195" i="10"/>
  <c r="AF220" i="10" s="1"/>
  <c r="AF193" i="10"/>
  <c r="AF218" i="10" s="1"/>
  <c r="AF191" i="10"/>
  <c r="AF216" i="10" s="1"/>
  <c r="AF181" i="10"/>
  <c r="AF206" i="10" s="1"/>
  <c r="AF199" i="10"/>
  <c r="AF224" i="10" s="1"/>
  <c r="AF177" i="10"/>
  <c r="AF201" i="10"/>
  <c r="AF226" i="10" s="1"/>
  <c r="AF200" i="10"/>
  <c r="AF225" i="10" s="1"/>
  <c r="AF247" i="10"/>
  <c r="AF257" i="10" s="1"/>
  <c r="AF267" i="10" s="1"/>
  <c r="AF243" i="10"/>
  <c r="AF242" i="10"/>
  <c r="AF244" i="10"/>
  <c r="AF233" i="10"/>
  <c r="AF235" i="10"/>
  <c r="AF237" i="10"/>
  <c r="AF238" i="10" s="1"/>
  <c r="AF234" i="10"/>
  <c r="AF236" i="10"/>
  <c r="AI243" i="10"/>
  <c r="AI244" i="10"/>
  <c r="AI247" i="10"/>
  <c r="AI257" i="10" s="1"/>
  <c r="AI267" i="10" s="1"/>
  <c r="AI242" i="10"/>
  <c r="AI233" i="10"/>
  <c r="AI234" i="10" s="1"/>
  <c r="AI237" i="10"/>
  <c r="AI238" i="10" s="1"/>
  <c r="AI235" i="10"/>
  <c r="AI236" i="10" s="1"/>
  <c r="AI189" i="10"/>
  <c r="AI214" i="10" s="1"/>
  <c r="AI197" i="10"/>
  <c r="AI222" i="10" s="1"/>
  <c r="AI182" i="10"/>
  <c r="AI207" i="10" s="1"/>
  <c r="AI188" i="10"/>
  <c r="AI213" i="10" s="1"/>
  <c r="AI195" i="10"/>
  <c r="AI220" i="10" s="1"/>
  <c r="AI193" i="10"/>
  <c r="AI218" i="10" s="1"/>
  <c r="AI190" i="10"/>
  <c r="AI215" i="10" s="1"/>
  <c r="AI192" i="10"/>
  <c r="AI217" i="10" s="1"/>
  <c r="AI184" i="10"/>
  <c r="AI209" i="10" s="1"/>
  <c r="AI201" i="10"/>
  <c r="AI226" i="10" s="1"/>
  <c r="AI187" i="10"/>
  <c r="AI212" i="10" s="1"/>
  <c r="AI186" i="10"/>
  <c r="AI211" i="10" s="1"/>
  <c r="AI180" i="10"/>
  <c r="AI205" i="10" s="1"/>
  <c r="AI177" i="10"/>
  <c r="AI196" i="10"/>
  <c r="AI221" i="10" s="1"/>
  <c r="AI183" i="10"/>
  <c r="AI208" i="10" s="1"/>
  <c r="AI181" i="10"/>
  <c r="AI206" i="10" s="1"/>
  <c r="AI179" i="10"/>
  <c r="AI204" i="10" s="1"/>
  <c r="AI199" i="10"/>
  <c r="AI224" i="10" s="1"/>
  <c r="AI194" i="10"/>
  <c r="AI219" i="10" s="1"/>
  <c r="AI191" i="10"/>
  <c r="AI216" i="10" s="1"/>
  <c r="AI198" i="10"/>
  <c r="AI223" i="10" s="1"/>
  <c r="AI185" i="10"/>
  <c r="AI210" i="10" s="1"/>
  <c r="AI178" i="10"/>
  <c r="AI203" i="10" s="1"/>
  <c r="AI200" i="10"/>
  <c r="AI225" i="10" s="1"/>
  <c r="AO185" i="10"/>
  <c r="AO210" i="10" s="1"/>
  <c r="AO182" i="10"/>
  <c r="AO207" i="10" s="1"/>
  <c r="AO181" i="10"/>
  <c r="AO206" i="10" s="1"/>
  <c r="AO180" i="10"/>
  <c r="AO205" i="10" s="1"/>
  <c r="AO197" i="10"/>
  <c r="AO222" i="10" s="1"/>
  <c r="AO196" i="10"/>
  <c r="AO221" i="10" s="1"/>
  <c r="AO188" i="10"/>
  <c r="AO213" i="10" s="1"/>
  <c r="AO186" i="10"/>
  <c r="AO211" i="10" s="1"/>
  <c r="AO183" i="10"/>
  <c r="AO208" i="10" s="1"/>
  <c r="AO195" i="10"/>
  <c r="AO220" i="10" s="1"/>
  <c r="AO194" i="10"/>
  <c r="AO219" i="10" s="1"/>
  <c r="AO193" i="10"/>
  <c r="AO218" i="10" s="1"/>
  <c r="AO189" i="10"/>
  <c r="AO214" i="10" s="1"/>
  <c r="AO187" i="10"/>
  <c r="AO212" i="10" s="1"/>
  <c r="AO184" i="10"/>
  <c r="AO209" i="10" s="1"/>
  <c r="AO177" i="10"/>
  <c r="AO198" i="10"/>
  <c r="AO223" i="10" s="1"/>
  <c r="AO192" i="10"/>
  <c r="AO217" i="10" s="1"/>
  <c r="AO191" i="10"/>
  <c r="AO216" i="10" s="1"/>
  <c r="AO179" i="10"/>
  <c r="AO204" i="10" s="1"/>
  <c r="AO199" i="10"/>
  <c r="AO224" i="10" s="1"/>
  <c r="AO190" i="10"/>
  <c r="AO215" i="10" s="1"/>
  <c r="AO178" i="10"/>
  <c r="AO203" i="10" s="1"/>
  <c r="AO201" i="10"/>
  <c r="AO226" i="10" s="1"/>
  <c r="AO200" i="10"/>
  <c r="AO225" i="10" s="1"/>
  <c r="AO243" i="10"/>
  <c r="AO242" i="10"/>
  <c r="AO247" i="10"/>
  <c r="AO257" i="10" s="1"/>
  <c r="AO267" i="10" s="1"/>
  <c r="AO244" i="10"/>
  <c r="AO235" i="10"/>
  <c r="AO233" i="10"/>
  <c r="AO234" i="10" s="1"/>
  <c r="AO237" i="10"/>
  <c r="AO238" i="10" s="1"/>
  <c r="AO236" i="10"/>
  <c r="AT192" i="10"/>
  <c r="AT217" i="10" s="1"/>
  <c r="AT198" i="10"/>
  <c r="AT223" i="10" s="1"/>
  <c r="AT199" i="10"/>
  <c r="AT224" i="10" s="1"/>
  <c r="AT193" i="10"/>
  <c r="AT218" i="10" s="1"/>
  <c r="AT190" i="10"/>
  <c r="AT215" i="10" s="1"/>
  <c r="AT177" i="10"/>
  <c r="AT178" i="10"/>
  <c r="AT203" i="10" s="1"/>
  <c r="AT194" i="10"/>
  <c r="AT219" i="10" s="1"/>
  <c r="AT183" i="10"/>
  <c r="AT208" i="10" s="1"/>
  <c r="AT180" i="10"/>
  <c r="AT205" i="10" s="1"/>
  <c r="AT182" i="10"/>
  <c r="AT207" i="10" s="1"/>
  <c r="AT191" i="10"/>
  <c r="AT216" i="10" s="1"/>
  <c r="AT187" i="10"/>
  <c r="AT212" i="10" s="1"/>
  <c r="AT201" i="10"/>
  <c r="AT226" i="10" s="1"/>
  <c r="AT196" i="10"/>
  <c r="AT221" i="10" s="1"/>
  <c r="AT189" i="10"/>
  <c r="AT214" i="10" s="1"/>
  <c r="AT186" i="10"/>
  <c r="AT211" i="10" s="1"/>
  <c r="AT188" i="10"/>
  <c r="AT213" i="10" s="1"/>
  <c r="AT181" i="10"/>
  <c r="AT206" i="10" s="1"/>
  <c r="AT197" i="10"/>
  <c r="AT222" i="10" s="1"/>
  <c r="AT185" i="10"/>
  <c r="AT210" i="10" s="1"/>
  <c r="AT195" i="10"/>
  <c r="AT220" i="10" s="1"/>
  <c r="AT184" i="10"/>
  <c r="AT209" i="10" s="1"/>
  <c r="AT179" i="10"/>
  <c r="AT204" i="10" s="1"/>
  <c r="AT200" i="10"/>
  <c r="AT225" i="10" s="1"/>
  <c r="AT243" i="10"/>
  <c r="AT242" i="10"/>
  <c r="AT247" i="10"/>
  <c r="AT257" i="10" s="1"/>
  <c r="AT267" i="10" s="1"/>
  <c r="AT244" i="10"/>
  <c r="AT233" i="10"/>
  <c r="AT235" i="10"/>
  <c r="AT236" i="10" s="1"/>
  <c r="AT234" i="10"/>
  <c r="AT237" i="10"/>
  <c r="AT238" i="10" s="1"/>
  <c r="AW243" i="10"/>
  <c r="AW242" i="10"/>
  <c r="AW244" i="10"/>
  <c r="AW247" i="10"/>
  <c r="AW257" i="10" s="1"/>
  <c r="AW267" i="10" s="1"/>
  <c r="AW233" i="10"/>
  <c r="AW235" i="10"/>
  <c r="AW236" i="10" s="1"/>
  <c r="AW234" i="10"/>
  <c r="AW237" i="10"/>
  <c r="AW238" i="10" s="1"/>
  <c r="AW185" i="10"/>
  <c r="AW210" i="10" s="1"/>
  <c r="AW184" i="10"/>
  <c r="AW209" i="10" s="1"/>
  <c r="AW183" i="10"/>
  <c r="AW208" i="10" s="1"/>
  <c r="AW182" i="10"/>
  <c r="AW207" i="10" s="1"/>
  <c r="AW179" i="10"/>
  <c r="AW204" i="10" s="1"/>
  <c r="AW197" i="10"/>
  <c r="AW222" i="10" s="1"/>
  <c r="AW186" i="10"/>
  <c r="AW211" i="10" s="1"/>
  <c r="AW190" i="10"/>
  <c r="AW215" i="10" s="1"/>
  <c r="AW187" i="10"/>
  <c r="AW212" i="10" s="1"/>
  <c r="AW188" i="10"/>
  <c r="AW213" i="10" s="1"/>
  <c r="AW195" i="10"/>
  <c r="AW220" i="10" s="1"/>
  <c r="AW192" i="10"/>
  <c r="AW217" i="10" s="1"/>
  <c r="AW191" i="10"/>
  <c r="AW216" i="10" s="1"/>
  <c r="AW201" i="10"/>
  <c r="AW226" i="10" s="1"/>
  <c r="AW200" i="10"/>
  <c r="AW225" i="10" s="1"/>
  <c r="AW198" i="10"/>
  <c r="AW223" i="10" s="1"/>
  <c r="AW196" i="10"/>
  <c r="AW221" i="10" s="1"/>
  <c r="AW178" i="10"/>
  <c r="AW203" i="10" s="1"/>
  <c r="AW193" i="10"/>
  <c r="AW218" i="10" s="1"/>
  <c r="AW189" i="10"/>
  <c r="AW214" i="10" s="1"/>
  <c r="AW177" i="10"/>
  <c r="AW181" i="10"/>
  <c r="AW206" i="10" s="1"/>
  <c r="AW180" i="10"/>
  <c r="AW205" i="10" s="1"/>
  <c r="AW199" i="10"/>
  <c r="AW224" i="10" s="1"/>
  <c r="AW194" i="10"/>
  <c r="AW219" i="10" s="1"/>
  <c r="BL186" i="10"/>
  <c r="BL211" i="10" s="1"/>
  <c r="BL182" i="10"/>
  <c r="BL207" i="10" s="1"/>
  <c r="BL192" i="10"/>
  <c r="BL217" i="10" s="1"/>
  <c r="BL188" i="10"/>
  <c r="BL213" i="10" s="1"/>
  <c r="BL181" i="10"/>
  <c r="BL206" i="10" s="1"/>
  <c r="BL179" i="10"/>
  <c r="BL204" i="10" s="1"/>
  <c r="BL198" i="10"/>
  <c r="BL223" i="10" s="1"/>
  <c r="BL196" i="10"/>
  <c r="BL221" i="10" s="1"/>
  <c r="BL193" i="10"/>
  <c r="BL218" i="10" s="1"/>
  <c r="BL189" i="10"/>
  <c r="BL214" i="10" s="1"/>
  <c r="BL185" i="10"/>
  <c r="BL210" i="10" s="1"/>
  <c r="BL180" i="10"/>
  <c r="BL205" i="10" s="1"/>
  <c r="BL178" i="10"/>
  <c r="BL203" i="10" s="1"/>
  <c r="BL177" i="10"/>
  <c r="BL195" i="10"/>
  <c r="BL220" i="10" s="1"/>
  <c r="BL191" i="10"/>
  <c r="BL216" i="10" s="1"/>
  <c r="BL187" i="10"/>
  <c r="BL212" i="10" s="1"/>
  <c r="BL197" i="10"/>
  <c r="BL222" i="10" s="1"/>
  <c r="BL194" i="10"/>
  <c r="BL219" i="10" s="1"/>
  <c r="BL190" i="10"/>
  <c r="BL215" i="10" s="1"/>
  <c r="BL199" i="10"/>
  <c r="BL224" i="10" s="1"/>
  <c r="BL184" i="10"/>
  <c r="BL209" i="10" s="1"/>
  <c r="BL183" i="10"/>
  <c r="BL208" i="10" s="1"/>
  <c r="BL201" i="10"/>
  <c r="BL226" i="10" s="1"/>
  <c r="BL200" i="10"/>
  <c r="BL225" i="10" s="1"/>
  <c r="BL243" i="10"/>
  <c r="BL242" i="10"/>
  <c r="BL247" i="10"/>
  <c r="BL257" i="10" s="1"/>
  <c r="BL267" i="10" s="1"/>
  <c r="BL244" i="10"/>
  <c r="BL237" i="10"/>
  <c r="BL233" i="10"/>
  <c r="BL234" i="10" s="1"/>
  <c r="BL238" i="10"/>
  <c r="BL235" i="10"/>
  <c r="BL236" i="10" s="1"/>
  <c r="BQ199" i="10"/>
  <c r="BQ224" i="10" s="1"/>
  <c r="BQ194" i="10"/>
  <c r="BQ219" i="10" s="1"/>
  <c r="BQ183" i="10"/>
  <c r="BQ208" i="10" s="1"/>
  <c r="BQ178" i="10"/>
  <c r="BQ203" i="10" s="1"/>
  <c r="BQ195" i="10"/>
  <c r="BQ220" i="10" s="1"/>
  <c r="BQ188" i="10"/>
  <c r="BQ213" i="10" s="1"/>
  <c r="BQ185" i="10"/>
  <c r="BQ210" i="10" s="1"/>
  <c r="BQ184" i="10"/>
  <c r="BQ209" i="10" s="1"/>
  <c r="BQ191" i="10"/>
  <c r="BQ216" i="10" s="1"/>
  <c r="BQ189" i="10"/>
  <c r="BQ214" i="10" s="1"/>
  <c r="BQ201" i="10"/>
  <c r="BQ226" i="10" s="1"/>
  <c r="BQ182" i="10"/>
  <c r="BQ207" i="10" s="1"/>
  <c r="BQ181" i="10"/>
  <c r="BQ206" i="10" s="1"/>
  <c r="BQ177" i="10"/>
  <c r="BQ196" i="10"/>
  <c r="BQ221" i="10" s="1"/>
  <c r="BQ192" i="10"/>
  <c r="BQ217" i="10" s="1"/>
  <c r="BQ198" i="10"/>
  <c r="BQ223" i="10" s="1"/>
  <c r="BQ190" i="10"/>
  <c r="BQ215" i="10" s="1"/>
  <c r="BQ180" i="10"/>
  <c r="BQ205" i="10" s="1"/>
  <c r="BQ197" i="10"/>
  <c r="BQ222" i="10" s="1"/>
  <c r="BQ193" i="10"/>
  <c r="BQ218" i="10" s="1"/>
  <c r="BQ179" i="10"/>
  <c r="BQ204" i="10" s="1"/>
  <c r="BQ187" i="10"/>
  <c r="BQ212" i="10" s="1"/>
  <c r="BQ186" i="10"/>
  <c r="BQ211" i="10" s="1"/>
  <c r="BQ200" i="10"/>
  <c r="BQ225" i="10" s="1"/>
  <c r="BQ243" i="10"/>
  <c r="BQ242" i="10"/>
  <c r="BQ247" i="10"/>
  <c r="BQ257" i="10" s="1"/>
  <c r="BQ267" i="10" s="1"/>
  <c r="BQ244" i="10"/>
  <c r="BQ233" i="10"/>
  <c r="BQ234" i="10" s="1"/>
  <c r="BQ235" i="10"/>
  <c r="BQ237" i="10"/>
  <c r="BQ238" i="10" s="1"/>
  <c r="BQ236" i="10"/>
  <c r="BY186" i="10"/>
  <c r="BY211" i="10" s="1"/>
  <c r="BY195" i="10"/>
  <c r="BY220" i="10" s="1"/>
  <c r="BY189" i="10"/>
  <c r="BY214" i="10" s="1"/>
  <c r="BY187" i="10"/>
  <c r="BY212" i="10" s="1"/>
  <c r="BY178" i="10"/>
  <c r="BY203" i="10" s="1"/>
  <c r="BY197" i="10"/>
  <c r="BY222" i="10" s="1"/>
  <c r="BY194" i="10"/>
  <c r="BY219" i="10" s="1"/>
  <c r="BY182" i="10"/>
  <c r="BY207" i="10" s="1"/>
  <c r="BY196" i="10"/>
  <c r="BY221" i="10" s="1"/>
  <c r="BY185" i="10"/>
  <c r="BY210" i="10" s="1"/>
  <c r="BY180" i="10"/>
  <c r="BY205" i="10" s="1"/>
  <c r="BY190" i="10"/>
  <c r="BY215" i="10" s="1"/>
  <c r="BY177" i="10"/>
  <c r="BY201" i="10"/>
  <c r="BY226" i="10" s="1"/>
  <c r="BY193" i="10"/>
  <c r="BY218" i="10" s="1"/>
  <c r="BY188" i="10"/>
  <c r="BY213" i="10" s="1"/>
  <c r="BY181" i="10"/>
  <c r="BY206" i="10" s="1"/>
  <c r="BY179" i="10"/>
  <c r="BY204" i="10" s="1"/>
  <c r="BY198" i="10"/>
  <c r="BY223" i="10" s="1"/>
  <c r="BY191" i="10"/>
  <c r="BY216" i="10" s="1"/>
  <c r="BY184" i="10"/>
  <c r="BY209" i="10" s="1"/>
  <c r="BY199" i="10"/>
  <c r="BY224" i="10" s="1"/>
  <c r="BY192" i="10"/>
  <c r="BY217" i="10" s="1"/>
  <c r="BY183" i="10"/>
  <c r="BY208" i="10" s="1"/>
  <c r="BY200" i="10"/>
  <c r="BY225" i="10" s="1"/>
  <c r="BY233" i="10"/>
  <c r="BY234" i="10" s="1"/>
  <c r="BY235" i="10"/>
  <c r="BY236" i="10" s="1"/>
  <c r="BY237" i="10"/>
  <c r="BY238" i="10" s="1"/>
  <c r="CI197" i="10"/>
  <c r="CI222" i="10" s="1"/>
  <c r="CI189" i="10"/>
  <c r="CI214" i="10" s="1"/>
  <c r="CI182" i="10"/>
  <c r="CI207" i="10" s="1"/>
  <c r="CI198" i="10"/>
  <c r="CI223" i="10" s="1"/>
  <c r="CI196" i="10"/>
  <c r="CI221" i="10" s="1"/>
  <c r="CI190" i="10"/>
  <c r="CI215" i="10" s="1"/>
  <c r="CI186" i="10"/>
  <c r="CI211" i="10" s="1"/>
  <c r="CI185" i="10"/>
  <c r="CI210" i="10" s="1"/>
  <c r="CI184" i="10"/>
  <c r="CI209" i="10" s="1"/>
  <c r="CI199" i="10"/>
  <c r="CI224" i="10" s="1"/>
  <c r="CI194" i="10"/>
  <c r="CI219" i="10" s="1"/>
  <c r="CI179" i="10"/>
  <c r="CI204" i="10" s="1"/>
  <c r="CI201" i="10"/>
  <c r="CI226" i="10" s="1"/>
  <c r="CI200" i="10"/>
  <c r="CI225" i="10" s="1"/>
  <c r="CI193" i="10"/>
  <c r="CI218" i="10" s="1"/>
  <c r="CI191" i="10"/>
  <c r="CI216" i="10" s="1"/>
  <c r="CI178" i="10"/>
  <c r="CI203" i="10" s="1"/>
  <c r="CI177" i="10"/>
  <c r="CI195" i="10"/>
  <c r="CI220" i="10" s="1"/>
  <c r="CI188" i="10"/>
  <c r="CI213" i="10" s="1"/>
  <c r="CI183" i="10"/>
  <c r="CI208" i="10" s="1"/>
  <c r="CI192" i="10"/>
  <c r="CI217" i="10" s="1"/>
  <c r="CI181" i="10"/>
  <c r="CI206" i="10" s="1"/>
  <c r="CI187" i="10"/>
  <c r="CI212" i="10" s="1"/>
  <c r="CI180" i="10"/>
  <c r="CI205" i="10" s="1"/>
  <c r="CI247" i="10"/>
  <c r="CI257" i="10" s="1"/>
  <c r="CI267" i="10" s="1"/>
  <c r="CI242" i="10"/>
  <c r="CI243" i="10"/>
  <c r="CI244" i="10"/>
  <c r="CI233" i="10"/>
  <c r="CI234" i="10" s="1"/>
  <c r="CI235" i="10"/>
  <c r="CI236" i="10" s="1"/>
  <c r="CI237" i="10"/>
  <c r="CI238" i="10" s="1"/>
  <c r="CJ186" i="10"/>
  <c r="CJ211" i="10" s="1"/>
  <c r="CJ183" i="10"/>
  <c r="CJ208" i="10" s="1"/>
  <c r="CJ192" i="10"/>
  <c r="CJ217" i="10" s="1"/>
  <c r="CJ187" i="10"/>
  <c r="CJ212" i="10" s="1"/>
  <c r="CJ194" i="10"/>
  <c r="CJ219" i="10" s="1"/>
  <c r="CJ181" i="10"/>
  <c r="CJ206" i="10" s="1"/>
  <c r="CJ195" i="10"/>
  <c r="CJ220" i="10" s="1"/>
  <c r="CJ190" i="10"/>
  <c r="CJ215" i="10" s="1"/>
  <c r="CJ201" i="10"/>
  <c r="CJ226" i="10" s="1"/>
  <c r="CJ199" i="10"/>
  <c r="CJ224" i="10" s="1"/>
  <c r="CJ196" i="10"/>
  <c r="CJ221" i="10" s="1"/>
  <c r="CJ193" i="10"/>
  <c r="CJ218" i="10" s="1"/>
  <c r="CJ182" i="10"/>
  <c r="CJ207" i="10" s="1"/>
  <c r="CJ180" i="10"/>
  <c r="CJ205" i="10" s="1"/>
  <c r="CJ179" i="10"/>
  <c r="CJ204" i="10" s="1"/>
  <c r="CJ198" i="10"/>
  <c r="CJ223" i="10" s="1"/>
  <c r="CJ188" i="10"/>
  <c r="CJ213" i="10" s="1"/>
  <c r="CJ197" i="10"/>
  <c r="CJ222" i="10" s="1"/>
  <c r="CJ191" i="10"/>
  <c r="CJ216" i="10" s="1"/>
  <c r="CJ189" i="10"/>
  <c r="CJ214" i="10" s="1"/>
  <c r="CJ184" i="10"/>
  <c r="CJ209" i="10" s="1"/>
  <c r="CJ185" i="10"/>
  <c r="CJ210" i="10" s="1"/>
  <c r="CJ178" i="10"/>
  <c r="CJ203" i="10" s="1"/>
  <c r="CJ177" i="10"/>
  <c r="CJ200" i="10"/>
  <c r="CJ225" i="10" s="1"/>
  <c r="CJ247" i="10"/>
  <c r="CJ257" i="10" s="1"/>
  <c r="CJ267" i="10" s="1"/>
  <c r="CJ244" i="10"/>
  <c r="CJ243" i="10"/>
  <c r="CJ242" i="10"/>
  <c r="CJ237" i="10"/>
  <c r="CJ233" i="10"/>
  <c r="CJ234" i="10" s="1"/>
  <c r="CJ235" i="10"/>
  <c r="CJ236" i="10" s="1"/>
  <c r="CJ238" i="10"/>
  <c r="CN197" i="10"/>
  <c r="CN222" i="10" s="1"/>
  <c r="CN195" i="10"/>
  <c r="CN220" i="10" s="1"/>
  <c r="CN193" i="10"/>
  <c r="CN218" i="10" s="1"/>
  <c r="CN186" i="10"/>
  <c r="CN211" i="10" s="1"/>
  <c r="CN182" i="10"/>
  <c r="CN207" i="10" s="1"/>
  <c r="CN180" i="10"/>
  <c r="CN205" i="10" s="1"/>
  <c r="CN177" i="10"/>
  <c r="CN198" i="10"/>
  <c r="CN223" i="10" s="1"/>
  <c r="CN194" i="10"/>
  <c r="CN219" i="10" s="1"/>
  <c r="CN191" i="10"/>
  <c r="CN216" i="10" s="1"/>
  <c r="CN189" i="10"/>
  <c r="CN214" i="10" s="1"/>
  <c r="CN188" i="10"/>
  <c r="CN213" i="10" s="1"/>
  <c r="CN187" i="10"/>
  <c r="CN212" i="10" s="1"/>
  <c r="CN184" i="10"/>
  <c r="CN209" i="10" s="1"/>
  <c r="CN183" i="10"/>
  <c r="CN208" i="10" s="1"/>
  <c r="CN178" i="10"/>
  <c r="CN203" i="10" s="1"/>
  <c r="CN179" i="10"/>
  <c r="CN204" i="10" s="1"/>
  <c r="CN196" i="10"/>
  <c r="CN221" i="10" s="1"/>
  <c r="CN192" i="10"/>
  <c r="CN217" i="10" s="1"/>
  <c r="CN190" i="10"/>
  <c r="CN215" i="10" s="1"/>
  <c r="CN185" i="10"/>
  <c r="CN210" i="10" s="1"/>
  <c r="CN181" i="10"/>
  <c r="CN206" i="10" s="1"/>
  <c r="CN201" i="10"/>
  <c r="CN226" i="10" s="1"/>
  <c r="CN200" i="10"/>
  <c r="CN225" i="10" s="1"/>
  <c r="CN199" i="10"/>
  <c r="CN224" i="10" s="1"/>
  <c r="CN243" i="10"/>
  <c r="CN242" i="10"/>
  <c r="CN247" i="10"/>
  <c r="CN257" i="10" s="1"/>
  <c r="CN267" i="10" s="1"/>
  <c r="CN244" i="10"/>
  <c r="CN235" i="10"/>
  <c r="CN236" i="10"/>
  <c r="CN237" i="10"/>
  <c r="CN238" i="10"/>
  <c r="CN233" i="10"/>
  <c r="CN234" i="10" s="1"/>
  <c r="CV181" i="10"/>
  <c r="CV206" i="10" s="1"/>
  <c r="CV189" i="10"/>
  <c r="CV214" i="10" s="1"/>
  <c r="CV178" i="10"/>
  <c r="CV203" i="10" s="1"/>
  <c r="CV198" i="10"/>
  <c r="CV223" i="10" s="1"/>
  <c r="CV196" i="10"/>
  <c r="CV221" i="10" s="1"/>
  <c r="CV194" i="10"/>
  <c r="CV219" i="10" s="1"/>
  <c r="CV191" i="10"/>
  <c r="CV216" i="10" s="1"/>
  <c r="CV190" i="10"/>
  <c r="CV215" i="10" s="1"/>
  <c r="CV188" i="10"/>
  <c r="CV213" i="10" s="1"/>
  <c r="CV187" i="10"/>
  <c r="CV212" i="10" s="1"/>
  <c r="CV186" i="10"/>
  <c r="CV211" i="10" s="1"/>
  <c r="CV182" i="10"/>
  <c r="CV207" i="10" s="1"/>
  <c r="CV180" i="10"/>
  <c r="CV205" i="10" s="1"/>
  <c r="CV197" i="10"/>
  <c r="CV222" i="10" s="1"/>
  <c r="CV185" i="10"/>
  <c r="CV210" i="10" s="1"/>
  <c r="CV183" i="10"/>
  <c r="CV208" i="10" s="1"/>
  <c r="CV195" i="10"/>
  <c r="CV220" i="10" s="1"/>
  <c r="CV193" i="10"/>
  <c r="CV218" i="10" s="1"/>
  <c r="CV192" i="10"/>
  <c r="CV217" i="10" s="1"/>
  <c r="CV184" i="10"/>
  <c r="CV209" i="10" s="1"/>
  <c r="CV177" i="10"/>
  <c r="CV179" i="10"/>
  <c r="CV204" i="10" s="1"/>
  <c r="CV201" i="10"/>
  <c r="CV226" i="10" s="1"/>
  <c r="CV200" i="10"/>
  <c r="CV225" i="10" s="1"/>
  <c r="CV199" i="10"/>
  <c r="CV224" i="10" s="1"/>
  <c r="CV242" i="10"/>
  <c r="CV247" i="10"/>
  <c r="CV257" i="10" s="1"/>
  <c r="CV267" i="10" s="1"/>
  <c r="CV244" i="10"/>
  <c r="CV243" i="10"/>
  <c r="CV233" i="10"/>
  <c r="CV234" i="10"/>
  <c r="CV237" i="10"/>
  <c r="CV238" i="10" s="1"/>
  <c r="CV235" i="10"/>
  <c r="CV236" i="10" s="1"/>
  <c r="CZ184" i="10"/>
  <c r="CZ209" i="10" s="1"/>
  <c r="CZ194" i="10"/>
  <c r="CZ219" i="10" s="1"/>
  <c r="CZ187" i="10"/>
  <c r="CZ212" i="10" s="1"/>
  <c r="CZ196" i="10"/>
  <c r="CZ221" i="10" s="1"/>
  <c r="CZ192" i="10"/>
  <c r="CZ217" i="10" s="1"/>
  <c r="CZ190" i="10"/>
  <c r="CZ215" i="10" s="1"/>
  <c r="CZ183" i="10"/>
  <c r="CZ208" i="10" s="1"/>
  <c r="CZ182" i="10"/>
  <c r="CZ207" i="10" s="1"/>
  <c r="CZ180" i="10"/>
  <c r="CZ205" i="10" s="1"/>
  <c r="CZ179" i="10"/>
  <c r="CZ204" i="10" s="1"/>
  <c r="CZ178" i="10"/>
  <c r="CZ203" i="10" s="1"/>
  <c r="CZ177" i="10"/>
  <c r="CZ197" i="10"/>
  <c r="CZ222" i="10" s="1"/>
  <c r="CZ188" i="10"/>
  <c r="CZ213" i="10" s="1"/>
  <c r="CZ181" i="10"/>
  <c r="CZ206" i="10" s="1"/>
  <c r="CZ198" i="10"/>
  <c r="CZ223" i="10" s="1"/>
  <c r="CZ191" i="10"/>
  <c r="CZ216" i="10" s="1"/>
  <c r="CZ189" i="10"/>
  <c r="CZ214" i="10" s="1"/>
  <c r="CZ185" i="10"/>
  <c r="CZ210" i="10" s="1"/>
  <c r="CZ195" i="10"/>
  <c r="CZ220" i="10" s="1"/>
  <c r="CZ193" i="10"/>
  <c r="CZ218" i="10" s="1"/>
  <c r="CZ186" i="10"/>
  <c r="CZ211" i="10" s="1"/>
  <c r="CZ201" i="10"/>
  <c r="CZ226" i="10" s="1"/>
  <c r="CZ200" i="10"/>
  <c r="CZ225" i="10" s="1"/>
  <c r="CZ199" i="10"/>
  <c r="CZ224" i="10" s="1"/>
  <c r="CZ242" i="10"/>
  <c r="CZ243" i="10"/>
  <c r="CZ247" i="10"/>
  <c r="CZ257" i="10" s="1"/>
  <c r="CZ267" i="10" s="1"/>
  <c r="CZ244" i="10"/>
  <c r="CZ233" i="10"/>
  <c r="CZ234" i="10"/>
  <c r="CZ235" i="10"/>
  <c r="CZ237" i="10"/>
  <c r="CZ238" i="10" s="1"/>
  <c r="CZ236" i="10"/>
  <c r="DI180" i="10"/>
  <c r="DI205" i="10" s="1"/>
  <c r="DI197" i="10"/>
  <c r="DI222" i="10" s="1"/>
  <c r="DI195" i="10"/>
  <c r="DI220" i="10" s="1"/>
  <c r="DI190" i="10"/>
  <c r="DI215" i="10" s="1"/>
  <c r="DI188" i="10"/>
  <c r="DI213" i="10" s="1"/>
  <c r="DI187" i="10"/>
  <c r="DI212" i="10" s="1"/>
  <c r="DI186" i="10"/>
  <c r="DI211" i="10" s="1"/>
  <c r="DI178" i="10"/>
  <c r="DI203" i="10" s="1"/>
  <c r="DI193" i="10"/>
  <c r="DI218" i="10" s="1"/>
  <c r="DI192" i="10"/>
  <c r="DI217" i="10" s="1"/>
  <c r="DI184" i="10"/>
  <c r="DI209" i="10" s="1"/>
  <c r="DI177" i="10"/>
  <c r="DI194" i="10"/>
  <c r="DI219" i="10" s="1"/>
  <c r="DI191" i="10"/>
  <c r="DI216" i="10" s="1"/>
  <c r="DI185" i="10"/>
  <c r="DI210" i="10" s="1"/>
  <c r="DI182" i="10"/>
  <c r="DI207" i="10" s="1"/>
  <c r="DI181" i="10"/>
  <c r="DI206" i="10" s="1"/>
  <c r="DI198" i="10"/>
  <c r="DI223" i="10" s="1"/>
  <c r="DI196" i="10"/>
  <c r="DI221" i="10" s="1"/>
  <c r="DI189" i="10"/>
  <c r="DI214" i="10" s="1"/>
  <c r="DI179" i="10"/>
  <c r="DI204" i="10" s="1"/>
  <c r="DI183" i="10"/>
  <c r="DI208" i="10" s="1"/>
  <c r="DI201" i="10"/>
  <c r="DI226" i="10" s="1"/>
  <c r="DI200" i="10"/>
  <c r="DI225" i="10" s="1"/>
  <c r="DI199" i="10"/>
  <c r="DI224" i="10" s="1"/>
  <c r="DI247" i="10"/>
  <c r="DI257" i="10" s="1"/>
  <c r="DI267" i="10" s="1"/>
  <c r="DI244" i="10"/>
  <c r="DI243" i="10"/>
  <c r="DI242" i="10"/>
  <c r="DI237" i="10"/>
  <c r="DI238" i="10" s="1"/>
  <c r="DI235" i="10"/>
  <c r="DI236" i="10" s="1"/>
  <c r="DI233" i="10"/>
  <c r="DI234" i="10"/>
  <c r="DJ235" i="10"/>
  <c r="DJ236" i="10" s="1"/>
  <c r="DJ237" i="10"/>
  <c r="DJ238" i="10" s="1"/>
  <c r="DJ233" i="10"/>
  <c r="DJ234" i="10" s="1"/>
  <c r="DJ181" i="10"/>
  <c r="DJ196" i="10"/>
  <c r="DJ194" i="10"/>
  <c r="DJ186" i="10"/>
  <c r="DJ187" i="10"/>
  <c r="DJ182" i="10"/>
  <c r="DJ188" i="10"/>
  <c r="DJ198" i="10"/>
  <c r="DJ193" i="10"/>
  <c r="DJ191" i="10"/>
  <c r="DJ179" i="10"/>
  <c r="DJ178" i="10"/>
  <c r="DJ201" i="10"/>
  <c r="DJ185" i="10"/>
  <c r="DJ189" i="10"/>
  <c r="DJ183" i="10"/>
  <c r="DJ180" i="10"/>
  <c r="DJ197" i="10"/>
  <c r="DJ190" i="10"/>
  <c r="DJ195" i="10"/>
  <c r="DJ192" i="10"/>
  <c r="DJ184" i="10"/>
  <c r="DJ177" i="10"/>
  <c r="DJ200" i="10"/>
  <c r="DJ199" i="10"/>
  <c r="DP184" i="10"/>
  <c r="DP209" i="10" s="1"/>
  <c r="DP181" i="10"/>
  <c r="DP206" i="10" s="1"/>
  <c r="DP197" i="10"/>
  <c r="DP222" i="10" s="1"/>
  <c r="DP188" i="10"/>
  <c r="DP213" i="10" s="1"/>
  <c r="DP186" i="10"/>
  <c r="DP211" i="10" s="1"/>
  <c r="DP179" i="10"/>
  <c r="DP204" i="10" s="1"/>
  <c r="DP196" i="10"/>
  <c r="DP221" i="10" s="1"/>
  <c r="DP190" i="10"/>
  <c r="DP215" i="10" s="1"/>
  <c r="DP183" i="10"/>
  <c r="DP208" i="10" s="1"/>
  <c r="DP182" i="10"/>
  <c r="DP207" i="10" s="1"/>
  <c r="DP180" i="10"/>
  <c r="DP205" i="10" s="1"/>
  <c r="DP177" i="10"/>
  <c r="DP192" i="10"/>
  <c r="DP217" i="10" s="1"/>
  <c r="DP191" i="10"/>
  <c r="DP216" i="10" s="1"/>
  <c r="DP187" i="10"/>
  <c r="DP212" i="10" s="1"/>
  <c r="DP178" i="10"/>
  <c r="DP203" i="10" s="1"/>
  <c r="DP194" i="10"/>
  <c r="DP219" i="10" s="1"/>
  <c r="DP189" i="10"/>
  <c r="DP214" i="10" s="1"/>
  <c r="DP198" i="10"/>
  <c r="DP223" i="10" s="1"/>
  <c r="DP195" i="10"/>
  <c r="DP220" i="10" s="1"/>
  <c r="DP193" i="10"/>
  <c r="DP218" i="10" s="1"/>
  <c r="DP185" i="10"/>
  <c r="DP210" i="10" s="1"/>
  <c r="DP201" i="10"/>
  <c r="DP226" i="10" s="1"/>
  <c r="DP200" i="10"/>
  <c r="DP225" i="10" s="1"/>
  <c r="DP199" i="10"/>
  <c r="DP224" i="10" s="1"/>
  <c r="DP243" i="10"/>
  <c r="DP247" i="10"/>
  <c r="DP257" i="10" s="1"/>
  <c r="DP267" i="10" s="1"/>
  <c r="DP242" i="10"/>
  <c r="DP244" i="10"/>
  <c r="DP237" i="10"/>
  <c r="DP233" i="10"/>
  <c r="DP234" i="10" s="1"/>
  <c r="DP235" i="10"/>
  <c r="DP236" i="10" s="1"/>
  <c r="DP238" i="10"/>
  <c r="DW189" i="10"/>
  <c r="DW214" i="10" s="1"/>
  <c r="DW194" i="10"/>
  <c r="DW219" i="10" s="1"/>
  <c r="DW181" i="10"/>
  <c r="DW206" i="10" s="1"/>
  <c r="DW177" i="10"/>
  <c r="DW190" i="10"/>
  <c r="DW215" i="10" s="1"/>
  <c r="DW199" i="10"/>
  <c r="DW224" i="10" s="1"/>
  <c r="DW185" i="10"/>
  <c r="DW210" i="10" s="1"/>
  <c r="DW196" i="10"/>
  <c r="DW221" i="10" s="1"/>
  <c r="DW195" i="10"/>
  <c r="DW220" i="10" s="1"/>
  <c r="DW179" i="10"/>
  <c r="DW204" i="10" s="1"/>
  <c r="DW182" i="10"/>
  <c r="DW207" i="10" s="1"/>
  <c r="DW197" i="10"/>
  <c r="DW222" i="10" s="1"/>
  <c r="DW186" i="10"/>
  <c r="DW211" i="10" s="1"/>
  <c r="DW180" i="10"/>
  <c r="DW205" i="10" s="1"/>
  <c r="DW191" i="10"/>
  <c r="DW216" i="10" s="1"/>
  <c r="DW198" i="10"/>
  <c r="DW223" i="10" s="1"/>
  <c r="DW201" i="10"/>
  <c r="DW226" i="10" s="1"/>
  <c r="DW184" i="10"/>
  <c r="DW209" i="10" s="1"/>
  <c r="DW178" i="10"/>
  <c r="DW203" i="10" s="1"/>
  <c r="DW192" i="10"/>
  <c r="DW217" i="10" s="1"/>
  <c r="DW193" i="10"/>
  <c r="DW218" i="10" s="1"/>
  <c r="DW183" i="10"/>
  <c r="DW208" i="10" s="1"/>
  <c r="DW188" i="10"/>
  <c r="DW213" i="10" s="1"/>
  <c r="DW187" i="10"/>
  <c r="DW212" i="10" s="1"/>
  <c r="DW200" i="10"/>
  <c r="DW225" i="10" s="1"/>
  <c r="DW244" i="10"/>
  <c r="DW247" i="10"/>
  <c r="DW257" i="10" s="1"/>
  <c r="DW243" i="10"/>
  <c r="DW242" i="10"/>
  <c r="DW233" i="10"/>
  <c r="DW235" i="10"/>
  <c r="DW236" i="10" s="1"/>
  <c r="DW234" i="10"/>
  <c r="DW237" i="10"/>
  <c r="DW238" i="10"/>
  <c r="DZ244" i="10"/>
  <c r="DZ243" i="10"/>
  <c r="DZ242" i="10"/>
  <c r="DZ247" i="10"/>
  <c r="DZ257" i="10" s="1"/>
  <c r="DZ235" i="10"/>
  <c r="DZ236" i="10" s="1"/>
  <c r="DZ233" i="10"/>
  <c r="DZ237" i="10"/>
  <c r="DZ238" i="10" s="1"/>
  <c r="DZ234" i="10"/>
  <c r="DZ189" i="10"/>
  <c r="DZ214" i="10" s="1"/>
  <c r="DZ198" i="10"/>
  <c r="DZ223" i="10" s="1"/>
  <c r="DZ193" i="10"/>
  <c r="DZ218" i="10" s="1"/>
  <c r="DZ188" i="10"/>
  <c r="DZ213" i="10" s="1"/>
  <c r="DZ182" i="10"/>
  <c r="DZ207" i="10" s="1"/>
  <c r="DZ180" i="10"/>
  <c r="DZ205" i="10" s="1"/>
  <c r="DZ197" i="10"/>
  <c r="DZ222" i="10" s="1"/>
  <c r="DZ196" i="10"/>
  <c r="DZ221" i="10" s="1"/>
  <c r="DZ194" i="10"/>
  <c r="DZ219" i="10" s="1"/>
  <c r="DZ190" i="10"/>
  <c r="DZ215" i="10" s="1"/>
  <c r="DZ187" i="10"/>
  <c r="DZ212" i="10" s="1"/>
  <c r="DZ186" i="10"/>
  <c r="DZ211" i="10" s="1"/>
  <c r="DZ179" i="10"/>
  <c r="DZ204" i="10" s="1"/>
  <c r="DZ178" i="10"/>
  <c r="DZ203" i="10" s="1"/>
  <c r="DZ195" i="10"/>
  <c r="DZ220" i="10" s="1"/>
  <c r="DZ184" i="10"/>
  <c r="DZ209" i="10" s="1"/>
  <c r="DZ183" i="10"/>
  <c r="DZ208" i="10" s="1"/>
  <c r="DZ181" i="10"/>
  <c r="DZ206" i="10" s="1"/>
  <c r="DZ192" i="10"/>
  <c r="DZ217" i="10" s="1"/>
  <c r="DZ191" i="10"/>
  <c r="DZ216" i="10" s="1"/>
  <c r="DZ185" i="10"/>
  <c r="DZ210" i="10" s="1"/>
  <c r="DZ177" i="10"/>
  <c r="DZ201" i="10"/>
  <c r="DZ226" i="10" s="1"/>
  <c r="DZ200" i="10"/>
  <c r="DZ225" i="10" s="1"/>
  <c r="DZ199" i="10"/>
  <c r="DZ224" i="10" s="1"/>
  <c r="EE185" i="10"/>
  <c r="EE210" i="10" s="1"/>
  <c r="EE181" i="10"/>
  <c r="EE206" i="10" s="1"/>
  <c r="EE189" i="10"/>
  <c r="EE214" i="10" s="1"/>
  <c r="EE198" i="10"/>
  <c r="EE223" i="10" s="1"/>
  <c r="EE192" i="10"/>
  <c r="EE217" i="10" s="1"/>
  <c r="EE178" i="10"/>
  <c r="EE203" i="10" s="1"/>
  <c r="EE195" i="10"/>
  <c r="EE220" i="10" s="1"/>
  <c r="EE194" i="10"/>
  <c r="EE219" i="10" s="1"/>
  <c r="EE177" i="10"/>
  <c r="EE183" i="10"/>
  <c r="EE208" i="10" s="1"/>
  <c r="EE201" i="10"/>
  <c r="EE226" i="10" s="1"/>
  <c r="EE199" i="10"/>
  <c r="EE224" i="10" s="1"/>
  <c r="EE196" i="10"/>
  <c r="EE221" i="10" s="1"/>
  <c r="EE186" i="10"/>
  <c r="EE211" i="10" s="1"/>
  <c r="EE184" i="10"/>
  <c r="EE209" i="10" s="1"/>
  <c r="EE193" i="10"/>
  <c r="EE218" i="10" s="1"/>
  <c r="EE188" i="10"/>
  <c r="EE213" i="10" s="1"/>
  <c r="EE182" i="10"/>
  <c r="EE207" i="10" s="1"/>
  <c r="EE191" i="10"/>
  <c r="EE216" i="10" s="1"/>
  <c r="EE197" i="10"/>
  <c r="EE222" i="10" s="1"/>
  <c r="EE190" i="10"/>
  <c r="EE215" i="10" s="1"/>
  <c r="EE179" i="10"/>
  <c r="EE204" i="10" s="1"/>
  <c r="EE187" i="10"/>
  <c r="EE212" i="10" s="1"/>
  <c r="EE180" i="10"/>
  <c r="EE205" i="10" s="1"/>
  <c r="EE200" i="10"/>
  <c r="EE225" i="10" s="1"/>
  <c r="EE242" i="10"/>
  <c r="EE244" i="10"/>
  <c r="EE243" i="10"/>
  <c r="EE247" i="10"/>
  <c r="EE257" i="10" s="1"/>
  <c r="EE233" i="10"/>
  <c r="EE234" i="10"/>
  <c r="EE237" i="10"/>
  <c r="EE238" i="10" s="1"/>
  <c r="EE235" i="10"/>
  <c r="EE236" i="10" s="1"/>
  <c r="EH242" i="10"/>
  <c r="EH247" i="10"/>
  <c r="EH257" i="10" s="1"/>
  <c r="EH244" i="10"/>
  <c r="EH243" i="10"/>
  <c r="EH235" i="10"/>
  <c r="EH237" i="10"/>
  <c r="EH238" i="10" s="1"/>
  <c r="EH236" i="10"/>
  <c r="EH233" i="10"/>
  <c r="EH234" i="10" s="1"/>
  <c r="EH179" i="10"/>
  <c r="EH196" i="10"/>
  <c r="EH195" i="10"/>
  <c r="EH189" i="10"/>
  <c r="EH185" i="10"/>
  <c r="EH184" i="10"/>
  <c r="EH181" i="10"/>
  <c r="EH194" i="10"/>
  <c r="EH191" i="10"/>
  <c r="EH182" i="10"/>
  <c r="EH192" i="10"/>
  <c r="EH198" i="10"/>
  <c r="EH193" i="10"/>
  <c r="EH190" i="10"/>
  <c r="EH188" i="10"/>
  <c r="EH187" i="10"/>
  <c r="EH178" i="10"/>
  <c r="EH197" i="10"/>
  <c r="EH186" i="10"/>
  <c r="EH183" i="10"/>
  <c r="EH180" i="10"/>
  <c r="EH177" i="10"/>
  <c r="EH201" i="10"/>
  <c r="EH200" i="10"/>
  <c r="EH199" i="10"/>
  <c r="EK242" i="10"/>
  <c r="EK247" i="10"/>
  <c r="EK257" i="10" s="1"/>
  <c r="EK243" i="10"/>
  <c r="EK244" i="10"/>
  <c r="EK233" i="10"/>
  <c r="EK234" i="10" s="1"/>
  <c r="EK235" i="10"/>
  <c r="EK236" i="10" s="1"/>
  <c r="EK237" i="10"/>
  <c r="EK238" i="10" s="1"/>
  <c r="EK188" i="10"/>
  <c r="EK213" i="10" s="1"/>
  <c r="EK181" i="10"/>
  <c r="EK206" i="10" s="1"/>
  <c r="EK180" i="10"/>
  <c r="EK205" i="10" s="1"/>
  <c r="EK178" i="10"/>
  <c r="EK203" i="10" s="1"/>
  <c r="EK177" i="10"/>
  <c r="EK198" i="10"/>
  <c r="EK223" i="10" s="1"/>
  <c r="EK193" i="10"/>
  <c r="EK218" i="10" s="1"/>
  <c r="EK191" i="10"/>
  <c r="EK216" i="10" s="1"/>
  <c r="EK187" i="10"/>
  <c r="EK212" i="10" s="1"/>
  <c r="EK186" i="10"/>
  <c r="EK211" i="10" s="1"/>
  <c r="EK197" i="10"/>
  <c r="EK222" i="10" s="1"/>
  <c r="EK196" i="10"/>
  <c r="EK221" i="10" s="1"/>
  <c r="EK195" i="10"/>
  <c r="EK220" i="10" s="1"/>
  <c r="EK189" i="10"/>
  <c r="EK214" i="10" s="1"/>
  <c r="EK184" i="10"/>
  <c r="EK209" i="10" s="1"/>
  <c r="EK182" i="10"/>
  <c r="EK207" i="10" s="1"/>
  <c r="EK194" i="10"/>
  <c r="EK219" i="10" s="1"/>
  <c r="EK192" i="10"/>
  <c r="EK217" i="10" s="1"/>
  <c r="EK190" i="10"/>
  <c r="EK215" i="10" s="1"/>
  <c r="EK185" i="10"/>
  <c r="EK210" i="10" s="1"/>
  <c r="EK183" i="10"/>
  <c r="EK208" i="10" s="1"/>
  <c r="EK179" i="10"/>
  <c r="EK204" i="10" s="1"/>
  <c r="EK201" i="10"/>
  <c r="EK226" i="10" s="1"/>
  <c r="EK200" i="10"/>
  <c r="EK225" i="10" s="1"/>
  <c r="EK199" i="10"/>
  <c r="EK224" i="10" s="1"/>
  <c r="EQ192" i="10"/>
  <c r="EQ217" i="10" s="1"/>
  <c r="EQ178" i="10"/>
  <c r="EQ203" i="10" s="1"/>
  <c r="EQ196" i="10"/>
  <c r="EQ221" i="10" s="1"/>
  <c r="EQ191" i="10"/>
  <c r="EQ216" i="10" s="1"/>
  <c r="EQ189" i="10"/>
  <c r="EQ214" i="10" s="1"/>
  <c r="EQ183" i="10"/>
  <c r="EQ208" i="10" s="1"/>
  <c r="EQ187" i="10"/>
  <c r="EQ212" i="10" s="1"/>
  <c r="EQ182" i="10"/>
  <c r="EQ207" i="10" s="1"/>
  <c r="EQ194" i="10"/>
  <c r="EQ219" i="10" s="1"/>
  <c r="EQ180" i="10"/>
  <c r="EQ205" i="10" s="1"/>
  <c r="EQ198" i="10"/>
  <c r="EQ223" i="10" s="1"/>
  <c r="EQ184" i="10"/>
  <c r="EQ209" i="10" s="1"/>
  <c r="EQ200" i="10"/>
  <c r="EQ225" i="10" s="1"/>
  <c r="EQ193" i="10"/>
  <c r="EQ218" i="10" s="1"/>
  <c r="EQ179" i="10"/>
  <c r="EQ204" i="10" s="1"/>
  <c r="EQ190" i="10"/>
  <c r="EQ215" i="10" s="1"/>
  <c r="EQ186" i="10"/>
  <c r="EQ211" i="10" s="1"/>
  <c r="EQ188" i="10"/>
  <c r="EQ213" i="10" s="1"/>
  <c r="EQ185" i="10"/>
  <c r="EQ210" i="10" s="1"/>
  <c r="EQ195" i="10"/>
  <c r="EQ220" i="10" s="1"/>
  <c r="EQ181" i="10"/>
  <c r="EQ206" i="10" s="1"/>
  <c r="EQ177" i="10"/>
  <c r="EQ197" i="10"/>
  <c r="EQ222" i="10" s="1"/>
  <c r="EQ201" i="10"/>
  <c r="EQ226" i="10" s="1"/>
  <c r="EQ199" i="10"/>
  <c r="EQ224" i="10" s="1"/>
  <c r="EQ235" i="10"/>
  <c r="EQ236" i="10"/>
  <c r="EQ237" i="10"/>
  <c r="EQ238" i="10" s="1"/>
  <c r="EQ233" i="10"/>
  <c r="EQ234" i="10" s="1"/>
  <c r="H189" i="10"/>
  <c r="H214" i="10" s="1"/>
  <c r="H181" i="10"/>
  <c r="H206" i="10" s="1"/>
  <c r="H197" i="10"/>
  <c r="H222" i="10" s="1"/>
  <c r="H191" i="10"/>
  <c r="H216" i="10" s="1"/>
  <c r="H180" i="10"/>
  <c r="H205" i="10" s="1"/>
  <c r="H182" i="10"/>
  <c r="H207" i="10" s="1"/>
  <c r="H195" i="10"/>
  <c r="H220" i="10" s="1"/>
  <c r="H179" i="10"/>
  <c r="H204" i="10" s="1"/>
  <c r="H198" i="10"/>
  <c r="H223" i="10" s="1"/>
  <c r="H192" i="10"/>
  <c r="H217" i="10" s="1"/>
  <c r="H201" i="10"/>
  <c r="H226" i="10" s="1"/>
  <c r="H187" i="10"/>
  <c r="H212" i="10" s="1"/>
  <c r="H185" i="10"/>
  <c r="H210" i="10" s="1"/>
  <c r="H183" i="10"/>
  <c r="H208" i="10" s="1"/>
  <c r="H196" i="10"/>
  <c r="H221" i="10" s="1"/>
  <c r="H188" i="10"/>
  <c r="H213" i="10" s="1"/>
  <c r="H190" i="10"/>
  <c r="H215" i="10" s="1"/>
  <c r="H193" i="10"/>
  <c r="H218" i="10" s="1"/>
  <c r="H199" i="10"/>
  <c r="H224" i="10" s="1"/>
  <c r="H186" i="10"/>
  <c r="H211" i="10" s="1"/>
  <c r="H184" i="10"/>
  <c r="H209" i="10" s="1"/>
  <c r="H177" i="10"/>
  <c r="H194" i="10"/>
  <c r="H219" i="10" s="1"/>
  <c r="H178" i="10"/>
  <c r="H203" i="10" s="1"/>
  <c r="H200" i="10"/>
  <c r="H225" i="10" s="1"/>
  <c r="H242" i="10"/>
  <c r="H247" i="10"/>
  <c r="H257" i="10" s="1"/>
  <c r="H267" i="10" s="1"/>
  <c r="H243" i="10"/>
  <c r="H244" i="10"/>
  <c r="H235" i="10"/>
  <c r="H236" i="10" s="1"/>
  <c r="H237" i="10"/>
  <c r="H238" i="10"/>
  <c r="H233" i="10"/>
  <c r="H234" i="10" s="1"/>
  <c r="L198" i="10"/>
  <c r="L223" i="10" s="1"/>
  <c r="L193" i="10"/>
  <c r="L218" i="10" s="1"/>
  <c r="L190" i="10"/>
  <c r="L215" i="10" s="1"/>
  <c r="L191" i="10"/>
  <c r="L216" i="10" s="1"/>
  <c r="L183" i="10"/>
  <c r="L208" i="10" s="1"/>
  <c r="L197" i="10"/>
  <c r="L222" i="10" s="1"/>
  <c r="L192" i="10"/>
  <c r="L217" i="10" s="1"/>
  <c r="L184" i="10"/>
  <c r="L209" i="10" s="1"/>
  <c r="L200" i="10"/>
  <c r="L225" i="10" s="1"/>
  <c r="L185" i="10"/>
  <c r="L210" i="10" s="1"/>
  <c r="L180" i="10"/>
  <c r="L205" i="10" s="1"/>
  <c r="L179" i="10"/>
  <c r="L204" i="10" s="1"/>
  <c r="L178" i="10"/>
  <c r="L203" i="10" s="1"/>
  <c r="L177" i="10"/>
  <c r="L194" i="10"/>
  <c r="L219" i="10" s="1"/>
  <c r="L188" i="10"/>
  <c r="L213" i="10" s="1"/>
  <c r="L189" i="10"/>
  <c r="L214" i="10" s="1"/>
  <c r="L187" i="10"/>
  <c r="L212" i="10" s="1"/>
  <c r="L199" i="10"/>
  <c r="L224" i="10" s="1"/>
  <c r="L196" i="10"/>
  <c r="L221" i="10" s="1"/>
  <c r="L186" i="10"/>
  <c r="L211" i="10" s="1"/>
  <c r="L182" i="10"/>
  <c r="L207" i="10" s="1"/>
  <c r="L195" i="10"/>
  <c r="L220" i="10" s="1"/>
  <c r="L181" i="10"/>
  <c r="L206" i="10" s="1"/>
  <c r="L201" i="10"/>
  <c r="L226" i="10" s="1"/>
  <c r="L243" i="10"/>
  <c r="L247" i="10"/>
  <c r="L257" i="10" s="1"/>
  <c r="L267" i="10" s="1"/>
  <c r="L244" i="10"/>
  <c r="L242" i="10"/>
  <c r="L235" i="10"/>
  <c r="L236" i="10"/>
  <c r="L237" i="10"/>
  <c r="L238" i="10" s="1"/>
  <c r="L233" i="10"/>
  <c r="L234" i="10"/>
  <c r="W187" i="10"/>
  <c r="W212" i="10" s="1"/>
  <c r="W185" i="10"/>
  <c r="W210" i="10" s="1"/>
  <c r="W196" i="10"/>
  <c r="W221" i="10" s="1"/>
  <c r="W198" i="10"/>
  <c r="W223" i="10" s="1"/>
  <c r="W189" i="10"/>
  <c r="W214" i="10" s="1"/>
  <c r="W179" i="10"/>
  <c r="W204" i="10" s="1"/>
  <c r="W183" i="10"/>
  <c r="W208" i="10" s="1"/>
  <c r="W197" i="10"/>
  <c r="W222" i="10" s="1"/>
  <c r="W191" i="10"/>
  <c r="W216" i="10" s="1"/>
  <c r="W177" i="10"/>
  <c r="W194" i="10"/>
  <c r="W219" i="10" s="1"/>
  <c r="W180" i="10"/>
  <c r="W205" i="10" s="1"/>
  <c r="W178" i="10"/>
  <c r="W203" i="10" s="1"/>
  <c r="W201" i="10"/>
  <c r="W226" i="10" s="1"/>
  <c r="W200" i="10"/>
  <c r="W225" i="10" s="1"/>
  <c r="W195" i="10"/>
  <c r="W220" i="10" s="1"/>
  <c r="W190" i="10"/>
  <c r="W215" i="10" s="1"/>
  <c r="W188" i="10"/>
  <c r="W213" i="10" s="1"/>
  <c r="W186" i="10"/>
  <c r="W211" i="10" s="1"/>
  <c r="W192" i="10"/>
  <c r="W217" i="10" s="1"/>
  <c r="W182" i="10"/>
  <c r="W207" i="10" s="1"/>
  <c r="W184" i="10"/>
  <c r="W209" i="10" s="1"/>
  <c r="W181" i="10"/>
  <c r="W206" i="10" s="1"/>
  <c r="W199" i="10"/>
  <c r="W224" i="10" s="1"/>
  <c r="W193" i="10"/>
  <c r="W218" i="10" s="1"/>
  <c r="W242" i="10"/>
  <c r="W247" i="10"/>
  <c r="W257" i="10" s="1"/>
  <c r="W267" i="10" s="1"/>
  <c r="W244" i="10"/>
  <c r="W243" i="10"/>
  <c r="W235" i="10"/>
  <c r="W236" i="10" s="1"/>
  <c r="W233" i="10"/>
  <c r="W234" i="10" s="1"/>
  <c r="W237" i="10"/>
  <c r="W238" i="10" s="1"/>
  <c r="AA195" i="10"/>
  <c r="AA220" i="10" s="1"/>
  <c r="AA182" i="10"/>
  <c r="AA207" i="10" s="1"/>
  <c r="AA197" i="10"/>
  <c r="AA222" i="10" s="1"/>
  <c r="AA188" i="10"/>
  <c r="AA213" i="10" s="1"/>
  <c r="AA198" i="10"/>
  <c r="AA223" i="10" s="1"/>
  <c r="AA185" i="10"/>
  <c r="AA210" i="10" s="1"/>
  <c r="AA183" i="10"/>
  <c r="AA208" i="10" s="1"/>
  <c r="AA191" i="10"/>
  <c r="AA216" i="10" s="1"/>
  <c r="AA189" i="10"/>
  <c r="AA214" i="10" s="1"/>
  <c r="AA177" i="10"/>
  <c r="AA193" i="10"/>
  <c r="AA218" i="10" s="1"/>
  <c r="AA201" i="10"/>
  <c r="AA226" i="10" s="1"/>
  <c r="AA187" i="10"/>
  <c r="AA212" i="10" s="1"/>
  <c r="AA194" i="10"/>
  <c r="AA219" i="10" s="1"/>
  <c r="AA196" i="10"/>
  <c r="AA221" i="10" s="1"/>
  <c r="AA184" i="10"/>
  <c r="AA209" i="10" s="1"/>
  <c r="AA178" i="10"/>
  <c r="AA203" i="10" s="1"/>
  <c r="AA186" i="10"/>
  <c r="AA211" i="10" s="1"/>
  <c r="AA179" i="10"/>
  <c r="AA204" i="10" s="1"/>
  <c r="AA192" i="10"/>
  <c r="AA217" i="10" s="1"/>
  <c r="AA190" i="10"/>
  <c r="AA215" i="10" s="1"/>
  <c r="AA180" i="10"/>
  <c r="AA205" i="10" s="1"/>
  <c r="AA199" i="10"/>
  <c r="AA224" i="10" s="1"/>
  <c r="AA181" i="10"/>
  <c r="AA206" i="10" s="1"/>
  <c r="AA200" i="10"/>
  <c r="AA225" i="10" s="1"/>
  <c r="AA247" i="10"/>
  <c r="AA257" i="10" s="1"/>
  <c r="AA267" i="10" s="1"/>
  <c r="AA243" i="10"/>
  <c r="AA244" i="10"/>
  <c r="AA242" i="10"/>
  <c r="AA237" i="10"/>
  <c r="AA235" i="10"/>
  <c r="AA236" i="10" s="1"/>
  <c r="AA233" i="10"/>
  <c r="AA234" i="10" s="1"/>
  <c r="AA238" i="10"/>
  <c r="AD190" i="10"/>
  <c r="AD196" i="10"/>
  <c r="AD184" i="10"/>
  <c r="AD177" i="10"/>
  <c r="AD178" i="10"/>
  <c r="AD189" i="10"/>
  <c r="AD201" i="10"/>
  <c r="AD197" i="10"/>
  <c r="AD186" i="10"/>
  <c r="AD192" i="10"/>
  <c r="AD182" i="10"/>
  <c r="AD185" i="10"/>
  <c r="AD194" i="10"/>
  <c r="AD199" i="10"/>
  <c r="AD195" i="10"/>
  <c r="AD188" i="10"/>
  <c r="AD187" i="10"/>
  <c r="AD183" i="10"/>
  <c r="AD193" i="10"/>
  <c r="AD179" i="10"/>
  <c r="AD181" i="10"/>
  <c r="AD198" i="10"/>
  <c r="AD180" i="10"/>
  <c r="AD191" i="10"/>
  <c r="AD200" i="10"/>
  <c r="AD242" i="10"/>
  <c r="AD244" i="10"/>
  <c r="AD243" i="10"/>
  <c r="AD247" i="10"/>
  <c r="AD257" i="10" s="1"/>
  <c r="AD237" i="10"/>
  <c r="AD233" i="10"/>
  <c r="AD234" i="10" s="1"/>
  <c r="AD235" i="10"/>
  <c r="AD236" i="10" s="1"/>
  <c r="AD238" i="10"/>
  <c r="AH182" i="10"/>
  <c r="AH207" i="10" s="1"/>
  <c r="AH178" i="10"/>
  <c r="AH203" i="10" s="1"/>
  <c r="AH198" i="10"/>
  <c r="AH223" i="10" s="1"/>
  <c r="AH195" i="10"/>
  <c r="AH220" i="10" s="1"/>
  <c r="AH191" i="10"/>
  <c r="AH216" i="10" s="1"/>
  <c r="AH190" i="10"/>
  <c r="AH215" i="10" s="1"/>
  <c r="AH187" i="10"/>
  <c r="AH212" i="10" s="1"/>
  <c r="AH185" i="10"/>
  <c r="AH210" i="10" s="1"/>
  <c r="AH196" i="10"/>
  <c r="AH221" i="10" s="1"/>
  <c r="AH193" i="10"/>
  <c r="AH218" i="10" s="1"/>
  <c r="AH192" i="10"/>
  <c r="AH217" i="10" s="1"/>
  <c r="AH184" i="10"/>
  <c r="AH209" i="10" s="1"/>
  <c r="AH177" i="10"/>
  <c r="AH197" i="10"/>
  <c r="AH222" i="10" s="1"/>
  <c r="AH186" i="10"/>
  <c r="AH211" i="10" s="1"/>
  <c r="AH179" i="10"/>
  <c r="AH204" i="10" s="1"/>
  <c r="AH199" i="10"/>
  <c r="AH224" i="10" s="1"/>
  <c r="AH189" i="10"/>
  <c r="AH214" i="10" s="1"/>
  <c r="AH194" i="10"/>
  <c r="AH219" i="10" s="1"/>
  <c r="AH188" i="10"/>
  <c r="AH213" i="10" s="1"/>
  <c r="AH183" i="10"/>
  <c r="AH208" i="10" s="1"/>
  <c r="AH181" i="10"/>
  <c r="AH206" i="10" s="1"/>
  <c r="AH180" i="10"/>
  <c r="AH205" i="10" s="1"/>
  <c r="AH201" i="10"/>
  <c r="AH226" i="10" s="1"/>
  <c r="AH200" i="10"/>
  <c r="AH225" i="10" s="1"/>
  <c r="AH247" i="10"/>
  <c r="AH257" i="10" s="1"/>
  <c r="AH267" i="10" s="1"/>
  <c r="AH242" i="10"/>
  <c r="AH244" i="10"/>
  <c r="AH243" i="10"/>
  <c r="AH237" i="10"/>
  <c r="AH238" i="10" s="1"/>
  <c r="AH235" i="10"/>
  <c r="AH236" i="10" s="1"/>
  <c r="AH233" i="10"/>
  <c r="AH234" i="10"/>
  <c r="AL186" i="10"/>
  <c r="AL211" i="10" s="1"/>
  <c r="AL178" i="10"/>
  <c r="AL203" i="10" s="1"/>
  <c r="AL185" i="10"/>
  <c r="AL210" i="10" s="1"/>
  <c r="AL197" i="10"/>
  <c r="AL222" i="10" s="1"/>
  <c r="AL182" i="10"/>
  <c r="AL207" i="10" s="1"/>
  <c r="AL180" i="10"/>
  <c r="AL205" i="10" s="1"/>
  <c r="AL187" i="10"/>
  <c r="AL212" i="10" s="1"/>
  <c r="AL198" i="10"/>
  <c r="AL223" i="10" s="1"/>
  <c r="AL191" i="10"/>
  <c r="AL216" i="10" s="1"/>
  <c r="AL189" i="10"/>
  <c r="AL214" i="10" s="1"/>
  <c r="AL193" i="10"/>
  <c r="AL218" i="10" s="1"/>
  <c r="AL200" i="10"/>
  <c r="AL225" i="10" s="1"/>
  <c r="AL192" i="10"/>
  <c r="AL217" i="10" s="1"/>
  <c r="AL179" i="10"/>
  <c r="AL204" i="10" s="1"/>
  <c r="AL177" i="10"/>
  <c r="AL188" i="10"/>
  <c r="AL213" i="10" s="1"/>
  <c r="AL184" i="10"/>
  <c r="AL209" i="10" s="1"/>
  <c r="AL181" i="10"/>
  <c r="AL206" i="10" s="1"/>
  <c r="AL196" i="10"/>
  <c r="AL221" i="10" s="1"/>
  <c r="AL195" i="10"/>
  <c r="AL220" i="10" s="1"/>
  <c r="AL190" i="10"/>
  <c r="AL215" i="10" s="1"/>
  <c r="AL199" i="10"/>
  <c r="AL224" i="10" s="1"/>
  <c r="AL194" i="10"/>
  <c r="AL219" i="10" s="1"/>
  <c r="AL183" i="10"/>
  <c r="AL208" i="10" s="1"/>
  <c r="AL201" i="10"/>
  <c r="AL226" i="10" s="1"/>
  <c r="AL243" i="10"/>
  <c r="AL242" i="10"/>
  <c r="AL244" i="10"/>
  <c r="AL247" i="10"/>
  <c r="AL257" i="10" s="1"/>
  <c r="AL267" i="10" s="1"/>
  <c r="AL237" i="10"/>
  <c r="AL238" i="10" s="1"/>
  <c r="AL233" i="10"/>
  <c r="AL234" i="10" s="1"/>
  <c r="AL235" i="10"/>
  <c r="AL236" i="10" s="1"/>
  <c r="AU195" i="10"/>
  <c r="AU220" i="10" s="1"/>
  <c r="AU190" i="10"/>
  <c r="AU215" i="10" s="1"/>
  <c r="AU188" i="10"/>
  <c r="AU213" i="10" s="1"/>
  <c r="AU182" i="10"/>
  <c r="AU207" i="10" s="1"/>
  <c r="AU181" i="10"/>
  <c r="AU206" i="10" s="1"/>
  <c r="AU180" i="10"/>
  <c r="AU205" i="10" s="1"/>
  <c r="AU199" i="10"/>
  <c r="AU224" i="10" s="1"/>
  <c r="AU197" i="10"/>
  <c r="AU222" i="10" s="1"/>
  <c r="AU196" i="10"/>
  <c r="AU221" i="10" s="1"/>
  <c r="AU194" i="10"/>
  <c r="AU219" i="10" s="1"/>
  <c r="AU193" i="10"/>
  <c r="AU218" i="10" s="1"/>
  <c r="AU184" i="10"/>
  <c r="AU209" i="10" s="1"/>
  <c r="AU179" i="10"/>
  <c r="AU204" i="10" s="1"/>
  <c r="AU178" i="10"/>
  <c r="AU203" i="10" s="1"/>
  <c r="AU191" i="10"/>
  <c r="AU216" i="10" s="1"/>
  <c r="AU187" i="10"/>
  <c r="AU212" i="10" s="1"/>
  <c r="AU185" i="10"/>
  <c r="AU210" i="10" s="1"/>
  <c r="AU177" i="10"/>
  <c r="AU198" i="10"/>
  <c r="AU223" i="10" s="1"/>
  <c r="AU189" i="10"/>
  <c r="AU214" i="10" s="1"/>
  <c r="AU183" i="10"/>
  <c r="AU208" i="10" s="1"/>
  <c r="AU192" i="10"/>
  <c r="AU217" i="10" s="1"/>
  <c r="AU186" i="10"/>
  <c r="AU211" i="10" s="1"/>
  <c r="AU201" i="10"/>
  <c r="AU226" i="10" s="1"/>
  <c r="AU200" i="10"/>
  <c r="AU225" i="10" s="1"/>
  <c r="AU244" i="10"/>
  <c r="AU243" i="10"/>
  <c r="AU242" i="10"/>
  <c r="AU247" i="10"/>
  <c r="AU257" i="10" s="1"/>
  <c r="AU267" i="10" s="1"/>
  <c r="AU237" i="10"/>
  <c r="AU238" i="10" s="1"/>
  <c r="AU235" i="10"/>
  <c r="AU236" i="10" s="1"/>
  <c r="AU233" i="10"/>
  <c r="AU234" i="10" s="1"/>
  <c r="AY244" i="10"/>
  <c r="AY247" i="10"/>
  <c r="AY257" i="10" s="1"/>
  <c r="AY267" i="10" s="1"/>
  <c r="AY243" i="10"/>
  <c r="AY242" i="10"/>
  <c r="AY233" i="10"/>
  <c r="AY234" i="10" s="1"/>
  <c r="AY237" i="10"/>
  <c r="AY235" i="10"/>
  <c r="AY236" i="10" s="1"/>
  <c r="AY238" i="10"/>
  <c r="AY185" i="10"/>
  <c r="AY210" i="10" s="1"/>
  <c r="AY197" i="10"/>
  <c r="AY222" i="10" s="1"/>
  <c r="AY186" i="10"/>
  <c r="AY211" i="10" s="1"/>
  <c r="AY191" i="10"/>
  <c r="AY216" i="10" s="1"/>
  <c r="AY177" i="10"/>
  <c r="AY194" i="10"/>
  <c r="AY219" i="10" s="1"/>
  <c r="AY182" i="10"/>
  <c r="AY207" i="10" s="1"/>
  <c r="AY183" i="10"/>
  <c r="AY208" i="10" s="1"/>
  <c r="AY200" i="10"/>
  <c r="AY225" i="10" s="1"/>
  <c r="AY180" i="10"/>
  <c r="AY205" i="10" s="1"/>
  <c r="AY192" i="10"/>
  <c r="AY217" i="10" s="1"/>
  <c r="AY195" i="10"/>
  <c r="AY220" i="10" s="1"/>
  <c r="AY179" i="10"/>
  <c r="AY204" i="10" s="1"/>
  <c r="AY188" i="10"/>
  <c r="AY213" i="10" s="1"/>
  <c r="AY178" i="10"/>
  <c r="AY203" i="10" s="1"/>
  <c r="AY190" i="10"/>
  <c r="AY215" i="10" s="1"/>
  <c r="AY198" i="10"/>
  <c r="AY223" i="10" s="1"/>
  <c r="AY189" i="10"/>
  <c r="AY214" i="10" s="1"/>
  <c r="AY199" i="10"/>
  <c r="AY224" i="10" s="1"/>
  <c r="AY193" i="10"/>
  <c r="AY218" i="10" s="1"/>
  <c r="AY187" i="10"/>
  <c r="AY212" i="10" s="1"/>
  <c r="AY181" i="10"/>
  <c r="AY206" i="10" s="1"/>
  <c r="AY196" i="10"/>
  <c r="AY221" i="10" s="1"/>
  <c r="AY184" i="10"/>
  <c r="AY209" i="10" s="1"/>
  <c r="AY201" i="10"/>
  <c r="AY226" i="10" s="1"/>
  <c r="BF179" i="10"/>
  <c r="BF204" i="10" s="1"/>
  <c r="BF196" i="10"/>
  <c r="BF221" i="10" s="1"/>
  <c r="BF183" i="10"/>
  <c r="BF208" i="10" s="1"/>
  <c r="BF195" i="10"/>
  <c r="BF220" i="10" s="1"/>
  <c r="BF181" i="10"/>
  <c r="BF206" i="10" s="1"/>
  <c r="BF191" i="10"/>
  <c r="BF216" i="10" s="1"/>
  <c r="BF178" i="10"/>
  <c r="BF203" i="10" s="1"/>
  <c r="BF192" i="10"/>
  <c r="BF217" i="10" s="1"/>
  <c r="BF201" i="10"/>
  <c r="BF226" i="10" s="1"/>
  <c r="BF197" i="10"/>
  <c r="BF222" i="10" s="1"/>
  <c r="BF186" i="10"/>
  <c r="BF211" i="10" s="1"/>
  <c r="BF184" i="10"/>
  <c r="BF209" i="10" s="1"/>
  <c r="BF177" i="10"/>
  <c r="BF198" i="10"/>
  <c r="BF223" i="10" s="1"/>
  <c r="BF182" i="10"/>
  <c r="BF207" i="10" s="1"/>
  <c r="BF194" i="10"/>
  <c r="BF219" i="10" s="1"/>
  <c r="BF199" i="10"/>
  <c r="BF224" i="10" s="1"/>
  <c r="BF188" i="10"/>
  <c r="BF213" i="10" s="1"/>
  <c r="BF193" i="10"/>
  <c r="BF218" i="10" s="1"/>
  <c r="BF180" i="10"/>
  <c r="BF205" i="10" s="1"/>
  <c r="BF187" i="10"/>
  <c r="BF212" i="10" s="1"/>
  <c r="BF185" i="10"/>
  <c r="BF210" i="10" s="1"/>
  <c r="BF189" i="10"/>
  <c r="BF214" i="10" s="1"/>
  <c r="BF190" i="10"/>
  <c r="BF215" i="10" s="1"/>
  <c r="BF200" i="10"/>
  <c r="BF225" i="10" s="1"/>
  <c r="BF244" i="10"/>
  <c r="BF247" i="10"/>
  <c r="BF257" i="10" s="1"/>
  <c r="BF267" i="10" s="1"/>
  <c r="BF243" i="10"/>
  <c r="BF242" i="10"/>
  <c r="BF237" i="10"/>
  <c r="BF233" i="10"/>
  <c r="BF234" i="10" s="1"/>
  <c r="BF235" i="10"/>
  <c r="BF236" i="10" s="1"/>
  <c r="BF238" i="10"/>
  <c r="BH184" i="10"/>
  <c r="BH209" i="10" s="1"/>
  <c r="BH182" i="10"/>
  <c r="BH207" i="10" s="1"/>
  <c r="BH181" i="10"/>
  <c r="BH206" i="10" s="1"/>
  <c r="BH177" i="10"/>
  <c r="BH191" i="10"/>
  <c r="BH216" i="10" s="1"/>
  <c r="BH194" i="10"/>
  <c r="BH219" i="10" s="1"/>
  <c r="BH190" i="10"/>
  <c r="BH215" i="10" s="1"/>
  <c r="BH185" i="10"/>
  <c r="BH210" i="10" s="1"/>
  <c r="BH197" i="10"/>
  <c r="BH222" i="10" s="1"/>
  <c r="BH193" i="10"/>
  <c r="BH218" i="10" s="1"/>
  <c r="BH189" i="10"/>
  <c r="BH214" i="10" s="1"/>
  <c r="BH187" i="10"/>
  <c r="BH212" i="10" s="1"/>
  <c r="BH198" i="10"/>
  <c r="BH223" i="10" s="1"/>
  <c r="BH192" i="10"/>
  <c r="BH217" i="10" s="1"/>
  <c r="BH183" i="10"/>
  <c r="BH208" i="10" s="1"/>
  <c r="BH201" i="10"/>
  <c r="BH226" i="10" s="1"/>
  <c r="BH200" i="10"/>
  <c r="BH225" i="10" s="1"/>
  <c r="BH178" i="10"/>
  <c r="BH203" i="10" s="1"/>
  <c r="BH186" i="10"/>
  <c r="BH211" i="10" s="1"/>
  <c r="BH196" i="10"/>
  <c r="BH221" i="10" s="1"/>
  <c r="BH188" i="10"/>
  <c r="BH213" i="10" s="1"/>
  <c r="BH179" i="10"/>
  <c r="BH204" i="10" s="1"/>
  <c r="BH199" i="10"/>
  <c r="BH224" i="10" s="1"/>
  <c r="BH195" i="10"/>
  <c r="BH220" i="10" s="1"/>
  <c r="BH180" i="10"/>
  <c r="BH205" i="10" s="1"/>
  <c r="BH247" i="10"/>
  <c r="BH257" i="10" s="1"/>
  <c r="BH267" i="10" s="1"/>
  <c r="BH242" i="10"/>
  <c r="BH243" i="10"/>
  <c r="BH244" i="10"/>
  <c r="BH235" i="10"/>
  <c r="BH236" i="10" s="1"/>
  <c r="BH233" i="10"/>
  <c r="BH234" i="10"/>
  <c r="BH237" i="10"/>
  <c r="BH238" i="10" s="1"/>
  <c r="BU247" i="10"/>
  <c r="BU257" i="10" s="1"/>
  <c r="BU267" i="10" s="1"/>
  <c r="BU244" i="10"/>
  <c r="BU242" i="10"/>
  <c r="BU243" i="10"/>
  <c r="BU233" i="10"/>
  <c r="BU234" i="10" s="1"/>
  <c r="BU235" i="10"/>
  <c r="BU236" i="10" s="1"/>
  <c r="BU237" i="10"/>
  <c r="BU238" i="10" s="1"/>
  <c r="BU197" i="10"/>
  <c r="BU222" i="10" s="1"/>
  <c r="BU183" i="10"/>
  <c r="BU208" i="10" s="1"/>
  <c r="BU186" i="10"/>
  <c r="BU211" i="10" s="1"/>
  <c r="BU180" i="10"/>
  <c r="BU205" i="10" s="1"/>
  <c r="BU195" i="10"/>
  <c r="BU220" i="10" s="1"/>
  <c r="BU196" i="10"/>
  <c r="BU221" i="10" s="1"/>
  <c r="BU187" i="10"/>
  <c r="BU212" i="10" s="1"/>
  <c r="BU198" i="10"/>
  <c r="BU223" i="10" s="1"/>
  <c r="BU188" i="10"/>
  <c r="BU213" i="10" s="1"/>
  <c r="BU193" i="10"/>
  <c r="BU218" i="10" s="1"/>
  <c r="BU201" i="10"/>
  <c r="BU226" i="10" s="1"/>
  <c r="BU189" i="10"/>
  <c r="BU214" i="10" s="1"/>
  <c r="BU178" i="10"/>
  <c r="BU203" i="10" s="1"/>
  <c r="BU179" i="10"/>
  <c r="BU204" i="10" s="1"/>
  <c r="BU191" i="10"/>
  <c r="BU216" i="10" s="1"/>
  <c r="BU190" i="10"/>
  <c r="BU215" i="10" s="1"/>
  <c r="BU181" i="10"/>
  <c r="BU206" i="10" s="1"/>
  <c r="BU199" i="10"/>
  <c r="BU224" i="10" s="1"/>
  <c r="BU194" i="10"/>
  <c r="BU219" i="10" s="1"/>
  <c r="BU185" i="10"/>
  <c r="BU210" i="10" s="1"/>
  <c r="BU182" i="10"/>
  <c r="BU207" i="10" s="1"/>
  <c r="BU192" i="10"/>
  <c r="BU217" i="10" s="1"/>
  <c r="BU184" i="10"/>
  <c r="BU209" i="10" s="1"/>
  <c r="BU177" i="10"/>
  <c r="BU200" i="10"/>
  <c r="BU225" i="10" s="1"/>
  <c r="CK182" i="10"/>
  <c r="CK207" i="10" s="1"/>
  <c r="CK181" i="10"/>
  <c r="CK206" i="10" s="1"/>
  <c r="CK177" i="10"/>
  <c r="CK194" i="10"/>
  <c r="CK219" i="10" s="1"/>
  <c r="CK192" i="10"/>
  <c r="CK217" i="10" s="1"/>
  <c r="CK190" i="10"/>
  <c r="CK215" i="10" s="1"/>
  <c r="CK185" i="10"/>
  <c r="CK210" i="10" s="1"/>
  <c r="CK199" i="10"/>
  <c r="CK224" i="10" s="1"/>
  <c r="CK195" i="10"/>
  <c r="CK220" i="10" s="1"/>
  <c r="CK189" i="10"/>
  <c r="CK214" i="10" s="1"/>
  <c r="CK184" i="10"/>
  <c r="CK209" i="10" s="1"/>
  <c r="CK197" i="10"/>
  <c r="CK222" i="10" s="1"/>
  <c r="CK188" i="10"/>
  <c r="CK213" i="10" s="1"/>
  <c r="CK187" i="10"/>
  <c r="CK212" i="10" s="1"/>
  <c r="CK196" i="10"/>
  <c r="CK221" i="10" s="1"/>
  <c r="CK193" i="10"/>
  <c r="CK218" i="10" s="1"/>
  <c r="CK180" i="10"/>
  <c r="CK205" i="10" s="1"/>
  <c r="CK178" i="10"/>
  <c r="CK203" i="10" s="1"/>
  <c r="CK198" i="10"/>
  <c r="CK223" i="10" s="1"/>
  <c r="CK191" i="10"/>
  <c r="CK216" i="10" s="1"/>
  <c r="CK186" i="10"/>
  <c r="CK211" i="10" s="1"/>
  <c r="CK183" i="10"/>
  <c r="CK208" i="10" s="1"/>
  <c r="CK179" i="10"/>
  <c r="CK204" i="10" s="1"/>
  <c r="CK201" i="10"/>
  <c r="CK226" i="10" s="1"/>
  <c r="CK200" i="10"/>
  <c r="CK225" i="10" s="1"/>
  <c r="CK244" i="10"/>
  <c r="CK243" i="10"/>
  <c r="CK242" i="10"/>
  <c r="CK247" i="10"/>
  <c r="CK257" i="10" s="1"/>
  <c r="CK267" i="10" s="1"/>
  <c r="CK235" i="10"/>
  <c r="CK236" i="10" s="1"/>
  <c r="CK237" i="10"/>
  <c r="CK238" i="10" s="1"/>
  <c r="CK233" i="10"/>
  <c r="CK234" i="10" s="1"/>
  <c r="CQ197" i="10"/>
  <c r="CQ222" i="10" s="1"/>
  <c r="CQ191" i="10"/>
  <c r="CQ216" i="10" s="1"/>
  <c r="CQ190" i="10"/>
  <c r="CQ215" i="10" s="1"/>
  <c r="CQ188" i="10"/>
  <c r="CQ213" i="10" s="1"/>
  <c r="CQ183" i="10"/>
  <c r="CQ208" i="10" s="1"/>
  <c r="CQ181" i="10"/>
  <c r="CQ206" i="10" s="1"/>
  <c r="CQ179" i="10"/>
  <c r="CQ204" i="10" s="1"/>
  <c r="CQ177" i="10"/>
  <c r="CQ196" i="10"/>
  <c r="CQ221" i="10" s="1"/>
  <c r="CQ195" i="10"/>
  <c r="CQ220" i="10" s="1"/>
  <c r="CQ194" i="10"/>
  <c r="CQ219" i="10" s="1"/>
  <c r="CQ192" i="10"/>
  <c r="CQ217" i="10" s="1"/>
  <c r="CQ186" i="10"/>
  <c r="CQ211" i="10" s="1"/>
  <c r="CQ185" i="10"/>
  <c r="CQ210" i="10" s="1"/>
  <c r="CQ182" i="10"/>
  <c r="CQ207" i="10" s="1"/>
  <c r="CQ178" i="10"/>
  <c r="CQ203" i="10" s="1"/>
  <c r="CQ180" i="10"/>
  <c r="CQ205" i="10" s="1"/>
  <c r="CQ198" i="10"/>
  <c r="CQ223" i="10" s="1"/>
  <c r="CQ193" i="10"/>
  <c r="CQ218" i="10" s="1"/>
  <c r="CQ189" i="10"/>
  <c r="CQ214" i="10" s="1"/>
  <c r="CQ184" i="10"/>
  <c r="CQ209" i="10" s="1"/>
  <c r="CQ187" i="10"/>
  <c r="CQ212" i="10" s="1"/>
  <c r="CQ201" i="10"/>
  <c r="CQ226" i="10" s="1"/>
  <c r="CQ200" i="10"/>
  <c r="CQ225" i="10" s="1"/>
  <c r="CQ199" i="10"/>
  <c r="CQ224" i="10" s="1"/>
  <c r="CQ243" i="10"/>
  <c r="CQ242" i="10"/>
  <c r="CQ247" i="10"/>
  <c r="CQ257" i="10" s="1"/>
  <c r="CQ267" i="10" s="1"/>
  <c r="CQ244" i="10"/>
  <c r="CQ235" i="10"/>
  <c r="CQ236" i="10" s="1"/>
  <c r="CQ233" i="10"/>
  <c r="CQ234" i="10" s="1"/>
  <c r="CQ237" i="10"/>
  <c r="CQ238" i="10" s="1"/>
  <c r="DF185" i="10"/>
  <c r="DF210" i="10" s="1"/>
  <c r="DF177" i="10"/>
  <c r="DF196" i="10"/>
  <c r="DF221" i="10" s="1"/>
  <c r="DF192" i="10"/>
  <c r="DF217" i="10" s="1"/>
  <c r="DF191" i="10"/>
  <c r="DF216" i="10" s="1"/>
  <c r="DF188" i="10"/>
  <c r="DF213" i="10" s="1"/>
  <c r="DF181" i="10"/>
  <c r="DF206" i="10" s="1"/>
  <c r="DF194" i="10"/>
  <c r="DF219" i="10" s="1"/>
  <c r="DF190" i="10"/>
  <c r="DF215" i="10" s="1"/>
  <c r="DF187" i="10"/>
  <c r="DF212" i="10" s="1"/>
  <c r="DF183" i="10"/>
  <c r="DF208" i="10" s="1"/>
  <c r="DF197" i="10"/>
  <c r="DF222" i="10" s="1"/>
  <c r="DF180" i="10"/>
  <c r="DF205" i="10" s="1"/>
  <c r="DF195" i="10"/>
  <c r="DF220" i="10" s="1"/>
  <c r="DF189" i="10"/>
  <c r="DF214" i="10" s="1"/>
  <c r="DF184" i="10"/>
  <c r="DF209" i="10" s="1"/>
  <c r="DF182" i="10"/>
  <c r="DF207" i="10" s="1"/>
  <c r="DF179" i="10"/>
  <c r="DF204" i="10" s="1"/>
  <c r="DF178" i="10"/>
  <c r="DF203" i="10" s="1"/>
  <c r="DF198" i="10"/>
  <c r="DF223" i="10" s="1"/>
  <c r="DF193" i="10"/>
  <c r="DF218" i="10" s="1"/>
  <c r="DF186" i="10"/>
  <c r="DF211" i="10" s="1"/>
  <c r="DF201" i="10"/>
  <c r="DF226" i="10" s="1"/>
  <c r="DF200" i="10"/>
  <c r="DF225" i="10" s="1"/>
  <c r="DF199" i="10"/>
  <c r="DF224" i="10" s="1"/>
  <c r="DF244" i="10"/>
  <c r="DF242" i="10"/>
  <c r="DF243" i="10"/>
  <c r="DF247" i="10"/>
  <c r="DF257" i="10" s="1"/>
  <c r="DF267" i="10" s="1"/>
  <c r="DF235" i="10"/>
  <c r="DF233" i="10"/>
  <c r="DF234" i="10" s="1"/>
  <c r="DF237" i="10"/>
  <c r="DF238" i="10" s="1"/>
  <c r="DF236" i="10"/>
  <c r="EB196" i="10"/>
  <c r="EB221" i="10" s="1"/>
  <c r="EB188" i="10"/>
  <c r="EB213" i="10" s="1"/>
  <c r="EB198" i="10"/>
  <c r="EB223" i="10" s="1"/>
  <c r="EB194" i="10"/>
  <c r="EB219" i="10" s="1"/>
  <c r="EB189" i="10"/>
  <c r="EB214" i="10" s="1"/>
  <c r="EB179" i="10"/>
  <c r="EB204" i="10" s="1"/>
  <c r="EB178" i="10"/>
  <c r="EB203" i="10" s="1"/>
  <c r="EB187" i="10"/>
  <c r="EB212" i="10" s="1"/>
  <c r="EB184" i="10"/>
  <c r="EB209" i="10" s="1"/>
  <c r="EB201" i="10"/>
  <c r="EB226" i="10" s="1"/>
  <c r="EB199" i="10"/>
  <c r="EB224" i="10" s="1"/>
  <c r="EB181" i="10"/>
  <c r="EB206" i="10" s="1"/>
  <c r="EB180" i="10"/>
  <c r="EB205" i="10" s="1"/>
  <c r="EB197" i="10"/>
  <c r="EB222" i="10" s="1"/>
  <c r="EB190" i="10"/>
  <c r="EB215" i="10" s="1"/>
  <c r="EB186" i="10"/>
  <c r="EB211" i="10" s="1"/>
  <c r="EB195" i="10"/>
  <c r="EB220" i="10" s="1"/>
  <c r="EB192" i="10"/>
  <c r="EB217" i="10" s="1"/>
  <c r="EB185" i="10"/>
  <c r="EB210" i="10" s="1"/>
  <c r="EB182" i="10"/>
  <c r="EB207" i="10" s="1"/>
  <c r="EB177" i="10"/>
  <c r="EB193" i="10"/>
  <c r="EB218" i="10" s="1"/>
  <c r="EB191" i="10"/>
  <c r="EB216" i="10" s="1"/>
  <c r="EB183" i="10"/>
  <c r="EB208" i="10" s="1"/>
  <c r="EB200" i="10"/>
  <c r="EB225" i="10" s="1"/>
  <c r="EB247" i="10"/>
  <c r="EB257" i="10" s="1"/>
  <c r="EB244" i="10"/>
  <c r="EB243" i="10"/>
  <c r="EB242" i="10"/>
  <c r="EB237" i="10"/>
  <c r="EB238" i="10" s="1"/>
  <c r="EB235" i="10"/>
  <c r="EB236" i="10" s="1"/>
  <c r="EB233" i="10"/>
  <c r="EB234" i="10" s="1"/>
  <c r="M197" i="10"/>
  <c r="M222" i="10" s="1"/>
  <c r="M196" i="10"/>
  <c r="M221" i="10" s="1"/>
  <c r="M192" i="10"/>
  <c r="M217" i="10" s="1"/>
  <c r="M191" i="10"/>
  <c r="M216" i="10" s="1"/>
  <c r="M190" i="10"/>
  <c r="M215" i="10" s="1"/>
  <c r="M189" i="10"/>
  <c r="M214" i="10" s="1"/>
  <c r="M193" i="10"/>
  <c r="M218" i="10" s="1"/>
  <c r="M188" i="10"/>
  <c r="M213" i="10" s="1"/>
  <c r="M184" i="10"/>
  <c r="M209" i="10" s="1"/>
  <c r="M183" i="10"/>
  <c r="M208" i="10" s="1"/>
  <c r="M182" i="10"/>
  <c r="M207" i="10" s="1"/>
  <c r="M180" i="10"/>
  <c r="M205" i="10" s="1"/>
  <c r="M195" i="10"/>
  <c r="M220" i="10" s="1"/>
  <c r="M185" i="10"/>
  <c r="M210" i="10" s="1"/>
  <c r="M181" i="10"/>
  <c r="M206" i="10" s="1"/>
  <c r="M179" i="10"/>
  <c r="M204" i="10" s="1"/>
  <c r="M178" i="10"/>
  <c r="M203" i="10" s="1"/>
  <c r="M199" i="10"/>
  <c r="M224" i="10" s="1"/>
  <c r="M198" i="10"/>
  <c r="M223" i="10" s="1"/>
  <c r="M194" i="10"/>
  <c r="M219" i="10" s="1"/>
  <c r="M187" i="10"/>
  <c r="M212" i="10" s="1"/>
  <c r="M186" i="10"/>
  <c r="M211" i="10" s="1"/>
  <c r="M177" i="10"/>
  <c r="M201" i="10"/>
  <c r="M226" i="10" s="1"/>
  <c r="M200" i="10"/>
  <c r="M225" i="10" s="1"/>
  <c r="M242" i="10"/>
  <c r="M247" i="10"/>
  <c r="M257" i="10" s="1"/>
  <c r="M267" i="10" s="1"/>
  <c r="M244" i="10"/>
  <c r="M243" i="10"/>
  <c r="M233" i="10"/>
  <c r="M234" i="10" s="1"/>
  <c r="M235" i="10"/>
  <c r="M236" i="10" s="1"/>
  <c r="M237" i="10"/>
  <c r="M238" i="10" s="1"/>
  <c r="P193" i="10"/>
  <c r="P218" i="10" s="1"/>
  <c r="P178" i="10"/>
  <c r="P203" i="10" s="1"/>
  <c r="P197" i="10"/>
  <c r="P222" i="10" s="1"/>
  <c r="P191" i="10"/>
  <c r="P216" i="10" s="1"/>
  <c r="P189" i="10"/>
  <c r="P214" i="10" s="1"/>
  <c r="P182" i="10"/>
  <c r="P207" i="10" s="1"/>
  <c r="P195" i="10"/>
  <c r="P220" i="10" s="1"/>
  <c r="P179" i="10"/>
  <c r="P204" i="10" s="1"/>
  <c r="P192" i="10"/>
  <c r="P217" i="10" s="1"/>
  <c r="P200" i="10"/>
  <c r="P225" i="10" s="1"/>
  <c r="P186" i="10"/>
  <c r="P211" i="10" s="1"/>
  <c r="P194" i="10"/>
  <c r="P219" i="10" s="1"/>
  <c r="P185" i="10"/>
  <c r="P210" i="10" s="1"/>
  <c r="P183" i="10"/>
  <c r="P208" i="10" s="1"/>
  <c r="P199" i="10"/>
  <c r="P224" i="10" s="1"/>
  <c r="P190" i="10"/>
  <c r="P215" i="10" s="1"/>
  <c r="P187" i="10"/>
  <c r="P212" i="10" s="1"/>
  <c r="P180" i="10"/>
  <c r="P205" i="10" s="1"/>
  <c r="P196" i="10"/>
  <c r="P221" i="10" s="1"/>
  <c r="P181" i="10"/>
  <c r="P206" i="10" s="1"/>
  <c r="P177" i="10"/>
  <c r="P198" i="10"/>
  <c r="P223" i="10" s="1"/>
  <c r="P188" i="10"/>
  <c r="P213" i="10" s="1"/>
  <c r="P184" i="10"/>
  <c r="P209" i="10" s="1"/>
  <c r="P201" i="10"/>
  <c r="P226" i="10" s="1"/>
  <c r="P244" i="10"/>
  <c r="P242" i="10"/>
  <c r="P243" i="10"/>
  <c r="P247" i="10"/>
  <c r="P257" i="10" s="1"/>
  <c r="P267" i="10" s="1"/>
  <c r="P237" i="10"/>
  <c r="P238" i="10" s="1"/>
  <c r="P233" i="10"/>
  <c r="P235" i="10"/>
  <c r="P236" i="10"/>
  <c r="P234" i="10"/>
  <c r="R247" i="10"/>
  <c r="R257" i="10" s="1"/>
  <c r="R242" i="10"/>
  <c r="R244" i="10"/>
  <c r="R243" i="10"/>
  <c r="R237" i="10"/>
  <c r="R235" i="10"/>
  <c r="R236" i="10" s="1"/>
  <c r="R238" i="10"/>
  <c r="R233" i="10"/>
  <c r="R234" i="10" s="1"/>
  <c r="R194" i="10"/>
  <c r="R180" i="10"/>
  <c r="R198" i="10"/>
  <c r="R196" i="10"/>
  <c r="R192" i="10"/>
  <c r="R188" i="10"/>
  <c r="R177" i="10"/>
  <c r="R191" i="10"/>
  <c r="R186" i="10"/>
  <c r="R183" i="10"/>
  <c r="R193" i="10"/>
  <c r="R187" i="10"/>
  <c r="R184" i="10"/>
  <c r="R182" i="10"/>
  <c r="R197" i="10"/>
  <c r="R195" i="10"/>
  <c r="R189" i="10"/>
  <c r="R181" i="10"/>
  <c r="R190" i="10"/>
  <c r="R185" i="10"/>
  <c r="R199" i="10"/>
  <c r="R179" i="10"/>
  <c r="R178" i="10"/>
  <c r="R201" i="10"/>
  <c r="R200" i="10"/>
  <c r="V186" i="10"/>
  <c r="V211" i="10" s="1"/>
  <c r="V184" i="10"/>
  <c r="V209" i="10" s="1"/>
  <c r="V194" i="10"/>
  <c r="V219" i="10" s="1"/>
  <c r="V192" i="10"/>
  <c r="V217" i="10" s="1"/>
  <c r="V187" i="10"/>
  <c r="V212" i="10" s="1"/>
  <c r="V180" i="10"/>
  <c r="V205" i="10" s="1"/>
  <c r="V178" i="10"/>
  <c r="V203" i="10" s="1"/>
  <c r="V199" i="10"/>
  <c r="V224" i="10" s="1"/>
  <c r="V197" i="10"/>
  <c r="V222" i="10" s="1"/>
  <c r="V193" i="10"/>
  <c r="V218" i="10" s="1"/>
  <c r="V183" i="10"/>
  <c r="V208" i="10" s="1"/>
  <c r="V182" i="10"/>
  <c r="V207" i="10" s="1"/>
  <c r="V181" i="10"/>
  <c r="V206" i="10" s="1"/>
  <c r="V198" i="10"/>
  <c r="V223" i="10" s="1"/>
  <c r="V196" i="10"/>
  <c r="V221" i="10" s="1"/>
  <c r="V189" i="10"/>
  <c r="V214" i="10" s="1"/>
  <c r="V195" i="10"/>
  <c r="V220" i="10" s="1"/>
  <c r="V190" i="10"/>
  <c r="V215" i="10" s="1"/>
  <c r="V188" i="10"/>
  <c r="V213" i="10" s="1"/>
  <c r="V179" i="10"/>
  <c r="V204" i="10" s="1"/>
  <c r="V191" i="10"/>
  <c r="V216" i="10" s="1"/>
  <c r="V185" i="10"/>
  <c r="V210" i="10" s="1"/>
  <c r="V177" i="10"/>
  <c r="V201" i="10"/>
  <c r="V226" i="10" s="1"/>
  <c r="V200" i="10"/>
  <c r="V225" i="10" s="1"/>
  <c r="V247" i="10"/>
  <c r="V257" i="10" s="1"/>
  <c r="V267" i="10" s="1"/>
  <c r="V242" i="10"/>
  <c r="V243" i="10"/>
  <c r="V244" i="10"/>
  <c r="V235" i="10"/>
  <c r="V233" i="10"/>
  <c r="V234" i="10" s="1"/>
  <c r="V237" i="10"/>
  <c r="V238" i="10" s="1"/>
  <c r="V236" i="10"/>
  <c r="AB182" i="10"/>
  <c r="AB207" i="10" s="1"/>
  <c r="AB180" i="10"/>
  <c r="AB205" i="10" s="1"/>
  <c r="AB197" i="10"/>
  <c r="AB222" i="10" s="1"/>
  <c r="AB188" i="10"/>
  <c r="AB213" i="10" s="1"/>
  <c r="AB195" i="10"/>
  <c r="AB220" i="10" s="1"/>
  <c r="AB185" i="10"/>
  <c r="AB210" i="10" s="1"/>
  <c r="AB181" i="10"/>
  <c r="AB206" i="10" s="1"/>
  <c r="AB194" i="10"/>
  <c r="AB219" i="10" s="1"/>
  <c r="AB192" i="10"/>
  <c r="AB217" i="10" s="1"/>
  <c r="AB184" i="10"/>
  <c r="AB209" i="10" s="1"/>
  <c r="AB200" i="10"/>
  <c r="AB225" i="10" s="1"/>
  <c r="AB187" i="10"/>
  <c r="AB212" i="10" s="1"/>
  <c r="AB186" i="10"/>
  <c r="AB211" i="10" s="1"/>
  <c r="AB178" i="10"/>
  <c r="AB203" i="10" s="1"/>
  <c r="AB190" i="10"/>
  <c r="AB215" i="10" s="1"/>
  <c r="AB189" i="10"/>
  <c r="AB214" i="10" s="1"/>
  <c r="AB196" i="10"/>
  <c r="AB221" i="10" s="1"/>
  <c r="AB199" i="10"/>
  <c r="AB224" i="10" s="1"/>
  <c r="AB193" i="10"/>
  <c r="AB218" i="10" s="1"/>
  <c r="AB183" i="10"/>
  <c r="AB208" i="10" s="1"/>
  <c r="AB198" i="10"/>
  <c r="AB223" i="10" s="1"/>
  <c r="AB191" i="10"/>
  <c r="AB216" i="10" s="1"/>
  <c r="AB179" i="10"/>
  <c r="AB204" i="10" s="1"/>
  <c r="AB177" i="10"/>
  <c r="AB201" i="10"/>
  <c r="AB226" i="10" s="1"/>
  <c r="AB243" i="10"/>
  <c r="AB247" i="10"/>
  <c r="AB257" i="10" s="1"/>
  <c r="AB267" i="10" s="1"/>
  <c r="AB244" i="10"/>
  <c r="AB242" i="10"/>
  <c r="AB237" i="10"/>
  <c r="AB235" i="10"/>
  <c r="AB236" i="10" s="1"/>
  <c r="AB238" i="10"/>
  <c r="AB233" i="10"/>
  <c r="AB234" i="10" s="1"/>
  <c r="AK247" i="10"/>
  <c r="AK257" i="10" s="1"/>
  <c r="AK267" i="10" s="1"/>
  <c r="AK244" i="10"/>
  <c r="AK242" i="10"/>
  <c r="AK243" i="10"/>
  <c r="AK235" i="10"/>
  <c r="AK236" i="10"/>
  <c r="AK237" i="10"/>
  <c r="AK238" i="10" s="1"/>
  <c r="AK233" i="10"/>
  <c r="AK234" i="10" s="1"/>
  <c r="AK187" i="10"/>
  <c r="AK212" i="10" s="1"/>
  <c r="AK199" i="10"/>
  <c r="AK224" i="10" s="1"/>
  <c r="AK197" i="10"/>
  <c r="AK222" i="10" s="1"/>
  <c r="AK196" i="10"/>
  <c r="AK221" i="10" s="1"/>
  <c r="AK195" i="10"/>
  <c r="AK220" i="10" s="1"/>
  <c r="AK191" i="10"/>
  <c r="AK216" i="10" s="1"/>
  <c r="AK190" i="10"/>
  <c r="AK215" i="10" s="1"/>
  <c r="AK194" i="10"/>
  <c r="AK219" i="10" s="1"/>
  <c r="AK193" i="10"/>
  <c r="AK218" i="10" s="1"/>
  <c r="AK192" i="10"/>
  <c r="AK217" i="10" s="1"/>
  <c r="AK189" i="10"/>
  <c r="AK214" i="10" s="1"/>
  <c r="AK186" i="10"/>
  <c r="AK211" i="10" s="1"/>
  <c r="AK183" i="10"/>
  <c r="AK208" i="10" s="1"/>
  <c r="AK178" i="10"/>
  <c r="AK203" i="10" s="1"/>
  <c r="AK177" i="10"/>
  <c r="AK198" i="10"/>
  <c r="AK223" i="10" s="1"/>
  <c r="AK185" i="10"/>
  <c r="AK210" i="10" s="1"/>
  <c r="AK179" i="10"/>
  <c r="AK204" i="10" s="1"/>
  <c r="AK188" i="10"/>
  <c r="AK213" i="10" s="1"/>
  <c r="AK184" i="10"/>
  <c r="AK209" i="10" s="1"/>
  <c r="AK182" i="10"/>
  <c r="AK207" i="10" s="1"/>
  <c r="AK181" i="10"/>
  <c r="AK206" i="10" s="1"/>
  <c r="AK180" i="10"/>
  <c r="AK205" i="10" s="1"/>
  <c r="AK201" i="10"/>
  <c r="AK226" i="10" s="1"/>
  <c r="AK200" i="10"/>
  <c r="AK225" i="10" s="1"/>
  <c r="AN186" i="10"/>
  <c r="AN211" i="10" s="1"/>
  <c r="AN191" i="10"/>
  <c r="AN216" i="10" s="1"/>
  <c r="AN184" i="10"/>
  <c r="AN209" i="10" s="1"/>
  <c r="AN178" i="10"/>
  <c r="AN203" i="10" s="1"/>
  <c r="AN195" i="10"/>
  <c r="AN220" i="10" s="1"/>
  <c r="AN183" i="10"/>
  <c r="AN208" i="10" s="1"/>
  <c r="AN190" i="10"/>
  <c r="AN215" i="10" s="1"/>
  <c r="AN182" i="10"/>
  <c r="AN207" i="10" s="1"/>
  <c r="AN199" i="10"/>
  <c r="AN224" i="10" s="1"/>
  <c r="AN196" i="10"/>
  <c r="AN221" i="10" s="1"/>
  <c r="AN181" i="10"/>
  <c r="AN206" i="10" s="1"/>
  <c r="AN198" i="10"/>
  <c r="AN223" i="10" s="1"/>
  <c r="AN188" i="10"/>
  <c r="AN213" i="10" s="1"/>
  <c r="AN201" i="10"/>
  <c r="AN226" i="10" s="1"/>
  <c r="AN194" i="10"/>
  <c r="AN219" i="10" s="1"/>
  <c r="AN187" i="10"/>
  <c r="AN212" i="10" s="1"/>
  <c r="AN180" i="10"/>
  <c r="AN205" i="10" s="1"/>
  <c r="AN189" i="10"/>
  <c r="AN214" i="10" s="1"/>
  <c r="AN179" i="10"/>
  <c r="AN204" i="10" s="1"/>
  <c r="AN197" i="10"/>
  <c r="AN222" i="10" s="1"/>
  <c r="AN193" i="10"/>
  <c r="AN218" i="10" s="1"/>
  <c r="AN177" i="10"/>
  <c r="AN192" i="10"/>
  <c r="AN217" i="10" s="1"/>
  <c r="AN185" i="10"/>
  <c r="AN210" i="10" s="1"/>
  <c r="AN200" i="10"/>
  <c r="AN225" i="10" s="1"/>
  <c r="AN243" i="10"/>
  <c r="AN244" i="10"/>
  <c r="AN247" i="10"/>
  <c r="AN257" i="10" s="1"/>
  <c r="AN267" i="10" s="1"/>
  <c r="AN242" i="10"/>
  <c r="AN235" i="10"/>
  <c r="AN236" i="10" s="1"/>
  <c r="AN233" i="10"/>
  <c r="AN234" i="10"/>
  <c r="AN237" i="10"/>
  <c r="AN238" i="10" s="1"/>
  <c r="AR177" i="10"/>
  <c r="AR192" i="10"/>
  <c r="AR217" i="10" s="1"/>
  <c r="AR181" i="10"/>
  <c r="AR206" i="10" s="1"/>
  <c r="AR187" i="10"/>
  <c r="AR212" i="10" s="1"/>
  <c r="AR198" i="10"/>
  <c r="AR223" i="10" s="1"/>
  <c r="AR195" i="10"/>
  <c r="AR220" i="10" s="1"/>
  <c r="AR189" i="10"/>
  <c r="AR214" i="10" s="1"/>
  <c r="AR191" i="10"/>
  <c r="AR216" i="10" s="1"/>
  <c r="AR185" i="10"/>
  <c r="AR210" i="10" s="1"/>
  <c r="AR200" i="10"/>
  <c r="AR225" i="10" s="1"/>
  <c r="AR184" i="10"/>
  <c r="AR209" i="10" s="1"/>
  <c r="AR182" i="10"/>
  <c r="AR207" i="10" s="1"/>
  <c r="AR188" i="10"/>
  <c r="AR213" i="10" s="1"/>
  <c r="AR193" i="10"/>
  <c r="AR218" i="10" s="1"/>
  <c r="AR190" i="10"/>
  <c r="AR215" i="10" s="1"/>
  <c r="AR179" i="10"/>
  <c r="AR204" i="10" s="1"/>
  <c r="AR197" i="10"/>
  <c r="AR222" i="10" s="1"/>
  <c r="AR183" i="10"/>
  <c r="AR208" i="10" s="1"/>
  <c r="AR199" i="10"/>
  <c r="AR224" i="10" s="1"/>
  <c r="AR196" i="10"/>
  <c r="AR221" i="10" s="1"/>
  <c r="AR178" i="10"/>
  <c r="AR203" i="10" s="1"/>
  <c r="AR194" i="10"/>
  <c r="AR219" i="10" s="1"/>
  <c r="AR186" i="10"/>
  <c r="AR211" i="10" s="1"/>
  <c r="AR180" i="10"/>
  <c r="AR205" i="10" s="1"/>
  <c r="AR201" i="10"/>
  <c r="AR226" i="10" s="1"/>
  <c r="AR242" i="10"/>
  <c r="AR244" i="10"/>
  <c r="AR243" i="10"/>
  <c r="AR247" i="10"/>
  <c r="AR257" i="10" s="1"/>
  <c r="AR267" i="10" s="1"/>
  <c r="AR237" i="10"/>
  <c r="AR238" i="10" s="1"/>
  <c r="AR233" i="10"/>
  <c r="AR234" i="10" s="1"/>
  <c r="AR235" i="10"/>
  <c r="AR236" i="10" s="1"/>
  <c r="AX243" i="10"/>
  <c r="AX244" i="10"/>
  <c r="AX242" i="10"/>
  <c r="AX247" i="10"/>
  <c r="AX257" i="10" s="1"/>
  <c r="AX267" i="10" s="1"/>
  <c r="AX237" i="10"/>
  <c r="AX238" i="10" s="1"/>
  <c r="AX233" i="10"/>
  <c r="AX235" i="10"/>
  <c r="AX236" i="10" s="1"/>
  <c r="AX234" i="10"/>
  <c r="AX181" i="10"/>
  <c r="AX206" i="10" s="1"/>
  <c r="AX180" i="10"/>
  <c r="AX205" i="10" s="1"/>
  <c r="AX177" i="10"/>
  <c r="AX194" i="10"/>
  <c r="AX219" i="10" s="1"/>
  <c r="AX188" i="10"/>
  <c r="AX213" i="10" s="1"/>
  <c r="AX187" i="10"/>
  <c r="AX212" i="10" s="1"/>
  <c r="AX184" i="10"/>
  <c r="AX209" i="10" s="1"/>
  <c r="AX179" i="10"/>
  <c r="AX204" i="10" s="1"/>
  <c r="AX197" i="10"/>
  <c r="AX222" i="10" s="1"/>
  <c r="AX196" i="10"/>
  <c r="AX221" i="10" s="1"/>
  <c r="AX189" i="10"/>
  <c r="AX214" i="10" s="1"/>
  <c r="AX185" i="10"/>
  <c r="AX210" i="10" s="1"/>
  <c r="AX183" i="10"/>
  <c r="AX208" i="10" s="1"/>
  <c r="AX178" i="10"/>
  <c r="AX203" i="10" s="1"/>
  <c r="AX198" i="10"/>
  <c r="AX223" i="10" s="1"/>
  <c r="AX182" i="10"/>
  <c r="AX207" i="10" s="1"/>
  <c r="AX199" i="10"/>
  <c r="AX224" i="10" s="1"/>
  <c r="AX195" i="10"/>
  <c r="AX220" i="10" s="1"/>
  <c r="AX193" i="10"/>
  <c r="AX218" i="10" s="1"/>
  <c r="AX192" i="10"/>
  <c r="AX217" i="10" s="1"/>
  <c r="AX191" i="10"/>
  <c r="AX216" i="10" s="1"/>
  <c r="AX190" i="10"/>
  <c r="AX215" i="10" s="1"/>
  <c r="AX186" i="10"/>
  <c r="AX211" i="10" s="1"/>
  <c r="AX201" i="10"/>
  <c r="AX226" i="10" s="1"/>
  <c r="AX200" i="10"/>
  <c r="AX225" i="10" s="1"/>
  <c r="BB187" i="10"/>
  <c r="BB199" i="10"/>
  <c r="BB182" i="10"/>
  <c r="BB196" i="10"/>
  <c r="BB193" i="10"/>
  <c r="BB190" i="10"/>
  <c r="BB184" i="10"/>
  <c r="BB179" i="10"/>
  <c r="BB198" i="10"/>
  <c r="BB189" i="10"/>
  <c r="BB183" i="10"/>
  <c r="BB177" i="10"/>
  <c r="BB200" i="10"/>
  <c r="BB188" i="10"/>
  <c r="BB186" i="10"/>
  <c r="BB197" i="10"/>
  <c r="BB195" i="10"/>
  <c r="BB192" i="10"/>
  <c r="BB185" i="10"/>
  <c r="BB181" i="10"/>
  <c r="BB180" i="10"/>
  <c r="BB191" i="10"/>
  <c r="BB194" i="10"/>
  <c r="BB178" i="10"/>
  <c r="BB201" i="10"/>
  <c r="BB247" i="10"/>
  <c r="BB257" i="10" s="1"/>
  <c r="BB243" i="10"/>
  <c r="BB242" i="10"/>
  <c r="BB244" i="10"/>
  <c r="BB233" i="10"/>
  <c r="BB237" i="10"/>
  <c r="BB234" i="10"/>
  <c r="BB238" i="10"/>
  <c r="BB235" i="10"/>
  <c r="BB236" i="10" s="1"/>
  <c r="BG192" i="10"/>
  <c r="BG217" i="10" s="1"/>
  <c r="BG182" i="10"/>
  <c r="BG207" i="10" s="1"/>
  <c r="BG180" i="10"/>
  <c r="BG205" i="10" s="1"/>
  <c r="BG197" i="10"/>
  <c r="BG222" i="10" s="1"/>
  <c r="BG196" i="10"/>
  <c r="BG221" i="10" s="1"/>
  <c r="BG179" i="10"/>
  <c r="BG204" i="10" s="1"/>
  <c r="BG198" i="10"/>
  <c r="BG223" i="10" s="1"/>
  <c r="BG184" i="10"/>
  <c r="BG209" i="10" s="1"/>
  <c r="BG178" i="10"/>
  <c r="BG203" i="10" s="1"/>
  <c r="BG194" i="10"/>
  <c r="BG219" i="10" s="1"/>
  <c r="BG193" i="10"/>
  <c r="BG218" i="10" s="1"/>
  <c r="BG185" i="10"/>
  <c r="BG210" i="10" s="1"/>
  <c r="BG200" i="10"/>
  <c r="BG225" i="10" s="1"/>
  <c r="BG186" i="10"/>
  <c r="BG211" i="10" s="1"/>
  <c r="BG187" i="10"/>
  <c r="BG212" i="10" s="1"/>
  <c r="BG177" i="10"/>
  <c r="BG199" i="10"/>
  <c r="BG224" i="10" s="1"/>
  <c r="BG189" i="10"/>
  <c r="BG214" i="10" s="1"/>
  <c r="BG183" i="10"/>
  <c r="BG208" i="10" s="1"/>
  <c r="BG188" i="10"/>
  <c r="BG213" i="10" s="1"/>
  <c r="BG181" i="10"/>
  <c r="BG206" i="10" s="1"/>
  <c r="BG195" i="10"/>
  <c r="BG220" i="10" s="1"/>
  <c r="BG190" i="10"/>
  <c r="BG215" i="10" s="1"/>
  <c r="BG191" i="10"/>
  <c r="BG216" i="10" s="1"/>
  <c r="BG201" i="10"/>
  <c r="BG226" i="10" s="1"/>
  <c r="BG247" i="10"/>
  <c r="BG257" i="10" s="1"/>
  <c r="BG267" i="10" s="1"/>
  <c r="BG244" i="10"/>
  <c r="BG243" i="10"/>
  <c r="BG242" i="10"/>
  <c r="BG235" i="10"/>
  <c r="BG236" i="10" s="1"/>
  <c r="BG237" i="10"/>
  <c r="BG238" i="10" s="1"/>
  <c r="BG233" i="10"/>
  <c r="BG234" i="10" s="1"/>
  <c r="BI243" i="10"/>
  <c r="BI247" i="10"/>
  <c r="BI257" i="10" s="1"/>
  <c r="BI267" i="10" s="1"/>
  <c r="BI242" i="10"/>
  <c r="BI244" i="10"/>
  <c r="BI235" i="10"/>
  <c r="BI236" i="10" s="1"/>
  <c r="BI233" i="10"/>
  <c r="BI237" i="10"/>
  <c r="BI238" i="10" s="1"/>
  <c r="BI234" i="10"/>
  <c r="BI198" i="10"/>
  <c r="BI223" i="10" s="1"/>
  <c r="BI196" i="10"/>
  <c r="BI221" i="10" s="1"/>
  <c r="BI190" i="10"/>
  <c r="BI215" i="10" s="1"/>
  <c r="BI189" i="10"/>
  <c r="BI214" i="10" s="1"/>
  <c r="BI186" i="10"/>
  <c r="BI211" i="10" s="1"/>
  <c r="BI182" i="10"/>
  <c r="BI207" i="10" s="1"/>
  <c r="BI195" i="10"/>
  <c r="BI220" i="10" s="1"/>
  <c r="BI193" i="10"/>
  <c r="BI218" i="10" s="1"/>
  <c r="BI191" i="10"/>
  <c r="BI216" i="10" s="1"/>
  <c r="BI188" i="10"/>
  <c r="BI213" i="10" s="1"/>
  <c r="BI185" i="10"/>
  <c r="BI210" i="10" s="1"/>
  <c r="BI180" i="10"/>
  <c r="BI205" i="10" s="1"/>
  <c r="BI197" i="10"/>
  <c r="BI222" i="10" s="1"/>
  <c r="BI181" i="10"/>
  <c r="BI206" i="10" s="1"/>
  <c r="BI179" i="10"/>
  <c r="BI204" i="10" s="1"/>
  <c r="BI199" i="10"/>
  <c r="BI224" i="10" s="1"/>
  <c r="BI192" i="10"/>
  <c r="BI217" i="10" s="1"/>
  <c r="BI184" i="10"/>
  <c r="BI209" i="10" s="1"/>
  <c r="BI183" i="10"/>
  <c r="BI208" i="10" s="1"/>
  <c r="BI177" i="10"/>
  <c r="BI194" i="10"/>
  <c r="BI219" i="10" s="1"/>
  <c r="BI187" i="10"/>
  <c r="BI212" i="10" s="1"/>
  <c r="BI178" i="10"/>
  <c r="BI203" i="10" s="1"/>
  <c r="BI201" i="10"/>
  <c r="BI226" i="10" s="1"/>
  <c r="BI200" i="10"/>
  <c r="BI225" i="10" s="1"/>
  <c r="BN244" i="10"/>
  <c r="BN243" i="10"/>
  <c r="BN247" i="10"/>
  <c r="BN257" i="10" s="1"/>
  <c r="BN242" i="10"/>
  <c r="BN237" i="10"/>
  <c r="BN235" i="10"/>
  <c r="BN236" i="10" s="1"/>
  <c r="BN238" i="10"/>
  <c r="BN233" i="10"/>
  <c r="BN234" i="10" s="1"/>
  <c r="BN181" i="10"/>
  <c r="BN180" i="10"/>
  <c r="BN177" i="10"/>
  <c r="BN191" i="10"/>
  <c r="BN186" i="10"/>
  <c r="BN182" i="10"/>
  <c r="BN196" i="10"/>
  <c r="BN188" i="10"/>
  <c r="BN179" i="10"/>
  <c r="BN198" i="10"/>
  <c r="BN197" i="10"/>
  <c r="BN184" i="10"/>
  <c r="BN199" i="10"/>
  <c r="BN194" i="10"/>
  <c r="BN193" i="10"/>
  <c r="BN192" i="10"/>
  <c r="BN190" i="10"/>
  <c r="BN189" i="10"/>
  <c r="BN187" i="10"/>
  <c r="BN195" i="10"/>
  <c r="BN185" i="10"/>
  <c r="BN183" i="10"/>
  <c r="BN178" i="10"/>
  <c r="BN201" i="10"/>
  <c r="BN200" i="10"/>
  <c r="BT198" i="10"/>
  <c r="BT223" i="10" s="1"/>
  <c r="BT194" i="10"/>
  <c r="BT219" i="10" s="1"/>
  <c r="BT181" i="10"/>
  <c r="BT206" i="10" s="1"/>
  <c r="BT179" i="10"/>
  <c r="BT204" i="10" s="1"/>
  <c r="BT191" i="10"/>
  <c r="BT216" i="10" s="1"/>
  <c r="BT188" i="10"/>
  <c r="BT213" i="10" s="1"/>
  <c r="BT184" i="10"/>
  <c r="BT209" i="10" s="1"/>
  <c r="BT182" i="10"/>
  <c r="BT207" i="10" s="1"/>
  <c r="BT193" i="10"/>
  <c r="BT218" i="10" s="1"/>
  <c r="BT189" i="10"/>
  <c r="BT214" i="10" s="1"/>
  <c r="BT185" i="10"/>
  <c r="BT210" i="10" s="1"/>
  <c r="BT200" i="10"/>
  <c r="BT225" i="10" s="1"/>
  <c r="BT196" i="10"/>
  <c r="BT221" i="10" s="1"/>
  <c r="BT192" i="10"/>
  <c r="BT217" i="10" s="1"/>
  <c r="BT180" i="10"/>
  <c r="BT205" i="10" s="1"/>
  <c r="BT177" i="10"/>
  <c r="BT190" i="10"/>
  <c r="BT215" i="10" s="1"/>
  <c r="BT186" i="10"/>
  <c r="BT211" i="10" s="1"/>
  <c r="BT195" i="10"/>
  <c r="BT220" i="10" s="1"/>
  <c r="BT197" i="10"/>
  <c r="BT222" i="10" s="1"/>
  <c r="BT187" i="10"/>
  <c r="BT212" i="10" s="1"/>
  <c r="BT199" i="10"/>
  <c r="BT224" i="10" s="1"/>
  <c r="BT183" i="10"/>
  <c r="BT208" i="10" s="1"/>
  <c r="BT178" i="10"/>
  <c r="BT203" i="10" s="1"/>
  <c r="BT201" i="10"/>
  <c r="BT226" i="10" s="1"/>
  <c r="BT235" i="10"/>
  <c r="BT236" i="10" s="1"/>
  <c r="BT237" i="10"/>
  <c r="BT238" i="10" s="1"/>
  <c r="BT233" i="10"/>
  <c r="BT234" i="10" s="1"/>
  <c r="BX182" i="10"/>
  <c r="BX207" i="10" s="1"/>
  <c r="BX197" i="10"/>
  <c r="BX222" i="10" s="1"/>
  <c r="BX180" i="10"/>
  <c r="BX205" i="10" s="1"/>
  <c r="BX195" i="10"/>
  <c r="BX220" i="10" s="1"/>
  <c r="BX192" i="10"/>
  <c r="BX217" i="10" s="1"/>
  <c r="BX188" i="10"/>
  <c r="BX213" i="10" s="1"/>
  <c r="BX181" i="10"/>
  <c r="BX206" i="10" s="1"/>
  <c r="BX186" i="10"/>
  <c r="BX211" i="10" s="1"/>
  <c r="BX190" i="10"/>
  <c r="BX215" i="10" s="1"/>
  <c r="BX187" i="10"/>
  <c r="BX212" i="10" s="1"/>
  <c r="BX179" i="10"/>
  <c r="BX204" i="10" s="1"/>
  <c r="BX196" i="10"/>
  <c r="BX221" i="10" s="1"/>
  <c r="BX199" i="10"/>
  <c r="BX224" i="10" s="1"/>
  <c r="BX191" i="10"/>
  <c r="BX216" i="10" s="1"/>
  <c r="BX185" i="10"/>
  <c r="BX210" i="10" s="1"/>
  <c r="BX177" i="10"/>
  <c r="BX198" i="10"/>
  <c r="BX223" i="10" s="1"/>
  <c r="BX193" i="10"/>
  <c r="BX218" i="10" s="1"/>
  <c r="BX189" i="10"/>
  <c r="BX214" i="10" s="1"/>
  <c r="BX183" i="10"/>
  <c r="BX208" i="10" s="1"/>
  <c r="BX194" i="10"/>
  <c r="BX219" i="10" s="1"/>
  <c r="BX184" i="10"/>
  <c r="BX209" i="10" s="1"/>
  <c r="BX178" i="10"/>
  <c r="BX203" i="10" s="1"/>
  <c r="BX201" i="10"/>
  <c r="BX226" i="10" s="1"/>
  <c r="BX200" i="10"/>
  <c r="BX225" i="10" s="1"/>
  <c r="BX244" i="10"/>
  <c r="BX243" i="10"/>
  <c r="BX247" i="10"/>
  <c r="BX257" i="10" s="1"/>
  <c r="BX267" i="10" s="1"/>
  <c r="BX242" i="10"/>
  <c r="BX235" i="10"/>
  <c r="BX236" i="10" s="1"/>
  <c r="BX233" i="10"/>
  <c r="BX234" i="10"/>
  <c r="BX237" i="10"/>
  <c r="BX238" i="10" s="1"/>
  <c r="BZ182" i="10"/>
  <c r="BZ197" i="10"/>
  <c r="BZ194" i="10"/>
  <c r="BZ192" i="10"/>
  <c r="BZ198" i="10"/>
  <c r="BZ196" i="10"/>
  <c r="BZ190" i="10"/>
  <c r="BZ189" i="10"/>
  <c r="BZ188" i="10"/>
  <c r="BZ187" i="10"/>
  <c r="BZ184" i="10"/>
  <c r="BZ183" i="10"/>
  <c r="BZ177" i="10"/>
  <c r="BZ191" i="10"/>
  <c r="BZ186" i="10"/>
  <c r="BZ181" i="10"/>
  <c r="BZ199" i="10"/>
  <c r="BZ178" i="10"/>
  <c r="BZ195" i="10"/>
  <c r="BZ193" i="10"/>
  <c r="BZ185" i="10"/>
  <c r="BZ180" i="10"/>
  <c r="BZ179" i="10"/>
  <c r="BZ201" i="10"/>
  <c r="BZ200" i="10"/>
  <c r="BZ244" i="10"/>
  <c r="BZ242" i="10"/>
  <c r="BZ243" i="10"/>
  <c r="BZ247" i="10"/>
  <c r="BZ257" i="10" s="1"/>
  <c r="BZ233" i="10"/>
  <c r="BZ234" i="10" s="1"/>
  <c r="BZ235" i="10"/>
  <c r="BZ236" i="10"/>
  <c r="BZ237" i="10"/>
  <c r="BZ238" i="10" s="1"/>
  <c r="CD242" i="10"/>
  <c r="CD243" i="10"/>
  <c r="CD244" i="10"/>
  <c r="CD247" i="10"/>
  <c r="CD257" i="10" s="1"/>
  <c r="CD267" i="10" s="1"/>
  <c r="CD237" i="10"/>
  <c r="CD233" i="10"/>
  <c r="CD238" i="10"/>
  <c r="CD234" i="10"/>
  <c r="CD235" i="10"/>
  <c r="CD236" i="10" s="1"/>
  <c r="CD179" i="10"/>
  <c r="CD204" i="10" s="1"/>
  <c r="CD192" i="10"/>
  <c r="CD217" i="10" s="1"/>
  <c r="CD184" i="10"/>
  <c r="CD209" i="10" s="1"/>
  <c r="CD191" i="10"/>
  <c r="CD216" i="10" s="1"/>
  <c r="CD181" i="10"/>
  <c r="CD206" i="10" s="1"/>
  <c r="CD195" i="10"/>
  <c r="CD220" i="10" s="1"/>
  <c r="CD193" i="10"/>
  <c r="CD218" i="10" s="1"/>
  <c r="CD177" i="10"/>
  <c r="CD201" i="10"/>
  <c r="CD226" i="10" s="1"/>
  <c r="CD199" i="10"/>
  <c r="CD224" i="10" s="1"/>
  <c r="CD197" i="10"/>
  <c r="CD222" i="10" s="1"/>
  <c r="CD186" i="10"/>
  <c r="CD211" i="10" s="1"/>
  <c r="CD178" i="10"/>
  <c r="CD203" i="10" s="1"/>
  <c r="CD194" i="10"/>
  <c r="CD219" i="10" s="1"/>
  <c r="CD190" i="10"/>
  <c r="CD215" i="10" s="1"/>
  <c r="CD189" i="10"/>
  <c r="CD214" i="10" s="1"/>
  <c r="CD180" i="10"/>
  <c r="CD205" i="10" s="1"/>
  <c r="CD198" i="10"/>
  <c r="CD223" i="10" s="1"/>
  <c r="CD183" i="10"/>
  <c r="CD208" i="10" s="1"/>
  <c r="CD182" i="10"/>
  <c r="CD207" i="10" s="1"/>
  <c r="CD196" i="10"/>
  <c r="CD221" i="10" s="1"/>
  <c r="CD188" i="10"/>
  <c r="CD213" i="10" s="1"/>
  <c r="CD187" i="10"/>
  <c r="CD212" i="10" s="1"/>
  <c r="CD185" i="10"/>
  <c r="CD210" i="10" s="1"/>
  <c r="CD200" i="10"/>
  <c r="CD225" i="10" s="1"/>
  <c r="CH181" i="10"/>
  <c r="CH206" i="10" s="1"/>
  <c r="CH180" i="10"/>
  <c r="CH205" i="10" s="1"/>
  <c r="CH189" i="10"/>
  <c r="CH214" i="10" s="1"/>
  <c r="CH188" i="10"/>
  <c r="CH213" i="10" s="1"/>
  <c r="CH186" i="10"/>
  <c r="CH211" i="10" s="1"/>
  <c r="CH182" i="10"/>
  <c r="CH207" i="10" s="1"/>
  <c r="CH197" i="10"/>
  <c r="CH222" i="10" s="1"/>
  <c r="CH194" i="10"/>
  <c r="CH219" i="10" s="1"/>
  <c r="CH190" i="10"/>
  <c r="CH215" i="10" s="1"/>
  <c r="CH183" i="10"/>
  <c r="CH208" i="10" s="1"/>
  <c r="CH177" i="10"/>
  <c r="CH198" i="10"/>
  <c r="CH223" i="10" s="1"/>
  <c r="CH196" i="10"/>
  <c r="CH221" i="10" s="1"/>
  <c r="CH192" i="10"/>
  <c r="CH217" i="10" s="1"/>
  <c r="CH191" i="10"/>
  <c r="CH216" i="10" s="1"/>
  <c r="CH185" i="10"/>
  <c r="CH210" i="10" s="1"/>
  <c r="CH179" i="10"/>
  <c r="CH204" i="10" s="1"/>
  <c r="CH199" i="10"/>
  <c r="CH224" i="10" s="1"/>
  <c r="CH195" i="10"/>
  <c r="CH220" i="10" s="1"/>
  <c r="CH193" i="10"/>
  <c r="CH218" i="10" s="1"/>
  <c r="CH187" i="10"/>
  <c r="CH212" i="10" s="1"/>
  <c r="CH184" i="10"/>
  <c r="CH209" i="10" s="1"/>
  <c r="CH178" i="10"/>
  <c r="CH203" i="10" s="1"/>
  <c r="CH201" i="10"/>
  <c r="CH226" i="10" s="1"/>
  <c r="CH200" i="10"/>
  <c r="CH225" i="10" s="1"/>
  <c r="CH235" i="10"/>
  <c r="CH236" i="10" s="1"/>
  <c r="CH237" i="10"/>
  <c r="CH238" i="10"/>
  <c r="CH233" i="10"/>
  <c r="CH234" i="10" s="1"/>
  <c r="CT185" i="10"/>
  <c r="CT210" i="10" s="1"/>
  <c r="CT190" i="10"/>
  <c r="CT215" i="10" s="1"/>
  <c r="CT188" i="10"/>
  <c r="CT213" i="10" s="1"/>
  <c r="CT181" i="10"/>
  <c r="CT206" i="10" s="1"/>
  <c r="CT193" i="10"/>
  <c r="CT218" i="10" s="1"/>
  <c r="CT192" i="10"/>
  <c r="CT217" i="10" s="1"/>
  <c r="CT191" i="10"/>
  <c r="CT216" i="10" s="1"/>
  <c r="CT182" i="10"/>
  <c r="CT207" i="10" s="1"/>
  <c r="CT179" i="10"/>
  <c r="CT204" i="10" s="1"/>
  <c r="CT177" i="10"/>
  <c r="CT198" i="10"/>
  <c r="CT223" i="10" s="1"/>
  <c r="CT195" i="10"/>
  <c r="CT220" i="10" s="1"/>
  <c r="CT194" i="10"/>
  <c r="CT219" i="10" s="1"/>
  <c r="CT197" i="10"/>
  <c r="CT222" i="10" s="1"/>
  <c r="CT196" i="10"/>
  <c r="CT221" i="10" s="1"/>
  <c r="CT189" i="10"/>
  <c r="CT214" i="10" s="1"/>
  <c r="CT187" i="10"/>
  <c r="CT212" i="10" s="1"/>
  <c r="CT186" i="10"/>
  <c r="CT211" i="10" s="1"/>
  <c r="CT184" i="10"/>
  <c r="CT209" i="10" s="1"/>
  <c r="CT183" i="10"/>
  <c r="CT208" i="10" s="1"/>
  <c r="CT180" i="10"/>
  <c r="CT205" i="10" s="1"/>
  <c r="CT178" i="10"/>
  <c r="CT203" i="10" s="1"/>
  <c r="CT201" i="10"/>
  <c r="CT226" i="10" s="1"/>
  <c r="CT200" i="10"/>
  <c r="CT225" i="10" s="1"/>
  <c r="CT199" i="10"/>
  <c r="CT224" i="10" s="1"/>
  <c r="CT243" i="10"/>
  <c r="CT244" i="10"/>
  <c r="CT242" i="10"/>
  <c r="CT247" i="10"/>
  <c r="CT257" i="10" s="1"/>
  <c r="CT267" i="10" s="1"/>
  <c r="CT235" i="10"/>
  <c r="CT236" i="10" s="1"/>
  <c r="CT237" i="10"/>
  <c r="CT238" i="10" s="1"/>
  <c r="CT233" i="10"/>
  <c r="CT234" i="10" s="1"/>
  <c r="DA181" i="10"/>
  <c r="DA206" i="10" s="1"/>
  <c r="DA197" i="10"/>
  <c r="DA222" i="10" s="1"/>
  <c r="DA195" i="10"/>
  <c r="DA220" i="10" s="1"/>
  <c r="DA189" i="10"/>
  <c r="DA214" i="10" s="1"/>
  <c r="DA188" i="10"/>
  <c r="DA213" i="10" s="1"/>
  <c r="DA184" i="10"/>
  <c r="DA209" i="10" s="1"/>
  <c r="DA198" i="10"/>
  <c r="DA223" i="10" s="1"/>
  <c r="DA191" i="10"/>
  <c r="DA216" i="10" s="1"/>
  <c r="DA187" i="10"/>
  <c r="DA212" i="10" s="1"/>
  <c r="DA186" i="10"/>
  <c r="DA211" i="10" s="1"/>
  <c r="DA185" i="10"/>
  <c r="DA210" i="10" s="1"/>
  <c r="DA183" i="10"/>
  <c r="DA208" i="10" s="1"/>
  <c r="DA196" i="10"/>
  <c r="DA221" i="10" s="1"/>
  <c r="DA194" i="10"/>
  <c r="DA219" i="10" s="1"/>
  <c r="DA193" i="10"/>
  <c r="DA218" i="10" s="1"/>
  <c r="DA182" i="10"/>
  <c r="DA207" i="10" s="1"/>
  <c r="DA179" i="10"/>
  <c r="DA204" i="10" s="1"/>
  <c r="DA192" i="10"/>
  <c r="DA217" i="10" s="1"/>
  <c r="DA190" i="10"/>
  <c r="DA215" i="10" s="1"/>
  <c r="DA180" i="10"/>
  <c r="DA205" i="10" s="1"/>
  <c r="DA178" i="10"/>
  <c r="DA203" i="10" s="1"/>
  <c r="DA177" i="10"/>
  <c r="DA201" i="10"/>
  <c r="DA226" i="10" s="1"/>
  <c r="DA200" i="10"/>
  <c r="DA225" i="10" s="1"/>
  <c r="DA199" i="10"/>
  <c r="DA224" i="10" s="1"/>
  <c r="DA247" i="10"/>
  <c r="DA257" i="10" s="1"/>
  <c r="DA267" i="10" s="1"/>
  <c r="DA242" i="10"/>
  <c r="DA244" i="10"/>
  <c r="DA243" i="10"/>
  <c r="DA235" i="10"/>
  <c r="DA236" i="10" s="1"/>
  <c r="DA237" i="10"/>
  <c r="DA238" i="10" s="1"/>
  <c r="DA233" i="10"/>
  <c r="DA234" i="10" s="1"/>
  <c r="DD183" i="10"/>
  <c r="DD208" i="10" s="1"/>
  <c r="DD189" i="10"/>
  <c r="DD214" i="10" s="1"/>
  <c r="DD186" i="10"/>
  <c r="DD211" i="10" s="1"/>
  <c r="DD185" i="10"/>
  <c r="DD210" i="10" s="1"/>
  <c r="DD182" i="10"/>
  <c r="DD207" i="10" s="1"/>
  <c r="DD180" i="10"/>
  <c r="DD205" i="10" s="1"/>
  <c r="DD192" i="10"/>
  <c r="DD217" i="10" s="1"/>
  <c r="DD191" i="10"/>
  <c r="DD216" i="10" s="1"/>
  <c r="DD181" i="10"/>
  <c r="DD206" i="10" s="1"/>
  <c r="DD179" i="10"/>
  <c r="DD204" i="10" s="1"/>
  <c r="DD188" i="10"/>
  <c r="DD213" i="10" s="1"/>
  <c r="DD198" i="10"/>
  <c r="DD223" i="10" s="1"/>
  <c r="DD197" i="10"/>
  <c r="DD222" i="10" s="1"/>
  <c r="DD196" i="10"/>
  <c r="DD221" i="10" s="1"/>
  <c r="DD194" i="10"/>
  <c r="DD219" i="10" s="1"/>
  <c r="DD190" i="10"/>
  <c r="DD215" i="10" s="1"/>
  <c r="DD178" i="10"/>
  <c r="DD203" i="10" s="1"/>
  <c r="DD177" i="10"/>
  <c r="DD195" i="10"/>
  <c r="DD220" i="10" s="1"/>
  <c r="DD193" i="10"/>
  <c r="DD218" i="10" s="1"/>
  <c r="DD187" i="10"/>
  <c r="DD212" i="10" s="1"/>
  <c r="DD184" i="10"/>
  <c r="DD209" i="10" s="1"/>
  <c r="DD201" i="10"/>
  <c r="DD226" i="10" s="1"/>
  <c r="DD200" i="10"/>
  <c r="DD225" i="10" s="1"/>
  <c r="DD199" i="10"/>
  <c r="DD224" i="10" s="1"/>
  <c r="DD242" i="10"/>
  <c r="DD244" i="10"/>
  <c r="DD243" i="10"/>
  <c r="DD247" i="10"/>
  <c r="DD257" i="10" s="1"/>
  <c r="DD267" i="10" s="1"/>
  <c r="DD235" i="10"/>
  <c r="DD233" i="10"/>
  <c r="DD234" i="10" s="1"/>
  <c r="DD237" i="10"/>
  <c r="DD238" i="10" s="1"/>
  <c r="DD236" i="10"/>
  <c r="DG247" i="10"/>
  <c r="DG257" i="10" s="1"/>
  <c r="DG267" i="10" s="1"/>
  <c r="DG244" i="10"/>
  <c r="DG243" i="10"/>
  <c r="DG242" i="10"/>
  <c r="DG235" i="10"/>
  <c r="DG236" i="10" s="1"/>
  <c r="DG237" i="10"/>
  <c r="DG238" i="10"/>
  <c r="DG233" i="10"/>
  <c r="DG234" i="10" s="1"/>
  <c r="DG184" i="10"/>
  <c r="DG209" i="10" s="1"/>
  <c r="DG183" i="10"/>
  <c r="DG208" i="10" s="1"/>
  <c r="DG195" i="10"/>
  <c r="DG220" i="10" s="1"/>
  <c r="DG189" i="10"/>
  <c r="DG214" i="10" s="1"/>
  <c r="DG182" i="10"/>
  <c r="DG207" i="10" s="1"/>
  <c r="DG188" i="10"/>
  <c r="DG213" i="10" s="1"/>
  <c r="DG181" i="10"/>
  <c r="DG206" i="10" s="1"/>
  <c r="DG187" i="10"/>
  <c r="DG212" i="10" s="1"/>
  <c r="DG185" i="10"/>
  <c r="DG210" i="10" s="1"/>
  <c r="DG194" i="10"/>
  <c r="DG219" i="10" s="1"/>
  <c r="DG192" i="10"/>
  <c r="DG217" i="10" s="1"/>
  <c r="DG191" i="10"/>
  <c r="DG216" i="10" s="1"/>
  <c r="DG180" i="10"/>
  <c r="DG205" i="10" s="1"/>
  <c r="DG179" i="10"/>
  <c r="DG204" i="10" s="1"/>
  <c r="DG178" i="10"/>
  <c r="DG203" i="10" s="1"/>
  <c r="DG201" i="10"/>
  <c r="DG226" i="10" s="1"/>
  <c r="DG200" i="10"/>
  <c r="DG225" i="10" s="1"/>
  <c r="DG199" i="10"/>
  <c r="DG224" i="10" s="1"/>
  <c r="DG198" i="10"/>
  <c r="DG223" i="10" s="1"/>
  <c r="DG193" i="10"/>
  <c r="DG218" i="10" s="1"/>
  <c r="DG186" i="10"/>
  <c r="DG211" i="10" s="1"/>
  <c r="DG196" i="10"/>
  <c r="DG221" i="10" s="1"/>
  <c r="DG177" i="10"/>
  <c r="DG197" i="10"/>
  <c r="DG222" i="10" s="1"/>
  <c r="DG190" i="10"/>
  <c r="DG215" i="10" s="1"/>
  <c r="DL184" i="10"/>
  <c r="DL209" i="10" s="1"/>
  <c r="DL181" i="10"/>
  <c r="DL206" i="10" s="1"/>
  <c r="DL177" i="10"/>
  <c r="DL192" i="10"/>
  <c r="DL217" i="10" s="1"/>
  <c r="DL190" i="10"/>
  <c r="DL215" i="10" s="1"/>
  <c r="DL189" i="10"/>
  <c r="DL214" i="10" s="1"/>
  <c r="DL198" i="10"/>
  <c r="DL223" i="10" s="1"/>
  <c r="DL196" i="10"/>
  <c r="DL221" i="10" s="1"/>
  <c r="DL188" i="10"/>
  <c r="DL213" i="10" s="1"/>
  <c r="DL185" i="10"/>
  <c r="DL210" i="10" s="1"/>
  <c r="DL179" i="10"/>
  <c r="DL204" i="10" s="1"/>
  <c r="DL178" i="10"/>
  <c r="DL203" i="10" s="1"/>
  <c r="DL191" i="10"/>
  <c r="DL216" i="10" s="1"/>
  <c r="DL186" i="10"/>
  <c r="DL211" i="10" s="1"/>
  <c r="DL197" i="10"/>
  <c r="DL222" i="10" s="1"/>
  <c r="DL195" i="10"/>
  <c r="DL220" i="10" s="1"/>
  <c r="DL193" i="10"/>
  <c r="DL218" i="10" s="1"/>
  <c r="DL183" i="10"/>
  <c r="DL208" i="10" s="1"/>
  <c r="DL182" i="10"/>
  <c r="DL207" i="10" s="1"/>
  <c r="DL180" i="10"/>
  <c r="DL205" i="10" s="1"/>
  <c r="DL194" i="10"/>
  <c r="DL219" i="10" s="1"/>
  <c r="DL187" i="10"/>
  <c r="DL212" i="10" s="1"/>
  <c r="DL201" i="10"/>
  <c r="DL226" i="10" s="1"/>
  <c r="DL200" i="10"/>
  <c r="DL225" i="10" s="1"/>
  <c r="DL199" i="10"/>
  <c r="DL224" i="10" s="1"/>
  <c r="DL243" i="10"/>
  <c r="DL247" i="10"/>
  <c r="DL257" i="10" s="1"/>
  <c r="DL267" i="10" s="1"/>
  <c r="DL244" i="10"/>
  <c r="DL242" i="10"/>
  <c r="DL237" i="10"/>
  <c r="DL238" i="10"/>
  <c r="DL233" i="10"/>
  <c r="DL234" i="10" s="1"/>
  <c r="DL235" i="10"/>
  <c r="DL236" i="10" s="1"/>
  <c r="DN181" i="10"/>
  <c r="DN206" i="10" s="1"/>
  <c r="DN194" i="10"/>
  <c r="DN219" i="10" s="1"/>
  <c r="DN177" i="10"/>
  <c r="DN193" i="10"/>
  <c r="DN218" i="10" s="1"/>
  <c r="DN191" i="10"/>
  <c r="DN216" i="10" s="1"/>
  <c r="DN189" i="10"/>
  <c r="DN214" i="10" s="1"/>
  <c r="DN187" i="10"/>
  <c r="DN212" i="10" s="1"/>
  <c r="DN184" i="10"/>
  <c r="DN209" i="10" s="1"/>
  <c r="DN182" i="10"/>
  <c r="DN207" i="10" s="1"/>
  <c r="DN179" i="10"/>
  <c r="DN204" i="10" s="1"/>
  <c r="DN178" i="10"/>
  <c r="DN203" i="10" s="1"/>
  <c r="DN197" i="10"/>
  <c r="DN222" i="10" s="1"/>
  <c r="DN195" i="10"/>
  <c r="DN220" i="10" s="1"/>
  <c r="DN190" i="10"/>
  <c r="DN215" i="10" s="1"/>
  <c r="DN186" i="10"/>
  <c r="DN211" i="10" s="1"/>
  <c r="DN196" i="10"/>
  <c r="DN221" i="10" s="1"/>
  <c r="DN192" i="10"/>
  <c r="DN217" i="10" s="1"/>
  <c r="DN188" i="10"/>
  <c r="DN213" i="10" s="1"/>
  <c r="DN185" i="10"/>
  <c r="DN210" i="10" s="1"/>
  <c r="DN198" i="10"/>
  <c r="DN223" i="10" s="1"/>
  <c r="DN183" i="10"/>
  <c r="DN208" i="10" s="1"/>
  <c r="DN180" i="10"/>
  <c r="DN205" i="10" s="1"/>
  <c r="DN201" i="10"/>
  <c r="DN226" i="10" s="1"/>
  <c r="DN200" i="10"/>
  <c r="DN225" i="10" s="1"/>
  <c r="DN199" i="10"/>
  <c r="DN224" i="10" s="1"/>
  <c r="DN244" i="10"/>
  <c r="DN242" i="10"/>
  <c r="DN247" i="10"/>
  <c r="DN257" i="10" s="1"/>
  <c r="DN267" i="10" s="1"/>
  <c r="DN243" i="10"/>
  <c r="DN235" i="10"/>
  <c r="DN237" i="10"/>
  <c r="DN238" i="10" s="1"/>
  <c r="DN233" i="10"/>
  <c r="DN234" i="10" s="1"/>
  <c r="DN236" i="10"/>
  <c r="DY247" i="10"/>
  <c r="DY257" i="10" s="1"/>
  <c r="DY244" i="10"/>
  <c r="DY243" i="10"/>
  <c r="DY242" i="10"/>
  <c r="DY235" i="10"/>
  <c r="DY236" i="10" s="1"/>
  <c r="DY233" i="10"/>
  <c r="DY234" i="10" s="1"/>
  <c r="DY237" i="10"/>
  <c r="DY238" i="10" s="1"/>
  <c r="DY180" i="10"/>
  <c r="DY205" i="10" s="1"/>
  <c r="DY178" i="10"/>
  <c r="DY203" i="10" s="1"/>
  <c r="DY177" i="10"/>
  <c r="DY196" i="10"/>
  <c r="DY221" i="10" s="1"/>
  <c r="DY185" i="10"/>
  <c r="DY210" i="10" s="1"/>
  <c r="DY184" i="10"/>
  <c r="DY209" i="10" s="1"/>
  <c r="DY194" i="10"/>
  <c r="DY219" i="10" s="1"/>
  <c r="DY187" i="10"/>
  <c r="DY212" i="10" s="1"/>
  <c r="DY181" i="10"/>
  <c r="DY206" i="10" s="1"/>
  <c r="DY190" i="10"/>
  <c r="DY215" i="10" s="1"/>
  <c r="DY182" i="10"/>
  <c r="DY207" i="10" s="1"/>
  <c r="DY183" i="10"/>
  <c r="DY208" i="10" s="1"/>
  <c r="DY200" i="10"/>
  <c r="DY225" i="10" s="1"/>
  <c r="DY197" i="10"/>
  <c r="DY222" i="10" s="1"/>
  <c r="DY191" i="10"/>
  <c r="DY216" i="10" s="1"/>
  <c r="DY195" i="10"/>
  <c r="DY220" i="10" s="1"/>
  <c r="DY192" i="10"/>
  <c r="DY217" i="10" s="1"/>
  <c r="DY186" i="10"/>
  <c r="DY211" i="10" s="1"/>
  <c r="DY188" i="10"/>
  <c r="DY213" i="10" s="1"/>
  <c r="DY198" i="10"/>
  <c r="DY223" i="10" s="1"/>
  <c r="DY189" i="10"/>
  <c r="DY214" i="10" s="1"/>
  <c r="DY179" i="10"/>
  <c r="DY204" i="10" s="1"/>
  <c r="DY193" i="10"/>
  <c r="DY218" i="10" s="1"/>
  <c r="DY201" i="10"/>
  <c r="DY226" i="10" s="1"/>
  <c r="DY199" i="10"/>
  <c r="DY224" i="10" s="1"/>
  <c r="ED183" i="10"/>
  <c r="ED208" i="10" s="1"/>
  <c r="ED177" i="10"/>
  <c r="ED187" i="10"/>
  <c r="ED212" i="10" s="1"/>
  <c r="ED191" i="10"/>
  <c r="ED216" i="10" s="1"/>
  <c r="ED197" i="10"/>
  <c r="ED222" i="10" s="1"/>
  <c r="ED192" i="10"/>
  <c r="ED217" i="10" s="1"/>
  <c r="ED200" i="10"/>
  <c r="ED225" i="10" s="1"/>
  <c r="ED194" i="10"/>
  <c r="ED219" i="10" s="1"/>
  <c r="ED186" i="10"/>
  <c r="ED211" i="10" s="1"/>
  <c r="ED199" i="10"/>
  <c r="ED224" i="10" s="1"/>
  <c r="ED180" i="10"/>
  <c r="ED205" i="10" s="1"/>
  <c r="ED190" i="10"/>
  <c r="ED215" i="10" s="1"/>
  <c r="ED185" i="10"/>
  <c r="ED210" i="10" s="1"/>
  <c r="ED193" i="10"/>
  <c r="ED218" i="10" s="1"/>
  <c r="ED178" i="10"/>
  <c r="ED203" i="10" s="1"/>
  <c r="ED179" i="10"/>
  <c r="ED204" i="10" s="1"/>
  <c r="ED195" i="10"/>
  <c r="ED220" i="10" s="1"/>
  <c r="ED188" i="10"/>
  <c r="ED213" i="10" s="1"/>
  <c r="ED196" i="10"/>
  <c r="ED221" i="10" s="1"/>
  <c r="ED182" i="10"/>
  <c r="ED207" i="10" s="1"/>
  <c r="ED189" i="10"/>
  <c r="ED214" i="10" s="1"/>
  <c r="ED184" i="10"/>
  <c r="ED209" i="10" s="1"/>
  <c r="ED198" i="10"/>
  <c r="ED223" i="10" s="1"/>
  <c r="ED201" i="10"/>
  <c r="ED226" i="10" s="1"/>
  <c r="ED181" i="10"/>
  <c r="ED206" i="10" s="1"/>
  <c r="ED243" i="10"/>
  <c r="ED247" i="10"/>
  <c r="ED257" i="10" s="1"/>
  <c r="ED244" i="10"/>
  <c r="ED242" i="10"/>
  <c r="ED233" i="10"/>
  <c r="ED234" i="10" s="1"/>
  <c r="ED235" i="10"/>
  <c r="ED236" i="10" s="1"/>
  <c r="ED237" i="10"/>
  <c r="ED238" i="10"/>
  <c r="EI242" i="10"/>
  <c r="EI247" i="10"/>
  <c r="EI257" i="10" s="1"/>
  <c r="EI244" i="10"/>
  <c r="EI243" i="10"/>
  <c r="EI235" i="10"/>
  <c r="EI236" i="10"/>
  <c r="EI237" i="10"/>
  <c r="EI238" i="10" s="1"/>
  <c r="EI233" i="10"/>
  <c r="EI234" i="10" s="1"/>
  <c r="EI187" i="10"/>
  <c r="EI212" i="10" s="1"/>
  <c r="EI177" i="10"/>
  <c r="EI196" i="10"/>
  <c r="EI221" i="10" s="1"/>
  <c r="EI186" i="10"/>
  <c r="EI211" i="10" s="1"/>
  <c r="EI180" i="10"/>
  <c r="EI205" i="10" s="1"/>
  <c r="EI188" i="10"/>
  <c r="EI213" i="10" s="1"/>
  <c r="EI197" i="10"/>
  <c r="EI222" i="10" s="1"/>
  <c r="EI194" i="10"/>
  <c r="EI219" i="10" s="1"/>
  <c r="EI185" i="10"/>
  <c r="EI210" i="10" s="1"/>
  <c r="EI198" i="10"/>
  <c r="EI223" i="10" s="1"/>
  <c r="EI184" i="10"/>
  <c r="EI209" i="10" s="1"/>
  <c r="EI201" i="10"/>
  <c r="EI226" i="10" s="1"/>
  <c r="EI199" i="10"/>
  <c r="EI224" i="10" s="1"/>
  <c r="EI178" i="10"/>
  <c r="EI203" i="10" s="1"/>
  <c r="EI193" i="10"/>
  <c r="EI218" i="10" s="1"/>
  <c r="EI183" i="10"/>
  <c r="EI208" i="10" s="1"/>
  <c r="EI192" i="10"/>
  <c r="EI217" i="10" s="1"/>
  <c r="EI181" i="10"/>
  <c r="EI206" i="10" s="1"/>
  <c r="EI190" i="10"/>
  <c r="EI215" i="10" s="1"/>
  <c r="EI182" i="10"/>
  <c r="EI207" i="10" s="1"/>
  <c r="EI195" i="10"/>
  <c r="EI220" i="10" s="1"/>
  <c r="EI189" i="10"/>
  <c r="EI214" i="10" s="1"/>
  <c r="EI179" i="10"/>
  <c r="EI204" i="10" s="1"/>
  <c r="EI191" i="10"/>
  <c r="EI216" i="10" s="1"/>
  <c r="EI200" i="10"/>
  <c r="EI225" i="10" s="1"/>
  <c r="EM178" i="10"/>
  <c r="EM203" i="10" s="1"/>
  <c r="EM195" i="10"/>
  <c r="EM220" i="10" s="1"/>
  <c r="EM187" i="10"/>
  <c r="EM212" i="10" s="1"/>
  <c r="EM184" i="10"/>
  <c r="EM209" i="10" s="1"/>
  <c r="EM192" i="10"/>
  <c r="EM217" i="10" s="1"/>
  <c r="EM188" i="10"/>
  <c r="EM213" i="10" s="1"/>
  <c r="EM182" i="10"/>
  <c r="EM207" i="10" s="1"/>
  <c r="EM179" i="10"/>
  <c r="EM204" i="10" s="1"/>
  <c r="EM193" i="10"/>
  <c r="EM218" i="10" s="1"/>
  <c r="EM185" i="10"/>
  <c r="EM210" i="10" s="1"/>
  <c r="EM177" i="10"/>
  <c r="EM197" i="10"/>
  <c r="EM222" i="10" s="1"/>
  <c r="EM201" i="10"/>
  <c r="EM226" i="10" s="1"/>
  <c r="EM199" i="10"/>
  <c r="EM224" i="10" s="1"/>
  <c r="EM196" i="10"/>
  <c r="EM221" i="10" s="1"/>
  <c r="EM189" i="10"/>
  <c r="EM214" i="10" s="1"/>
  <c r="EM190" i="10"/>
  <c r="EM215" i="10" s="1"/>
  <c r="EM183" i="10"/>
  <c r="EM208" i="10" s="1"/>
  <c r="EM180" i="10"/>
  <c r="EM205" i="10" s="1"/>
  <c r="EM194" i="10"/>
  <c r="EM219" i="10" s="1"/>
  <c r="EM191" i="10"/>
  <c r="EM216" i="10" s="1"/>
  <c r="EM181" i="10"/>
  <c r="EM206" i="10" s="1"/>
  <c r="EM198" i="10"/>
  <c r="EM223" i="10" s="1"/>
  <c r="EM186" i="10"/>
  <c r="EM211" i="10" s="1"/>
  <c r="EM200" i="10"/>
  <c r="EM225" i="10" s="1"/>
  <c r="EM244" i="10"/>
  <c r="EM243" i="10"/>
  <c r="EM242" i="10"/>
  <c r="EM247" i="10"/>
  <c r="EM257" i="10" s="1"/>
  <c r="EM235" i="10"/>
  <c r="EM233" i="10"/>
  <c r="EM234" i="10"/>
  <c r="EM237" i="10"/>
  <c r="EM238" i="10" s="1"/>
  <c r="EM236" i="10"/>
  <c r="EO185" i="10"/>
  <c r="EO210" i="10" s="1"/>
  <c r="EO184" i="10"/>
  <c r="EO209" i="10" s="1"/>
  <c r="EO180" i="10"/>
  <c r="EO205" i="10" s="1"/>
  <c r="EO191" i="10"/>
  <c r="EO216" i="10" s="1"/>
  <c r="EO181" i="10"/>
  <c r="EO206" i="10" s="1"/>
  <c r="EO178" i="10"/>
  <c r="EO203" i="10" s="1"/>
  <c r="EO177" i="10"/>
  <c r="EO198" i="10"/>
  <c r="EO223" i="10" s="1"/>
  <c r="EO197" i="10"/>
  <c r="EO222" i="10" s="1"/>
  <c r="EO196" i="10"/>
  <c r="EO221" i="10" s="1"/>
  <c r="EO194" i="10"/>
  <c r="EO219" i="10" s="1"/>
  <c r="EO188" i="10"/>
  <c r="EO213" i="10" s="1"/>
  <c r="EO186" i="10"/>
  <c r="EO211" i="10" s="1"/>
  <c r="EO183" i="10"/>
  <c r="EO208" i="10" s="1"/>
  <c r="EO195" i="10"/>
  <c r="EO220" i="10" s="1"/>
  <c r="EO192" i="10"/>
  <c r="EO217" i="10" s="1"/>
  <c r="EO190" i="10"/>
  <c r="EO215" i="10" s="1"/>
  <c r="EO182" i="10"/>
  <c r="EO207" i="10" s="1"/>
  <c r="EO193" i="10"/>
  <c r="EO218" i="10" s="1"/>
  <c r="EO189" i="10"/>
  <c r="EO214" i="10" s="1"/>
  <c r="EO179" i="10"/>
  <c r="EO204" i="10" s="1"/>
  <c r="EO187" i="10"/>
  <c r="EO212" i="10" s="1"/>
  <c r="EO201" i="10"/>
  <c r="EO226" i="10" s="1"/>
  <c r="EO200" i="10"/>
  <c r="EO225" i="10" s="1"/>
  <c r="EO199" i="10"/>
  <c r="EO224" i="10" s="1"/>
  <c r="EO247" i="10"/>
  <c r="EO257" i="10" s="1"/>
  <c r="EO244" i="10"/>
  <c r="EO243" i="10"/>
  <c r="EO242" i="10"/>
  <c r="EO237" i="10"/>
  <c r="EO238" i="10" s="1"/>
  <c r="EO233" i="10"/>
  <c r="EO235" i="10"/>
  <c r="EO236" i="10" s="1"/>
  <c r="EO234" i="10"/>
  <c r="F242" i="10"/>
  <c r="F243" i="10"/>
  <c r="F244" i="10"/>
  <c r="F247" i="10"/>
  <c r="F233" i="10"/>
  <c r="F234" i="10" s="1"/>
  <c r="F237" i="10"/>
  <c r="F235" i="10"/>
  <c r="F236" i="10" s="1"/>
  <c r="F238" i="10"/>
  <c r="F187" i="10"/>
  <c r="F181" i="10"/>
  <c r="F199" i="10"/>
  <c r="F195" i="10"/>
  <c r="F192" i="10"/>
  <c r="F190" i="10"/>
  <c r="F184" i="10"/>
  <c r="F179" i="10"/>
  <c r="F197" i="10"/>
  <c r="F193" i="10"/>
  <c r="F186" i="10"/>
  <c r="F185" i="10"/>
  <c r="F182" i="10"/>
  <c r="F177" i="10"/>
  <c r="F196" i="10"/>
  <c r="F189" i="10"/>
  <c r="F188" i="10"/>
  <c r="F198" i="10"/>
  <c r="F194" i="10"/>
  <c r="F191" i="10"/>
  <c r="F183" i="10"/>
  <c r="F180" i="10"/>
  <c r="F178" i="10"/>
  <c r="F201" i="10"/>
  <c r="F200" i="10"/>
  <c r="E171" i="10"/>
  <c r="J194" i="10"/>
  <c r="J219" i="10" s="1"/>
  <c r="J182" i="10"/>
  <c r="J207" i="10" s="1"/>
  <c r="J180" i="10"/>
  <c r="J205" i="10" s="1"/>
  <c r="J177" i="10"/>
  <c r="J197" i="10"/>
  <c r="J222" i="10" s="1"/>
  <c r="J189" i="10"/>
  <c r="J214" i="10" s="1"/>
  <c r="J198" i="10"/>
  <c r="J223" i="10" s="1"/>
  <c r="J183" i="10"/>
  <c r="J208" i="10" s="1"/>
  <c r="J191" i="10"/>
  <c r="J216" i="10" s="1"/>
  <c r="J178" i="10"/>
  <c r="J203" i="10" s="1"/>
  <c r="J201" i="10"/>
  <c r="J226" i="10" s="1"/>
  <c r="J187" i="10"/>
  <c r="J212" i="10" s="1"/>
  <c r="J186" i="10"/>
  <c r="J211" i="10" s="1"/>
  <c r="J185" i="10"/>
  <c r="J210" i="10" s="1"/>
  <c r="J195" i="10"/>
  <c r="J220" i="10" s="1"/>
  <c r="J193" i="10"/>
  <c r="J218" i="10" s="1"/>
  <c r="J199" i="10"/>
  <c r="J224" i="10" s="1"/>
  <c r="J192" i="10"/>
  <c r="J217" i="10" s="1"/>
  <c r="J181" i="10"/>
  <c r="J206" i="10" s="1"/>
  <c r="J179" i="10"/>
  <c r="J204" i="10" s="1"/>
  <c r="J196" i="10"/>
  <c r="J221" i="10" s="1"/>
  <c r="J184" i="10"/>
  <c r="J209" i="10" s="1"/>
  <c r="J190" i="10"/>
  <c r="J215" i="10" s="1"/>
  <c r="J188" i="10"/>
  <c r="J213" i="10" s="1"/>
  <c r="J200" i="10"/>
  <c r="J225" i="10" s="1"/>
  <c r="J242" i="10"/>
  <c r="J247" i="10"/>
  <c r="J257" i="10" s="1"/>
  <c r="J267" i="10" s="1"/>
  <c r="J244" i="10"/>
  <c r="J243" i="10"/>
  <c r="J235" i="10"/>
  <c r="J236" i="10" s="1"/>
  <c r="J237" i="10"/>
  <c r="J238" i="10" s="1"/>
  <c r="J233" i="10"/>
  <c r="J234" i="10" s="1"/>
  <c r="Q183" i="10"/>
  <c r="Q208" i="10" s="1"/>
  <c r="Q199" i="10"/>
  <c r="Q224" i="10" s="1"/>
  <c r="Q198" i="10"/>
  <c r="Q223" i="10" s="1"/>
  <c r="Q192" i="10"/>
  <c r="Q217" i="10" s="1"/>
  <c r="Q191" i="10"/>
  <c r="Q216" i="10" s="1"/>
  <c r="Q190" i="10"/>
  <c r="Q215" i="10" s="1"/>
  <c r="Q189" i="10"/>
  <c r="Q214" i="10" s="1"/>
  <c r="Q187" i="10"/>
  <c r="Q212" i="10" s="1"/>
  <c r="Q193" i="10"/>
  <c r="Q218" i="10" s="1"/>
  <c r="Q182" i="10"/>
  <c r="Q207" i="10" s="1"/>
  <c r="Q181" i="10"/>
  <c r="Q206" i="10" s="1"/>
  <c r="Q177" i="10"/>
  <c r="Q197" i="10"/>
  <c r="Q222" i="10" s="1"/>
  <c r="Q196" i="10"/>
  <c r="Q221" i="10" s="1"/>
  <c r="Q195" i="10"/>
  <c r="Q220" i="10" s="1"/>
  <c r="Q185" i="10"/>
  <c r="Q210" i="10" s="1"/>
  <c r="Q179" i="10"/>
  <c r="Q204" i="10" s="1"/>
  <c r="Q188" i="10"/>
  <c r="Q213" i="10" s="1"/>
  <c r="Q184" i="10"/>
  <c r="Q209" i="10" s="1"/>
  <c r="Q178" i="10"/>
  <c r="Q203" i="10" s="1"/>
  <c r="Q194" i="10"/>
  <c r="Q219" i="10" s="1"/>
  <c r="Q186" i="10"/>
  <c r="Q211" i="10" s="1"/>
  <c r="Q180" i="10"/>
  <c r="Q205" i="10" s="1"/>
  <c r="Q201" i="10"/>
  <c r="Q226" i="10" s="1"/>
  <c r="Q200" i="10"/>
  <c r="Q225" i="10" s="1"/>
  <c r="Q247" i="10"/>
  <c r="Q257" i="10" s="1"/>
  <c r="Q267" i="10" s="1"/>
  <c r="Q244" i="10"/>
  <c r="Q243" i="10"/>
  <c r="Q242" i="10"/>
  <c r="Q237" i="10"/>
  <c r="Q233" i="10"/>
  <c r="Q234" i="10" s="1"/>
  <c r="Q238" i="10"/>
  <c r="Q235" i="10"/>
  <c r="Q236" i="10" s="1"/>
  <c r="X243" i="10"/>
  <c r="X242" i="10"/>
  <c r="X244" i="10"/>
  <c r="X247" i="10"/>
  <c r="X257" i="10" s="1"/>
  <c r="X267" i="10" s="1"/>
  <c r="X233" i="10"/>
  <c r="X234" i="10" s="1"/>
  <c r="X237" i="10"/>
  <c r="X238" i="10" s="1"/>
  <c r="X235" i="10"/>
  <c r="X236" i="10" s="1"/>
  <c r="X182" i="10"/>
  <c r="X207" i="10" s="1"/>
  <c r="X197" i="10"/>
  <c r="X222" i="10" s="1"/>
  <c r="X191" i="10"/>
  <c r="X216" i="10" s="1"/>
  <c r="X186" i="10"/>
  <c r="X211" i="10" s="1"/>
  <c r="X184" i="10"/>
  <c r="X209" i="10" s="1"/>
  <c r="X179" i="10"/>
  <c r="X204" i="10" s="1"/>
  <c r="X194" i="10"/>
  <c r="X219" i="10" s="1"/>
  <c r="X180" i="10"/>
  <c r="X205" i="10" s="1"/>
  <c r="X185" i="10"/>
  <c r="X210" i="10" s="1"/>
  <c r="X195" i="10"/>
  <c r="X220" i="10" s="1"/>
  <c r="X178" i="10"/>
  <c r="X203" i="10" s="1"/>
  <c r="X198" i="10"/>
  <c r="X223" i="10" s="1"/>
  <c r="X201" i="10"/>
  <c r="X226" i="10" s="1"/>
  <c r="X199" i="10"/>
  <c r="X224" i="10" s="1"/>
  <c r="X193" i="10"/>
  <c r="X218" i="10" s="1"/>
  <c r="X192" i="10"/>
  <c r="X217" i="10" s="1"/>
  <c r="X187" i="10"/>
  <c r="X212" i="10" s="1"/>
  <c r="X177" i="10"/>
  <c r="X196" i="10"/>
  <c r="X221" i="10" s="1"/>
  <c r="X190" i="10"/>
  <c r="X215" i="10" s="1"/>
  <c r="X188" i="10"/>
  <c r="X213" i="10" s="1"/>
  <c r="X189" i="10"/>
  <c r="X214" i="10" s="1"/>
  <c r="X183" i="10"/>
  <c r="X208" i="10" s="1"/>
  <c r="X181" i="10"/>
  <c r="X206" i="10" s="1"/>
  <c r="X200" i="10"/>
  <c r="X225" i="10" s="1"/>
  <c r="AE183" i="10"/>
  <c r="AE208" i="10" s="1"/>
  <c r="AE192" i="10"/>
  <c r="AE217" i="10" s="1"/>
  <c r="AE191" i="10"/>
  <c r="AE216" i="10" s="1"/>
  <c r="AE189" i="10"/>
  <c r="AE214" i="10" s="1"/>
  <c r="AE181" i="10"/>
  <c r="AE206" i="10" s="1"/>
  <c r="AE177" i="10"/>
  <c r="AE199" i="10"/>
  <c r="AE224" i="10" s="1"/>
  <c r="AE198" i="10"/>
  <c r="AE223" i="10" s="1"/>
  <c r="AE197" i="10"/>
  <c r="AE222" i="10" s="1"/>
  <c r="AE193" i="10"/>
  <c r="AE218" i="10" s="1"/>
  <c r="AE190" i="10"/>
  <c r="AE215" i="10" s="1"/>
  <c r="AE185" i="10"/>
  <c r="AE210" i="10" s="1"/>
  <c r="AE187" i="10"/>
  <c r="AE212" i="10" s="1"/>
  <c r="AE196" i="10"/>
  <c r="AE221" i="10" s="1"/>
  <c r="AE182" i="10"/>
  <c r="AE207" i="10" s="1"/>
  <c r="AE178" i="10"/>
  <c r="AE203" i="10" s="1"/>
  <c r="AE195" i="10"/>
  <c r="AE220" i="10" s="1"/>
  <c r="AE194" i="10"/>
  <c r="AE219" i="10" s="1"/>
  <c r="AE188" i="10"/>
  <c r="AE213" i="10" s="1"/>
  <c r="AE186" i="10"/>
  <c r="AE211" i="10" s="1"/>
  <c r="AE184" i="10"/>
  <c r="AE209" i="10" s="1"/>
  <c r="AE180" i="10"/>
  <c r="AE205" i="10" s="1"/>
  <c r="AE179" i="10"/>
  <c r="AE204" i="10" s="1"/>
  <c r="AE201" i="10"/>
  <c r="AE226" i="10" s="1"/>
  <c r="AE200" i="10"/>
  <c r="AE225" i="10" s="1"/>
  <c r="AE247" i="10"/>
  <c r="AE257" i="10" s="1"/>
  <c r="AE267" i="10" s="1"/>
  <c r="AE242" i="10"/>
  <c r="AE243" i="10"/>
  <c r="AE244" i="10"/>
  <c r="AE235" i="10"/>
  <c r="AE236" i="10" s="1"/>
  <c r="AE237" i="10"/>
  <c r="AE238" i="10" s="1"/>
  <c r="AE233" i="10"/>
  <c r="AE234" i="10" s="1"/>
  <c r="AQ243" i="10"/>
  <c r="AQ242" i="10"/>
  <c r="AQ247" i="10"/>
  <c r="AQ257" i="10" s="1"/>
  <c r="AQ267" i="10" s="1"/>
  <c r="AQ244" i="10"/>
  <c r="AQ235" i="10"/>
  <c r="AQ236" i="10" s="1"/>
  <c r="AQ233" i="10"/>
  <c r="AQ234" i="10"/>
  <c r="AQ237" i="10"/>
  <c r="AQ238" i="10" s="1"/>
  <c r="AQ183" i="10"/>
  <c r="AQ208" i="10" s="1"/>
  <c r="AQ199" i="10"/>
  <c r="AQ224" i="10" s="1"/>
  <c r="AQ194" i="10"/>
  <c r="AQ219" i="10" s="1"/>
  <c r="AQ177" i="10"/>
  <c r="AQ190" i="10"/>
  <c r="AQ215" i="10" s="1"/>
  <c r="AQ201" i="10"/>
  <c r="AQ226" i="10" s="1"/>
  <c r="AQ180" i="10"/>
  <c r="AQ205" i="10" s="1"/>
  <c r="AQ185" i="10"/>
  <c r="AQ210" i="10" s="1"/>
  <c r="AQ182" i="10"/>
  <c r="AQ207" i="10" s="1"/>
  <c r="AQ188" i="10"/>
  <c r="AQ213" i="10" s="1"/>
  <c r="AQ197" i="10"/>
  <c r="AQ222" i="10" s="1"/>
  <c r="AQ192" i="10"/>
  <c r="AQ217" i="10" s="1"/>
  <c r="AQ195" i="10"/>
  <c r="AQ220" i="10" s="1"/>
  <c r="AQ181" i="10"/>
  <c r="AQ206" i="10" s="1"/>
  <c r="AQ189" i="10"/>
  <c r="AQ214" i="10" s="1"/>
  <c r="AQ179" i="10"/>
  <c r="AQ204" i="10" s="1"/>
  <c r="AQ196" i="10"/>
  <c r="AQ221" i="10" s="1"/>
  <c r="AQ186" i="10"/>
  <c r="AQ211" i="10" s="1"/>
  <c r="AQ191" i="10"/>
  <c r="AQ216" i="10" s="1"/>
  <c r="AQ193" i="10"/>
  <c r="AQ218" i="10" s="1"/>
  <c r="AQ184" i="10"/>
  <c r="AQ209" i="10" s="1"/>
  <c r="AQ198" i="10"/>
  <c r="AQ223" i="10" s="1"/>
  <c r="AQ187" i="10"/>
  <c r="AQ212" i="10" s="1"/>
  <c r="AQ178" i="10"/>
  <c r="AQ203" i="10" s="1"/>
  <c r="AQ200" i="10"/>
  <c r="AQ225" i="10" s="1"/>
  <c r="BJ179" i="10"/>
  <c r="BJ204" i="10" s="1"/>
  <c r="BJ195" i="10"/>
  <c r="BJ220" i="10" s="1"/>
  <c r="BJ198" i="10"/>
  <c r="BJ223" i="10" s="1"/>
  <c r="BJ190" i="10"/>
  <c r="BJ215" i="10" s="1"/>
  <c r="BJ188" i="10"/>
  <c r="BJ213" i="10" s="1"/>
  <c r="BJ183" i="10"/>
  <c r="BJ208" i="10" s="1"/>
  <c r="BJ181" i="10"/>
  <c r="BJ206" i="10" s="1"/>
  <c r="BJ184" i="10"/>
  <c r="BJ209" i="10" s="1"/>
  <c r="BJ192" i="10"/>
  <c r="BJ217" i="10" s="1"/>
  <c r="BJ182" i="10"/>
  <c r="BJ207" i="10" s="1"/>
  <c r="BJ196" i="10"/>
  <c r="BJ221" i="10" s="1"/>
  <c r="BJ191" i="10"/>
  <c r="BJ216" i="10" s="1"/>
  <c r="BJ187" i="10"/>
  <c r="BJ212" i="10" s="1"/>
  <c r="BJ197" i="10"/>
  <c r="BJ222" i="10" s="1"/>
  <c r="BJ194" i="10"/>
  <c r="BJ219" i="10" s="1"/>
  <c r="BJ189" i="10"/>
  <c r="BJ214" i="10" s="1"/>
  <c r="BJ199" i="10"/>
  <c r="BJ224" i="10" s="1"/>
  <c r="BJ185" i="10"/>
  <c r="BJ210" i="10" s="1"/>
  <c r="BJ180" i="10"/>
  <c r="BJ205" i="10" s="1"/>
  <c r="BJ178" i="10"/>
  <c r="BJ203" i="10" s="1"/>
  <c r="BJ193" i="10"/>
  <c r="BJ218" i="10" s="1"/>
  <c r="BJ186" i="10"/>
  <c r="BJ211" i="10" s="1"/>
  <c r="BJ177" i="10"/>
  <c r="BJ201" i="10"/>
  <c r="BJ226" i="10" s="1"/>
  <c r="BJ200" i="10"/>
  <c r="BJ225" i="10" s="1"/>
  <c r="BJ242" i="10"/>
  <c r="BJ247" i="10"/>
  <c r="BJ257" i="10" s="1"/>
  <c r="BJ267" i="10" s="1"/>
  <c r="BJ244" i="10"/>
  <c r="BJ243" i="10"/>
  <c r="BJ233" i="10"/>
  <c r="BJ234" i="10" s="1"/>
  <c r="BJ235" i="10"/>
  <c r="BJ236" i="10" s="1"/>
  <c r="BJ237" i="10"/>
  <c r="BJ238" i="10" s="1"/>
  <c r="BP237" i="10"/>
  <c r="BP238" i="10" s="1"/>
  <c r="BP233" i="10"/>
  <c r="BP234" i="10" s="1"/>
  <c r="BP235" i="10"/>
  <c r="BP236" i="10" s="1"/>
  <c r="BP193" i="10"/>
  <c r="BP218" i="10" s="1"/>
  <c r="BP182" i="10"/>
  <c r="BP207" i="10" s="1"/>
  <c r="BP191" i="10"/>
  <c r="BP216" i="10" s="1"/>
  <c r="BP181" i="10"/>
  <c r="BP206" i="10" s="1"/>
  <c r="BP183" i="10"/>
  <c r="BP208" i="10" s="1"/>
  <c r="BP187" i="10"/>
  <c r="BP212" i="10" s="1"/>
  <c r="BP194" i="10"/>
  <c r="BP219" i="10" s="1"/>
  <c r="BP188" i="10"/>
  <c r="BP213" i="10" s="1"/>
  <c r="BP196" i="10"/>
  <c r="BP221" i="10" s="1"/>
  <c r="BP190" i="10"/>
  <c r="BP215" i="10" s="1"/>
  <c r="BP179" i="10"/>
  <c r="BP204" i="10" s="1"/>
  <c r="BP200" i="10"/>
  <c r="BP225" i="10" s="1"/>
  <c r="BP185" i="10"/>
  <c r="BP210" i="10" s="1"/>
  <c r="BP198" i="10"/>
  <c r="BP223" i="10" s="1"/>
  <c r="BP186" i="10"/>
  <c r="BP211" i="10" s="1"/>
  <c r="BP192" i="10"/>
  <c r="BP217" i="10" s="1"/>
  <c r="BP189" i="10"/>
  <c r="BP214" i="10" s="1"/>
  <c r="BP199" i="10"/>
  <c r="BP224" i="10" s="1"/>
  <c r="BP197" i="10"/>
  <c r="BP222" i="10" s="1"/>
  <c r="BP195" i="10"/>
  <c r="BP220" i="10" s="1"/>
  <c r="BP184" i="10"/>
  <c r="BP209" i="10" s="1"/>
  <c r="BP180" i="10"/>
  <c r="BP205" i="10" s="1"/>
  <c r="BP178" i="10"/>
  <c r="BP203" i="10" s="1"/>
  <c r="BP177" i="10"/>
  <c r="BP201" i="10"/>
  <c r="BP226" i="10" s="1"/>
  <c r="BW243" i="10"/>
  <c r="BW244" i="10"/>
  <c r="BW242" i="10"/>
  <c r="BW247" i="10"/>
  <c r="BW257" i="10" s="1"/>
  <c r="BW267" i="10" s="1"/>
  <c r="BW233" i="10"/>
  <c r="BW234" i="10" s="1"/>
  <c r="BW235" i="10"/>
  <c r="BW236" i="10" s="1"/>
  <c r="BW237" i="10"/>
  <c r="BW238" i="10" s="1"/>
  <c r="BW183" i="10"/>
  <c r="BW208" i="10" s="1"/>
  <c r="BW199" i="10"/>
  <c r="BW224" i="10" s="1"/>
  <c r="BW189" i="10"/>
  <c r="BW214" i="10" s="1"/>
  <c r="BW178" i="10"/>
  <c r="BW203" i="10" s="1"/>
  <c r="BW184" i="10"/>
  <c r="BW209" i="10" s="1"/>
  <c r="BW198" i="10"/>
  <c r="BW223" i="10" s="1"/>
  <c r="BW192" i="10"/>
  <c r="BW217" i="10" s="1"/>
  <c r="BW190" i="10"/>
  <c r="BW215" i="10" s="1"/>
  <c r="BW182" i="10"/>
  <c r="BW207" i="10" s="1"/>
  <c r="BW197" i="10"/>
  <c r="BW222" i="10" s="1"/>
  <c r="BW195" i="10"/>
  <c r="BW220" i="10" s="1"/>
  <c r="BW181" i="10"/>
  <c r="BW206" i="10" s="1"/>
  <c r="BW193" i="10"/>
  <c r="BW218" i="10" s="1"/>
  <c r="BW179" i="10"/>
  <c r="BW204" i="10" s="1"/>
  <c r="BW177" i="10"/>
  <c r="BW196" i="10"/>
  <c r="BW221" i="10" s="1"/>
  <c r="BW187" i="10"/>
  <c r="BW212" i="10" s="1"/>
  <c r="BW188" i="10"/>
  <c r="BW213" i="10" s="1"/>
  <c r="BW180" i="10"/>
  <c r="BW205" i="10" s="1"/>
  <c r="BW194" i="10"/>
  <c r="BW219" i="10" s="1"/>
  <c r="BW185" i="10"/>
  <c r="BW210" i="10" s="1"/>
  <c r="BW191" i="10"/>
  <c r="BW216" i="10" s="1"/>
  <c r="BW186" i="10"/>
  <c r="BW211" i="10" s="1"/>
  <c r="BW201" i="10"/>
  <c r="BW226" i="10" s="1"/>
  <c r="BW200" i="10"/>
  <c r="BW225" i="10" s="1"/>
  <c r="CB183" i="10"/>
  <c r="CB208" i="10" s="1"/>
  <c r="CB177" i="10"/>
  <c r="CB196" i="10"/>
  <c r="CB221" i="10" s="1"/>
  <c r="CB189" i="10"/>
  <c r="CB214" i="10" s="1"/>
  <c r="CB182" i="10"/>
  <c r="CB207" i="10" s="1"/>
  <c r="CB194" i="10"/>
  <c r="CB219" i="10" s="1"/>
  <c r="CB188" i="10"/>
  <c r="CB213" i="10" s="1"/>
  <c r="CB195" i="10"/>
  <c r="CB220" i="10" s="1"/>
  <c r="CB199" i="10"/>
  <c r="CB224" i="10" s="1"/>
  <c r="CB181" i="10"/>
  <c r="CB206" i="10" s="1"/>
  <c r="CB192" i="10"/>
  <c r="CB217" i="10" s="1"/>
  <c r="CB184" i="10"/>
  <c r="CB209" i="10" s="1"/>
  <c r="CB180" i="10"/>
  <c r="CB205" i="10" s="1"/>
  <c r="CB201" i="10"/>
  <c r="CB226" i="10" s="1"/>
  <c r="CB191" i="10"/>
  <c r="CB216" i="10" s="1"/>
  <c r="CB197" i="10"/>
  <c r="CB222" i="10" s="1"/>
  <c r="CB193" i="10"/>
  <c r="CB218" i="10" s="1"/>
  <c r="CB178" i="10"/>
  <c r="CB203" i="10" s="1"/>
  <c r="CB186" i="10"/>
  <c r="CB211" i="10" s="1"/>
  <c r="CB190" i="10"/>
  <c r="CB215" i="10" s="1"/>
  <c r="CB198" i="10"/>
  <c r="CB223" i="10" s="1"/>
  <c r="CB187" i="10"/>
  <c r="CB212" i="10" s="1"/>
  <c r="CB185" i="10"/>
  <c r="CB210" i="10" s="1"/>
  <c r="CB179" i="10"/>
  <c r="CB204" i="10" s="1"/>
  <c r="CB200" i="10"/>
  <c r="CB225" i="10" s="1"/>
  <c r="CB235" i="10"/>
  <c r="CB236" i="10" s="1"/>
  <c r="CB237" i="10"/>
  <c r="CB238" i="10"/>
  <c r="CB233" i="10"/>
  <c r="CB234" i="10" s="1"/>
  <c r="CF243" i="10"/>
  <c r="CF242" i="10"/>
  <c r="CF247" i="10"/>
  <c r="CF257" i="10" s="1"/>
  <c r="CF267" i="10" s="1"/>
  <c r="CF244" i="10"/>
  <c r="CF233" i="10"/>
  <c r="CF234" i="10" s="1"/>
  <c r="CF237" i="10"/>
  <c r="CF238" i="10" s="1"/>
  <c r="CF235" i="10"/>
  <c r="CF236" i="10"/>
  <c r="CF178" i="10"/>
  <c r="CF203" i="10" s="1"/>
  <c r="CF195" i="10"/>
  <c r="CF220" i="10" s="1"/>
  <c r="CF182" i="10"/>
  <c r="CF207" i="10" s="1"/>
  <c r="CF193" i="10"/>
  <c r="CF218" i="10" s="1"/>
  <c r="CF188" i="10"/>
  <c r="CF213" i="10" s="1"/>
  <c r="CF186" i="10"/>
  <c r="CF211" i="10" s="1"/>
  <c r="CF185" i="10"/>
  <c r="CF210" i="10" s="1"/>
  <c r="CF181" i="10"/>
  <c r="CF206" i="10" s="1"/>
  <c r="CF180" i="10"/>
  <c r="CF205" i="10" s="1"/>
  <c r="CF179" i="10"/>
  <c r="CF204" i="10" s="1"/>
  <c r="CF177" i="10"/>
  <c r="CF197" i="10"/>
  <c r="CF222" i="10" s="1"/>
  <c r="CF192" i="10"/>
  <c r="CF217" i="10" s="1"/>
  <c r="CF187" i="10"/>
  <c r="CF212" i="10" s="1"/>
  <c r="CF184" i="10"/>
  <c r="CF209" i="10" s="1"/>
  <c r="CF199" i="10"/>
  <c r="CF224" i="10" s="1"/>
  <c r="CF198" i="10"/>
  <c r="CF223" i="10" s="1"/>
  <c r="CF196" i="10"/>
  <c r="CF221" i="10" s="1"/>
  <c r="CF190" i="10"/>
  <c r="CF215" i="10" s="1"/>
  <c r="CF189" i="10"/>
  <c r="CF214" i="10" s="1"/>
  <c r="CF194" i="10"/>
  <c r="CF219" i="10" s="1"/>
  <c r="CF191" i="10"/>
  <c r="CF216" i="10" s="1"/>
  <c r="CF183" i="10"/>
  <c r="CF208" i="10" s="1"/>
  <c r="CF201" i="10"/>
  <c r="CF226" i="10" s="1"/>
  <c r="CF200" i="10"/>
  <c r="CF225" i="10" s="1"/>
  <c r="CO185" i="10"/>
  <c r="CO210" i="10" s="1"/>
  <c r="CO182" i="10"/>
  <c r="CO207" i="10" s="1"/>
  <c r="CO181" i="10"/>
  <c r="CO206" i="10" s="1"/>
  <c r="CO194" i="10"/>
  <c r="CO219" i="10" s="1"/>
  <c r="CO187" i="10"/>
  <c r="CO212" i="10" s="1"/>
  <c r="CO196" i="10"/>
  <c r="CO221" i="10" s="1"/>
  <c r="CO195" i="10"/>
  <c r="CO220" i="10" s="1"/>
  <c r="CO193" i="10"/>
  <c r="CO218" i="10" s="1"/>
  <c r="CO189" i="10"/>
  <c r="CO214" i="10" s="1"/>
  <c r="CO179" i="10"/>
  <c r="CO204" i="10" s="1"/>
  <c r="CO197" i="10"/>
  <c r="CO222" i="10" s="1"/>
  <c r="CO192" i="10"/>
  <c r="CO217" i="10" s="1"/>
  <c r="CO190" i="10"/>
  <c r="CO215" i="10" s="1"/>
  <c r="CO188" i="10"/>
  <c r="CO213" i="10" s="1"/>
  <c r="CO186" i="10"/>
  <c r="CO211" i="10" s="1"/>
  <c r="CO184" i="10"/>
  <c r="CO209" i="10" s="1"/>
  <c r="CO177" i="10"/>
  <c r="CO183" i="10"/>
  <c r="CO208" i="10" s="1"/>
  <c r="CO180" i="10"/>
  <c r="CO205" i="10" s="1"/>
  <c r="CO198" i="10"/>
  <c r="CO223" i="10" s="1"/>
  <c r="CO191" i="10"/>
  <c r="CO216" i="10" s="1"/>
  <c r="CO178" i="10"/>
  <c r="CO203" i="10" s="1"/>
  <c r="CO201" i="10"/>
  <c r="CO226" i="10" s="1"/>
  <c r="CO200" i="10"/>
  <c r="CO225" i="10" s="1"/>
  <c r="CO199" i="10"/>
  <c r="CO224" i="10" s="1"/>
  <c r="CO243" i="10"/>
  <c r="CO244" i="10"/>
  <c r="CO247" i="10"/>
  <c r="CO257" i="10" s="1"/>
  <c r="CO267" i="10" s="1"/>
  <c r="CO242" i="10"/>
  <c r="CO237" i="10"/>
  <c r="CO238" i="10"/>
  <c r="CO235" i="10"/>
  <c r="CO236" i="10" s="1"/>
  <c r="CO233" i="10"/>
  <c r="CO234" i="10" s="1"/>
  <c r="CS244" i="10"/>
  <c r="CS247" i="10"/>
  <c r="CS257" i="10" s="1"/>
  <c r="CS267" i="10" s="1"/>
  <c r="CS243" i="10"/>
  <c r="CS242" i="10"/>
  <c r="CS233" i="10"/>
  <c r="CS237" i="10"/>
  <c r="CS238" i="10" s="1"/>
  <c r="CS234" i="10"/>
  <c r="CS235" i="10"/>
  <c r="CS236" i="10" s="1"/>
  <c r="CS195" i="10"/>
  <c r="CS220" i="10" s="1"/>
  <c r="CS192" i="10"/>
  <c r="CS217" i="10" s="1"/>
  <c r="CS189" i="10"/>
  <c r="CS214" i="10" s="1"/>
  <c r="CS186" i="10"/>
  <c r="CS211" i="10" s="1"/>
  <c r="CS184" i="10"/>
  <c r="CS209" i="10" s="1"/>
  <c r="CS182" i="10"/>
  <c r="CS207" i="10" s="1"/>
  <c r="CS179" i="10"/>
  <c r="CS204" i="10" s="1"/>
  <c r="CS177" i="10"/>
  <c r="CS196" i="10"/>
  <c r="CS221" i="10" s="1"/>
  <c r="CS194" i="10"/>
  <c r="CS219" i="10" s="1"/>
  <c r="CS187" i="10"/>
  <c r="CS212" i="10" s="1"/>
  <c r="CS183" i="10"/>
  <c r="CS208" i="10" s="1"/>
  <c r="CS181" i="10"/>
  <c r="CS206" i="10" s="1"/>
  <c r="CS197" i="10"/>
  <c r="CS222" i="10" s="1"/>
  <c r="CS188" i="10"/>
  <c r="CS213" i="10" s="1"/>
  <c r="CS185" i="10"/>
  <c r="CS210" i="10" s="1"/>
  <c r="CS178" i="10"/>
  <c r="CS203" i="10" s="1"/>
  <c r="CS190" i="10"/>
  <c r="CS215" i="10" s="1"/>
  <c r="CS180" i="10"/>
  <c r="CS205" i="10" s="1"/>
  <c r="CS198" i="10"/>
  <c r="CS223" i="10" s="1"/>
  <c r="CS193" i="10"/>
  <c r="CS218" i="10" s="1"/>
  <c r="CS191" i="10"/>
  <c r="CS216" i="10" s="1"/>
  <c r="CS201" i="10"/>
  <c r="CS226" i="10" s="1"/>
  <c r="CS200" i="10"/>
  <c r="CS225" i="10" s="1"/>
  <c r="CS199" i="10"/>
  <c r="CS224" i="10" s="1"/>
  <c r="CX242" i="10"/>
  <c r="CX244" i="10"/>
  <c r="CX247" i="10"/>
  <c r="CX257" i="10" s="1"/>
  <c r="CX243" i="10"/>
  <c r="CX235" i="10"/>
  <c r="CX236" i="10"/>
  <c r="CX237" i="10"/>
  <c r="CX238" i="10" s="1"/>
  <c r="CX233" i="10"/>
  <c r="CX234" i="10" s="1"/>
  <c r="CX182" i="10"/>
  <c r="CX179" i="10"/>
  <c r="CX193" i="10"/>
  <c r="CX189" i="10"/>
  <c r="CX185" i="10"/>
  <c r="CX198" i="10"/>
  <c r="CX194" i="10"/>
  <c r="CX187" i="10"/>
  <c r="CX197" i="10"/>
  <c r="CX191" i="10"/>
  <c r="CX184" i="10"/>
  <c r="CX180" i="10"/>
  <c r="CX201" i="10"/>
  <c r="CX199" i="10"/>
  <c r="CX186" i="10"/>
  <c r="CX196" i="10"/>
  <c r="CX188" i="10"/>
  <c r="CX177" i="10"/>
  <c r="CX195" i="10"/>
  <c r="CX178" i="10"/>
  <c r="CX181" i="10"/>
  <c r="CX192" i="10"/>
  <c r="CX190" i="10"/>
  <c r="CX183" i="10"/>
  <c r="CX200" i="10"/>
  <c r="DC242" i="10"/>
  <c r="DC243" i="10"/>
  <c r="DC247" i="10"/>
  <c r="DC257" i="10" s="1"/>
  <c r="DC267" i="10" s="1"/>
  <c r="DC244" i="10"/>
  <c r="DC233" i="10"/>
  <c r="DC234" i="10" s="1"/>
  <c r="DC237" i="10"/>
  <c r="DC238" i="10"/>
  <c r="DC235" i="10"/>
  <c r="DC236" i="10" s="1"/>
  <c r="DC182" i="10"/>
  <c r="DC207" i="10" s="1"/>
  <c r="DC195" i="10"/>
  <c r="DC220" i="10" s="1"/>
  <c r="DC193" i="10"/>
  <c r="DC218" i="10" s="1"/>
  <c r="DC191" i="10"/>
  <c r="DC216" i="10" s="1"/>
  <c r="DC184" i="10"/>
  <c r="DC209" i="10" s="1"/>
  <c r="DC183" i="10"/>
  <c r="DC208" i="10" s="1"/>
  <c r="DC177" i="10"/>
  <c r="DC198" i="10"/>
  <c r="DC223" i="10" s="1"/>
  <c r="DC196" i="10"/>
  <c r="DC221" i="10" s="1"/>
  <c r="DC188" i="10"/>
  <c r="DC213" i="10" s="1"/>
  <c r="DC187" i="10"/>
  <c r="DC212" i="10" s="1"/>
  <c r="DC185" i="10"/>
  <c r="DC210" i="10" s="1"/>
  <c r="DC197" i="10"/>
  <c r="DC222" i="10" s="1"/>
  <c r="DC186" i="10"/>
  <c r="DC211" i="10" s="1"/>
  <c r="DC192" i="10"/>
  <c r="DC217" i="10" s="1"/>
  <c r="DC189" i="10"/>
  <c r="DC214" i="10" s="1"/>
  <c r="DC181" i="10"/>
  <c r="DC206" i="10" s="1"/>
  <c r="DC179" i="10"/>
  <c r="DC204" i="10" s="1"/>
  <c r="DC194" i="10"/>
  <c r="DC219" i="10" s="1"/>
  <c r="DC190" i="10"/>
  <c r="DC215" i="10" s="1"/>
  <c r="DC180" i="10"/>
  <c r="DC205" i="10" s="1"/>
  <c r="DC178" i="10"/>
  <c r="DC203" i="10" s="1"/>
  <c r="DC201" i="10"/>
  <c r="DC226" i="10" s="1"/>
  <c r="DC200" i="10"/>
  <c r="DC225" i="10" s="1"/>
  <c r="DC199" i="10"/>
  <c r="DC224" i="10" s="1"/>
  <c r="DM185" i="10"/>
  <c r="DM210" i="10" s="1"/>
  <c r="DM178" i="10"/>
  <c r="DM203" i="10" s="1"/>
  <c r="DM198" i="10"/>
  <c r="DM223" i="10" s="1"/>
  <c r="DM187" i="10"/>
  <c r="DM212" i="10" s="1"/>
  <c r="DM184" i="10"/>
  <c r="DM209" i="10" s="1"/>
  <c r="DM182" i="10"/>
  <c r="DM207" i="10" s="1"/>
  <c r="DM190" i="10"/>
  <c r="DM215" i="10" s="1"/>
  <c r="DM183" i="10"/>
  <c r="DM208" i="10" s="1"/>
  <c r="DM180" i="10"/>
  <c r="DM205" i="10" s="1"/>
  <c r="DM177" i="10"/>
  <c r="DM197" i="10"/>
  <c r="DM222" i="10" s="1"/>
  <c r="DM196" i="10"/>
  <c r="DM221" i="10" s="1"/>
  <c r="DM194" i="10"/>
  <c r="DM219" i="10" s="1"/>
  <c r="DM188" i="10"/>
  <c r="DM213" i="10" s="1"/>
  <c r="DM181" i="10"/>
  <c r="DM206" i="10" s="1"/>
  <c r="DM191" i="10"/>
  <c r="DM216" i="10" s="1"/>
  <c r="DM189" i="10"/>
  <c r="DM214" i="10" s="1"/>
  <c r="DM195" i="10"/>
  <c r="DM220" i="10" s="1"/>
  <c r="DM193" i="10"/>
  <c r="DM218" i="10" s="1"/>
  <c r="DM192" i="10"/>
  <c r="DM217" i="10" s="1"/>
  <c r="DM186" i="10"/>
  <c r="DM211" i="10" s="1"/>
  <c r="DM179" i="10"/>
  <c r="DM204" i="10" s="1"/>
  <c r="DM201" i="10"/>
  <c r="DM226" i="10" s="1"/>
  <c r="DM200" i="10"/>
  <c r="DM225" i="10" s="1"/>
  <c r="DM199" i="10"/>
  <c r="DM224" i="10" s="1"/>
  <c r="DM243" i="10"/>
  <c r="DM242" i="10"/>
  <c r="DM244" i="10"/>
  <c r="DM247" i="10"/>
  <c r="DM257" i="10" s="1"/>
  <c r="DM267" i="10" s="1"/>
  <c r="DM233" i="10"/>
  <c r="DM235" i="10"/>
  <c r="DM236" i="10" s="1"/>
  <c r="DM234" i="10"/>
  <c r="DM237" i="10"/>
  <c r="DM238" i="10" s="1"/>
  <c r="DO235" i="10"/>
  <c r="DO236" i="10" s="1"/>
  <c r="DO237" i="10"/>
  <c r="DO238" i="10"/>
  <c r="DO233" i="10"/>
  <c r="DO234" i="10" s="1"/>
  <c r="DO182" i="10"/>
  <c r="DO207" i="10" s="1"/>
  <c r="DO189" i="10"/>
  <c r="DO214" i="10" s="1"/>
  <c r="DO180" i="10"/>
  <c r="DO205" i="10" s="1"/>
  <c r="DO194" i="10"/>
  <c r="DO219" i="10" s="1"/>
  <c r="DO198" i="10"/>
  <c r="DO223" i="10" s="1"/>
  <c r="DO186" i="10"/>
  <c r="DO211" i="10" s="1"/>
  <c r="DO197" i="10"/>
  <c r="DO222" i="10" s="1"/>
  <c r="DO190" i="10"/>
  <c r="DO215" i="10" s="1"/>
  <c r="DO183" i="10"/>
  <c r="DO208" i="10" s="1"/>
  <c r="DO181" i="10"/>
  <c r="DO206" i="10" s="1"/>
  <c r="DO178" i="10"/>
  <c r="DO203" i="10" s="1"/>
  <c r="DO184" i="10"/>
  <c r="DO209" i="10" s="1"/>
  <c r="DO200" i="10"/>
  <c r="DO225" i="10" s="1"/>
  <c r="DO196" i="10"/>
  <c r="DO221" i="10" s="1"/>
  <c r="DO185" i="10"/>
  <c r="DO210" i="10" s="1"/>
  <c r="DO195" i="10"/>
  <c r="DO220" i="10" s="1"/>
  <c r="DO192" i="10"/>
  <c r="DO217" i="10" s="1"/>
  <c r="DO188" i="10"/>
  <c r="DO213" i="10" s="1"/>
  <c r="DO193" i="10"/>
  <c r="DO218" i="10" s="1"/>
  <c r="DO187" i="10"/>
  <c r="DO212" i="10" s="1"/>
  <c r="DO179" i="10"/>
  <c r="DO204" i="10" s="1"/>
  <c r="DO177" i="10"/>
  <c r="DO191" i="10"/>
  <c r="DO216" i="10" s="1"/>
  <c r="DO201" i="10"/>
  <c r="DO226" i="10" s="1"/>
  <c r="DO199" i="10"/>
  <c r="DO224" i="10" s="1"/>
  <c r="DU242" i="10"/>
  <c r="DU247" i="10"/>
  <c r="DU257" i="10" s="1"/>
  <c r="DU267" i="10" s="1"/>
  <c r="DU244" i="10"/>
  <c r="DU243" i="10"/>
  <c r="DU233" i="10"/>
  <c r="DU234" i="10" s="1"/>
  <c r="DU237" i="10"/>
  <c r="DU238" i="10" s="1"/>
  <c r="DU235" i="10"/>
  <c r="DU236" i="10" s="1"/>
  <c r="DU184" i="10"/>
  <c r="DU209" i="10" s="1"/>
  <c r="DU198" i="10"/>
  <c r="DU223" i="10" s="1"/>
  <c r="DU191" i="10"/>
  <c r="DU216" i="10" s="1"/>
  <c r="DU186" i="10"/>
  <c r="DU211" i="10" s="1"/>
  <c r="DU185" i="10"/>
  <c r="DU210" i="10" s="1"/>
  <c r="DU195" i="10"/>
  <c r="DU220" i="10" s="1"/>
  <c r="DU182" i="10"/>
  <c r="DU207" i="10" s="1"/>
  <c r="DU177" i="10"/>
  <c r="DU196" i="10"/>
  <c r="DU221" i="10" s="1"/>
  <c r="DU194" i="10"/>
  <c r="DU219" i="10" s="1"/>
  <c r="DU180" i="10"/>
  <c r="DU205" i="10" s="1"/>
  <c r="DU193" i="10"/>
  <c r="DU218" i="10" s="1"/>
  <c r="DU187" i="10"/>
  <c r="DU212" i="10" s="1"/>
  <c r="DU201" i="10"/>
  <c r="DU226" i="10" s="1"/>
  <c r="DU200" i="10"/>
  <c r="DU225" i="10" s="1"/>
  <c r="DU197" i="10"/>
  <c r="DU222" i="10" s="1"/>
  <c r="DU189" i="10"/>
  <c r="DU214" i="10" s="1"/>
  <c r="DU188" i="10"/>
  <c r="DU213" i="10" s="1"/>
  <c r="DU190" i="10"/>
  <c r="DU215" i="10" s="1"/>
  <c r="DU181" i="10"/>
  <c r="DU206" i="10" s="1"/>
  <c r="DU178" i="10"/>
  <c r="DU203" i="10" s="1"/>
  <c r="DU179" i="10"/>
  <c r="DU204" i="10" s="1"/>
  <c r="DU183" i="10"/>
  <c r="DU208" i="10" s="1"/>
  <c r="DU192" i="10"/>
  <c r="DU217" i="10" s="1"/>
  <c r="DU199" i="10"/>
  <c r="DU224" i="10" s="1"/>
  <c r="DX181" i="10"/>
  <c r="DX206" i="10" s="1"/>
  <c r="DX189" i="10"/>
  <c r="DX214" i="10" s="1"/>
  <c r="DX186" i="10"/>
  <c r="DX211" i="10" s="1"/>
  <c r="DX183" i="10"/>
  <c r="DX208" i="10" s="1"/>
  <c r="DX177" i="10"/>
  <c r="DX191" i="10"/>
  <c r="DX216" i="10" s="1"/>
  <c r="DX190" i="10"/>
  <c r="DX215" i="10" s="1"/>
  <c r="DX188" i="10"/>
  <c r="DX213" i="10" s="1"/>
  <c r="DX179" i="10"/>
  <c r="DX204" i="10" s="1"/>
  <c r="DX178" i="10"/>
  <c r="DX203" i="10" s="1"/>
  <c r="DX197" i="10"/>
  <c r="DX222" i="10" s="1"/>
  <c r="DX195" i="10"/>
  <c r="DX220" i="10" s="1"/>
  <c r="DX192" i="10"/>
  <c r="DX217" i="10" s="1"/>
  <c r="DX182" i="10"/>
  <c r="DX207" i="10" s="1"/>
  <c r="DX180" i="10"/>
  <c r="DX205" i="10" s="1"/>
  <c r="DX196" i="10"/>
  <c r="DX221" i="10" s="1"/>
  <c r="DX194" i="10"/>
  <c r="DX219" i="10" s="1"/>
  <c r="DX193" i="10"/>
  <c r="DX218" i="10" s="1"/>
  <c r="DX187" i="10"/>
  <c r="DX212" i="10" s="1"/>
  <c r="DX185" i="10"/>
  <c r="DX210" i="10" s="1"/>
  <c r="DX198" i="10"/>
  <c r="DX223" i="10" s="1"/>
  <c r="DX184" i="10"/>
  <c r="DX209" i="10" s="1"/>
  <c r="DX201" i="10"/>
  <c r="DX226" i="10" s="1"/>
  <c r="DX200" i="10"/>
  <c r="DX225" i="10" s="1"/>
  <c r="DX199" i="10"/>
  <c r="DX224" i="10" s="1"/>
  <c r="DX243" i="10"/>
  <c r="DX244" i="10"/>
  <c r="DX242" i="10"/>
  <c r="DX247" i="10"/>
  <c r="DX257" i="10" s="1"/>
  <c r="DX233" i="10"/>
  <c r="DX234" i="10" s="1"/>
  <c r="DX237" i="10"/>
  <c r="DX238" i="10" s="1"/>
  <c r="DX235" i="10"/>
  <c r="DX236" i="10" s="1"/>
  <c r="EF242" i="10"/>
  <c r="EF247" i="10"/>
  <c r="EF257" i="10" s="1"/>
  <c r="EF244" i="10"/>
  <c r="EF243" i="10"/>
  <c r="EF233" i="10"/>
  <c r="EF234" i="10" s="1"/>
  <c r="EF235" i="10"/>
  <c r="EF236" i="10" s="1"/>
  <c r="EF237" i="10"/>
  <c r="EF238" i="10" s="1"/>
  <c r="EF178" i="10"/>
  <c r="EF203" i="10" s="1"/>
  <c r="EF194" i="10"/>
  <c r="EF219" i="10" s="1"/>
  <c r="EF193" i="10"/>
  <c r="EF218" i="10" s="1"/>
  <c r="EF192" i="10"/>
  <c r="EF217" i="10" s="1"/>
  <c r="EF191" i="10"/>
  <c r="EF216" i="10" s="1"/>
  <c r="EF190" i="10"/>
  <c r="EF215" i="10" s="1"/>
  <c r="EF181" i="10"/>
  <c r="EF206" i="10" s="1"/>
  <c r="EF180" i="10"/>
  <c r="EF205" i="10" s="1"/>
  <c r="EF198" i="10"/>
  <c r="EF223" i="10" s="1"/>
  <c r="EF197" i="10"/>
  <c r="EF222" i="10" s="1"/>
  <c r="EF196" i="10"/>
  <c r="EF221" i="10" s="1"/>
  <c r="EF195" i="10"/>
  <c r="EF220" i="10" s="1"/>
  <c r="EF186" i="10"/>
  <c r="EF211" i="10" s="1"/>
  <c r="EF185" i="10"/>
  <c r="EF210" i="10" s="1"/>
  <c r="EF189" i="10"/>
  <c r="EF214" i="10" s="1"/>
  <c r="EF188" i="10"/>
  <c r="EF213" i="10" s="1"/>
  <c r="EF187" i="10"/>
  <c r="EF212" i="10" s="1"/>
  <c r="EF184" i="10"/>
  <c r="EF209" i="10" s="1"/>
  <c r="EF183" i="10"/>
  <c r="EF208" i="10" s="1"/>
  <c r="EF182" i="10"/>
  <c r="EF207" i="10" s="1"/>
  <c r="EF179" i="10"/>
  <c r="EF204" i="10" s="1"/>
  <c r="EF177" i="10"/>
  <c r="EF201" i="10"/>
  <c r="EF226" i="10" s="1"/>
  <c r="EF200" i="10"/>
  <c r="EF225" i="10" s="1"/>
  <c r="EF199" i="10"/>
  <c r="EF224" i="10" s="1"/>
  <c r="EJ194" i="10"/>
  <c r="EJ219" i="10" s="1"/>
  <c r="EJ192" i="10"/>
  <c r="EJ217" i="10" s="1"/>
  <c r="EJ190" i="10"/>
  <c r="EJ215" i="10" s="1"/>
  <c r="EJ186" i="10"/>
  <c r="EJ211" i="10" s="1"/>
  <c r="EJ182" i="10"/>
  <c r="EJ207" i="10" s="1"/>
  <c r="EJ179" i="10"/>
  <c r="EJ204" i="10" s="1"/>
  <c r="EJ197" i="10"/>
  <c r="EJ222" i="10" s="1"/>
  <c r="EJ189" i="10"/>
  <c r="EJ214" i="10" s="1"/>
  <c r="EJ188" i="10"/>
  <c r="EJ213" i="10" s="1"/>
  <c r="EJ185" i="10"/>
  <c r="EJ210" i="10" s="1"/>
  <c r="EJ183" i="10"/>
  <c r="EJ208" i="10" s="1"/>
  <c r="EJ178" i="10"/>
  <c r="EJ203" i="10" s="1"/>
  <c r="EJ196" i="10"/>
  <c r="EJ221" i="10" s="1"/>
  <c r="EJ195" i="10"/>
  <c r="EJ220" i="10" s="1"/>
  <c r="EJ191" i="10"/>
  <c r="EJ216" i="10" s="1"/>
  <c r="EJ184" i="10"/>
  <c r="EJ209" i="10" s="1"/>
  <c r="EJ193" i="10"/>
  <c r="EJ218" i="10" s="1"/>
  <c r="EJ181" i="10"/>
  <c r="EJ206" i="10" s="1"/>
  <c r="EJ180" i="10"/>
  <c r="EJ205" i="10" s="1"/>
  <c r="EJ177" i="10"/>
  <c r="EJ198" i="10"/>
  <c r="EJ223" i="10" s="1"/>
  <c r="EJ187" i="10"/>
  <c r="EJ212" i="10" s="1"/>
  <c r="EJ201" i="10"/>
  <c r="EJ226" i="10" s="1"/>
  <c r="EJ200" i="10"/>
  <c r="EJ225" i="10" s="1"/>
  <c r="EJ199" i="10"/>
  <c r="EJ224" i="10" s="1"/>
  <c r="EJ244" i="10"/>
  <c r="EJ247" i="10"/>
  <c r="EJ257" i="10" s="1"/>
  <c r="EJ242" i="10"/>
  <c r="EJ243" i="10"/>
  <c r="EJ233" i="10"/>
  <c r="EJ234" i="10" s="1"/>
  <c r="EJ235" i="10"/>
  <c r="EJ236" i="10" s="1"/>
  <c r="EJ237" i="10"/>
  <c r="EJ238" i="10" s="1"/>
  <c r="EN244" i="10"/>
  <c r="EN247" i="10"/>
  <c r="EN257" i="10" s="1"/>
  <c r="EN243" i="10"/>
  <c r="EN242" i="10"/>
  <c r="EN237" i="10"/>
  <c r="EN233" i="10"/>
  <c r="EN234" i="10" s="1"/>
  <c r="EN238" i="10"/>
  <c r="EN235" i="10"/>
  <c r="EN236" i="10" s="1"/>
  <c r="EN180" i="10"/>
  <c r="EN205" i="10" s="1"/>
  <c r="EN191" i="10"/>
  <c r="EN216" i="10" s="1"/>
  <c r="EN185" i="10"/>
  <c r="EN210" i="10" s="1"/>
  <c r="EN187" i="10"/>
  <c r="EN212" i="10" s="1"/>
  <c r="EN201" i="10"/>
  <c r="EN226" i="10" s="1"/>
  <c r="EN199" i="10"/>
  <c r="EN224" i="10" s="1"/>
  <c r="EN194" i="10"/>
  <c r="EN219" i="10" s="1"/>
  <c r="EN198" i="10"/>
  <c r="EN223" i="10" s="1"/>
  <c r="EN186" i="10"/>
  <c r="EN211" i="10" s="1"/>
  <c r="EN192" i="10"/>
  <c r="EN217" i="10" s="1"/>
  <c r="EN179" i="10"/>
  <c r="EN204" i="10" s="1"/>
  <c r="EN188" i="10"/>
  <c r="EN213" i="10" s="1"/>
  <c r="EN183" i="10"/>
  <c r="EN208" i="10" s="1"/>
  <c r="EN181" i="10"/>
  <c r="EN206" i="10" s="1"/>
  <c r="EN182" i="10"/>
  <c r="EN207" i="10" s="1"/>
  <c r="EN178" i="10"/>
  <c r="EN203" i="10" s="1"/>
  <c r="EN196" i="10"/>
  <c r="EN221" i="10" s="1"/>
  <c r="EN195" i="10"/>
  <c r="EN220" i="10" s="1"/>
  <c r="EN189" i="10"/>
  <c r="EN214" i="10" s="1"/>
  <c r="EN190" i="10"/>
  <c r="EN215" i="10" s="1"/>
  <c r="EN177" i="10"/>
  <c r="EN200" i="10"/>
  <c r="EN225" i="10" s="1"/>
  <c r="EN193" i="10"/>
  <c r="EN218" i="10" s="1"/>
  <c r="EN184" i="10"/>
  <c r="EN209" i="10" s="1"/>
  <c r="EN197" i="10"/>
  <c r="EN222" i="10" s="1"/>
  <c r="ER185" i="10"/>
  <c r="ER210" i="10" s="1"/>
  <c r="ER184" i="10"/>
  <c r="ER209" i="10" s="1"/>
  <c r="ER198" i="10"/>
  <c r="ER223" i="10" s="1"/>
  <c r="ER196" i="10"/>
  <c r="ER221" i="10" s="1"/>
  <c r="ER194" i="10"/>
  <c r="ER219" i="10" s="1"/>
  <c r="ER190" i="10"/>
  <c r="ER215" i="10" s="1"/>
  <c r="ER189" i="10"/>
  <c r="ER214" i="10" s="1"/>
  <c r="ER186" i="10"/>
  <c r="ER211" i="10" s="1"/>
  <c r="ER182" i="10"/>
  <c r="ER207" i="10" s="1"/>
  <c r="ER192" i="10"/>
  <c r="ER217" i="10" s="1"/>
  <c r="ER181" i="10"/>
  <c r="ER206" i="10" s="1"/>
  <c r="ER180" i="10"/>
  <c r="ER205" i="10" s="1"/>
  <c r="ER179" i="10"/>
  <c r="ER204" i="10" s="1"/>
  <c r="ER197" i="10"/>
  <c r="ER222" i="10" s="1"/>
  <c r="ER195" i="10"/>
  <c r="ER220" i="10" s="1"/>
  <c r="ER191" i="10"/>
  <c r="ER216" i="10" s="1"/>
  <c r="ER188" i="10"/>
  <c r="ER213" i="10" s="1"/>
  <c r="ER178" i="10"/>
  <c r="ER203" i="10" s="1"/>
  <c r="ER177" i="10"/>
  <c r="ER193" i="10"/>
  <c r="ER218" i="10" s="1"/>
  <c r="ER187" i="10"/>
  <c r="ER212" i="10" s="1"/>
  <c r="ER183" i="10"/>
  <c r="ER208" i="10" s="1"/>
  <c r="ER201" i="10"/>
  <c r="ER226" i="10" s="1"/>
  <c r="ER200" i="10"/>
  <c r="ER225" i="10" s="1"/>
  <c r="ER199" i="10"/>
  <c r="ER224" i="10" s="1"/>
  <c r="ER243" i="10"/>
  <c r="ER247" i="10"/>
  <c r="ER257" i="10" s="1"/>
  <c r="ER242" i="10"/>
  <c r="ER244" i="10"/>
  <c r="ER235" i="10"/>
  <c r="ER236" i="10"/>
  <c r="ER233" i="10"/>
  <c r="ER234" i="10" s="1"/>
  <c r="ER237" i="10"/>
  <c r="ER238" i="10" s="1"/>
  <c r="T184" i="10"/>
  <c r="T209" i="10" s="1"/>
  <c r="T183" i="10"/>
  <c r="T208" i="10" s="1"/>
  <c r="T182" i="10"/>
  <c r="T207" i="10" s="1"/>
  <c r="T197" i="10"/>
  <c r="T222" i="10" s="1"/>
  <c r="T189" i="10"/>
  <c r="T214" i="10" s="1"/>
  <c r="T188" i="10"/>
  <c r="T213" i="10" s="1"/>
  <c r="T186" i="10"/>
  <c r="T211" i="10" s="1"/>
  <c r="T196" i="10"/>
  <c r="T221" i="10" s="1"/>
  <c r="T194" i="10"/>
  <c r="T219" i="10" s="1"/>
  <c r="T190" i="10"/>
  <c r="T215" i="10" s="1"/>
  <c r="T187" i="10"/>
  <c r="T212" i="10" s="1"/>
  <c r="T179" i="10"/>
  <c r="T204" i="10" s="1"/>
  <c r="T177" i="10"/>
  <c r="T198" i="10"/>
  <c r="T223" i="10" s="1"/>
  <c r="T191" i="10"/>
  <c r="T216" i="10" s="1"/>
  <c r="T192" i="10"/>
  <c r="T217" i="10" s="1"/>
  <c r="T199" i="10"/>
  <c r="T224" i="10" s="1"/>
  <c r="T195" i="10"/>
  <c r="T220" i="10" s="1"/>
  <c r="T193" i="10"/>
  <c r="T218" i="10" s="1"/>
  <c r="T185" i="10"/>
  <c r="T210" i="10" s="1"/>
  <c r="T181" i="10"/>
  <c r="T206" i="10" s="1"/>
  <c r="T180" i="10"/>
  <c r="T205" i="10" s="1"/>
  <c r="T178" i="10"/>
  <c r="T203" i="10" s="1"/>
  <c r="T201" i="10"/>
  <c r="T226" i="10" s="1"/>
  <c r="T200" i="10"/>
  <c r="T225" i="10" s="1"/>
  <c r="T247" i="10"/>
  <c r="T257" i="10" s="1"/>
  <c r="T267" i="10" s="1"/>
  <c r="T242" i="10"/>
  <c r="T243" i="10"/>
  <c r="T244" i="10"/>
  <c r="T233" i="10"/>
  <c r="T237" i="10"/>
  <c r="T238" i="10" s="1"/>
  <c r="T234" i="10"/>
  <c r="T235" i="10"/>
  <c r="T236" i="10" s="1"/>
  <c r="AG186" i="10"/>
  <c r="AG211" i="10" s="1"/>
  <c r="AG181" i="10"/>
  <c r="AG206" i="10" s="1"/>
  <c r="AG197" i="10"/>
  <c r="AG222" i="10" s="1"/>
  <c r="AG194" i="10"/>
  <c r="AG219" i="10" s="1"/>
  <c r="AG182" i="10"/>
  <c r="AG207" i="10" s="1"/>
  <c r="AG195" i="10"/>
  <c r="AG220" i="10" s="1"/>
  <c r="AG190" i="10"/>
  <c r="AG215" i="10" s="1"/>
  <c r="AG189" i="10"/>
  <c r="AG214" i="10" s="1"/>
  <c r="AG187" i="10"/>
  <c r="AG212" i="10" s="1"/>
  <c r="AG185" i="10"/>
  <c r="AG210" i="10" s="1"/>
  <c r="AG183" i="10"/>
  <c r="AG208" i="10" s="1"/>
  <c r="AG199" i="10"/>
  <c r="AG224" i="10" s="1"/>
  <c r="AG180" i="10"/>
  <c r="AG205" i="10" s="1"/>
  <c r="AG196" i="10"/>
  <c r="AG221" i="10" s="1"/>
  <c r="AG188" i="10"/>
  <c r="AG213" i="10" s="1"/>
  <c r="AG184" i="10"/>
  <c r="AG209" i="10" s="1"/>
  <c r="AG179" i="10"/>
  <c r="AG204" i="10" s="1"/>
  <c r="AG177" i="10"/>
  <c r="AG198" i="10"/>
  <c r="AG223" i="10" s="1"/>
  <c r="AG193" i="10"/>
  <c r="AG218" i="10" s="1"/>
  <c r="AG192" i="10"/>
  <c r="AG217" i="10" s="1"/>
  <c r="AG191" i="10"/>
  <c r="AG216" i="10" s="1"/>
  <c r="AG178" i="10"/>
  <c r="AG203" i="10" s="1"/>
  <c r="AG201" i="10"/>
  <c r="AG226" i="10" s="1"/>
  <c r="AG200" i="10"/>
  <c r="AG225" i="10" s="1"/>
  <c r="AG243" i="10"/>
  <c r="AG242" i="10"/>
  <c r="AG244" i="10"/>
  <c r="AG247" i="10"/>
  <c r="AG257" i="10" s="1"/>
  <c r="AG267" i="10" s="1"/>
  <c r="AG233" i="10"/>
  <c r="AG235" i="10"/>
  <c r="AG236" i="10" s="1"/>
  <c r="AG237" i="10"/>
  <c r="AG234" i="10"/>
  <c r="AG238" i="10"/>
  <c r="AM242" i="10"/>
  <c r="AM244" i="10"/>
  <c r="AM247" i="10"/>
  <c r="AM257" i="10" s="1"/>
  <c r="AM267" i="10" s="1"/>
  <c r="AM243" i="10"/>
  <c r="AM233" i="10"/>
  <c r="AM234" i="10" s="1"/>
  <c r="AM235" i="10"/>
  <c r="AM236" i="10" s="1"/>
  <c r="AM237" i="10"/>
  <c r="AM238" i="10" s="1"/>
  <c r="AM187" i="10"/>
  <c r="AM212" i="10" s="1"/>
  <c r="AM182" i="10"/>
  <c r="AM207" i="10" s="1"/>
  <c r="AM189" i="10"/>
  <c r="AM214" i="10" s="1"/>
  <c r="AM186" i="10"/>
  <c r="AM211" i="10" s="1"/>
  <c r="AM183" i="10"/>
  <c r="AM208" i="10" s="1"/>
  <c r="AM181" i="10"/>
  <c r="AM206" i="10" s="1"/>
  <c r="AM178" i="10"/>
  <c r="AM203" i="10" s="1"/>
  <c r="AM198" i="10"/>
  <c r="AM223" i="10" s="1"/>
  <c r="AM196" i="10"/>
  <c r="AM221" i="10" s="1"/>
  <c r="AM195" i="10"/>
  <c r="AM220" i="10" s="1"/>
  <c r="AM193" i="10"/>
  <c r="AM218" i="10" s="1"/>
  <c r="AM192" i="10"/>
  <c r="AM217" i="10" s="1"/>
  <c r="AM199" i="10"/>
  <c r="AM224" i="10" s="1"/>
  <c r="AM190" i="10"/>
  <c r="AM215" i="10" s="1"/>
  <c r="AM188" i="10"/>
  <c r="AM213" i="10" s="1"/>
  <c r="AM184" i="10"/>
  <c r="AM209" i="10" s="1"/>
  <c r="AM197" i="10"/>
  <c r="AM222" i="10" s="1"/>
  <c r="AM194" i="10"/>
  <c r="AM219" i="10" s="1"/>
  <c r="AM185" i="10"/>
  <c r="AM210" i="10" s="1"/>
  <c r="AM180" i="10"/>
  <c r="AM205" i="10" s="1"/>
  <c r="AM191" i="10"/>
  <c r="AM216" i="10" s="1"/>
  <c r="AM179" i="10"/>
  <c r="AM204" i="10" s="1"/>
  <c r="AM177" i="10"/>
  <c r="AM201" i="10"/>
  <c r="AM226" i="10" s="1"/>
  <c r="AM200" i="10"/>
  <c r="AM225" i="10" s="1"/>
  <c r="AV244" i="10"/>
  <c r="AV247" i="10"/>
  <c r="AV257" i="10" s="1"/>
  <c r="AV267" i="10" s="1"/>
  <c r="AV242" i="10"/>
  <c r="AV243" i="10"/>
  <c r="AV237" i="10"/>
  <c r="AV238" i="10" s="1"/>
  <c r="AV233" i="10"/>
  <c r="AV235" i="10"/>
  <c r="AV236" i="10" s="1"/>
  <c r="AV234" i="10"/>
  <c r="AV185" i="10"/>
  <c r="AV210" i="10" s="1"/>
  <c r="AV182" i="10"/>
  <c r="AV207" i="10" s="1"/>
  <c r="AV186" i="10"/>
  <c r="AV211" i="10" s="1"/>
  <c r="AV196" i="10"/>
  <c r="AV221" i="10" s="1"/>
  <c r="AV190" i="10"/>
  <c r="AV215" i="10" s="1"/>
  <c r="AV178" i="10"/>
  <c r="AV203" i="10" s="1"/>
  <c r="AV191" i="10"/>
  <c r="AV216" i="10" s="1"/>
  <c r="AV188" i="10"/>
  <c r="AV213" i="10" s="1"/>
  <c r="AV192" i="10"/>
  <c r="AV217" i="10" s="1"/>
  <c r="AV194" i="10"/>
  <c r="AV219" i="10" s="1"/>
  <c r="AV198" i="10"/>
  <c r="AV223" i="10" s="1"/>
  <c r="AV183" i="10"/>
  <c r="AV208" i="10" s="1"/>
  <c r="AV200" i="10"/>
  <c r="AV225" i="10" s="1"/>
  <c r="AV177" i="10"/>
  <c r="AV187" i="10"/>
  <c r="AV212" i="10" s="1"/>
  <c r="AV199" i="10"/>
  <c r="AV224" i="10" s="1"/>
  <c r="AV195" i="10"/>
  <c r="AV220" i="10" s="1"/>
  <c r="AV189" i="10"/>
  <c r="AV214" i="10" s="1"/>
  <c r="AV179" i="10"/>
  <c r="AV204" i="10" s="1"/>
  <c r="AV197" i="10"/>
  <c r="AV222" i="10" s="1"/>
  <c r="AV181" i="10"/>
  <c r="AV206" i="10" s="1"/>
  <c r="AV193" i="10"/>
  <c r="AV218" i="10" s="1"/>
  <c r="AV184" i="10"/>
  <c r="AV209" i="10" s="1"/>
  <c r="AV180" i="10"/>
  <c r="AV205" i="10" s="1"/>
  <c r="AV201" i="10"/>
  <c r="AV226" i="10" s="1"/>
  <c r="AZ242" i="10"/>
  <c r="AZ243" i="10"/>
  <c r="AZ247" i="10"/>
  <c r="AZ257" i="10" s="1"/>
  <c r="AZ267" i="10" s="1"/>
  <c r="AZ244" i="10"/>
  <c r="AZ233" i="10"/>
  <c r="AZ234" i="10" s="1"/>
  <c r="AZ235" i="10"/>
  <c r="AZ236" i="10" s="1"/>
  <c r="AZ237" i="10"/>
  <c r="AZ238" i="10" s="1"/>
  <c r="AZ181" i="10"/>
  <c r="AZ206" i="10" s="1"/>
  <c r="AZ179" i="10"/>
  <c r="AZ204" i="10" s="1"/>
  <c r="AZ177" i="10"/>
  <c r="AZ196" i="10"/>
  <c r="AZ221" i="10" s="1"/>
  <c r="AZ195" i="10"/>
  <c r="AZ220" i="10" s="1"/>
  <c r="AZ198" i="10"/>
  <c r="AZ223" i="10" s="1"/>
  <c r="AZ194" i="10"/>
  <c r="AZ219" i="10" s="1"/>
  <c r="AZ188" i="10"/>
  <c r="AZ213" i="10" s="1"/>
  <c r="AZ186" i="10"/>
  <c r="AZ211" i="10" s="1"/>
  <c r="AZ197" i="10"/>
  <c r="AZ222" i="10" s="1"/>
  <c r="AZ182" i="10"/>
  <c r="AZ207" i="10" s="1"/>
  <c r="AZ178" i="10"/>
  <c r="AZ203" i="10" s="1"/>
  <c r="AZ191" i="10"/>
  <c r="AZ216" i="10" s="1"/>
  <c r="AZ190" i="10"/>
  <c r="AZ215" i="10" s="1"/>
  <c r="AZ189" i="10"/>
  <c r="AZ214" i="10" s="1"/>
  <c r="AZ183" i="10"/>
  <c r="AZ208" i="10" s="1"/>
  <c r="AZ180" i="10"/>
  <c r="AZ205" i="10" s="1"/>
  <c r="AZ199" i="10"/>
  <c r="AZ224" i="10" s="1"/>
  <c r="AZ193" i="10"/>
  <c r="AZ218" i="10" s="1"/>
  <c r="AZ185" i="10"/>
  <c r="AZ210" i="10" s="1"/>
  <c r="AZ200" i="10"/>
  <c r="AZ225" i="10" s="1"/>
  <c r="AZ192" i="10"/>
  <c r="AZ217" i="10" s="1"/>
  <c r="AZ187" i="10"/>
  <c r="AZ212" i="10" s="1"/>
  <c r="AZ184" i="10"/>
  <c r="AZ209" i="10" s="1"/>
  <c r="AZ201" i="10"/>
  <c r="AZ226" i="10" s="1"/>
  <c r="BD242" i="10"/>
  <c r="BD244" i="10"/>
  <c r="BD247" i="10"/>
  <c r="BD257" i="10" s="1"/>
  <c r="BD267" i="10" s="1"/>
  <c r="BD243" i="10"/>
  <c r="BD235" i="10"/>
  <c r="BD233" i="10"/>
  <c r="BD234" i="10" s="1"/>
  <c r="BD237" i="10"/>
  <c r="BD238" i="10" s="1"/>
  <c r="BD236" i="10"/>
  <c r="BD195" i="10"/>
  <c r="BD220" i="10" s="1"/>
  <c r="BD188" i="10"/>
  <c r="BD213" i="10" s="1"/>
  <c r="BD192" i="10"/>
  <c r="BD217" i="10" s="1"/>
  <c r="BD187" i="10"/>
  <c r="BD212" i="10" s="1"/>
  <c r="BD182" i="10"/>
  <c r="BD207" i="10" s="1"/>
  <c r="BD178" i="10"/>
  <c r="BD203" i="10" s="1"/>
  <c r="BD193" i="10"/>
  <c r="BD218" i="10" s="1"/>
  <c r="BD185" i="10"/>
  <c r="BD210" i="10" s="1"/>
  <c r="BD198" i="10"/>
  <c r="BD223" i="10" s="1"/>
  <c r="BD200" i="10"/>
  <c r="BD225" i="10" s="1"/>
  <c r="BD197" i="10"/>
  <c r="BD222" i="10" s="1"/>
  <c r="BD190" i="10"/>
  <c r="BD215" i="10" s="1"/>
  <c r="BD183" i="10"/>
  <c r="BD208" i="10" s="1"/>
  <c r="BD180" i="10"/>
  <c r="BD205" i="10" s="1"/>
  <c r="BD196" i="10"/>
  <c r="BD221" i="10" s="1"/>
  <c r="BD189" i="10"/>
  <c r="BD214" i="10" s="1"/>
  <c r="BD186" i="10"/>
  <c r="BD211" i="10" s="1"/>
  <c r="BD181" i="10"/>
  <c r="BD206" i="10" s="1"/>
  <c r="BD199" i="10"/>
  <c r="BD224" i="10" s="1"/>
  <c r="BD191" i="10"/>
  <c r="BD216" i="10" s="1"/>
  <c r="BD177" i="10"/>
  <c r="BD194" i="10"/>
  <c r="BD219" i="10" s="1"/>
  <c r="BD184" i="10"/>
  <c r="BD209" i="10" s="1"/>
  <c r="BD179" i="10"/>
  <c r="BD204" i="10" s="1"/>
  <c r="BD201" i="10"/>
  <c r="BD226" i="10" s="1"/>
  <c r="BM247" i="10"/>
  <c r="BM257" i="10" s="1"/>
  <c r="BM267" i="10" s="1"/>
  <c r="BM242" i="10"/>
  <c r="BM244" i="10"/>
  <c r="BM243" i="10"/>
  <c r="BM233" i="10"/>
  <c r="BM234" i="10" s="1"/>
  <c r="BM235" i="10"/>
  <c r="BM236" i="10" s="1"/>
  <c r="BM237" i="10"/>
  <c r="BM238" i="10"/>
  <c r="BM190" i="10"/>
  <c r="BM215" i="10" s="1"/>
  <c r="BM178" i="10"/>
  <c r="BM203" i="10" s="1"/>
  <c r="BM199" i="10"/>
  <c r="BM224" i="10" s="1"/>
  <c r="BM197" i="10"/>
  <c r="BM222" i="10" s="1"/>
  <c r="BM189" i="10"/>
  <c r="BM214" i="10" s="1"/>
  <c r="BM195" i="10"/>
  <c r="BM220" i="10" s="1"/>
  <c r="BM194" i="10"/>
  <c r="BM219" i="10" s="1"/>
  <c r="BM193" i="10"/>
  <c r="BM218" i="10" s="1"/>
  <c r="BM191" i="10"/>
  <c r="BM216" i="10" s="1"/>
  <c r="BM186" i="10"/>
  <c r="BM211" i="10" s="1"/>
  <c r="BM183" i="10"/>
  <c r="BM208" i="10" s="1"/>
  <c r="BM188" i="10"/>
  <c r="BM213" i="10" s="1"/>
  <c r="BM181" i="10"/>
  <c r="BM206" i="10" s="1"/>
  <c r="BM180" i="10"/>
  <c r="BM205" i="10" s="1"/>
  <c r="BM177" i="10"/>
  <c r="BM198" i="10"/>
  <c r="BM223" i="10" s="1"/>
  <c r="BM196" i="10"/>
  <c r="BM221" i="10" s="1"/>
  <c r="BM185" i="10"/>
  <c r="BM210" i="10" s="1"/>
  <c r="BM184" i="10"/>
  <c r="BM209" i="10" s="1"/>
  <c r="BM182" i="10"/>
  <c r="BM207" i="10" s="1"/>
  <c r="BM192" i="10"/>
  <c r="BM217" i="10" s="1"/>
  <c r="BM187" i="10"/>
  <c r="BM212" i="10" s="1"/>
  <c r="BM179" i="10"/>
  <c r="BM204" i="10" s="1"/>
  <c r="BM201" i="10"/>
  <c r="BM226" i="10" s="1"/>
  <c r="BM200" i="10"/>
  <c r="BM225" i="10" s="1"/>
  <c r="BR186" i="10"/>
  <c r="BR211" i="10" s="1"/>
  <c r="BR184" i="10"/>
  <c r="BR209" i="10" s="1"/>
  <c r="BR189" i="10"/>
  <c r="BR214" i="10" s="1"/>
  <c r="BR185" i="10"/>
  <c r="BR210" i="10" s="1"/>
  <c r="BR199" i="10"/>
  <c r="BR224" i="10" s="1"/>
  <c r="BR197" i="10"/>
  <c r="BR222" i="10" s="1"/>
  <c r="BR196" i="10"/>
  <c r="BR221" i="10" s="1"/>
  <c r="BR193" i="10"/>
  <c r="BR218" i="10" s="1"/>
  <c r="BR187" i="10"/>
  <c r="BR212" i="10" s="1"/>
  <c r="BR183" i="10"/>
  <c r="BR208" i="10" s="1"/>
  <c r="BR178" i="10"/>
  <c r="BR203" i="10" s="1"/>
  <c r="BR182" i="10"/>
  <c r="BR207" i="10" s="1"/>
  <c r="BR177" i="10"/>
  <c r="BR198" i="10"/>
  <c r="BR223" i="10" s="1"/>
  <c r="BR192" i="10"/>
  <c r="BR217" i="10" s="1"/>
  <c r="BR188" i="10"/>
  <c r="BR213" i="10" s="1"/>
  <c r="BR181" i="10"/>
  <c r="BR206" i="10" s="1"/>
  <c r="BR180" i="10"/>
  <c r="BR205" i="10" s="1"/>
  <c r="BR195" i="10"/>
  <c r="BR220" i="10" s="1"/>
  <c r="BR194" i="10"/>
  <c r="BR219" i="10" s="1"/>
  <c r="BR191" i="10"/>
  <c r="BR216" i="10" s="1"/>
  <c r="BR190" i="10"/>
  <c r="BR215" i="10" s="1"/>
  <c r="BR179" i="10"/>
  <c r="BR204" i="10" s="1"/>
  <c r="BR201" i="10"/>
  <c r="BR226" i="10" s="1"/>
  <c r="BR200" i="10"/>
  <c r="BR225" i="10" s="1"/>
  <c r="BR242" i="10"/>
  <c r="BR244" i="10"/>
  <c r="BR247" i="10"/>
  <c r="BR257" i="10" s="1"/>
  <c r="BR267" i="10" s="1"/>
  <c r="BR243" i="10"/>
  <c r="BR233" i="10"/>
  <c r="BR234" i="10"/>
  <c r="BR235" i="10"/>
  <c r="BR236" i="10" s="1"/>
  <c r="BR237" i="10"/>
  <c r="BR238" i="10"/>
  <c r="CE186" i="10"/>
  <c r="CE211" i="10" s="1"/>
  <c r="CE183" i="10"/>
  <c r="CE208" i="10" s="1"/>
  <c r="CE182" i="10"/>
  <c r="CE207" i="10" s="1"/>
  <c r="CE181" i="10"/>
  <c r="CE206" i="10" s="1"/>
  <c r="CE199" i="10"/>
  <c r="CE224" i="10" s="1"/>
  <c r="CE196" i="10"/>
  <c r="CE221" i="10" s="1"/>
  <c r="CE189" i="10"/>
  <c r="CE214" i="10" s="1"/>
  <c r="CE188" i="10"/>
  <c r="CE213" i="10" s="1"/>
  <c r="CE185" i="10"/>
  <c r="CE210" i="10" s="1"/>
  <c r="CE180" i="10"/>
  <c r="CE205" i="10" s="1"/>
  <c r="CE177" i="10"/>
  <c r="CE191" i="10"/>
  <c r="CE216" i="10" s="1"/>
  <c r="CE190" i="10"/>
  <c r="CE215" i="10" s="1"/>
  <c r="CE195" i="10"/>
  <c r="CE220" i="10" s="1"/>
  <c r="CE197" i="10"/>
  <c r="CE222" i="10" s="1"/>
  <c r="CE194" i="10"/>
  <c r="CE219" i="10" s="1"/>
  <c r="CE193" i="10"/>
  <c r="CE218" i="10" s="1"/>
  <c r="CE192" i="10"/>
  <c r="CE217" i="10" s="1"/>
  <c r="CE187" i="10"/>
  <c r="CE212" i="10" s="1"/>
  <c r="CE184" i="10"/>
  <c r="CE209" i="10" s="1"/>
  <c r="CE198" i="10"/>
  <c r="CE223" i="10" s="1"/>
  <c r="CE179" i="10"/>
  <c r="CE204" i="10" s="1"/>
  <c r="CE178" i="10"/>
  <c r="CE203" i="10" s="1"/>
  <c r="CE201" i="10"/>
  <c r="CE226" i="10" s="1"/>
  <c r="CE200" i="10"/>
  <c r="CE225" i="10" s="1"/>
  <c r="CE242" i="10"/>
  <c r="CE247" i="10"/>
  <c r="CE257" i="10" s="1"/>
  <c r="CE267" i="10" s="1"/>
  <c r="CE244" i="10"/>
  <c r="CE243" i="10"/>
  <c r="CE235" i="10"/>
  <c r="CE236" i="10" s="1"/>
  <c r="CE237" i="10"/>
  <c r="CE238" i="10" s="1"/>
  <c r="CE233" i="10"/>
  <c r="CE234" i="10" s="1"/>
  <c r="CL243" i="10"/>
  <c r="CL244" i="10"/>
  <c r="CL247" i="10"/>
  <c r="CL257" i="10" s="1"/>
  <c r="CL242" i="10"/>
  <c r="CL233" i="10"/>
  <c r="CL235" i="10"/>
  <c r="CL234" i="10"/>
  <c r="CL237" i="10"/>
  <c r="CL238" i="10" s="1"/>
  <c r="CL236" i="10"/>
  <c r="CL184" i="10"/>
  <c r="CL189" i="10"/>
  <c r="CL186" i="10"/>
  <c r="CL199" i="10"/>
  <c r="CL191" i="10"/>
  <c r="CL182" i="10"/>
  <c r="CL178" i="10"/>
  <c r="CL198" i="10"/>
  <c r="CL190" i="10"/>
  <c r="CL180" i="10"/>
  <c r="CL195" i="10"/>
  <c r="CL193" i="10"/>
  <c r="CL187" i="10"/>
  <c r="CL196" i="10"/>
  <c r="CL192" i="10"/>
  <c r="CL185" i="10"/>
  <c r="CL181" i="10"/>
  <c r="CL179" i="10"/>
  <c r="CL197" i="10"/>
  <c r="CL183" i="10"/>
  <c r="CL188" i="10"/>
  <c r="CL194" i="10"/>
  <c r="CL177" i="10"/>
  <c r="CL201" i="10"/>
  <c r="CL200" i="10"/>
  <c r="CP243" i="10"/>
  <c r="CP244" i="10"/>
  <c r="CP242" i="10"/>
  <c r="CP247" i="10"/>
  <c r="CP257" i="10" s="1"/>
  <c r="CP267" i="10" s="1"/>
  <c r="CP233" i="10"/>
  <c r="CP234" i="10" s="1"/>
  <c r="CP235" i="10"/>
  <c r="CP236" i="10" s="1"/>
  <c r="CP237" i="10"/>
  <c r="CP238" i="10" s="1"/>
  <c r="CP184" i="10"/>
  <c r="CP209" i="10" s="1"/>
  <c r="CP196" i="10"/>
  <c r="CP221" i="10" s="1"/>
  <c r="CP195" i="10"/>
  <c r="CP220" i="10" s="1"/>
  <c r="CP189" i="10"/>
  <c r="CP214" i="10" s="1"/>
  <c r="CP178" i="10"/>
  <c r="CP203" i="10" s="1"/>
  <c r="CP198" i="10"/>
  <c r="CP223" i="10" s="1"/>
  <c r="CP183" i="10"/>
  <c r="CP208" i="10" s="1"/>
  <c r="CP180" i="10"/>
  <c r="CP205" i="10" s="1"/>
  <c r="CP182" i="10"/>
  <c r="CP207" i="10" s="1"/>
  <c r="CP181" i="10"/>
  <c r="CP206" i="10" s="1"/>
  <c r="CP197" i="10"/>
  <c r="CP222" i="10" s="1"/>
  <c r="CP194" i="10"/>
  <c r="CP219" i="10" s="1"/>
  <c r="CP191" i="10"/>
  <c r="CP216" i="10" s="1"/>
  <c r="CP190" i="10"/>
  <c r="CP215" i="10" s="1"/>
  <c r="CP188" i="10"/>
  <c r="CP213" i="10" s="1"/>
  <c r="CP187" i="10"/>
  <c r="CP212" i="10" s="1"/>
  <c r="CP193" i="10"/>
  <c r="CP218" i="10" s="1"/>
  <c r="CP192" i="10"/>
  <c r="CP217" i="10" s="1"/>
  <c r="CP186" i="10"/>
  <c r="CP211" i="10" s="1"/>
  <c r="CP185" i="10"/>
  <c r="CP210" i="10" s="1"/>
  <c r="CP179" i="10"/>
  <c r="CP204" i="10" s="1"/>
  <c r="CP177" i="10"/>
  <c r="CP201" i="10"/>
  <c r="CP226" i="10" s="1"/>
  <c r="CP200" i="10"/>
  <c r="CP225" i="10" s="1"/>
  <c r="CP199" i="10"/>
  <c r="CP224" i="10" s="1"/>
  <c r="CY193" i="10"/>
  <c r="CY218" i="10" s="1"/>
  <c r="CY192" i="10"/>
  <c r="CY217" i="10" s="1"/>
  <c r="CY191" i="10"/>
  <c r="CY216" i="10" s="1"/>
  <c r="CY188" i="10"/>
  <c r="CY213" i="10" s="1"/>
  <c r="CY185" i="10"/>
  <c r="CY210" i="10" s="1"/>
  <c r="CY182" i="10"/>
  <c r="CY207" i="10" s="1"/>
  <c r="CY181" i="10"/>
  <c r="CY206" i="10" s="1"/>
  <c r="CY179" i="10"/>
  <c r="CY204" i="10" s="1"/>
  <c r="CY194" i="10"/>
  <c r="CY219" i="10" s="1"/>
  <c r="CY189" i="10"/>
  <c r="CY214" i="10" s="1"/>
  <c r="CY178" i="10"/>
  <c r="CY203" i="10" s="1"/>
  <c r="CY197" i="10"/>
  <c r="CY222" i="10" s="1"/>
  <c r="CY186" i="10"/>
  <c r="CY211" i="10" s="1"/>
  <c r="CY184" i="10"/>
  <c r="CY209" i="10" s="1"/>
  <c r="CY180" i="10"/>
  <c r="CY205" i="10" s="1"/>
  <c r="CY196" i="10"/>
  <c r="CY221" i="10" s="1"/>
  <c r="CY195" i="10"/>
  <c r="CY220" i="10" s="1"/>
  <c r="CY190" i="10"/>
  <c r="CY215" i="10" s="1"/>
  <c r="CY183" i="10"/>
  <c r="CY208" i="10" s="1"/>
  <c r="CY198" i="10"/>
  <c r="CY223" i="10" s="1"/>
  <c r="CY187" i="10"/>
  <c r="CY212" i="10" s="1"/>
  <c r="CY177" i="10"/>
  <c r="CY201" i="10"/>
  <c r="CY226" i="10" s="1"/>
  <c r="CY200" i="10"/>
  <c r="CY225" i="10" s="1"/>
  <c r="CY199" i="10"/>
  <c r="CY224" i="10" s="1"/>
  <c r="CY244" i="10"/>
  <c r="CY242" i="10"/>
  <c r="CY243" i="10"/>
  <c r="CY247" i="10"/>
  <c r="CY257" i="10" s="1"/>
  <c r="CY267" i="10" s="1"/>
  <c r="CY233" i="10"/>
  <c r="CY234" i="10"/>
  <c r="CY237" i="10"/>
  <c r="CY235" i="10"/>
  <c r="CY236" i="10" s="1"/>
  <c r="CY238" i="10"/>
  <c r="DE178" i="10"/>
  <c r="DE203" i="10" s="1"/>
  <c r="DE197" i="10"/>
  <c r="DE222" i="10" s="1"/>
  <c r="DE194" i="10"/>
  <c r="DE219" i="10" s="1"/>
  <c r="DE190" i="10"/>
  <c r="DE215" i="10" s="1"/>
  <c r="DE189" i="10"/>
  <c r="DE214" i="10" s="1"/>
  <c r="DE184" i="10"/>
  <c r="DE209" i="10" s="1"/>
  <c r="DE181" i="10"/>
  <c r="DE206" i="10" s="1"/>
  <c r="DE192" i="10"/>
  <c r="DE217" i="10" s="1"/>
  <c r="DE187" i="10"/>
  <c r="DE212" i="10" s="1"/>
  <c r="DE180" i="10"/>
  <c r="DE205" i="10" s="1"/>
  <c r="DE198" i="10"/>
  <c r="DE223" i="10" s="1"/>
  <c r="DE179" i="10"/>
  <c r="DE204" i="10" s="1"/>
  <c r="DE201" i="10"/>
  <c r="DE226" i="10" s="1"/>
  <c r="DE199" i="10"/>
  <c r="DE224" i="10" s="1"/>
  <c r="DE196" i="10"/>
  <c r="DE221" i="10" s="1"/>
  <c r="DE193" i="10"/>
  <c r="DE218" i="10" s="1"/>
  <c r="DE186" i="10"/>
  <c r="DE211" i="10" s="1"/>
  <c r="DE182" i="10"/>
  <c r="DE207" i="10" s="1"/>
  <c r="DE185" i="10"/>
  <c r="DE210" i="10" s="1"/>
  <c r="DE191" i="10"/>
  <c r="DE216" i="10" s="1"/>
  <c r="DE188" i="10"/>
  <c r="DE213" i="10" s="1"/>
  <c r="DE183" i="10"/>
  <c r="DE208" i="10" s="1"/>
  <c r="DE195" i="10"/>
  <c r="DE220" i="10" s="1"/>
  <c r="DE177" i="10"/>
  <c r="DE200" i="10"/>
  <c r="DE225" i="10" s="1"/>
  <c r="DE247" i="10"/>
  <c r="DE257" i="10" s="1"/>
  <c r="DE267" i="10" s="1"/>
  <c r="DE244" i="10"/>
  <c r="DE243" i="10"/>
  <c r="DE242" i="10"/>
  <c r="DE233" i="10"/>
  <c r="DE234" i="10"/>
  <c r="DE235" i="10"/>
  <c r="DE236" i="10" s="1"/>
  <c r="DE237" i="10"/>
  <c r="DE238" i="10" s="1"/>
  <c r="DR182" i="10"/>
  <c r="DR207" i="10" s="1"/>
  <c r="DR180" i="10"/>
  <c r="DR205" i="10" s="1"/>
  <c r="DR192" i="10"/>
  <c r="DR217" i="10" s="1"/>
  <c r="DR189" i="10"/>
  <c r="DR214" i="10" s="1"/>
  <c r="DR183" i="10"/>
  <c r="DR208" i="10" s="1"/>
  <c r="DR198" i="10"/>
  <c r="DR223" i="10" s="1"/>
  <c r="DR196" i="10"/>
  <c r="DR221" i="10" s="1"/>
  <c r="DR193" i="10"/>
  <c r="DR218" i="10" s="1"/>
  <c r="DR187" i="10"/>
  <c r="DR212" i="10" s="1"/>
  <c r="DR184" i="10"/>
  <c r="DR209" i="10" s="1"/>
  <c r="DR194" i="10"/>
  <c r="DR219" i="10" s="1"/>
  <c r="DR190" i="10"/>
  <c r="DR215" i="10" s="1"/>
  <c r="DR188" i="10"/>
  <c r="DR213" i="10" s="1"/>
  <c r="DR181" i="10"/>
  <c r="DR206" i="10" s="1"/>
  <c r="DR197" i="10"/>
  <c r="DR222" i="10" s="1"/>
  <c r="DR195" i="10"/>
  <c r="DR220" i="10" s="1"/>
  <c r="DR185" i="10"/>
  <c r="DR210" i="10" s="1"/>
  <c r="DR179" i="10"/>
  <c r="DR204" i="10" s="1"/>
  <c r="DR177" i="10"/>
  <c r="DR191" i="10"/>
  <c r="DR216" i="10" s="1"/>
  <c r="DR186" i="10"/>
  <c r="DR211" i="10" s="1"/>
  <c r="DR178" i="10"/>
  <c r="DR203" i="10" s="1"/>
  <c r="DR201" i="10"/>
  <c r="DR226" i="10" s="1"/>
  <c r="DR200" i="10"/>
  <c r="DR225" i="10" s="1"/>
  <c r="DR199" i="10"/>
  <c r="DR224" i="10" s="1"/>
  <c r="DR244" i="10"/>
  <c r="DR242" i="10"/>
  <c r="DR247" i="10"/>
  <c r="DR257" i="10" s="1"/>
  <c r="DR267" i="10" s="1"/>
  <c r="DR243" i="10"/>
  <c r="DR233" i="10"/>
  <c r="DR235" i="10"/>
  <c r="DR236" i="10" s="1"/>
  <c r="DR234" i="10"/>
  <c r="DR237" i="10"/>
  <c r="DR238" i="10" s="1"/>
  <c r="DT243" i="10"/>
  <c r="DT244" i="10"/>
  <c r="DT242" i="10"/>
  <c r="DT247" i="10"/>
  <c r="DT257" i="10" s="1"/>
  <c r="DT267" i="10" s="1"/>
  <c r="DT233" i="10"/>
  <c r="DT234" i="10" s="1"/>
  <c r="DT237" i="10"/>
  <c r="DT238" i="10" s="1"/>
  <c r="DT235" i="10"/>
  <c r="DT236" i="10" s="1"/>
  <c r="DT185" i="10"/>
  <c r="DT210" i="10" s="1"/>
  <c r="DT178" i="10"/>
  <c r="DT203" i="10" s="1"/>
  <c r="DT187" i="10"/>
  <c r="DT212" i="10" s="1"/>
  <c r="DT183" i="10"/>
  <c r="DT208" i="10" s="1"/>
  <c r="DT198" i="10"/>
  <c r="DT223" i="10" s="1"/>
  <c r="DT191" i="10"/>
  <c r="DT216" i="10" s="1"/>
  <c r="DT190" i="10"/>
  <c r="DT215" i="10" s="1"/>
  <c r="DT189" i="10"/>
  <c r="DT214" i="10" s="1"/>
  <c r="DT186" i="10"/>
  <c r="DT211" i="10" s="1"/>
  <c r="DT180" i="10"/>
  <c r="DT205" i="10" s="1"/>
  <c r="DT197" i="10"/>
  <c r="DT222" i="10" s="1"/>
  <c r="DT196" i="10"/>
  <c r="DT221" i="10" s="1"/>
  <c r="DT192" i="10"/>
  <c r="DT217" i="10" s="1"/>
  <c r="DT182" i="10"/>
  <c r="DT207" i="10" s="1"/>
  <c r="DT193" i="10"/>
  <c r="DT218" i="10" s="1"/>
  <c r="DT188" i="10"/>
  <c r="DT213" i="10" s="1"/>
  <c r="DT184" i="10"/>
  <c r="DT209" i="10" s="1"/>
  <c r="DT181" i="10"/>
  <c r="DT206" i="10" s="1"/>
  <c r="DT195" i="10"/>
  <c r="DT220" i="10" s="1"/>
  <c r="DT194" i="10"/>
  <c r="DT219" i="10" s="1"/>
  <c r="DT179" i="10"/>
  <c r="DT204" i="10" s="1"/>
  <c r="DT177" i="10"/>
  <c r="DT201" i="10"/>
  <c r="DT226" i="10" s="1"/>
  <c r="DT200" i="10"/>
  <c r="DT225" i="10" s="1"/>
  <c r="DT199" i="10"/>
  <c r="DT224" i="10" s="1"/>
  <c r="EC233" i="10"/>
  <c r="EC237" i="10"/>
  <c r="EC238" i="10"/>
  <c r="EC235" i="10"/>
  <c r="EC236" i="10" s="1"/>
  <c r="EC234" i="10"/>
  <c r="EC183" i="10"/>
  <c r="EC208" i="10" s="1"/>
  <c r="EC196" i="10"/>
  <c r="EC221" i="10" s="1"/>
  <c r="EC193" i="10"/>
  <c r="EC218" i="10" s="1"/>
  <c r="EC191" i="10"/>
  <c r="EC216" i="10" s="1"/>
  <c r="EC190" i="10"/>
  <c r="EC215" i="10" s="1"/>
  <c r="EC187" i="10"/>
  <c r="EC212" i="10" s="1"/>
  <c r="EC182" i="10"/>
  <c r="EC207" i="10" s="1"/>
  <c r="EC181" i="10"/>
  <c r="EC206" i="10" s="1"/>
  <c r="EC178" i="10"/>
  <c r="EC203" i="10" s="1"/>
  <c r="EC195" i="10"/>
  <c r="EC220" i="10" s="1"/>
  <c r="EC180" i="10"/>
  <c r="EC205" i="10" s="1"/>
  <c r="EC179" i="10"/>
  <c r="EC204" i="10" s="1"/>
  <c r="EC198" i="10"/>
  <c r="EC223" i="10" s="1"/>
  <c r="EC197" i="10"/>
  <c r="EC222" i="10" s="1"/>
  <c r="EC192" i="10"/>
  <c r="EC217" i="10" s="1"/>
  <c r="EC189" i="10"/>
  <c r="EC214" i="10" s="1"/>
  <c r="EC188" i="10"/>
  <c r="EC213" i="10" s="1"/>
  <c r="EC185" i="10"/>
  <c r="EC210" i="10" s="1"/>
  <c r="EC184" i="10"/>
  <c r="EC209" i="10" s="1"/>
  <c r="EC194" i="10"/>
  <c r="EC219" i="10" s="1"/>
  <c r="EC186" i="10"/>
  <c r="EC211" i="10" s="1"/>
  <c r="EC177" i="10"/>
  <c r="EC201" i="10"/>
  <c r="EC226" i="10" s="1"/>
  <c r="EC200" i="10"/>
  <c r="EC225" i="10" s="1"/>
  <c r="EC199" i="10"/>
  <c r="EC224" i="10" s="1"/>
  <c r="CQ23" i="10"/>
  <c r="CQ48" i="10" s="1"/>
  <c r="CQ30" i="10"/>
  <c r="CQ55" i="10" s="1"/>
  <c r="CQ31" i="10"/>
  <c r="CQ56" i="10" s="1"/>
  <c r="CQ33" i="10"/>
  <c r="CQ58" i="10" s="1"/>
  <c r="CQ77" i="10"/>
  <c r="CQ79" i="10"/>
  <c r="CQ81" i="10"/>
  <c r="CQ21" i="10"/>
  <c r="CQ22" i="10"/>
  <c r="CQ47" i="10" s="1"/>
  <c r="CQ24" i="10"/>
  <c r="CQ49" i="10" s="1"/>
  <c r="CQ25" i="10"/>
  <c r="CQ50" i="10" s="1"/>
  <c r="CQ26" i="10"/>
  <c r="CQ51" i="10" s="1"/>
  <c r="CQ27" i="10"/>
  <c r="CQ52" i="10" s="1"/>
  <c r="CQ28" i="10"/>
  <c r="CQ53" i="10" s="1"/>
  <c r="CQ29" i="10"/>
  <c r="CQ54" i="10" s="1"/>
  <c r="CQ32" i="10"/>
  <c r="CQ57" i="10" s="1"/>
  <c r="CQ34" i="10"/>
  <c r="CQ59" i="10" s="1"/>
  <c r="CQ35" i="10"/>
  <c r="CQ60" i="10" s="1"/>
  <c r="CQ36" i="10"/>
  <c r="CQ61" i="10" s="1"/>
  <c r="CQ37" i="10"/>
  <c r="CQ62" i="10" s="1"/>
  <c r="CQ38" i="10"/>
  <c r="CQ63" i="10" s="1"/>
  <c r="CQ39" i="10"/>
  <c r="CQ64" i="10" s="1"/>
  <c r="CQ40" i="10"/>
  <c r="CQ65" i="10" s="1"/>
  <c r="CQ41" i="10"/>
  <c r="CQ66" i="10" s="1"/>
  <c r="CQ42" i="10"/>
  <c r="CQ67" i="10" s="1"/>
  <c r="CQ43" i="10"/>
  <c r="CQ68" i="10" s="1"/>
  <c r="CQ44" i="10"/>
  <c r="CQ69" i="10" s="1"/>
  <c r="CQ45" i="10"/>
  <c r="CQ70" i="10" s="1"/>
  <c r="CQ88" i="10"/>
  <c r="CQ80" i="10"/>
  <c r="CQ78" i="10"/>
  <c r="CQ91" i="10"/>
  <c r="CQ101" i="10" s="1"/>
  <c r="CQ111" i="10" s="1"/>
  <c r="CQ82" i="10"/>
  <c r="CQ87" i="10"/>
  <c r="CQ86" i="10"/>
  <c r="CO23" i="10"/>
  <c r="CO48" i="10" s="1"/>
  <c r="CO33" i="10"/>
  <c r="CO58" i="10" s="1"/>
  <c r="CO77" i="10"/>
  <c r="CO78" i="10" s="1"/>
  <c r="CO79" i="10"/>
  <c r="CO81" i="10"/>
  <c r="CO21" i="10"/>
  <c r="CO22" i="10"/>
  <c r="CO47" i="10" s="1"/>
  <c r="CO24" i="10"/>
  <c r="CO49" i="10" s="1"/>
  <c r="CO25" i="10"/>
  <c r="CO50" i="10" s="1"/>
  <c r="CO26" i="10"/>
  <c r="CO51" i="10" s="1"/>
  <c r="CO27" i="10"/>
  <c r="CO52" i="10" s="1"/>
  <c r="CO28" i="10"/>
  <c r="CO53" i="10" s="1"/>
  <c r="CO29" i="10"/>
  <c r="CO54" i="10" s="1"/>
  <c r="CO30" i="10"/>
  <c r="CO55" i="10" s="1"/>
  <c r="CO31" i="10"/>
  <c r="CO56" i="10" s="1"/>
  <c r="CO32" i="10"/>
  <c r="CO57" i="10" s="1"/>
  <c r="CO34" i="10"/>
  <c r="CO59" i="10" s="1"/>
  <c r="CO35" i="10"/>
  <c r="CO60" i="10" s="1"/>
  <c r="CO36" i="10"/>
  <c r="CO61" i="10" s="1"/>
  <c r="CO37" i="10"/>
  <c r="CO62" i="10" s="1"/>
  <c r="CO38" i="10"/>
  <c r="CO63" i="10" s="1"/>
  <c r="CO39" i="10"/>
  <c r="CO64" i="10" s="1"/>
  <c r="CO40" i="10"/>
  <c r="CO65" i="10" s="1"/>
  <c r="CO41" i="10"/>
  <c r="CO66" i="10" s="1"/>
  <c r="CO42" i="10"/>
  <c r="CO67" i="10" s="1"/>
  <c r="CO43" i="10"/>
  <c r="CO68" i="10" s="1"/>
  <c r="CO44" i="10"/>
  <c r="CO69" i="10" s="1"/>
  <c r="CO45" i="10"/>
  <c r="CO70" i="10" s="1"/>
  <c r="CO86" i="10"/>
  <c r="CO87" i="10"/>
  <c r="CO82" i="10"/>
  <c r="CO91" i="10"/>
  <c r="CO101" i="10" s="1"/>
  <c r="CO111" i="10" s="1"/>
  <c r="CO88" i="10"/>
  <c r="CO80" i="10"/>
  <c r="CM23" i="10"/>
  <c r="CM25" i="10"/>
  <c r="CM28" i="10"/>
  <c r="CM30" i="10"/>
  <c r="CM31" i="10"/>
  <c r="CM33" i="10"/>
  <c r="CM77" i="10"/>
  <c r="CM79" i="10"/>
  <c r="CM81" i="10"/>
  <c r="CM21" i="10"/>
  <c r="CM22" i="10"/>
  <c r="CM24" i="10"/>
  <c r="CM26" i="10"/>
  <c r="CM27" i="10"/>
  <c r="CM29" i="10"/>
  <c r="CM32" i="10"/>
  <c r="CM34" i="10"/>
  <c r="CM35" i="10"/>
  <c r="CM36" i="10"/>
  <c r="CM37" i="10"/>
  <c r="CM38" i="10"/>
  <c r="CM39" i="10"/>
  <c r="CM40" i="10"/>
  <c r="CM41" i="10"/>
  <c r="CM42" i="10"/>
  <c r="CM43" i="10"/>
  <c r="CM44" i="10"/>
  <c r="CM45" i="10"/>
  <c r="CM87" i="10"/>
  <c r="CM88" i="10"/>
  <c r="CM86" i="10"/>
  <c r="CM82" i="10"/>
  <c r="CM78" i="10"/>
  <c r="CM91" i="10"/>
  <c r="CM101" i="10" s="1"/>
  <c r="CM111" i="10" s="1"/>
  <c r="CM80" i="10"/>
  <c r="CJ87" i="10"/>
  <c r="CJ86" i="10"/>
  <c r="CJ91" i="10"/>
  <c r="CJ101" i="10" s="1"/>
  <c r="CJ111" i="10" s="1"/>
  <c r="CJ88" i="10"/>
  <c r="CJ23" i="10"/>
  <c r="CJ48" i="10" s="1"/>
  <c r="CJ24" i="10"/>
  <c r="CJ49" i="10" s="1"/>
  <c r="CJ28" i="10"/>
  <c r="CJ53" i="10" s="1"/>
  <c r="CJ29" i="10"/>
  <c r="CJ54" i="10" s="1"/>
  <c r="CJ32" i="10"/>
  <c r="CJ57" i="10" s="1"/>
  <c r="CJ33" i="10"/>
  <c r="CJ58" i="10" s="1"/>
  <c r="CJ77" i="10"/>
  <c r="CJ78" i="10" s="1"/>
  <c r="CJ79" i="10"/>
  <c r="CJ80" i="10" s="1"/>
  <c r="CJ81" i="10"/>
  <c r="CJ82" i="10" s="1"/>
  <c r="CJ21" i="10"/>
  <c r="CJ22" i="10"/>
  <c r="CJ47" i="10" s="1"/>
  <c r="CJ25" i="10"/>
  <c r="CJ50" i="10" s="1"/>
  <c r="CJ26" i="10"/>
  <c r="CJ51" i="10" s="1"/>
  <c r="CJ27" i="10"/>
  <c r="CJ52" i="10" s="1"/>
  <c r="CJ30" i="10"/>
  <c r="CJ55" i="10" s="1"/>
  <c r="CJ31" i="10"/>
  <c r="CJ56" i="10" s="1"/>
  <c r="CJ34" i="10"/>
  <c r="CJ59" i="10" s="1"/>
  <c r="CJ35" i="10"/>
  <c r="CJ60" i="10" s="1"/>
  <c r="CJ36" i="10"/>
  <c r="CJ61" i="10" s="1"/>
  <c r="CJ37" i="10"/>
  <c r="CJ62" i="10" s="1"/>
  <c r="CJ38" i="10"/>
  <c r="CJ63" i="10" s="1"/>
  <c r="CJ39" i="10"/>
  <c r="CJ64" i="10" s="1"/>
  <c r="CJ40" i="10"/>
  <c r="CJ65" i="10" s="1"/>
  <c r="CJ41" i="10"/>
  <c r="CJ66" i="10" s="1"/>
  <c r="CJ42" i="10"/>
  <c r="CJ67" i="10" s="1"/>
  <c r="CJ43" i="10"/>
  <c r="CJ68" i="10" s="1"/>
  <c r="CJ44" i="10"/>
  <c r="CJ69" i="10" s="1"/>
  <c r="CJ45" i="10"/>
  <c r="CJ70" i="10" s="1"/>
  <c r="CH23" i="10"/>
  <c r="CH48" i="10" s="1"/>
  <c r="CH24" i="10"/>
  <c r="CH49" i="10" s="1"/>
  <c r="CH28" i="10"/>
  <c r="CH53" i="10" s="1"/>
  <c r="CH29" i="10"/>
  <c r="CH54" i="10" s="1"/>
  <c r="CH77" i="10"/>
  <c r="CH78" i="10" s="1"/>
  <c r="CH79" i="10"/>
  <c r="CH81" i="10"/>
  <c r="CH21" i="10"/>
  <c r="CH22" i="10"/>
  <c r="CH47" i="10" s="1"/>
  <c r="CH25" i="10"/>
  <c r="CH50" i="10" s="1"/>
  <c r="CH26" i="10"/>
  <c r="CH51" i="10" s="1"/>
  <c r="CH27" i="10"/>
  <c r="CH52" i="10" s="1"/>
  <c r="CH30" i="10"/>
  <c r="CH55" i="10" s="1"/>
  <c r="CH31" i="10"/>
  <c r="CH56" i="10" s="1"/>
  <c r="CH32" i="10"/>
  <c r="CH57" i="10" s="1"/>
  <c r="CH33" i="10"/>
  <c r="CH58" i="10" s="1"/>
  <c r="CH34" i="10"/>
  <c r="CH59" i="10" s="1"/>
  <c r="CH35" i="10"/>
  <c r="CH60" i="10" s="1"/>
  <c r="CH36" i="10"/>
  <c r="CH61" i="10" s="1"/>
  <c r="CH37" i="10"/>
  <c r="CH62" i="10" s="1"/>
  <c r="CH38" i="10"/>
  <c r="CH63" i="10" s="1"/>
  <c r="CH39" i="10"/>
  <c r="CH64" i="10" s="1"/>
  <c r="CH40" i="10"/>
  <c r="CH65" i="10" s="1"/>
  <c r="CH41" i="10"/>
  <c r="CH66" i="10" s="1"/>
  <c r="CH42" i="10"/>
  <c r="CH67" i="10" s="1"/>
  <c r="CH43" i="10"/>
  <c r="CH68" i="10" s="1"/>
  <c r="CH44" i="10"/>
  <c r="CH69" i="10" s="1"/>
  <c r="CH45" i="10"/>
  <c r="CH70" i="10" s="1"/>
  <c r="CH82" i="10"/>
  <c r="CH80" i="10"/>
  <c r="CH91" i="10"/>
  <c r="CH101" i="10" s="1"/>
  <c r="CH111" i="10" s="1"/>
  <c r="CH88" i="10"/>
  <c r="CH87" i="10"/>
  <c r="CH86" i="10"/>
  <c r="CF91" i="10"/>
  <c r="CF101" i="10" s="1"/>
  <c r="CF111" i="10" s="1"/>
  <c r="CF88" i="10"/>
  <c r="CF87" i="10"/>
  <c r="CF86" i="10"/>
  <c r="CF21" i="10"/>
  <c r="CF22" i="10"/>
  <c r="CF47" i="10" s="1"/>
  <c r="CF24" i="10"/>
  <c r="CF49" i="10" s="1"/>
  <c r="CF25" i="10"/>
  <c r="CF50" i="10" s="1"/>
  <c r="CF26" i="10"/>
  <c r="CF51" i="10" s="1"/>
  <c r="CF27" i="10"/>
  <c r="CF52" i="10" s="1"/>
  <c r="CF30" i="10"/>
  <c r="CF55" i="10" s="1"/>
  <c r="CF31" i="10"/>
  <c r="CF56" i="10" s="1"/>
  <c r="CF32" i="10"/>
  <c r="CF57" i="10" s="1"/>
  <c r="CF33" i="10"/>
  <c r="CF58" i="10" s="1"/>
  <c r="CF34" i="10"/>
  <c r="CF59" i="10" s="1"/>
  <c r="CF35" i="10"/>
  <c r="CF60" i="10" s="1"/>
  <c r="CF36" i="10"/>
  <c r="CF61" i="10" s="1"/>
  <c r="CF37" i="10"/>
  <c r="CF62" i="10" s="1"/>
  <c r="CF38" i="10"/>
  <c r="CF63" i="10" s="1"/>
  <c r="CF39" i="10"/>
  <c r="CF64" i="10" s="1"/>
  <c r="CF40" i="10"/>
  <c r="CF65" i="10" s="1"/>
  <c r="CF41" i="10"/>
  <c r="CF66" i="10" s="1"/>
  <c r="CF42" i="10"/>
  <c r="CF67" i="10" s="1"/>
  <c r="CF43" i="10"/>
  <c r="CF68" i="10" s="1"/>
  <c r="CF44" i="10"/>
  <c r="CF69" i="10" s="1"/>
  <c r="CF45" i="10"/>
  <c r="CF70" i="10" s="1"/>
  <c r="CF23" i="10"/>
  <c r="CF48" i="10" s="1"/>
  <c r="CF28" i="10"/>
  <c r="CF53" i="10" s="1"/>
  <c r="CF29" i="10"/>
  <c r="CF54" i="10" s="1"/>
  <c r="CF77" i="10"/>
  <c r="CF78" i="10" s="1"/>
  <c r="CF79" i="10"/>
  <c r="CF80" i="10" s="1"/>
  <c r="CF81" i="10"/>
  <c r="CF82" i="10" s="1"/>
  <c r="CB86" i="10"/>
  <c r="CB91" i="10"/>
  <c r="CB101" i="10" s="1"/>
  <c r="CB111" i="10" s="1"/>
  <c r="CB88" i="10"/>
  <c r="CB87" i="10"/>
  <c r="CB21" i="10"/>
  <c r="CB22" i="10"/>
  <c r="CB24" i="10"/>
  <c r="CB26" i="10"/>
  <c r="CB27" i="10"/>
  <c r="CB32" i="10"/>
  <c r="CB33" i="10"/>
  <c r="CB34" i="10"/>
  <c r="CB35" i="10"/>
  <c r="CB36" i="10"/>
  <c r="CB37" i="10"/>
  <c r="CB38" i="10"/>
  <c r="CB39" i="10"/>
  <c r="CB40" i="10"/>
  <c r="CB41" i="10"/>
  <c r="CB42" i="10"/>
  <c r="CB43" i="10"/>
  <c r="CB44" i="10"/>
  <c r="CB45" i="10"/>
  <c r="CB23" i="10"/>
  <c r="CB25" i="10"/>
  <c r="CB28" i="10"/>
  <c r="CB29" i="10"/>
  <c r="CB30" i="10"/>
  <c r="CB31" i="10"/>
  <c r="CB77" i="10"/>
  <c r="CB78" i="10" s="1"/>
  <c r="CB79" i="10"/>
  <c r="CB80" i="10" s="1"/>
  <c r="CB81" i="10"/>
  <c r="CB82" i="10" s="1"/>
  <c r="BY24" i="10"/>
  <c r="BY49" i="10" s="1"/>
  <c r="BY28" i="10"/>
  <c r="BY53" i="10" s="1"/>
  <c r="BY31" i="10"/>
  <c r="BY56" i="10" s="1"/>
  <c r="BY77" i="10"/>
  <c r="BY78" i="10" s="1"/>
  <c r="BY79" i="10"/>
  <c r="BY80" i="10" s="1"/>
  <c r="BY81" i="10"/>
  <c r="BY82" i="10" s="1"/>
  <c r="BY21" i="10"/>
  <c r="BY22" i="10"/>
  <c r="BY47" i="10" s="1"/>
  <c r="BY23" i="10"/>
  <c r="BY48" i="10" s="1"/>
  <c r="BY25" i="10"/>
  <c r="BY50" i="10" s="1"/>
  <c r="BY26" i="10"/>
  <c r="BY51" i="10" s="1"/>
  <c r="BY27" i="10"/>
  <c r="BY52" i="10" s="1"/>
  <c r="BY29" i="10"/>
  <c r="BY54" i="10" s="1"/>
  <c r="BY30" i="10"/>
  <c r="BY55" i="10" s="1"/>
  <c r="BY32" i="10"/>
  <c r="BY57" i="10" s="1"/>
  <c r="BY33" i="10"/>
  <c r="BY58" i="10" s="1"/>
  <c r="BY34" i="10"/>
  <c r="BY59" i="10" s="1"/>
  <c r="BY35" i="10"/>
  <c r="BY60" i="10" s="1"/>
  <c r="BY36" i="10"/>
  <c r="BY61" i="10" s="1"/>
  <c r="BY37" i="10"/>
  <c r="BY62" i="10" s="1"/>
  <c r="BY38" i="10"/>
  <c r="BY63" i="10" s="1"/>
  <c r="BY39" i="10"/>
  <c r="BY64" i="10" s="1"/>
  <c r="BY40" i="10"/>
  <c r="BY65" i="10" s="1"/>
  <c r="BY41" i="10"/>
  <c r="BY66" i="10" s="1"/>
  <c r="BY42" i="10"/>
  <c r="BY67" i="10" s="1"/>
  <c r="BY43" i="10"/>
  <c r="BY68" i="10" s="1"/>
  <c r="BY44" i="10"/>
  <c r="BY69" i="10" s="1"/>
  <c r="BY45" i="10"/>
  <c r="BY70" i="10" s="1"/>
  <c r="BY87" i="10"/>
  <c r="BY86" i="10"/>
  <c r="BY91" i="10"/>
  <c r="BY101" i="10" s="1"/>
  <c r="BY111" i="10" s="1"/>
  <c r="BY88" i="10"/>
  <c r="BT25" i="10"/>
  <c r="BT50" i="10" s="1"/>
  <c r="BT29" i="10"/>
  <c r="BT54" i="10" s="1"/>
  <c r="BT30" i="10"/>
  <c r="BT55" i="10" s="1"/>
  <c r="BT77" i="10"/>
  <c r="BT78" i="10" s="1"/>
  <c r="BT79" i="10"/>
  <c r="BT80" i="10" s="1"/>
  <c r="BT81" i="10"/>
  <c r="BT82" i="10" s="1"/>
  <c r="BT21" i="10"/>
  <c r="BT22" i="10"/>
  <c r="BT47" i="10" s="1"/>
  <c r="BT23" i="10"/>
  <c r="BT48" i="10" s="1"/>
  <c r="BT24" i="10"/>
  <c r="BT49" i="10" s="1"/>
  <c r="BT26" i="10"/>
  <c r="BT51" i="10" s="1"/>
  <c r="BT27" i="10"/>
  <c r="BT52" i="10" s="1"/>
  <c r="BT28" i="10"/>
  <c r="BT53" i="10" s="1"/>
  <c r="BT31" i="10"/>
  <c r="BT56" i="10" s="1"/>
  <c r="BT32" i="10"/>
  <c r="BT57" i="10" s="1"/>
  <c r="BT33" i="10"/>
  <c r="BT58" i="10" s="1"/>
  <c r="BT34" i="10"/>
  <c r="BT59" i="10" s="1"/>
  <c r="BT35" i="10"/>
  <c r="BT60" i="10" s="1"/>
  <c r="BT36" i="10"/>
  <c r="BT61" i="10" s="1"/>
  <c r="BT37" i="10"/>
  <c r="BT62" i="10" s="1"/>
  <c r="BT38" i="10"/>
  <c r="BT63" i="10" s="1"/>
  <c r="BT39" i="10"/>
  <c r="BT64" i="10" s="1"/>
  <c r="BT40" i="10"/>
  <c r="BT65" i="10" s="1"/>
  <c r="BT41" i="10"/>
  <c r="BT66" i="10" s="1"/>
  <c r="BT42" i="10"/>
  <c r="BT67" i="10" s="1"/>
  <c r="BT43" i="10"/>
  <c r="BT68" i="10" s="1"/>
  <c r="BT44" i="10"/>
  <c r="BT69" i="10" s="1"/>
  <c r="BT45" i="10"/>
  <c r="BT70" i="10" s="1"/>
  <c r="BT91" i="10"/>
  <c r="BT101" i="10" s="1"/>
  <c r="BT111" i="10" s="1"/>
  <c r="BT88" i="10"/>
  <c r="BT87" i="10"/>
  <c r="BT86" i="10"/>
  <c r="BQ87" i="10"/>
  <c r="BQ86" i="10"/>
  <c r="BQ91" i="10"/>
  <c r="BQ101" i="10" s="1"/>
  <c r="BQ111" i="10" s="1"/>
  <c r="BQ88" i="10"/>
  <c r="BQ21" i="10"/>
  <c r="BQ22" i="10"/>
  <c r="BQ23" i="10"/>
  <c r="BQ24" i="10"/>
  <c r="BQ25" i="10"/>
  <c r="BQ27" i="10"/>
  <c r="BQ28" i="10"/>
  <c r="BQ30" i="10"/>
  <c r="BQ31" i="10"/>
  <c r="BQ33" i="10"/>
  <c r="BQ34" i="10"/>
  <c r="BQ35" i="10"/>
  <c r="BQ36" i="10"/>
  <c r="BQ37" i="10"/>
  <c r="BQ38" i="10"/>
  <c r="BQ39" i="10"/>
  <c r="BQ40" i="10"/>
  <c r="BQ41" i="10"/>
  <c r="BQ42" i="10"/>
  <c r="BQ43" i="10"/>
  <c r="BQ44" i="10"/>
  <c r="BQ45" i="10"/>
  <c r="BQ26" i="10"/>
  <c r="BQ29" i="10"/>
  <c r="BQ32" i="10"/>
  <c r="BQ77" i="10"/>
  <c r="BQ78" i="10" s="1"/>
  <c r="BQ79" i="10"/>
  <c r="BQ80" i="10" s="1"/>
  <c r="BQ81" i="10"/>
  <c r="BQ82" i="10" s="1"/>
  <c r="BK87" i="10"/>
  <c r="BK86" i="10"/>
  <c r="BK91" i="10"/>
  <c r="BK101" i="10" s="1"/>
  <c r="BK111" i="10" s="1"/>
  <c r="BK88" i="10"/>
  <c r="BK21" i="10"/>
  <c r="BK22" i="10"/>
  <c r="BK47" i="10" s="1"/>
  <c r="BK23" i="10"/>
  <c r="BK48" i="10" s="1"/>
  <c r="BK24" i="10"/>
  <c r="BK49" i="10" s="1"/>
  <c r="BK26" i="10"/>
  <c r="BK51" i="10" s="1"/>
  <c r="BK27" i="10"/>
  <c r="BK52" i="10" s="1"/>
  <c r="BK31" i="10"/>
  <c r="BK56" i="10" s="1"/>
  <c r="BK32" i="10"/>
  <c r="BK57" i="10" s="1"/>
  <c r="BK34" i="10"/>
  <c r="BK59" i="10" s="1"/>
  <c r="BK35" i="10"/>
  <c r="BK60" i="10" s="1"/>
  <c r="BK36" i="10"/>
  <c r="BK61" i="10" s="1"/>
  <c r="BK37" i="10"/>
  <c r="BK62" i="10" s="1"/>
  <c r="BK38" i="10"/>
  <c r="BK63" i="10" s="1"/>
  <c r="BK39" i="10"/>
  <c r="BK64" i="10" s="1"/>
  <c r="BK40" i="10"/>
  <c r="BK65" i="10" s="1"/>
  <c r="BK41" i="10"/>
  <c r="BK66" i="10" s="1"/>
  <c r="BK42" i="10"/>
  <c r="BK67" i="10" s="1"/>
  <c r="BK43" i="10"/>
  <c r="BK68" i="10" s="1"/>
  <c r="BK44" i="10"/>
  <c r="BK69" i="10" s="1"/>
  <c r="BK45" i="10"/>
  <c r="BK70" i="10" s="1"/>
  <c r="BK25" i="10"/>
  <c r="BK50" i="10" s="1"/>
  <c r="BK28" i="10"/>
  <c r="BK53" i="10" s="1"/>
  <c r="BK29" i="10"/>
  <c r="BK54" i="10" s="1"/>
  <c r="BK30" i="10"/>
  <c r="BK55" i="10" s="1"/>
  <c r="BK33" i="10"/>
  <c r="BK58" i="10" s="1"/>
  <c r="BK77" i="10"/>
  <c r="BK78" i="10" s="1"/>
  <c r="BK79" i="10"/>
  <c r="BK80" i="10" s="1"/>
  <c r="BK81" i="10"/>
  <c r="BK82" i="10" s="1"/>
  <c r="BH24" i="10"/>
  <c r="BH49" i="10" s="1"/>
  <c r="BH25" i="10"/>
  <c r="BH50" i="10" s="1"/>
  <c r="BH26" i="10"/>
  <c r="BH51" i="10" s="1"/>
  <c r="BH28" i="10"/>
  <c r="BH53" i="10" s="1"/>
  <c r="BH29" i="10"/>
  <c r="BH54" i="10" s="1"/>
  <c r="BH33" i="10"/>
  <c r="BH58" i="10" s="1"/>
  <c r="BH77" i="10"/>
  <c r="BH79" i="10"/>
  <c r="BH81" i="10"/>
  <c r="BH21" i="10"/>
  <c r="BH22" i="10"/>
  <c r="BH47" i="10" s="1"/>
  <c r="BH23" i="10"/>
  <c r="BH48" i="10" s="1"/>
  <c r="BH27" i="10"/>
  <c r="BH52" i="10" s="1"/>
  <c r="BH30" i="10"/>
  <c r="BH55" i="10" s="1"/>
  <c r="BH31" i="10"/>
  <c r="BH56" i="10" s="1"/>
  <c r="BH32" i="10"/>
  <c r="BH57" i="10" s="1"/>
  <c r="BH34" i="10"/>
  <c r="BH59" i="10" s="1"/>
  <c r="BH35" i="10"/>
  <c r="BH60" i="10" s="1"/>
  <c r="BH36" i="10"/>
  <c r="BH61" i="10" s="1"/>
  <c r="BH37" i="10"/>
  <c r="BH62" i="10" s="1"/>
  <c r="BH38" i="10"/>
  <c r="BH63" i="10" s="1"/>
  <c r="BH39" i="10"/>
  <c r="BH64" i="10" s="1"/>
  <c r="BH40" i="10"/>
  <c r="BH65" i="10" s="1"/>
  <c r="BH41" i="10"/>
  <c r="BH66" i="10" s="1"/>
  <c r="BH42" i="10"/>
  <c r="BH67" i="10" s="1"/>
  <c r="BH43" i="10"/>
  <c r="BH68" i="10" s="1"/>
  <c r="BH44" i="10"/>
  <c r="BH69" i="10" s="1"/>
  <c r="BH45" i="10"/>
  <c r="BH70" i="10" s="1"/>
  <c r="BH82" i="10"/>
  <c r="BH91" i="10"/>
  <c r="BH101" i="10" s="1"/>
  <c r="BH111" i="10" s="1"/>
  <c r="BH88" i="10"/>
  <c r="BH87" i="10"/>
  <c r="BH86" i="10"/>
  <c r="BH80" i="10"/>
  <c r="BH78" i="10"/>
  <c r="BF25" i="10"/>
  <c r="BF50" i="10" s="1"/>
  <c r="BF28" i="10"/>
  <c r="BF53" i="10" s="1"/>
  <c r="BF29" i="10"/>
  <c r="BF54" i="10" s="1"/>
  <c r="BF30" i="10"/>
  <c r="BF55" i="10" s="1"/>
  <c r="BF33" i="10"/>
  <c r="BF58" i="10" s="1"/>
  <c r="BF77" i="10"/>
  <c r="BF78" i="10" s="1"/>
  <c r="BF79" i="10"/>
  <c r="BF81" i="10"/>
  <c r="BF21" i="10"/>
  <c r="BF22" i="10"/>
  <c r="BF47" i="10" s="1"/>
  <c r="BF23" i="10"/>
  <c r="BF48" i="10" s="1"/>
  <c r="BF24" i="10"/>
  <c r="BF49" i="10" s="1"/>
  <c r="BF26" i="10"/>
  <c r="BF51" i="10" s="1"/>
  <c r="BF27" i="10"/>
  <c r="BF52" i="10" s="1"/>
  <c r="BF31" i="10"/>
  <c r="BF56" i="10" s="1"/>
  <c r="BF32" i="10"/>
  <c r="BF57" i="10" s="1"/>
  <c r="BF34" i="10"/>
  <c r="BF59" i="10" s="1"/>
  <c r="BF35" i="10"/>
  <c r="BF60" i="10" s="1"/>
  <c r="BF36" i="10"/>
  <c r="BF61" i="10" s="1"/>
  <c r="BF37" i="10"/>
  <c r="BF62" i="10" s="1"/>
  <c r="BF38" i="10"/>
  <c r="BF63" i="10" s="1"/>
  <c r="BF39" i="10"/>
  <c r="BF64" i="10" s="1"/>
  <c r="BF40" i="10"/>
  <c r="BF65" i="10" s="1"/>
  <c r="BF41" i="10"/>
  <c r="BF66" i="10" s="1"/>
  <c r="BF42" i="10"/>
  <c r="BF67" i="10" s="1"/>
  <c r="BF43" i="10"/>
  <c r="BF68" i="10" s="1"/>
  <c r="BF44" i="10"/>
  <c r="BF69" i="10" s="1"/>
  <c r="BF45" i="10"/>
  <c r="BF70" i="10" s="1"/>
  <c r="BF82" i="10"/>
  <c r="BF80" i="10"/>
  <c r="BF91" i="10"/>
  <c r="BF101" i="10" s="1"/>
  <c r="BF111" i="10" s="1"/>
  <c r="BF88" i="10"/>
  <c r="BF87" i="10"/>
  <c r="BF86" i="10"/>
  <c r="BB24" i="10"/>
  <c r="BB25" i="10"/>
  <c r="BB29" i="10"/>
  <c r="BB30" i="10"/>
  <c r="BB33" i="10"/>
  <c r="BB77" i="10"/>
  <c r="BB78" i="10" s="1"/>
  <c r="BB79" i="10"/>
  <c r="BB80" i="10" s="1"/>
  <c r="BB81" i="10"/>
  <c r="BB82" i="10" s="1"/>
  <c r="BB21" i="10"/>
  <c r="BB22" i="10"/>
  <c r="BB23" i="10"/>
  <c r="BB26" i="10"/>
  <c r="BB27" i="10"/>
  <c r="BB28" i="10"/>
  <c r="BB31" i="10"/>
  <c r="BB32" i="10"/>
  <c r="BB34" i="10"/>
  <c r="BB35" i="10"/>
  <c r="BB36" i="10"/>
  <c r="BB37" i="10"/>
  <c r="BB38" i="10"/>
  <c r="BB39" i="10"/>
  <c r="BB40" i="10"/>
  <c r="BB41" i="10"/>
  <c r="BB42" i="10"/>
  <c r="BB43" i="10"/>
  <c r="BB44" i="10"/>
  <c r="BB45" i="10"/>
  <c r="BB91" i="10"/>
  <c r="BB101" i="10" s="1"/>
  <c r="BB111" i="10" s="1"/>
  <c r="BB88" i="10"/>
  <c r="BB87" i="10"/>
  <c r="BB86" i="10"/>
  <c r="AT86" i="10"/>
  <c r="AT91" i="10"/>
  <c r="AT101" i="10" s="1"/>
  <c r="AT111" i="10" s="1"/>
  <c r="AT87" i="10"/>
  <c r="AT88" i="10"/>
  <c r="AT21" i="10"/>
  <c r="AT22" i="10"/>
  <c r="AT23" i="10"/>
  <c r="AT25" i="10"/>
  <c r="AT27" i="10"/>
  <c r="AT28" i="10"/>
  <c r="AT31" i="10"/>
  <c r="AT32" i="10"/>
  <c r="AT35" i="10"/>
  <c r="AT36" i="10"/>
  <c r="AT37" i="10"/>
  <c r="AT38" i="10"/>
  <c r="AT39" i="10"/>
  <c r="AT40" i="10"/>
  <c r="AT41" i="10"/>
  <c r="AT42" i="10"/>
  <c r="AT43" i="10"/>
  <c r="AT44" i="10"/>
  <c r="AT45" i="10"/>
  <c r="AT24" i="10"/>
  <c r="AT26" i="10"/>
  <c r="AT29" i="10"/>
  <c r="AT30" i="10"/>
  <c r="AT33" i="10"/>
  <c r="AT34" i="10"/>
  <c r="AT77" i="10"/>
  <c r="AT78" i="10" s="1"/>
  <c r="AT79" i="10"/>
  <c r="AT80" i="10" s="1"/>
  <c r="AT81" i="10"/>
  <c r="AT82" i="10" s="1"/>
  <c r="AO88" i="10"/>
  <c r="AO87" i="10"/>
  <c r="AO91" i="10"/>
  <c r="AO101" i="10" s="1"/>
  <c r="AO111" i="10" s="1"/>
  <c r="AO86" i="10"/>
  <c r="AO21" i="10"/>
  <c r="AO22" i="10"/>
  <c r="AO47" i="10" s="1"/>
  <c r="AO23" i="10"/>
  <c r="AO48" i="10" s="1"/>
  <c r="AO27" i="10"/>
  <c r="AO52" i="10" s="1"/>
  <c r="AO28" i="10"/>
  <c r="AO53" i="10" s="1"/>
  <c r="AO29" i="10"/>
  <c r="AO54" i="10" s="1"/>
  <c r="AO31" i="10"/>
  <c r="AO56" i="10" s="1"/>
  <c r="AO32" i="10"/>
  <c r="AO57" i="10" s="1"/>
  <c r="AO33" i="10"/>
  <c r="AO58" i="10" s="1"/>
  <c r="AO34" i="10"/>
  <c r="AO59" i="10" s="1"/>
  <c r="AO35" i="10"/>
  <c r="AO60" i="10" s="1"/>
  <c r="AO36" i="10"/>
  <c r="AO61" i="10" s="1"/>
  <c r="AO37" i="10"/>
  <c r="AO62" i="10" s="1"/>
  <c r="AO38" i="10"/>
  <c r="AO63" i="10" s="1"/>
  <c r="AO39" i="10"/>
  <c r="AO64" i="10" s="1"/>
  <c r="AO40" i="10"/>
  <c r="AO65" i="10" s="1"/>
  <c r="AO41" i="10"/>
  <c r="AO66" i="10" s="1"/>
  <c r="AO42" i="10"/>
  <c r="AO67" i="10" s="1"/>
  <c r="AO43" i="10"/>
  <c r="AO68" i="10" s="1"/>
  <c r="AO44" i="10"/>
  <c r="AO69" i="10" s="1"/>
  <c r="AO45" i="10"/>
  <c r="AO70" i="10" s="1"/>
  <c r="AO24" i="10"/>
  <c r="AO49" i="10" s="1"/>
  <c r="AO25" i="10"/>
  <c r="AO50" i="10" s="1"/>
  <c r="AO26" i="10"/>
  <c r="AO51" i="10" s="1"/>
  <c r="AO30" i="10"/>
  <c r="AO55" i="10" s="1"/>
  <c r="AO77" i="10"/>
  <c r="AO78" i="10" s="1"/>
  <c r="AO79" i="10"/>
  <c r="AO80" i="10" s="1"/>
  <c r="AO81" i="10"/>
  <c r="AO82" i="10" s="1"/>
  <c r="AL31" i="10"/>
  <c r="AL56" i="10" s="1"/>
  <c r="AL32" i="10"/>
  <c r="AL57" i="10" s="1"/>
  <c r="AL77" i="10"/>
  <c r="AL78" i="10" s="1"/>
  <c r="AL79" i="10"/>
  <c r="AL81" i="10"/>
  <c r="AL21" i="10"/>
  <c r="AL22" i="10"/>
  <c r="AL47" i="10" s="1"/>
  <c r="AL23" i="10"/>
  <c r="AL48" i="10" s="1"/>
  <c r="AL24" i="10"/>
  <c r="AL49" i="10" s="1"/>
  <c r="AL25" i="10"/>
  <c r="AL50" i="10" s="1"/>
  <c r="AL26" i="10"/>
  <c r="AL51" i="10" s="1"/>
  <c r="AL27" i="10"/>
  <c r="AL52" i="10" s="1"/>
  <c r="AL28" i="10"/>
  <c r="AL53" i="10" s="1"/>
  <c r="AL29" i="10"/>
  <c r="AL54" i="10" s="1"/>
  <c r="AL30" i="10"/>
  <c r="AL55" i="10" s="1"/>
  <c r="AL33" i="10"/>
  <c r="AL58" i="10" s="1"/>
  <c r="AL34" i="10"/>
  <c r="AL59" i="10" s="1"/>
  <c r="AL35" i="10"/>
  <c r="AL60" i="10" s="1"/>
  <c r="AL36" i="10"/>
  <c r="AL61" i="10" s="1"/>
  <c r="AL37" i="10"/>
  <c r="AL62" i="10" s="1"/>
  <c r="AL38" i="10"/>
  <c r="AL63" i="10" s="1"/>
  <c r="AL39" i="10"/>
  <c r="AL64" i="10" s="1"/>
  <c r="AL40" i="10"/>
  <c r="AL65" i="10" s="1"/>
  <c r="AL41" i="10"/>
  <c r="AL66" i="10" s="1"/>
  <c r="AL42" i="10"/>
  <c r="AL67" i="10" s="1"/>
  <c r="AL43" i="10"/>
  <c r="AL68" i="10" s="1"/>
  <c r="AL44" i="10"/>
  <c r="AL69" i="10" s="1"/>
  <c r="AL45" i="10"/>
  <c r="AL70" i="10" s="1"/>
  <c r="AL87" i="10"/>
  <c r="AL88" i="10"/>
  <c r="AL86" i="10"/>
  <c r="AL82" i="10"/>
  <c r="AL91" i="10"/>
  <c r="AL101" i="10" s="1"/>
  <c r="AL111" i="10" s="1"/>
  <c r="AL80" i="10"/>
  <c r="AG87" i="10"/>
  <c r="AG88" i="10"/>
  <c r="AG86" i="10"/>
  <c r="AG91" i="10"/>
  <c r="AG101" i="10" s="1"/>
  <c r="AG111" i="10" s="1"/>
  <c r="AG24" i="10"/>
  <c r="AG25" i="10"/>
  <c r="AG28" i="10"/>
  <c r="AG33" i="10"/>
  <c r="AG77" i="10"/>
  <c r="AG78" i="10" s="1"/>
  <c r="AG79" i="10"/>
  <c r="AG80" i="10" s="1"/>
  <c r="AG81" i="10"/>
  <c r="AG82" i="10" s="1"/>
  <c r="AG21" i="10"/>
  <c r="AG22" i="10"/>
  <c r="AG23" i="10"/>
  <c r="AG26" i="10"/>
  <c r="AG27" i="10"/>
  <c r="AG29" i="10"/>
  <c r="AG30" i="10"/>
  <c r="AG31" i="10"/>
  <c r="AG32" i="10"/>
  <c r="AG34" i="10"/>
  <c r="AG35" i="10"/>
  <c r="AG36" i="10"/>
  <c r="AG37" i="10"/>
  <c r="AG38" i="10"/>
  <c r="AG39" i="10"/>
  <c r="AG40" i="10"/>
  <c r="AG41" i="10"/>
  <c r="AG42" i="10"/>
  <c r="AG43" i="10"/>
  <c r="AG44" i="10"/>
  <c r="AG45" i="10"/>
  <c r="AC86" i="10"/>
  <c r="AC88" i="10"/>
  <c r="AC87" i="10"/>
  <c r="AC91" i="10"/>
  <c r="AC101" i="10" s="1"/>
  <c r="AC111" i="10" s="1"/>
  <c r="AC25" i="10"/>
  <c r="AC50" i="10" s="1"/>
  <c r="AC26" i="10"/>
  <c r="AC51" i="10" s="1"/>
  <c r="AC28" i="10"/>
  <c r="AC53" i="10" s="1"/>
  <c r="AC31" i="10"/>
  <c r="AC56" i="10" s="1"/>
  <c r="AC77" i="10"/>
  <c r="AC78" i="10" s="1"/>
  <c r="AC79" i="10"/>
  <c r="AC80" i="10" s="1"/>
  <c r="AC81" i="10"/>
  <c r="AC82" i="10" s="1"/>
  <c r="AC21" i="10"/>
  <c r="AC22" i="10"/>
  <c r="AC47" i="10" s="1"/>
  <c r="AC23" i="10"/>
  <c r="AC48" i="10" s="1"/>
  <c r="AC24" i="10"/>
  <c r="AC49" i="10" s="1"/>
  <c r="AC27" i="10"/>
  <c r="AC52" i="10" s="1"/>
  <c r="AC29" i="10"/>
  <c r="AC54" i="10" s="1"/>
  <c r="AC30" i="10"/>
  <c r="AC55" i="10" s="1"/>
  <c r="AC32" i="10"/>
  <c r="AC57" i="10" s="1"/>
  <c r="AC33" i="10"/>
  <c r="AC58" i="10" s="1"/>
  <c r="AC34" i="10"/>
  <c r="AC59" i="10" s="1"/>
  <c r="AC35" i="10"/>
  <c r="AC60" i="10" s="1"/>
  <c r="AC36" i="10"/>
  <c r="AC61" i="10" s="1"/>
  <c r="AC37" i="10"/>
  <c r="AC62" i="10" s="1"/>
  <c r="AC38" i="10"/>
  <c r="AC63" i="10" s="1"/>
  <c r="AC39" i="10"/>
  <c r="AC64" i="10" s="1"/>
  <c r="AC40" i="10"/>
  <c r="AC65" i="10" s="1"/>
  <c r="AC41" i="10"/>
  <c r="AC66" i="10" s="1"/>
  <c r="AC42" i="10"/>
  <c r="AC67" i="10" s="1"/>
  <c r="AC43" i="10"/>
  <c r="AC68" i="10" s="1"/>
  <c r="AC44" i="10"/>
  <c r="AC69" i="10" s="1"/>
  <c r="AC45" i="10"/>
  <c r="AC70" i="10" s="1"/>
  <c r="V87" i="10"/>
  <c r="V91" i="10"/>
  <c r="V101" i="10" s="1"/>
  <c r="V111" i="10" s="1"/>
  <c r="V88" i="10"/>
  <c r="V86" i="10"/>
  <c r="V22" i="10"/>
  <c r="V47" i="10" s="1"/>
  <c r="V23" i="10"/>
  <c r="V48" i="10" s="1"/>
  <c r="V24" i="10"/>
  <c r="V49" i="10" s="1"/>
  <c r="V25" i="10"/>
  <c r="V50" i="10" s="1"/>
  <c r="V26" i="10"/>
  <c r="V51" i="10" s="1"/>
  <c r="V27" i="10"/>
  <c r="V52" i="10" s="1"/>
  <c r="V28" i="10"/>
  <c r="V53" i="10" s="1"/>
  <c r="V29" i="10"/>
  <c r="V54" i="10" s="1"/>
  <c r="V30" i="10"/>
  <c r="V55" i="10" s="1"/>
  <c r="V33" i="10"/>
  <c r="V58" i="10" s="1"/>
  <c r="V34" i="10"/>
  <c r="V59" i="10" s="1"/>
  <c r="V35" i="10"/>
  <c r="V60" i="10" s="1"/>
  <c r="V36" i="10"/>
  <c r="V61" i="10" s="1"/>
  <c r="V37" i="10"/>
  <c r="V62" i="10" s="1"/>
  <c r="V38" i="10"/>
  <c r="V63" i="10" s="1"/>
  <c r="V39" i="10"/>
  <c r="V64" i="10" s="1"/>
  <c r="V40" i="10"/>
  <c r="V65" i="10" s="1"/>
  <c r="V41" i="10"/>
  <c r="V66" i="10" s="1"/>
  <c r="V42" i="10"/>
  <c r="V67" i="10" s="1"/>
  <c r="V43" i="10"/>
  <c r="V68" i="10" s="1"/>
  <c r="V44" i="10"/>
  <c r="V69" i="10" s="1"/>
  <c r="V45" i="10"/>
  <c r="V70" i="10" s="1"/>
  <c r="V21" i="10"/>
  <c r="V31" i="10"/>
  <c r="V56" i="10" s="1"/>
  <c r="V32" i="10"/>
  <c r="V57" i="10" s="1"/>
  <c r="V77" i="10"/>
  <c r="V78" i="10" s="1"/>
  <c r="V79" i="10"/>
  <c r="V80" i="10" s="1"/>
  <c r="V81" i="10"/>
  <c r="V82" i="10" s="1"/>
  <c r="R87" i="10"/>
  <c r="R86" i="10"/>
  <c r="R91" i="10"/>
  <c r="R101" i="10" s="1"/>
  <c r="R111" i="10" s="1"/>
  <c r="R88" i="10"/>
  <c r="R22" i="10"/>
  <c r="R23" i="10"/>
  <c r="R25" i="10"/>
  <c r="R27" i="10"/>
  <c r="R28" i="10"/>
  <c r="R29" i="10"/>
  <c r="R30" i="10"/>
  <c r="R32" i="10"/>
  <c r="R34" i="10"/>
  <c r="R35" i="10"/>
  <c r="R36" i="10"/>
  <c r="R37" i="10"/>
  <c r="R38" i="10"/>
  <c r="R39" i="10"/>
  <c r="R40" i="10"/>
  <c r="R41" i="10"/>
  <c r="R42" i="10"/>
  <c r="R43" i="10"/>
  <c r="R44" i="10"/>
  <c r="R45" i="10"/>
  <c r="R21" i="10"/>
  <c r="R24" i="10"/>
  <c r="R26" i="10"/>
  <c r="R31" i="10"/>
  <c r="R33" i="10"/>
  <c r="R77" i="10"/>
  <c r="R78" i="10" s="1"/>
  <c r="R79" i="10"/>
  <c r="R80" i="10" s="1"/>
  <c r="R81" i="10"/>
  <c r="R82" i="10" s="1"/>
  <c r="M91" i="10"/>
  <c r="M101" i="10" s="1"/>
  <c r="M111" i="10" s="1"/>
  <c r="M88" i="10"/>
  <c r="M87" i="10"/>
  <c r="M86" i="10"/>
  <c r="M21" i="10"/>
  <c r="M26" i="10"/>
  <c r="M51" i="10" s="1"/>
  <c r="M28" i="10"/>
  <c r="M53" i="10" s="1"/>
  <c r="M32" i="10"/>
  <c r="M57" i="10" s="1"/>
  <c r="M33" i="10"/>
  <c r="M58" i="10" s="1"/>
  <c r="M77" i="10"/>
  <c r="M78" i="10" s="1"/>
  <c r="M81" i="10"/>
  <c r="M82" i="10" s="1"/>
  <c r="M79" i="10"/>
  <c r="M80" i="10" s="1"/>
  <c r="M22" i="10"/>
  <c r="M47" i="10" s="1"/>
  <c r="M23" i="10"/>
  <c r="M48" i="10" s="1"/>
  <c r="M24" i="10"/>
  <c r="M49" i="10" s="1"/>
  <c r="M25" i="10"/>
  <c r="M50" i="10" s="1"/>
  <c r="M27" i="10"/>
  <c r="M52" i="10" s="1"/>
  <c r="M29" i="10"/>
  <c r="M54" i="10" s="1"/>
  <c r="M30" i="10"/>
  <c r="M55" i="10" s="1"/>
  <c r="M31" i="10"/>
  <c r="M56" i="10" s="1"/>
  <c r="M34" i="10"/>
  <c r="M59" i="10" s="1"/>
  <c r="M35" i="10"/>
  <c r="M60" i="10" s="1"/>
  <c r="M36" i="10"/>
  <c r="M61" i="10" s="1"/>
  <c r="M37" i="10"/>
  <c r="M62" i="10" s="1"/>
  <c r="M38" i="10"/>
  <c r="M63" i="10" s="1"/>
  <c r="M39" i="10"/>
  <c r="M64" i="10" s="1"/>
  <c r="M40" i="10"/>
  <c r="M65" i="10" s="1"/>
  <c r="M41" i="10"/>
  <c r="M66" i="10" s="1"/>
  <c r="M42" i="10"/>
  <c r="M67" i="10" s="1"/>
  <c r="M43" i="10"/>
  <c r="M68" i="10" s="1"/>
  <c r="M44" i="10"/>
  <c r="M69" i="10" s="1"/>
  <c r="M45" i="10"/>
  <c r="M70" i="10" s="1"/>
  <c r="K91" i="10"/>
  <c r="K101" i="10" s="1"/>
  <c r="K111" i="10" s="1"/>
  <c r="K88" i="10"/>
  <c r="K87" i="10"/>
  <c r="K86" i="10"/>
  <c r="K21" i="10"/>
  <c r="K26" i="10"/>
  <c r="K51" i="10" s="1"/>
  <c r="K28" i="10"/>
  <c r="K53" i="10" s="1"/>
  <c r="K32" i="10"/>
  <c r="K57" i="10" s="1"/>
  <c r="K77" i="10"/>
  <c r="K78" i="10" s="1"/>
  <c r="K79" i="10"/>
  <c r="K80" i="10" s="1"/>
  <c r="K81" i="10"/>
  <c r="K82" i="10" s="1"/>
  <c r="K22" i="10"/>
  <c r="K47" i="10" s="1"/>
  <c r="K23" i="10"/>
  <c r="K48" i="10" s="1"/>
  <c r="K24" i="10"/>
  <c r="K49" i="10" s="1"/>
  <c r="K25" i="10"/>
  <c r="K50" i="10" s="1"/>
  <c r="K27" i="10"/>
  <c r="K52" i="10" s="1"/>
  <c r="K29" i="10"/>
  <c r="K54" i="10" s="1"/>
  <c r="K30" i="10"/>
  <c r="K55" i="10" s="1"/>
  <c r="K31" i="10"/>
  <c r="K56" i="10" s="1"/>
  <c r="K33" i="10"/>
  <c r="K58" i="10" s="1"/>
  <c r="K34" i="10"/>
  <c r="K59" i="10" s="1"/>
  <c r="K35" i="10"/>
  <c r="K60" i="10" s="1"/>
  <c r="K36" i="10"/>
  <c r="K61" i="10" s="1"/>
  <c r="K37" i="10"/>
  <c r="K62" i="10" s="1"/>
  <c r="K38" i="10"/>
  <c r="K63" i="10" s="1"/>
  <c r="K39" i="10"/>
  <c r="K64" i="10" s="1"/>
  <c r="K40" i="10"/>
  <c r="K65" i="10" s="1"/>
  <c r="K41" i="10"/>
  <c r="K66" i="10" s="1"/>
  <c r="K42" i="10"/>
  <c r="K67" i="10" s="1"/>
  <c r="K43" i="10"/>
  <c r="K68" i="10" s="1"/>
  <c r="K44" i="10"/>
  <c r="K69" i="10" s="1"/>
  <c r="K45" i="10"/>
  <c r="K70" i="10" s="1"/>
  <c r="G91" i="10"/>
  <c r="G88" i="10"/>
  <c r="G87" i="10"/>
  <c r="G86" i="10"/>
  <c r="G21" i="10"/>
  <c r="G25" i="10"/>
  <c r="G26" i="10"/>
  <c r="G32" i="10"/>
  <c r="G77" i="10"/>
  <c r="G78" i="10" s="1"/>
  <c r="G81" i="10"/>
  <c r="G82" i="10" s="1"/>
  <c r="G79" i="10"/>
  <c r="G80" i="10" s="1"/>
  <c r="G22" i="10"/>
  <c r="G23" i="10"/>
  <c r="G24" i="10"/>
  <c r="G27" i="10"/>
  <c r="G28" i="10"/>
  <c r="G29" i="10"/>
  <c r="G30" i="10"/>
  <c r="G31" i="10"/>
  <c r="G33" i="10"/>
  <c r="G34" i="10"/>
  <c r="G35" i="10"/>
  <c r="G36" i="10"/>
  <c r="G37" i="10"/>
  <c r="G38" i="10"/>
  <c r="G39" i="10"/>
  <c r="G40" i="10"/>
  <c r="G41" i="10"/>
  <c r="G42" i="10"/>
  <c r="G43" i="10"/>
  <c r="G44" i="10"/>
  <c r="G45" i="10"/>
  <c r="AZ24" i="10"/>
  <c r="AZ49" i="10" s="1"/>
  <c r="AZ29" i="10"/>
  <c r="AZ54" i="10" s="1"/>
  <c r="AZ30" i="10"/>
  <c r="AZ55" i="10" s="1"/>
  <c r="AZ33" i="10"/>
  <c r="AZ58" i="10" s="1"/>
  <c r="AZ77" i="10"/>
  <c r="AZ78" i="10" s="1"/>
  <c r="AZ79" i="10"/>
  <c r="AZ81" i="10"/>
  <c r="AZ21" i="10"/>
  <c r="AZ22" i="10"/>
  <c r="AZ47" i="10" s="1"/>
  <c r="AZ23" i="10"/>
  <c r="AZ48" i="10" s="1"/>
  <c r="AZ25" i="10"/>
  <c r="AZ50" i="10" s="1"/>
  <c r="AZ26" i="10"/>
  <c r="AZ51" i="10" s="1"/>
  <c r="AZ27" i="10"/>
  <c r="AZ52" i="10" s="1"/>
  <c r="AZ28" i="10"/>
  <c r="AZ53" i="10" s="1"/>
  <c r="AZ31" i="10"/>
  <c r="AZ56" i="10" s="1"/>
  <c r="AZ32" i="10"/>
  <c r="AZ57" i="10" s="1"/>
  <c r="AZ34" i="10"/>
  <c r="AZ59" i="10" s="1"/>
  <c r="AZ35" i="10"/>
  <c r="AZ60" i="10" s="1"/>
  <c r="AZ36" i="10"/>
  <c r="AZ61" i="10" s="1"/>
  <c r="AZ37" i="10"/>
  <c r="AZ62" i="10" s="1"/>
  <c r="AZ38" i="10"/>
  <c r="AZ63" i="10" s="1"/>
  <c r="AZ39" i="10"/>
  <c r="AZ64" i="10" s="1"/>
  <c r="AZ40" i="10"/>
  <c r="AZ65" i="10" s="1"/>
  <c r="AZ41" i="10"/>
  <c r="AZ66" i="10" s="1"/>
  <c r="AZ42" i="10"/>
  <c r="AZ67" i="10" s="1"/>
  <c r="AZ43" i="10"/>
  <c r="AZ68" i="10" s="1"/>
  <c r="AZ44" i="10"/>
  <c r="AZ69" i="10" s="1"/>
  <c r="AZ45" i="10"/>
  <c r="AZ70" i="10" s="1"/>
  <c r="AZ82" i="10"/>
  <c r="AZ80" i="10"/>
  <c r="AZ91" i="10"/>
  <c r="AZ101" i="10" s="1"/>
  <c r="AZ111" i="10" s="1"/>
  <c r="AZ88" i="10"/>
  <c r="AZ87" i="10"/>
  <c r="AZ86" i="10"/>
  <c r="CW23" i="10"/>
  <c r="CW48" i="10" s="1"/>
  <c r="CW24" i="10"/>
  <c r="CW49" i="10" s="1"/>
  <c r="CW28" i="10"/>
  <c r="CW53" i="10" s="1"/>
  <c r="CW29" i="10"/>
  <c r="CW54" i="10" s="1"/>
  <c r="CW30" i="10"/>
  <c r="CW55" i="10" s="1"/>
  <c r="CW31" i="10"/>
  <c r="CW56" i="10" s="1"/>
  <c r="CW77" i="10"/>
  <c r="CW79" i="10"/>
  <c r="CW81" i="10"/>
  <c r="CW21" i="10"/>
  <c r="CW22" i="10"/>
  <c r="CW47" i="10" s="1"/>
  <c r="CW25" i="10"/>
  <c r="CW50" i="10" s="1"/>
  <c r="CW26" i="10"/>
  <c r="CW51" i="10" s="1"/>
  <c r="CW27" i="10"/>
  <c r="CW52" i="10" s="1"/>
  <c r="CW32" i="10"/>
  <c r="CW57" i="10" s="1"/>
  <c r="CW33" i="10"/>
  <c r="CW58" i="10" s="1"/>
  <c r="CW34" i="10"/>
  <c r="CW59" i="10" s="1"/>
  <c r="CW35" i="10"/>
  <c r="CW60" i="10" s="1"/>
  <c r="CW36" i="10"/>
  <c r="CW61" i="10" s="1"/>
  <c r="CW37" i="10"/>
  <c r="CW62" i="10" s="1"/>
  <c r="CW38" i="10"/>
  <c r="CW63" i="10" s="1"/>
  <c r="CW39" i="10"/>
  <c r="CW64" i="10" s="1"/>
  <c r="CW40" i="10"/>
  <c r="CW65" i="10" s="1"/>
  <c r="CW41" i="10"/>
  <c r="CW66" i="10" s="1"/>
  <c r="CW42" i="10"/>
  <c r="CW67" i="10" s="1"/>
  <c r="CW43" i="10"/>
  <c r="CW68" i="10" s="1"/>
  <c r="CW44" i="10"/>
  <c r="CW69" i="10" s="1"/>
  <c r="CW45" i="10"/>
  <c r="CW70" i="10" s="1"/>
  <c r="CW91" i="10"/>
  <c r="CW101" i="10" s="1"/>
  <c r="CW111" i="10" s="1"/>
  <c r="CW86" i="10"/>
  <c r="CW78" i="10"/>
  <c r="CW87" i="10"/>
  <c r="CW82" i="10"/>
  <c r="CW88" i="10"/>
  <c r="CW80" i="10"/>
  <c r="AW88" i="10"/>
  <c r="AW87" i="10"/>
  <c r="AW91" i="10"/>
  <c r="AW101" i="10" s="1"/>
  <c r="AW111" i="10" s="1"/>
  <c r="AW86" i="10"/>
  <c r="AW25" i="10"/>
  <c r="AW50" i="10" s="1"/>
  <c r="AW28" i="10"/>
  <c r="AW53" i="10" s="1"/>
  <c r="AW30" i="10"/>
  <c r="AW55" i="10" s="1"/>
  <c r="AW31" i="10"/>
  <c r="AW56" i="10" s="1"/>
  <c r="AW32" i="10"/>
  <c r="AW57" i="10" s="1"/>
  <c r="AW33" i="10"/>
  <c r="AW58" i="10" s="1"/>
  <c r="AW77" i="10"/>
  <c r="AW78" i="10" s="1"/>
  <c r="AW79" i="10"/>
  <c r="AW80" i="10" s="1"/>
  <c r="AW81" i="10"/>
  <c r="AW82" i="10" s="1"/>
  <c r="AW21" i="10"/>
  <c r="AW22" i="10"/>
  <c r="AW47" i="10" s="1"/>
  <c r="AW23" i="10"/>
  <c r="AW48" i="10" s="1"/>
  <c r="AW24" i="10"/>
  <c r="AW49" i="10" s="1"/>
  <c r="AW26" i="10"/>
  <c r="AW51" i="10" s="1"/>
  <c r="AW27" i="10"/>
  <c r="AW52" i="10" s="1"/>
  <c r="AW29" i="10"/>
  <c r="AW54" i="10" s="1"/>
  <c r="AW34" i="10"/>
  <c r="AW59" i="10" s="1"/>
  <c r="AW35" i="10"/>
  <c r="AW60" i="10" s="1"/>
  <c r="AW36" i="10"/>
  <c r="AW61" i="10" s="1"/>
  <c r="AW37" i="10"/>
  <c r="AW62" i="10" s="1"/>
  <c r="AW38" i="10"/>
  <c r="AW63" i="10" s="1"/>
  <c r="AW39" i="10"/>
  <c r="AW64" i="10" s="1"/>
  <c r="AW40" i="10"/>
  <c r="AW65" i="10" s="1"/>
  <c r="AW41" i="10"/>
  <c r="AW66" i="10" s="1"/>
  <c r="AW42" i="10"/>
  <c r="AW67" i="10" s="1"/>
  <c r="AW43" i="10"/>
  <c r="AW68" i="10" s="1"/>
  <c r="AW44" i="10"/>
  <c r="AW69" i="10" s="1"/>
  <c r="AW45" i="10"/>
  <c r="AW70" i="10" s="1"/>
  <c r="ES87" i="10"/>
  <c r="ES91" i="10"/>
  <c r="ES101" i="10" s="1"/>
  <c r="ES88" i="10"/>
  <c r="ES86" i="10"/>
  <c r="ES21" i="10"/>
  <c r="ES22" i="10"/>
  <c r="ES47" i="10" s="1"/>
  <c r="ES26" i="10"/>
  <c r="ES51" i="10" s="1"/>
  <c r="ES27" i="10"/>
  <c r="ES52" i="10" s="1"/>
  <c r="ES28" i="10"/>
  <c r="ES53" i="10" s="1"/>
  <c r="ES29" i="10"/>
  <c r="ES54" i="10" s="1"/>
  <c r="ES31" i="10"/>
  <c r="ES56" i="10" s="1"/>
  <c r="ES32" i="10"/>
  <c r="ES57" i="10" s="1"/>
  <c r="ES34" i="10"/>
  <c r="ES59" i="10" s="1"/>
  <c r="ES35" i="10"/>
  <c r="ES60" i="10" s="1"/>
  <c r="ES36" i="10"/>
  <c r="ES61" i="10" s="1"/>
  <c r="ES37" i="10"/>
  <c r="ES62" i="10" s="1"/>
  <c r="ES38" i="10"/>
  <c r="ES63" i="10" s="1"/>
  <c r="ES39" i="10"/>
  <c r="ES64" i="10" s="1"/>
  <c r="ES40" i="10"/>
  <c r="ES65" i="10" s="1"/>
  <c r="ES41" i="10"/>
  <c r="ES66" i="10" s="1"/>
  <c r="ES42" i="10"/>
  <c r="ES67" i="10" s="1"/>
  <c r="ES43" i="10"/>
  <c r="ES68" i="10" s="1"/>
  <c r="ES44" i="10"/>
  <c r="ES69" i="10" s="1"/>
  <c r="ES45" i="10"/>
  <c r="ES70" i="10" s="1"/>
  <c r="ES23" i="10"/>
  <c r="ES48" i="10" s="1"/>
  <c r="ES24" i="10"/>
  <c r="ES49" i="10" s="1"/>
  <c r="ES25" i="10"/>
  <c r="ES50" i="10" s="1"/>
  <c r="ES30" i="10"/>
  <c r="ES55" i="10" s="1"/>
  <c r="ES33" i="10"/>
  <c r="ES58" i="10" s="1"/>
  <c r="ES77" i="10"/>
  <c r="ES78" i="10" s="1"/>
  <c r="ES79" i="10"/>
  <c r="ES80" i="10" s="1"/>
  <c r="ES81" i="10"/>
  <c r="ES82" i="10" s="1"/>
  <c r="ER88" i="10"/>
  <c r="ER91" i="10"/>
  <c r="ER101" i="10" s="1"/>
  <c r="ER86" i="10"/>
  <c r="ER87" i="10"/>
  <c r="ER21" i="10"/>
  <c r="ER22" i="10"/>
  <c r="ER47" i="10" s="1"/>
  <c r="ER26" i="10"/>
  <c r="ER51" i="10" s="1"/>
  <c r="ER27" i="10"/>
  <c r="ER52" i="10" s="1"/>
  <c r="ER28" i="10"/>
  <c r="ER53" i="10" s="1"/>
  <c r="ER31" i="10"/>
  <c r="ER56" i="10" s="1"/>
  <c r="ER32" i="10"/>
  <c r="ER57" i="10" s="1"/>
  <c r="ER34" i="10"/>
  <c r="ER59" i="10" s="1"/>
  <c r="ER35" i="10"/>
  <c r="ER60" i="10" s="1"/>
  <c r="ER36" i="10"/>
  <c r="ER61" i="10" s="1"/>
  <c r="ER37" i="10"/>
  <c r="ER62" i="10" s="1"/>
  <c r="ER38" i="10"/>
  <c r="ER63" i="10" s="1"/>
  <c r="ER39" i="10"/>
  <c r="ER64" i="10" s="1"/>
  <c r="ER40" i="10"/>
  <c r="ER65" i="10" s="1"/>
  <c r="ER41" i="10"/>
  <c r="ER66" i="10" s="1"/>
  <c r="ER42" i="10"/>
  <c r="ER67" i="10" s="1"/>
  <c r="ER43" i="10"/>
  <c r="ER68" i="10" s="1"/>
  <c r="ER44" i="10"/>
  <c r="ER69" i="10" s="1"/>
  <c r="ER45" i="10"/>
  <c r="ER70" i="10" s="1"/>
  <c r="ER23" i="10"/>
  <c r="ER48" i="10" s="1"/>
  <c r="ER24" i="10"/>
  <c r="ER49" i="10" s="1"/>
  <c r="ER25" i="10"/>
  <c r="ER50" i="10" s="1"/>
  <c r="ER29" i="10"/>
  <c r="ER54" i="10" s="1"/>
  <c r="ER30" i="10"/>
  <c r="ER55" i="10" s="1"/>
  <c r="ER33" i="10"/>
  <c r="ER58" i="10" s="1"/>
  <c r="ER77" i="10"/>
  <c r="ER78" i="10" s="1"/>
  <c r="ER79" i="10"/>
  <c r="ER80" i="10" s="1"/>
  <c r="ER81" i="10"/>
  <c r="ER82" i="10" s="1"/>
  <c r="EP88" i="10"/>
  <c r="EP86" i="10"/>
  <c r="EP87" i="10"/>
  <c r="EP91" i="10"/>
  <c r="EP101" i="10" s="1"/>
  <c r="EP21" i="10"/>
  <c r="EP22" i="10"/>
  <c r="EP47" i="10" s="1"/>
  <c r="EP26" i="10"/>
  <c r="EP51" i="10" s="1"/>
  <c r="EP27" i="10"/>
  <c r="EP52" i="10" s="1"/>
  <c r="EP28" i="10"/>
  <c r="EP53" i="10" s="1"/>
  <c r="EP31" i="10"/>
  <c r="EP56" i="10" s="1"/>
  <c r="EP32" i="10"/>
  <c r="EP57" i="10" s="1"/>
  <c r="EP34" i="10"/>
  <c r="EP59" i="10" s="1"/>
  <c r="EP35" i="10"/>
  <c r="EP60" i="10" s="1"/>
  <c r="EP36" i="10"/>
  <c r="EP61" i="10" s="1"/>
  <c r="EP37" i="10"/>
  <c r="EP62" i="10" s="1"/>
  <c r="EP38" i="10"/>
  <c r="EP63" i="10" s="1"/>
  <c r="EP39" i="10"/>
  <c r="EP64" i="10" s="1"/>
  <c r="EP40" i="10"/>
  <c r="EP65" i="10" s="1"/>
  <c r="EP41" i="10"/>
  <c r="EP66" i="10" s="1"/>
  <c r="EP42" i="10"/>
  <c r="EP67" i="10" s="1"/>
  <c r="EP43" i="10"/>
  <c r="EP68" i="10" s="1"/>
  <c r="EP44" i="10"/>
  <c r="EP69" i="10" s="1"/>
  <c r="EP45" i="10"/>
  <c r="EP70" i="10" s="1"/>
  <c r="EP23" i="10"/>
  <c r="EP48" i="10" s="1"/>
  <c r="EP24" i="10"/>
  <c r="EP49" i="10" s="1"/>
  <c r="EP25" i="10"/>
  <c r="EP50" i="10" s="1"/>
  <c r="EP29" i="10"/>
  <c r="EP54" i="10" s="1"/>
  <c r="EP30" i="10"/>
  <c r="EP55" i="10" s="1"/>
  <c r="EP33" i="10"/>
  <c r="EP58" i="10" s="1"/>
  <c r="EP77" i="10"/>
  <c r="EP78" i="10" s="1"/>
  <c r="EP79" i="10"/>
  <c r="EP80" i="10" s="1"/>
  <c r="EP81" i="10"/>
  <c r="EP82" i="10" s="1"/>
  <c r="EM24" i="10"/>
  <c r="EM49" i="10" s="1"/>
  <c r="EM25" i="10"/>
  <c r="EM50" i="10" s="1"/>
  <c r="EM31" i="10"/>
  <c r="EM56" i="10" s="1"/>
  <c r="EM33" i="10"/>
  <c r="EM58" i="10" s="1"/>
  <c r="EM77" i="10"/>
  <c r="EM79" i="10"/>
  <c r="EM81" i="10"/>
  <c r="EM21" i="10"/>
  <c r="EM22" i="10"/>
  <c r="EM47" i="10" s="1"/>
  <c r="EM23" i="10"/>
  <c r="EM48" i="10" s="1"/>
  <c r="EM26" i="10"/>
  <c r="EM51" i="10" s="1"/>
  <c r="EM27" i="10"/>
  <c r="EM52" i="10" s="1"/>
  <c r="EM28" i="10"/>
  <c r="EM53" i="10" s="1"/>
  <c r="EM29" i="10"/>
  <c r="EM54" i="10" s="1"/>
  <c r="EM30" i="10"/>
  <c r="EM55" i="10" s="1"/>
  <c r="EM32" i="10"/>
  <c r="EM57" i="10" s="1"/>
  <c r="EM34" i="10"/>
  <c r="EM59" i="10" s="1"/>
  <c r="EM35" i="10"/>
  <c r="EM60" i="10" s="1"/>
  <c r="EM36" i="10"/>
  <c r="EM61" i="10" s="1"/>
  <c r="EM37" i="10"/>
  <c r="EM62" i="10" s="1"/>
  <c r="EM38" i="10"/>
  <c r="EM63" i="10" s="1"/>
  <c r="EM39" i="10"/>
  <c r="EM64" i="10" s="1"/>
  <c r="EM40" i="10"/>
  <c r="EM65" i="10" s="1"/>
  <c r="EM41" i="10"/>
  <c r="EM66" i="10" s="1"/>
  <c r="EM42" i="10"/>
  <c r="EM67" i="10" s="1"/>
  <c r="EM43" i="10"/>
  <c r="EM68" i="10" s="1"/>
  <c r="EM44" i="10"/>
  <c r="EM69" i="10" s="1"/>
  <c r="EM45" i="10"/>
  <c r="EM70" i="10" s="1"/>
  <c r="EM91" i="10"/>
  <c r="EM101" i="10" s="1"/>
  <c r="EM86" i="10"/>
  <c r="EM78" i="10"/>
  <c r="EM88" i="10"/>
  <c r="EM82" i="10"/>
  <c r="EM80" i="10"/>
  <c r="EM87" i="10"/>
  <c r="EK86" i="10"/>
  <c r="EK88" i="10"/>
  <c r="EK91" i="10"/>
  <c r="EK101" i="10" s="1"/>
  <c r="EK87" i="10"/>
  <c r="EK21" i="10"/>
  <c r="EK22" i="10"/>
  <c r="EK47" i="10" s="1"/>
  <c r="EK24" i="10"/>
  <c r="EK49" i="10" s="1"/>
  <c r="EK26" i="10"/>
  <c r="EK51" i="10" s="1"/>
  <c r="EK27" i="10"/>
  <c r="EK52" i="10" s="1"/>
  <c r="EK28" i="10"/>
  <c r="EK53" i="10" s="1"/>
  <c r="EK31" i="10"/>
  <c r="EK56" i="10" s="1"/>
  <c r="EK32" i="10"/>
  <c r="EK57" i="10" s="1"/>
  <c r="EK34" i="10"/>
  <c r="EK59" i="10" s="1"/>
  <c r="EK35" i="10"/>
  <c r="EK60" i="10" s="1"/>
  <c r="EK36" i="10"/>
  <c r="EK61" i="10" s="1"/>
  <c r="EK37" i="10"/>
  <c r="EK62" i="10" s="1"/>
  <c r="EK38" i="10"/>
  <c r="EK63" i="10" s="1"/>
  <c r="EK39" i="10"/>
  <c r="EK64" i="10" s="1"/>
  <c r="EK40" i="10"/>
  <c r="EK65" i="10" s="1"/>
  <c r="EK41" i="10"/>
  <c r="EK66" i="10" s="1"/>
  <c r="EK42" i="10"/>
  <c r="EK67" i="10" s="1"/>
  <c r="EK43" i="10"/>
  <c r="EK68" i="10" s="1"/>
  <c r="EK44" i="10"/>
  <c r="EK69" i="10" s="1"/>
  <c r="EK45" i="10"/>
  <c r="EK70" i="10" s="1"/>
  <c r="EK23" i="10"/>
  <c r="EK48" i="10" s="1"/>
  <c r="EK25" i="10"/>
  <c r="EK50" i="10" s="1"/>
  <c r="EK29" i="10"/>
  <c r="EK54" i="10" s="1"/>
  <c r="EK30" i="10"/>
  <c r="EK55" i="10" s="1"/>
  <c r="EK33" i="10"/>
  <c r="EK58" i="10" s="1"/>
  <c r="EK77" i="10"/>
  <c r="EK78" i="10" s="1"/>
  <c r="EK79" i="10"/>
  <c r="EK80" i="10" s="1"/>
  <c r="EK81" i="10"/>
  <c r="EK82" i="10" s="1"/>
  <c r="EI87" i="10"/>
  <c r="EI91" i="10"/>
  <c r="EI101" i="10" s="1"/>
  <c r="EI86" i="10"/>
  <c r="EI88" i="10"/>
  <c r="EI21" i="10"/>
  <c r="EI22" i="10"/>
  <c r="EI24" i="10"/>
  <c r="EI25" i="10"/>
  <c r="EI26" i="10"/>
  <c r="EI27" i="10"/>
  <c r="EI28" i="10"/>
  <c r="EI31" i="10"/>
  <c r="EI32" i="10"/>
  <c r="EI34" i="10"/>
  <c r="EI35" i="10"/>
  <c r="EI36" i="10"/>
  <c r="EI37" i="10"/>
  <c r="EI38" i="10"/>
  <c r="EI39" i="10"/>
  <c r="EI40" i="10"/>
  <c r="EI41" i="10"/>
  <c r="EI42" i="10"/>
  <c r="EI43" i="10"/>
  <c r="EI44" i="10"/>
  <c r="EI45" i="10"/>
  <c r="EI23" i="10"/>
  <c r="EI29" i="10"/>
  <c r="EI30" i="10"/>
  <c r="EI33" i="10"/>
  <c r="EI77" i="10"/>
  <c r="EI78" i="10" s="1"/>
  <c r="EI79" i="10"/>
  <c r="EI80" i="10" s="1"/>
  <c r="EI81" i="10"/>
  <c r="EI82" i="10" s="1"/>
  <c r="EG86" i="10"/>
  <c r="EG87" i="10"/>
  <c r="EG91" i="10"/>
  <c r="EG101" i="10" s="1"/>
  <c r="EG88" i="10"/>
  <c r="EG21" i="10"/>
  <c r="EG22" i="10"/>
  <c r="EG47" i="10" s="1"/>
  <c r="EG24" i="10"/>
  <c r="EG49" i="10" s="1"/>
  <c r="EG26" i="10"/>
  <c r="EG51" i="10" s="1"/>
  <c r="EG27" i="10"/>
  <c r="EG52" i="10" s="1"/>
  <c r="EG28" i="10"/>
  <c r="EG53" i="10" s="1"/>
  <c r="EG31" i="10"/>
  <c r="EG56" i="10" s="1"/>
  <c r="EG33" i="10"/>
  <c r="EG58" i="10" s="1"/>
  <c r="EG34" i="10"/>
  <c r="EG59" i="10" s="1"/>
  <c r="EG35" i="10"/>
  <c r="EG60" i="10" s="1"/>
  <c r="EG36" i="10"/>
  <c r="EG61" i="10" s="1"/>
  <c r="EG37" i="10"/>
  <c r="EG62" i="10" s="1"/>
  <c r="EG38" i="10"/>
  <c r="EG63" i="10" s="1"/>
  <c r="EG39" i="10"/>
  <c r="EG64" i="10" s="1"/>
  <c r="EG40" i="10"/>
  <c r="EG65" i="10" s="1"/>
  <c r="EG41" i="10"/>
  <c r="EG66" i="10" s="1"/>
  <c r="EG42" i="10"/>
  <c r="EG67" i="10" s="1"/>
  <c r="EG43" i="10"/>
  <c r="EG68" i="10" s="1"/>
  <c r="EG44" i="10"/>
  <c r="EG69" i="10" s="1"/>
  <c r="EG45" i="10"/>
  <c r="EG70" i="10" s="1"/>
  <c r="EG23" i="10"/>
  <c r="EG48" i="10" s="1"/>
  <c r="EG25" i="10"/>
  <c r="EG50" i="10" s="1"/>
  <c r="EG29" i="10"/>
  <c r="EG54" i="10" s="1"/>
  <c r="EG30" i="10"/>
  <c r="EG55" i="10" s="1"/>
  <c r="EG32" i="10"/>
  <c r="EG57" i="10" s="1"/>
  <c r="EG77" i="10"/>
  <c r="EG78" i="10" s="1"/>
  <c r="EG79" i="10"/>
  <c r="EG80" i="10" s="1"/>
  <c r="EG81" i="10"/>
  <c r="EG82" i="10" s="1"/>
  <c r="EE91" i="10"/>
  <c r="EE101" i="10" s="1"/>
  <c r="EE88" i="10"/>
  <c r="EE87" i="10"/>
  <c r="EE86" i="10"/>
  <c r="EE21" i="10"/>
  <c r="EE22" i="10"/>
  <c r="EE47" i="10" s="1"/>
  <c r="EE24" i="10"/>
  <c r="EE49" i="10" s="1"/>
  <c r="EE26" i="10"/>
  <c r="EE51" i="10" s="1"/>
  <c r="EE27" i="10"/>
  <c r="EE52" i="10" s="1"/>
  <c r="EE28" i="10"/>
  <c r="EE53" i="10" s="1"/>
  <c r="EE30" i="10"/>
  <c r="EE55" i="10" s="1"/>
  <c r="EE32" i="10"/>
  <c r="EE57" i="10" s="1"/>
  <c r="EE33" i="10"/>
  <c r="EE58" i="10" s="1"/>
  <c r="EE34" i="10"/>
  <c r="EE59" i="10" s="1"/>
  <c r="EE35" i="10"/>
  <c r="EE60" i="10" s="1"/>
  <c r="EE36" i="10"/>
  <c r="EE61" i="10" s="1"/>
  <c r="EE37" i="10"/>
  <c r="EE62" i="10" s="1"/>
  <c r="EE38" i="10"/>
  <c r="EE63" i="10" s="1"/>
  <c r="EE39" i="10"/>
  <c r="EE64" i="10" s="1"/>
  <c r="EE40" i="10"/>
  <c r="EE65" i="10" s="1"/>
  <c r="EE41" i="10"/>
  <c r="EE66" i="10" s="1"/>
  <c r="EE42" i="10"/>
  <c r="EE67" i="10" s="1"/>
  <c r="EE43" i="10"/>
  <c r="EE68" i="10" s="1"/>
  <c r="EE44" i="10"/>
  <c r="EE69" i="10" s="1"/>
  <c r="EE45" i="10"/>
  <c r="EE70" i="10" s="1"/>
  <c r="EE23" i="10"/>
  <c r="EE48" i="10" s="1"/>
  <c r="EE25" i="10"/>
  <c r="EE50" i="10" s="1"/>
  <c r="EE29" i="10"/>
  <c r="EE54" i="10" s="1"/>
  <c r="EE31" i="10"/>
  <c r="EE56" i="10" s="1"/>
  <c r="EE77" i="10"/>
  <c r="EE78" i="10" s="1"/>
  <c r="EE79" i="10"/>
  <c r="EE80" i="10" s="1"/>
  <c r="EE81" i="10"/>
  <c r="EE82" i="10" s="1"/>
  <c r="EB86" i="10"/>
  <c r="EB87" i="10"/>
  <c r="EB88" i="10"/>
  <c r="EB91" i="10"/>
  <c r="EB101" i="10" s="1"/>
  <c r="EB29" i="10"/>
  <c r="EB54" i="10" s="1"/>
  <c r="EB30" i="10"/>
  <c r="EB55" i="10" s="1"/>
  <c r="EB32" i="10"/>
  <c r="EB57" i="10" s="1"/>
  <c r="EB33" i="10"/>
  <c r="EB58" i="10" s="1"/>
  <c r="EB77" i="10"/>
  <c r="EB78" i="10" s="1"/>
  <c r="EB79" i="10"/>
  <c r="EB80" i="10" s="1"/>
  <c r="EB81" i="10"/>
  <c r="EB82" i="10" s="1"/>
  <c r="EB21" i="10"/>
  <c r="EB22" i="10"/>
  <c r="EB47" i="10" s="1"/>
  <c r="EB23" i="10"/>
  <c r="EB48" i="10" s="1"/>
  <c r="EB24" i="10"/>
  <c r="EB49" i="10" s="1"/>
  <c r="EB25" i="10"/>
  <c r="EB50" i="10" s="1"/>
  <c r="EB26" i="10"/>
  <c r="EB51" i="10" s="1"/>
  <c r="EB27" i="10"/>
  <c r="EB52" i="10" s="1"/>
  <c r="EB28" i="10"/>
  <c r="EB53" i="10" s="1"/>
  <c r="EB31" i="10"/>
  <c r="EB56" i="10" s="1"/>
  <c r="EB34" i="10"/>
  <c r="EB59" i="10" s="1"/>
  <c r="EB35" i="10"/>
  <c r="EB60" i="10" s="1"/>
  <c r="EB36" i="10"/>
  <c r="EB61" i="10" s="1"/>
  <c r="EB37" i="10"/>
  <c r="EB62" i="10" s="1"/>
  <c r="EB38" i="10"/>
  <c r="EB63" i="10" s="1"/>
  <c r="EB39" i="10"/>
  <c r="EB64" i="10" s="1"/>
  <c r="EB40" i="10"/>
  <c r="EB65" i="10" s="1"/>
  <c r="EB41" i="10"/>
  <c r="EB66" i="10" s="1"/>
  <c r="EB42" i="10"/>
  <c r="EB67" i="10" s="1"/>
  <c r="EB43" i="10"/>
  <c r="EB68" i="10" s="1"/>
  <c r="EB44" i="10"/>
  <c r="EB69" i="10" s="1"/>
  <c r="EB45" i="10"/>
  <c r="EB70" i="10" s="1"/>
  <c r="DZ91" i="10"/>
  <c r="DZ101" i="10" s="1"/>
  <c r="DZ87" i="10"/>
  <c r="DZ86" i="10"/>
  <c r="DZ88" i="10"/>
  <c r="DZ29" i="10"/>
  <c r="DZ54" i="10" s="1"/>
  <c r="DZ30" i="10"/>
  <c r="DZ55" i="10" s="1"/>
  <c r="DZ32" i="10"/>
  <c r="DZ57" i="10" s="1"/>
  <c r="DZ33" i="10"/>
  <c r="DZ58" i="10" s="1"/>
  <c r="DZ77" i="10"/>
  <c r="DZ78" i="10" s="1"/>
  <c r="DZ79" i="10"/>
  <c r="DZ80" i="10" s="1"/>
  <c r="DZ81" i="10"/>
  <c r="DZ82" i="10" s="1"/>
  <c r="DZ21" i="10"/>
  <c r="DZ22" i="10"/>
  <c r="DZ47" i="10" s="1"/>
  <c r="DZ23" i="10"/>
  <c r="DZ48" i="10" s="1"/>
  <c r="DZ24" i="10"/>
  <c r="DZ49" i="10" s="1"/>
  <c r="DZ25" i="10"/>
  <c r="DZ50" i="10" s="1"/>
  <c r="DZ26" i="10"/>
  <c r="DZ51" i="10" s="1"/>
  <c r="DZ27" i="10"/>
  <c r="DZ52" i="10" s="1"/>
  <c r="DZ28" i="10"/>
  <c r="DZ53" i="10" s="1"/>
  <c r="DZ31" i="10"/>
  <c r="DZ56" i="10" s="1"/>
  <c r="DZ34" i="10"/>
  <c r="DZ59" i="10" s="1"/>
  <c r="DZ35" i="10"/>
  <c r="DZ60" i="10" s="1"/>
  <c r="DZ36" i="10"/>
  <c r="DZ61" i="10" s="1"/>
  <c r="DZ37" i="10"/>
  <c r="DZ62" i="10" s="1"/>
  <c r="DZ38" i="10"/>
  <c r="DZ63" i="10" s="1"/>
  <c r="DZ39" i="10"/>
  <c r="DZ64" i="10" s="1"/>
  <c r="DZ40" i="10"/>
  <c r="DZ65" i="10" s="1"/>
  <c r="DZ41" i="10"/>
  <c r="DZ66" i="10" s="1"/>
  <c r="DZ42" i="10"/>
  <c r="DZ67" i="10" s="1"/>
  <c r="DZ43" i="10"/>
  <c r="DZ68" i="10" s="1"/>
  <c r="DZ44" i="10"/>
  <c r="DZ69" i="10" s="1"/>
  <c r="DZ45" i="10"/>
  <c r="DZ70" i="10" s="1"/>
  <c r="DX91" i="10"/>
  <c r="DX101" i="10" s="1"/>
  <c r="DX88" i="10"/>
  <c r="DX86" i="10"/>
  <c r="DX87" i="10"/>
  <c r="DX24" i="10"/>
  <c r="DX49" i="10" s="1"/>
  <c r="DX25" i="10"/>
  <c r="DX50" i="10" s="1"/>
  <c r="DX30" i="10"/>
  <c r="DX55" i="10" s="1"/>
  <c r="DX32" i="10"/>
  <c r="DX57" i="10" s="1"/>
  <c r="DX33" i="10"/>
  <c r="DX58" i="10" s="1"/>
  <c r="DX77" i="10"/>
  <c r="DX78" i="10" s="1"/>
  <c r="DX79" i="10"/>
  <c r="DX80" i="10" s="1"/>
  <c r="DX81" i="10"/>
  <c r="DX82" i="10" s="1"/>
  <c r="DX21" i="10"/>
  <c r="DX22" i="10"/>
  <c r="DX47" i="10" s="1"/>
  <c r="DX23" i="10"/>
  <c r="DX48" i="10" s="1"/>
  <c r="DX26" i="10"/>
  <c r="DX51" i="10" s="1"/>
  <c r="DX27" i="10"/>
  <c r="DX52" i="10" s="1"/>
  <c r="DX28" i="10"/>
  <c r="DX53" i="10" s="1"/>
  <c r="DX29" i="10"/>
  <c r="DX54" i="10" s="1"/>
  <c r="DX31" i="10"/>
  <c r="DX56" i="10" s="1"/>
  <c r="DX34" i="10"/>
  <c r="DX59" i="10" s="1"/>
  <c r="DX35" i="10"/>
  <c r="DX60" i="10" s="1"/>
  <c r="DX36" i="10"/>
  <c r="DX61" i="10" s="1"/>
  <c r="DX37" i="10"/>
  <c r="DX62" i="10" s="1"/>
  <c r="DX38" i="10"/>
  <c r="DX63" i="10" s="1"/>
  <c r="DX39" i="10"/>
  <c r="DX64" i="10" s="1"/>
  <c r="DX40" i="10"/>
  <c r="DX65" i="10" s="1"/>
  <c r="DX41" i="10"/>
  <c r="DX66" i="10" s="1"/>
  <c r="DX42" i="10"/>
  <c r="DX67" i="10" s="1"/>
  <c r="DX43" i="10"/>
  <c r="DX68" i="10" s="1"/>
  <c r="DX44" i="10"/>
  <c r="DX69" i="10" s="1"/>
  <c r="DX45" i="10"/>
  <c r="DX70" i="10" s="1"/>
  <c r="DV91" i="10"/>
  <c r="DV101" i="10" s="1"/>
  <c r="DV88" i="10"/>
  <c r="DV86" i="10"/>
  <c r="DV87" i="10"/>
  <c r="DV24" i="10"/>
  <c r="DV25" i="10"/>
  <c r="DV29" i="10"/>
  <c r="DV30" i="10"/>
  <c r="DV32" i="10"/>
  <c r="DV33" i="10"/>
  <c r="DV77" i="10"/>
  <c r="DV78" i="10" s="1"/>
  <c r="DV79" i="10"/>
  <c r="DV80" i="10" s="1"/>
  <c r="DV81" i="10"/>
  <c r="DV82" i="10" s="1"/>
  <c r="DV21" i="10"/>
  <c r="DV22" i="10"/>
  <c r="DV23" i="10"/>
  <c r="DV26" i="10"/>
  <c r="DV27" i="10"/>
  <c r="DV28" i="10"/>
  <c r="DV31" i="10"/>
  <c r="DV34" i="10"/>
  <c r="DV35" i="10"/>
  <c r="DV36" i="10"/>
  <c r="DV37" i="10"/>
  <c r="DV38" i="10"/>
  <c r="DV39" i="10"/>
  <c r="DV40" i="10"/>
  <c r="DV41" i="10"/>
  <c r="DV42" i="10"/>
  <c r="DV43" i="10"/>
  <c r="DV44" i="10"/>
  <c r="DV45" i="10"/>
  <c r="DT91" i="10"/>
  <c r="DT101" i="10" s="1"/>
  <c r="DT111" i="10" s="1"/>
  <c r="DT88" i="10"/>
  <c r="DT87" i="10"/>
  <c r="DT86" i="10"/>
  <c r="DT23" i="10"/>
  <c r="DT48" i="10" s="1"/>
  <c r="DT24" i="10"/>
  <c r="DT49" i="10" s="1"/>
  <c r="DT25" i="10"/>
  <c r="DT50" i="10" s="1"/>
  <c r="DT29" i="10"/>
  <c r="DT54" i="10" s="1"/>
  <c r="DT32" i="10"/>
  <c r="DT57" i="10" s="1"/>
  <c r="DT33" i="10"/>
  <c r="DT58" i="10" s="1"/>
  <c r="DT77" i="10"/>
  <c r="DT78" i="10" s="1"/>
  <c r="DT79" i="10"/>
  <c r="DT80" i="10" s="1"/>
  <c r="DT81" i="10"/>
  <c r="DT82" i="10" s="1"/>
  <c r="DT21" i="10"/>
  <c r="DT22" i="10"/>
  <c r="DT47" i="10" s="1"/>
  <c r="DT26" i="10"/>
  <c r="DT51" i="10" s="1"/>
  <c r="DT27" i="10"/>
  <c r="DT52" i="10" s="1"/>
  <c r="DT28" i="10"/>
  <c r="DT53" i="10" s="1"/>
  <c r="DT30" i="10"/>
  <c r="DT55" i="10" s="1"/>
  <c r="DT31" i="10"/>
  <c r="DT56" i="10" s="1"/>
  <c r="DT34" i="10"/>
  <c r="DT59" i="10" s="1"/>
  <c r="DT35" i="10"/>
  <c r="DT60" i="10" s="1"/>
  <c r="DT36" i="10"/>
  <c r="DT61" i="10" s="1"/>
  <c r="DT37" i="10"/>
  <c r="DT62" i="10" s="1"/>
  <c r="DT38" i="10"/>
  <c r="DT63" i="10" s="1"/>
  <c r="DT39" i="10"/>
  <c r="DT64" i="10" s="1"/>
  <c r="DT40" i="10"/>
  <c r="DT65" i="10" s="1"/>
  <c r="DT41" i="10"/>
  <c r="DT66" i="10" s="1"/>
  <c r="DT42" i="10"/>
  <c r="DT67" i="10" s="1"/>
  <c r="DT43" i="10"/>
  <c r="DT68" i="10" s="1"/>
  <c r="DT44" i="10"/>
  <c r="DT69" i="10" s="1"/>
  <c r="DT45" i="10"/>
  <c r="DT70" i="10" s="1"/>
  <c r="DQ30" i="10"/>
  <c r="DQ55" i="10" s="1"/>
  <c r="DQ33" i="10"/>
  <c r="DQ58" i="10" s="1"/>
  <c r="DQ77" i="10"/>
  <c r="DQ79" i="10"/>
  <c r="DQ81" i="10"/>
  <c r="DQ21" i="10"/>
  <c r="DQ22" i="10"/>
  <c r="DQ47" i="10" s="1"/>
  <c r="DQ23" i="10"/>
  <c r="DQ48" i="10" s="1"/>
  <c r="DQ24" i="10"/>
  <c r="DQ49" i="10" s="1"/>
  <c r="DQ25" i="10"/>
  <c r="DQ50" i="10" s="1"/>
  <c r="DQ26" i="10"/>
  <c r="DQ51" i="10" s="1"/>
  <c r="DQ27" i="10"/>
  <c r="DQ52" i="10" s="1"/>
  <c r="DQ28" i="10"/>
  <c r="DQ53" i="10" s="1"/>
  <c r="DQ29" i="10"/>
  <c r="DQ54" i="10" s="1"/>
  <c r="DQ31" i="10"/>
  <c r="DQ56" i="10" s="1"/>
  <c r="DQ32" i="10"/>
  <c r="DQ57" i="10" s="1"/>
  <c r="DQ34" i="10"/>
  <c r="DQ59" i="10" s="1"/>
  <c r="DQ35" i="10"/>
  <c r="DQ60" i="10" s="1"/>
  <c r="DQ36" i="10"/>
  <c r="DQ61" i="10" s="1"/>
  <c r="DQ37" i="10"/>
  <c r="DQ62" i="10" s="1"/>
  <c r="DQ38" i="10"/>
  <c r="DQ63" i="10" s="1"/>
  <c r="DQ39" i="10"/>
  <c r="DQ64" i="10" s="1"/>
  <c r="DQ40" i="10"/>
  <c r="DQ65" i="10" s="1"/>
  <c r="DQ41" i="10"/>
  <c r="DQ66" i="10" s="1"/>
  <c r="DQ42" i="10"/>
  <c r="DQ67" i="10" s="1"/>
  <c r="DQ43" i="10"/>
  <c r="DQ68" i="10" s="1"/>
  <c r="DQ44" i="10"/>
  <c r="DQ69" i="10" s="1"/>
  <c r="DQ45" i="10"/>
  <c r="DQ70" i="10" s="1"/>
  <c r="DQ91" i="10"/>
  <c r="DQ101" i="10" s="1"/>
  <c r="DQ111" i="10" s="1"/>
  <c r="DQ80" i="10"/>
  <c r="DQ82" i="10"/>
  <c r="DQ86" i="10"/>
  <c r="DQ78" i="10"/>
  <c r="DQ87" i="10"/>
  <c r="DQ88" i="10"/>
  <c r="DN86" i="10"/>
  <c r="DN88" i="10"/>
  <c r="DN91" i="10"/>
  <c r="DN101" i="10" s="1"/>
  <c r="DN111" i="10" s="1"/>
  <c r="DN87" i="10"/>
  <c r="DN21" i="10"/>
  <c r="DN22" i="10"/>
  <c r="DN47" i="10" s="1"/>
  <c r="DN25" i="10"/>
  <c r="DN50" i="10" s="1"/>
  <c r="DN26" i="10"/>
  <c r="DN51" i="10" s="1"/>
  <c r="DN27" i="10"/>
  <c r="DN52" i="10" s="1"/>
  <c r="DN28" i="10"/>
  <c r="DN53" i="10" s="1"/>
  <c r="DN30" i="10"/>
  <c r="DN55" i="10" s="1"/>
  <c r="DN31" i="10"/>
  <c r="DN56" i="10" s="1"/>
  <c r="DN32" i="10"/>
  <c r="DN57" i="10" s="1"/>
  <c r="DN33" i="10"/>
  <c r="DN58" i="10" s="1"/>
  <c r="DN34" i="10"/>
  <c r="DN59" i="10" s="1"/>
  <c r="DN35" i="10"/>
  <c r="DN60" i="10" s="1"/>
  <c r="DN36" i="10"/>
  <c r="DN61" i="10" s="1"/>
  <c r="DN37" i="10"/>
  <c r="DN62" i="10" s="1"/>
  <c r="DN38" i="10"/>
  <c r="DN63" i="10" s="1"/>
  <c r="DN39" i="10"/>
  <c r="DN64" i="10" s="1"/>
  <c r="DN40" i="10"/>
  <c r="DN65" i="10" s="1"/>
  <c r="DN41" i="10"/>
  <c r="DN66" i="10" s="1"/>
  <c r="DN42" i="10"/>
  <c r="DN67" i="10" s="1"/>
  <c r="DN43" i="10"/>
  <c r="DN68" i="10" s="1"/>
  <c r="DN44" i="10"/>
  <c r="DN69" i="10" s="1"/>
  <c r="DN45" i="10"/>
  <c r="DN70" i="10" s="1"/>
  <c r="DN23" i="10"/>
  <c r="DN48" i="10" s="1"/>
  <c r="DN24" i="10"/>
  <c r="DN49" i="10" s="1"/>
  <c r="DN29" i="10"/>
  <c r="DN54" i="10" s="1"/>
  <c r="DN77" i="10"/>
  <c r="DN78" i="10" s="1"/>
  <c r="DN79" i="10"/>
  <c r="DN80" i="10" s="1"/>
  <c r="DN81" i="10"/>
  <c r="DN82" i="10" s="1"/>
  <c r="DL86" i="10"/>
  <c r="DL88" i="10"/>
  <c r="DL87" i="10"/>
  <c r="DL91" i="10"/>
  <c r="DL101" i="10" s="1"/>
  <c r="DL111" i="10" s="1"/>
  <c r="DL23" i="10"/>
  <c r="DL29" i="10"/>
  <c r="DL32" i="10"/>
  <c r="DL77" i="10"/>
  <c r="DL78" i="10" s="1"/>
  <c r="DL79" i="10"/>
  <c r="DL80" i="10" s="1"/>
  <c r="DL81" i="10"/>
  <c r="DL82" i="10" s="1"/>
  <c r="DL21" i="10"/>
  <c r="DL22" i="10"/>
  <c r="DL24" i="10"/>
  <c r="DL25" i="10"/>
  <c r="DL26" i="10"/>
  <c r="DL27" i="10"/>
  <c r="DL28" i="10"/>
  <c r="DL30" i="10"/>
  <c r="DL31" i="10"/>
  <c r="DL33" i="10"/>
  <c r="DL34" i="10"/>
  <c r="DL35" i="10"/>
  <c r="DL36" i="10"/>
  <c r="DL37" i="10"/>
  <c r="DL38" i="10"/>
  <c r="DL39" i="10"/>
  <c r="DL40" i="10"/>
  <c r="DL41" i="10"/>
  <c r="DL42" i="10"/>
  <c r="DL43" i="10"/>
  <c r="DL44" i="10"/>
  <c r="DL45" i="10"/>
  <c r="DI88" i="10"/>
  <c r="DI91" i="10"/>
  <c r="DI101" i="10" s="1"/>
  <c r="DI111" i="10" s="1"/>
  <c r="DI87" i="10"/>
  <c r="DI86" i="10"/>
  <c r="DI21" i="10"/>
  <c r="DI22" i="10"/>
  <c r="DI47" i="10" s="1"/>
  <c r="DI25" i="10"/>
  <c r="DI50" i="10" s="1"/>
  <c r="DI26" i="10"/>
  <c r="DI51" i="10" s="1"/>
  <c r="DI27" i="10"/>
  <c r="DI52" i="10" s="1"/>
  <c r="DI28" i="10"/>
  <c r="DI53" i="10" s="1"/>
  <c r="DI29" i="10"/>
  <c r="DI54" i="10" s="1"/>
  <c r="DI30" i="10"/>
  <c r="DI55" i="10" s="1"/>
  <c r="DI34" i="10"/>
  <c r="DI59" i="10" s="1"/>
  <c r="DI35" i="10"/>
  <c r="DI60" i="10" s="1"/>
  <c r="DI36" i="10"/>
  <c r="DI61" i="10" s="1"/>
  <c r="DI37" i="10"/>
  <c r="DI62" i="10" s="1"/>
  <c r="DI38" i="10"/>
  <c r="DI63" i="10" s="1"/>
  <c r="DI39" i="10"/>
  <c r="DI64" i="10" s="1"/>
  <c r="DI40" i="10"/>
  <c r="DI65" i="10" s="1"/>
  <c r="DI41" i="10"/>
  <c r="DI66" i="10" s="1"/>
  <c r="DI42" i="10"/>
  <c r="DI67" i="10" s="1"/>
  <c r="DI43" i="10"/>
  <c r="DI68" i="10" s="1"/>
  <c r="DI44" i="10"/>
  <c r="DI69" i="10" s="1"/>
  <c r="DI45" i="10"/>
  <c r="DI70" i="10" s="1"/>
  <c r="DI23" i="10"/>
  <c r="DI48" i="10" s="1"/>
  <c r="DI24" i="10"/>
  <c r="DI49" i="10" s="1"/>
  <c r="DI31" i="10"/>
  <c r="DI56" i="10" s="1"/>
  <c r="DI32" i="10"/>
  <c r="DI57" i="10" s="1"/>
  <c r="DI33" i="10"/>
  <c r="DI58" i="10" s="1"/>
  <c r="DI77" i="10"/>
  <c r="DI78" i="10" s="1"/>
  <c r="DI79" i="10"/>
  <c r="DI80" i="10" s="1"/>
  <c r="DI81" i="10"/>
  <c r="DI82" i="10" s="1"/>
  <c r="DG88" i="10"/>
  <c r="DG86" i="10"/>
  <c r="DG91" i="10"/>
  <c r="DG101" i="10" s="1"/>
  <c r="DG111" i="10" s="1"/>
  <c r="DG87" i="10"/>
  <c r="DG21" i="10"/>
  <c r="DG22" i="10"/>
  <c r="DG47" i="10" s="1"/>
  <c r="DG23" i="10"/>
  <c r="DG48" i="10" s="1"/>
  <c r="DG25" i="10"/>
  <c r="DG50" i="10" s="1"/>
  <c r="DG26" i="10"/>
  <c r="DG51" i="10" s="1"/>
  <c r="DG27" i="10"/>
  <c r="DG52" i="10" s="1"/>
  <c r="DG28" i="10"/>
  <c r="DG53" i="10" s="1"/>
  <c r="DG29" i="10"/>
  <c r="DG54" i="10" s="1"/>
  <c r="DG30" i="10"/>
  <c r="DG55" i="10" s="1"/>
  <c r="DG34" i="10"/>
  <c r="DG59" i="10" s="1"/>
  <c r="DG35" i="10"/>
  <c r="DG60" i="10" s="1"/>
  <c r="DG36" i="10"/>
  <c r="DG61" i="10" s="1"/>
  <c r="DG37" i="10"/>
  <c r="DG62" i="10" s="1"/>
  <c r="DG38" i="10"/>
  <c r="DG63" i="10" s="1"/>
  <c r="DG39" i="10"/>
  <c r="DG64" i="10" s="1"/>
  <c r="DG40" i="10"/>
  <c r="DG65" i="10" s="1"/>
  <c r="DG41" i="10"/>
  <c r="DG66" i="10" s="1"/>
  <c r="DG42" i="10"/>
  <c r="DG67" i="10" s="1"/>
  <c r="DG43" i="10"/>
  <c r="DG68" i="10" s="1"/>
  <c r="DG44" i="10"/>
  <c r="DG69" i="10" s="1"/>
  <c r="DG45" i="10"/>
  <c r="DG70" i="10" s="1"/>
  <c r="DG24" i="10"/>
  <c r="DG49" i="10" s="1"/>
  <c r="DG31" i="10"/>
  <c r="DG56" i="10" s="1"/>
  <c r="DG32" i="10"/>
  <c r="DG57" i="10" s="1"/>
  <c r="DG33" i="10"/>
  <c r="DG58" i="10" s="1"/>
  <c r="DG77" i="10"/>
  <c r="DG78" i="10" s="1"/>
  <c r="DG79" i="10"/>
  <c r="DG80" i="10" s="1"/>
  <c r="DG81" i="10"/>
  <c r="DG82" i="10" s="1"/>
  <c r="DE86" i="10"/>
  <c r="DE87" i="10"/>
  <c r="DE91" i="10"/>
  <c r="DE101" i="10" s="1"/>
  <c r="DE111" i="10" s="1"/>
  <c r="DE88" i="10"/>
  <c r="DE21" i="10"/>
  <c r="DE22" i="10"/>
  <c r="DE47" i="10" s="1"/>
  <c r="DE23" i="10"/>
  <c r="DE48" i="10" s="1"/>
  <c r="DE25" i="10"/>
  <c r="DE50" i="10" s="1"/>
  <c r="DE26" i="10"/>
  <c r="DE51" i="10" s="1"/>
  <c r="DE27" i="10"/>
  <c r="DE52" i="10" s="1"/>
  <c r="DE29" i="10"/>
  <c r="DE54" i="10" s="1"/>
  <c r="DE34" i="10"/>
  <c r="DE59" i="10" s="1"/>
  <c r="DE35" i="10"/>
  <c r="DE60" i="10" s="1"/>
  <c r="DE36" i="10"/>
  <c r="DE61" i="10" s="1"/>
  <c r="DE37" i="10"/>
  <c r="DE62" i="10" s="1"/>
  <c r="DE38" i="10"/>
  <c r="DE63" i="10" s="1"/>
  <c r="DE39" i="10"/>
  <c r="DE64" i="10" s="1"/>
  <c r="DE40" i="10"/>
  <c r="DE65" i="10" s="1"/>
  <c r="DE41" i="10"/>
  <c r="DE66" i="10" s="1"/>
  <c r="DE42" i="10"/>
  <c r="DE67" i="10" s="1"/>
  <c r="DE43" i="10"/>
  <c r="DE68" i="10" s="1"/>
  <c r="DE44" i="10"/>
  <c r="DE69" i="10" s="1"/>
  <c r="DE45" i="10"/>
  <c r="DE70" i="10" s="1"/>
  <c r="DE24" i="10"/>
  <c r="DE49" i="10" s="1"/>
  <c r="DE28" i="10"/>
  <c r="DE53" i="10" s="1"/>
  <c r="DE30" i="10"/>
  <c r="DE55" i="10" s="1"/>
  <c r="DE31" i="10"/>
  <c r="DE56" i="10" s="1"/>
  <c r="DE32" i="10"/>
  <c r="DE57" i="10" s="1"/>
  <c r="DE33" i="10"/>
  <c r="DE58" i="10" s="1"/>
  <c r="DE77" i="10"/>
  <c r="DE78" i="10" s="1"/>
  <c r="DE79" i="10"/>
  <c r="DE80" i="10" s="1"/>
  <c r="DE81" i="10"/>
  <c r="DE82" i="10" s="1"/>
  <c r="DC87" i="10"/>
  <c r="DC88" i="10"/>
  <c r="DC86" i="10"/>
  <c r="DC91" i="10"/>
  <c r="DC101" i="10" s="1"/>
  <c r="DC111" i="10" s="1"/>
  <c r="DC21" i="10"/>
  <c r="DC22" i="10"/>
  <c r="DC47" i="10" s="1"/>
  <c r="DC23" i="10"/>
  <c r="DC48" i="10" s="1"/>
  <c r="DC25" i="10"/>
  <c r="DC50" i="10" s="1"/>
  <c r="DC26" i="10"/>
  <c r="DC51" i="10" s="1"/>
  <c r="DC27" i="10"/>
  <c r="DC52" i="10" s="1"/>
  <c r="DC29" i="10"/>
  <c r="DC54" i="10" s="1"/>
  <c r="DC34" i="10"/>
  <c r="DC59" i="10" s="1"/>
  <c r="DC35" i="10"/>
  <c r="DC60" i="10" s="1"/>
  <c r="DC36" i="10"/>
  <c r="DC61" i="10" s="1"/>
  <c r="DC37" i="10"/>
  <c r="DC62" i="10" s="1"/>
  <c r="DC38" i="10"/>
  <c r="DC63" i="10" s="1"/>
  <c r="DC39" i="10"/>
  <c r="DC64" i="10" s="1"/>
  <c r="DC40" i="10"/>
  <c r="DC65" i="10" s="1"/>
  <c r="DC41" i="10"/>
  <c r="DC66" i="10" s="1"/>
  <c r="DC42" i="10"/>
  <c r="DC67" i="10" s="1"/>
  <c r="DC43" i="10"/>
  <c r="DC68" i="10" s="1"/>
  <c r="DC44" i="10"/>
  <c r="DC69" i="10" s="1"/>
  <c r="DC45" i="10"/>
  <c r="DC70" i="10" s="1"/>
  <c r="DC24" i="10"/>
  <c r="DC49" i="10" s="1"/>
  <c r="DC28" i="10"/>
  <c r="DC53" i="10" s="1"/>
  <c r="DC30" i="10"/>
  <c r="DC55" i="10" s="1"/>
  <c r="DC31" i="10"/>
  <c r="DC56" i="10" s="1"/>
  <c r="DC32" i="10"/>
  <c r="DC57" i="10" s="1"/>
  <c r="DC33" i="10"/>
  <c r="DC58" i="10" s="1"/>
  <c r="DC77" i="10"/>
  <c r="DC78" i="10" s="1"/>
  <c r="DC79" i="10"/>
  <c r="DC80" i="10" s="1"/>
  <c r="DC81" i="10"/>
  <c r="DC82" i="10" s="1"/>
  <c r="DA24" i="10"/>
  <c r="DA49" i="10" s="1"/>
  <c r="DA28" i="10"/>
  <c r="DA53" i="10" s="1"/>
  <c r="DA30" i="10"/>
  <c r="DA55" i="10" s="1"/>
  <c r="DA31" i="10"/>
  <c r="DA56" i="10" s="1"/>
  <c r="DA33" i="10"/>
  <c r="DA58" i="10" s="1"/>
  <c r="DA77" i="10"/>
  <c r="DA78" i="10" s="1"/>
  <c r="DA79" i="10"/>
  <c r="DA80" i="10" s="1"/>
  <c r="DA81" i="10"/>
  <c r="DA82" i="10" s="1"/>
  <c r="DA21" i="10"/>
  <c r="DA22" i="10"/>
  <c r="DA47" i="10" s="1"/>
  <c r="DA23" i="10"/>
  <c r="DA48" i="10" s="1"/>
  <c r="DA25" i="10"/>
  <c r="DA50" i="10" s="1"/>
  <c r="DA26" i="10"/>
  <c r="DA51" i="10" s="1"/>
  <c r="DA27" i="10"/>
  <c r="DA52" i="10" s="1"/>
  <c r="DA29" i="10"/>
  <c r="DA54" i="10" s="1"/>
  <c r="DA32" i="10"/>
  <c r="DA57" i="10" s="1"/>
  <c r="DA34" i="10"/>
  <c r="DA59" i="10" s="1"/>
  <c r="DA35" i="10"/>
  <c r="DA60" i="10" s="1"/>
  <c r="DA36" i="10"/>
  <c r="DA61" i="10" s="1"/>
  <c r="DA37" i="10"/>
  <c r="DA62" i="10" s="1"/>
  <c r="DA38" i="10"/>
  <c r="DA63" i="10" s="1"/>
  <c r="DA39" i="10"/>
  <c r="DA64" i="10" s="1"/>
  <c r="DA40" i="10"/>
  <c r="DA65" i="10" s="1"/>
  <c r="DA41" i="10"/>
  <c r="DA66" i="10" s="1"/>
  <c r="DA42" i="10"/>
  <c r="DA67" i="10" s="1"/>
  <c r="DA43" i="10"/>
  <c r="DA68" i="10" s="1"/>
  <c r="DA44" i="10"/>
  <c r="DA69" i="10" s="1"/>
  <c r="DA45" i="10"/>
  <c r="DA70" i="10" s="1"/>
  <c r="DA91" i="10"/>
  <c r="DA101" i="10" s="1"/>
  <c r="DA111" i="10" s="1"/>
  <c r="DA86" i="10"/>
  <c r="DA88" i="10"/>
  <c r="DA87" i="10"/>
  <c r="CY24" i="10"/>
  <c r="CY28" i="10"/>
  <c r="CY29" i="10"/>
  <c r="CY31" i="10"/>
  <c r="CY77" i="10"/>
  <c r="CY78" i="10" s="1"/>
  <c r="CY79" i="10"/>
  <c r="CY80" i="10" s="1"/>
  <c r="CY81" i="10"/>
  <c r="CY82" i="10" s="1"/>
  <c r="CY21" i="10"/>
  <c r="CY22" i="10"/>
  <c r="CY23" i="10"/>
  <c r="CY25" i="10"/>
  <c r="CY26" i="10"/>
  <c r="CY27" i="10"/>
  <c r="CY30" i="10"/>
  <c r="CY32" i="10"/>
  <c r="CY33" i="10"/>
  <c r="CY34" i="10"/>
  <c r="CY35" i="10"/>
  <c r="CY36" i="10"/>
  <c r="CY37" i="10"/>
  <c r="CY38" i="10"/>
  <c r="CY39" i="10"/>
  <c r="CY40" i="10"/>
  <c r="CY41" i="10"/>
  <c r="CY42" i="10"/>
  <c r="CY43" i="10"/>
  <c r="CY44" i="10"/>
  <c r="CY45" i="10"/>
  <c r="CY88" i="10"/>
  <c r="CY91" i="10"/>
  <c r="CY101" i="10" s="1"/>
  <c r="CY111" i="10" s="1"/>
  <c r="CY86" i="10"/>
  <c r="CY87" i="10"/>
  <c r="CU28" i="10"/>
  <c r="CU53" i="10" s="1"/>
  <c r="CU29" i="10"/>
  <c r="CU54" i="10" s="1"/>
  <c r="CU30" i="10"/>
  <c r="CU55" i="10" s="1"/>
  <c r="CU31" i="10"/>
  <c r="CU56" i="10" s="1"/>
  <c r="CU77" i="10"/>
  <c r="CU78" i="10" s="1"/>
  <c r="CU79" i="10"/>
  <c r="CU80" i="10" s="1"/>
  <c r="CU81" i="10"/>
  <c r="CU82" i="10" s="1"/>
  <c r="CU21" i="10"/>
  <c r="CU22" i="10"/>
  <c r="CU47" i="10" s="1"/>
  <c r="CU23" i="10"/>
  <c r="CU48" i="10" s="1"/>
  <c r="CU24" i="10"/>
  <c r="CU49" i="10" s="1"/>
  <c r="CU25" i="10"/>
  <c r="CU50" i="10" s="1"/>
  <c r="CU26" i="10"/>
  <c r="CU51" i="10" s="1"/>
  <c r="CU27" i="10"/>
  <c r="CU52" i="10" s="1"/>
  <c r="CU32" i="10"/>
  <c r="CU57" i="10" s="1"/>
  <c r="CU33" i="10"/>
  <c r="CU58" i="10" s="1"/>
  <c r="CU34" i="10"/>
  <c r="CU59" i="10" s="1"/>
  <c r="CU35" i="10"/>
  <c r="CU60" i="10" s="1"/>
  <c r="CU36" i="10"/>
  <c r="CU61" i="10" s="1"/>
  <c r="CU37" i="10"/>
  <c r="CU62" i="10" s="1"/>
  <c r="CU38" i="10"/>
  <c r="CU63" i="10" s="1"/>
  <c r="CU39" i="10"/>
  <c r="CU64" i="10" s="1"/>
  <c r="CU40" i="10"/>
  <c r="CU65" i="10" s="1"/>
  <c r="CU41" i="10"/>
  <c r="CU66" i="10" s="1"/>
  <c r="CU42" i="10"/>
  <c r="CU67" i="10" s="1"/>
  <c r="CU43" i="10"/>
  <c r="CU68" i="10" s="1"/>
  <c r="CU44" i="10"/>
  <c r="CU69" i="10" s="1"/>
  <c r="CU45" i="10"/>
  <c r="CU70" i="10" s="1"/>
  <c r="CU86" i="10"/>
  <c r="CU87" i="10"/>
  <c r="CU88" i="10"/>
  <c r="CU91" i="10"/>
  <c r="CU101" i="10" s="1"/>
  <c r="CU111" i="10" s="1"/>
  <c r="CS23" i="10"/>
  <c r="CS48" i="10" s="1"/>
  <c r="CS28" i="10"/>
  <c r="CS53" i="10" s="1"/>
  <c r="CS30" i="10"/>
  <c r="CS55" i="10" s="1"/>
  <c r="CS31" i="10"/>
  <c r="CS56" i="10" s="1"/>
  <c r="CS77" i="10"/>
  <c r="CS79" i="10"/>
  <c r="CS81" i="10"/>
  <c r="CS21" i="10"/>
  <c r="CS22" i="10"/>
  <c r="CS47" i="10" s="1"/>
  <c r="CS24" i="10"/>
  <c r="CS49" i="10" s="1"/>
  <c r="CS25" i="10"/>
  <c r="CS50" i="10" s="1"/>
  <c r="CS26" i="10"/>
  <c r="CS51" i="10" s="1"/>
  <c r="CS27" i="10"/>
  <c r="CS52" i="10" s="1"/>
  <c r="CS29" i="10"/>
  <c r="CS54" i="10" s="1"/>
  <c r="CS32" i="10"/>
  <c r="CS57" i="10" s="1"/>
  <c r="CS33" i="10"/>
  <c r="CS58" i="10" s="1"/>
  <c r="CS34" i="10"/>
  <c r="CS59" i="10" s="1"/>
  <c r="CS35" i="10"/>
  <c r="CS60" i="10" s="1"/>
  <c r="CS36" i="10"/>
  <c r="CS61" i="10" s="1"/>
  <c r="CS37" i="10"/>
  <c r="CS62" i="10" s="1"/>
  <c r="CS38" i="10"/>
  <c r="CS63" i="10" s="1"/>
  <c r="CS39" i="10"/>
  <c r="CS64" i="10" s="1"/>
  <c r="CS40" i="10"/>
  <c r="CS65" i="10" s="1"/>
  <c r="CS41" i="10"/>
  <c r="CS66" i="10" s="1"/>
  <c r="CS42" i="10"/>
  <c r="CS67" i="10" s="1"/>
  <c r="CS43" i="10"/>
  <c r="CS68" i="10" s="1"/>
  <c r="CS44" i="10"/>
  <c r="CS69" i="10" s="1"/>
  <c r="CS45" i="10"/>
  <c r="CS70" i="10" s="1"/>
  <c r="CS87" i="10"/>
  <c r="CS88" i="10"/>
  <c r="CS78" i="10"/>
  <c r="CS91" i="10"/>
  <c r="CS101" i="10" s="1"/>
  <c r="CS111" i="10" s="1"/>
  <c r="CS82" i="10"/>
  <c r="CS86" i="10"/>
  <c r="CS80" i="10"/>
  <c r="N27" i="11"/>
  <c r="V27" i="11"/>
  <c r="AB27" i="11"/>
  <c r="G56" i="12"/>
  <c r="I56" i="12"/>
  <c r="J56" i="12"/>
  <c r="R20" i="11"/>
  <c r="E49" i="12"/>
  <c r="E259" i="10"/>
  <c r="F20" i="11"/>
  <c r="D49" i="12"/>
  <c r="E127" i="10"/>
  <c r="E131" i="10"/>
  <c r="E283" i="10"/>
  <c r="E287" i="10"/>
  <c r="L136" i="10"/>
  <c r="L146" i="10" s="1"/>
  <c r="L292" i="10"/>
  <c r="P136" i="10"/>
  <c r="P146" i="10" s="1"/>
  <c r="P292" i="10"/>
  <c r="E105" i="12"/>
  <c r="R136" i="10"/>
  <c r="R146" i="10" s="1"/>
  <c r="R292" i="10"/>
  <c r="Y136" i="10"/>
  <c r="Y146" i="10" s="1"/>
  <c r="Y292" i="10"/>
  <c r="AA136" i="10"/>
  <c r="AA146" i="10" s="1"/>
  <c r="AA292" i="10"/>
  <c r="AE136" i="10"/>
  <c r="AE146" i="10" s="1"/>
  <c r="AE292" i="10"/>
  <c r="AJ136" i="10"/>
  <c r="AJ146" i="10" s="1"/>
  <c r="AJ292" i="10"/>
  <c r="AM136" i="10"/>
  <c r="AM146" i="10" s="1"/>
  <c r="AM292" i="10"/>
  <c r="AO136" i="10"/>
  <c r="AO146" i="10" s="1"/>
  <c r="AO292" i="10"/>
  <c r="AR136" i="10"/>
  <c r="AR146" i="10" s="1"/>
  <c r="AR292" i="10"/>
  <c r="AU136" i="10"/>
  <c r="AU146" i="10" s="1"/>
  <c r="AU292" i="10"/>
  <c r="AW136" i="10"/>
  <c r="AW146" i="10" s="1"/>
  <c r="AW292" i="10"/>
  <c r="AY136" i="10"/>
  <c r="AY146" i="10" s="1"/>
  <c r="AY292" i="10"/>
  <c r="H105" i="12"/>
  <c r="BB136" i="10"/>
  <c r="BB146" i="10" s="1"/>
  <c r="BB292" i="10"/>
  <c r="BG136" i="10"/>
  <c r="BG146" i="10" s="1"/>
  <c r="BG292" i="10"/>
  <c r="BJ136" i="10"/>
  <c r="BJ146" i="10" s="1"/>
  <c r="BJ292" i="10"/>
  <c r="BP136" i="10"/>
  <c r="BP146" i="10" s="1"/>
  <c r="BP292" i="10"/>
  <c r="BS136" i="10"/>
  <c r="BS146" i="10" s="1"/>
  <c r="BS292" i="10"/>
  <c r="BW136" i="10"/>
  <c r="BW146" i="10" s="1"/>
  <c r="BW292" i="10"/>
  <c r="BY136" i="10"/>
  <c r="BY146" i="10" s="1"/>
  <c r="BY292" i="10"/>
  <c r="CA136" i="10"/>
  <c r="CA146" i="10" s="1"/>
  <c r="CA292" i="10"/>
  <c r="CC136" i="10"/>
  <c r="CC146" i="10" s="1"/>
  <c r="CC292" i="10"/>
  <c r="CG136" i="10"/>
  <c r="CG146" i="10" s="1"/>
  <c r="CG292" i="10"/>
  <c r="CK136" i="10"/>
  <c r="CK146" i="10" s="1"/>
  <c r="CK292" i="10"/>
  <c r="CP136" i="10"/>
  <c r="CP146" i="10" s="1"/>
  <c r="CP292" i="10"/>
  <c r="L105" i="12"/>
  <c r="CX136" i="10"/>
  <c r="CX146" i="10" s="1"/>
  <c r="BF136" i="10"/>
  <c r="BF146" i="10" s="1"/>
  <c r="BF292" i="10"/>
  <c r="BK292" i="10"/>
  <c r="BM136" i="10"/>
  <c r="BM146" i="10" s="1"/>
  <c r="BM292" i="10"/>
  <c r="BT136" i="10"/>
  <c r="BT146" i="10" s="1"/>
  <c r="BT292" i="10"/>
  <c r="BU136" i="10"/>
  <c r="BU146" i="10" s="1"/>
  <c r="BU292" i="10"/>
  <c r="BX136" i="10"/>
  <c r="BX146" i="10" s="1"/>
  <c r="BX292" i="10"/>
  <c r="J105" i="12"/>
  <c r="BZ292" i="10"/>
  <c r="CE292" i="10"/>
  <c r="CI136" i="10"/>
  <c r="CI146" i="10" s="1"/>
  <c r="CI292" i="10"/>
  <c r="CM292" i="10"/>
  <c r="CO136" i="10"/>
  <c r="CO146" i="10" s="1"/>
  <c r="CO292" i="10"/>
  <c r="CR136" i="10"/>
  <c r="CR146" i="10" s="1"/>
  <c r="CR292" i="10"/>
  <c r="CV292" i="10"/>
  <c r="DD292" i="10"/>
  <c r="DH136" i="10"/>
  <c r="DH146" i="10" s="1"/>
  <c r="DH292" i="10"/>
  <c r="DK136" i="10"/>
  <c r="DK146" i="10" s="1"/>
  <c r="DK292" i="10"/>
  <c r="DN292" i="10"/>
  <c r="DR136" i="10"/>
  <c r="DR146" i="10" s="1"/>
  <c r="DR292" i="10"/>
  <c r="N105" i="12"/>
  <c r="DV292" i="10"/>
  <c r="DV302" i="10" s="1"/>
  <c r="DZ292" i="10"/>
  <c r="DZ302" i="10" s="1"/>
  <c r="EF136" i="10"/>
  <c r="EF146" i="10" s="1"/>
  <c r="EF292" i="10"/>
  <c r="EF302" i="10" s="1"/>
  <c r="O105" i="12"/>
  <c r="EH136" i="10"/>
  <c r="EH146" i="10" s="1"/>
  <c r="EH292" i="10"/>
  <c r="EH302" i="10" s="1"/>
  <c r="EL292" i="10"/>
  <c r="EL302" i="10" s="1"/>
  <c r="EQ292" i="10"/>
  <c r="EQ302" i="10" s="1"/>
  <c r="H136" i="10"/>
  <c r="H146" i="10" s="1"/>
  <c r="H292" i="10"/>
  <c r="J292" i="10"/>
  <c r="M136" i="10"/>
  <c r="M146" i="10" s="1"/>
  <c r="M292" i="10"/>
  <c r="O292" i="10"/>
  <c r="S292" i="10"/>
  <c r="U136" i="10"/>
  <c r="U146" i="10" s="1"/>
  <c r="U292" i="10"/>
  <c r="W136" i="10"/>
  <c r="W146" i="10" s="1"/>
  <c r="W292" i="10"/>
  <c r="Z136" i="10"/>
  <c r="Z146" i="10" s="1"/>
  <c r="Z292" i="10"/>
  <c r="AC136" i="10"/>
  <c r="AC146" i="10" s="1"/>
  <c r="AC292" i="10"/>
  <c r="AG136" i="10"/>
  <c r="AG146" i="10" s="1"/>
  <c r="AG292" i="10"/>
  <c r="AK292" i="10"/>
  <c r="AQ292" i="10"/>
  <c r="AS136" i="10"/>
  <c r="AS146" i="10" s="1"/>
  <c r="AS292" i="10"/>
  <c r="AV136" i="10"/>
  <c r="AV146" i="10" s="1"/>
  <c r="AV292" i="10"/>
  <c r="AZ136" i="10"/>
  <c r="AZ146" i="10" s="1"/>
  <c r="AZ292" i="10"/>
  <c r="BE136" i="10"/>
  <c r="BE146" i="10" s="1"/>
  <c r="BE292" i="10"/>
  <c r="BH292" i="10"/>
  <c r="BO136" i="10"/>
  <c r="BO146" i="10" s="1"/>
  <c r="BO292" i="10"/>
  <c r="BV136" i="10"/>
  <c r="BV146" i="10" s="1"/>
  <c r="BV292" i="10"/>
  <c r="CB292" i="10"/>
  <c r="CD136" i="10"/>
  <c r="CD146" i="10" s="1"/>
  <c r="CD292" i="10"/>
  <c r="CF136" i="10"/>
  <c r="CF146" i="10" s="1"/>
  <c r="CH136" i="10"/>
  <c r="CH146" i="10" s="1"/>
  <c r="CH292" i="10"/>
  <c r="CN136" i="10"/>
  <c r="CN146" i="10" s="1"/>
  <c r="CN292" i="10"/>
  <c r="CS292" i="10"/>
  <c r="V292" i="10"/>
  <c r="AI292" i="10"/>
  <c r="BC292" i="10"/>
  <c r="BI146" i="10"/>
  <c r="DY292" i="10"/>
  <c r="DY302" i="10" s="1"/>
  <c r="CX292" i="10"/>
  <c r="DA136" i="10"/>
  <c r="DA146" i="10" s="1"/>
  <c r="DA292" i="10"/>
  <c r="DC136" i="10"/>
  <c r="DC146" i="10" s="1"/>
  <c r="DC292" i="10"/>
  <c r="DG136" i="10"/>
  <c r="DG146" i="10" s="1"/>
  <c r="DG292" i="10"/>
  <c r="M105" i="12"/>
  <c r="DJ136" i="10"/>
  <c r="DJ146" i="10" s="1"/>
  <c r="DJ292" i="10"/>
  <c r="DL136" i="10"/>
  <c r="DL146" i="10" s="1"/>
  <c r="DL292" i="10"/>
  <c r="DO136" i="10"/>
  <c r="DO146" i="10" s="1"/>
  <c r="DO292" i="10"/>
  <c r="DS136" i="10"/>
  <c r="DS146" i="10" s="1"/>
  <c r="DS292" i="10"/>
  <c r="EA136" i="10"/>
  <c r="EA146" i="10" s="1"/>
  <c r="EA292" i="10"/>
  <c r="EA302" i="10" s="1"/>
  <c r="EC136" i="10"/>
  <c r="EC146" i="10" s="1"/>
  <c r="EC292" i="10"/>
  <c r="EC302" i="10" s="1"/>
  <c r="EI136" i="10"/>
  <c r="EI146" i="10" s="1"/>
  <c r="EI292" i="10"/>
  <c r="EI302" i="10" s="1"/>
  <c r="EN136" i="10"/>
  <c r="EN146" i="10" s="1"/>
  <c r="EN292" i="10"/>
  <c r="EN302" i="10" s="1"/>
  <c r="G136" i="10"/>
  <c r="G146" i="10" s="1"/>
  <c r="G292" i="10"/>
  <c r="I136" i="10"/>
  <c r="I146" i="10" s="1"/>
  <c r="I292" i="10"/>
  <c r="K136" i="10"/>
  <c r="K146" i="10" s="1"/>
  <c r="K292" i="10"/>
  <c r="Q136" i="10"/>
  <c r="Q146" i="10" s="1"/>
  <c r="Q292" i="10"/>
  <c r="T136" i="10"/>
  <c r="T146" i="10" s="1"/>
  <c r="T292" i="10"/>
  <c r="X136" i="10"/>
  <c r="X146" i="10" s="1"/>
  <c r="X292" i="10"/>
  <c r="F105" i="12"/>
  <c r="AD136" i="10"/>
  <c r="AD146" i="10" s="1"/>
  <c r="AD292" i="10"/>
  <c r="AH136" i="10"/>
  <c r="AH146" i="10" s="1"/>
  <c r="AH292" i="10"/>
  <c r="AL136" i="10"/>
  <c r="AL146" i="10" s="1"/>
  <c r="AL292" i="10"/>
  <c r="AN136" i="10"/>
  <c r="AN146" i="10" s="1"/>
  <c r="AN292" i="10"/>
  <c r="AX136" i="10"/>
  <c r="AX146" i="10" s="1"/>
  <c r="AX292" i="10"/>
  <c r="BD136" i="10"/>
  <c r="BD146" i="10" s="1"/>
  <c r="BD292" i="10"/>
  <c r="BK136" i="10"/>
  <c r="BK146" i="10" s="1"/>
  <c r="BZ136" i="10"/>
  <c r="BZ146" i="10" s="1"/>
  <c r="CE136" i="10"/>
  <c r="CE146" i="10" s="1"/>
  <c r="CM136" i="10"/>
  <c r="CM146" i="10" s="1"/>
  <c r="CV136" i="10"/>
  <c r="CV146" i="10" s="1"/>
  <c r="DD136" i="10"/>
  <c r="DD146" i="10" s="1"/>
  <c r="DN136" i="10"/>
  <c r="DN146" i="10" s="1"/>
  <c r="DV136" i="10"/>
  <c r="DV146" i="10" s="1"/>
  <c r="DZ136" i="10"/>
  <c r="DZ146" i="10" s="1"/>
  <c r="EL136" i="10"/>
  <c r="EL146" i="10" s="1"/>
  <c r="EQ136" i="10"/>
  <c r="EQ146" i="10" s="1"/>
  <c r="J136" i="10"/>
  <c r="J146" i="10" s="1"/>
  <c r="O136" i="10"/>
  <c r="O146" i="10" s="1"/>
  <c r="S136" i="10"/>
  <c r="S146" i="10" s="1"/>
  <c r="AK136" i="10"/>
  <c r="AK146" i="10" s="1"/>
  <c r="AQ136" i="10"/>
  <c r="AQ146" i="10" s="1"/>
  <c r="BH136" i="10"/>
  <c r="BH146" i="10" s="1"/>
  <c r="BR136" i="10"/>
  <c r="BR146" i="10" s="1"/>
  <c r="BR292" i="10"/>
  <c r="CB136" i="10"/>
  <c r="CB146" i="10" s="1"/>
  <c r="CF292" i="10"/>
  <c r="CJ136" i="10"/>
  <c r="CJ146" i="10" s="1"/>
  <c r="CJ292" i="10"/>
  <c r="CS136" i="10"/>
  <c r="CS146" i="10" s="1"/>
  <c r="CU136" i="10"/>
  <c r="CU146" i="10" s="1"/>
  <c r="CU292" i="10"/>
  <c r="CY136" i="10"/>
  <c r="CY146" i="10" s="1"/>
  <c r="CY292" i="10"/>
  <c r="G54" i="12"/>
  <c r="H54" i="12"/>
  <c r="O49" i="12"/>
  <c r="N292" i="10"/>
  <c r="BC146" i="10"/>
  <c r="I105" i="12"/>
  <c r="CL292" i="10"/>
  <c r="CW292" i="10"/>
  <c r="DW292" i="10"/>
  <c r="DW302" i="10" s="1"/>
  <c r="EG292" i="10"/>
  <c r="EG302" i="10" s="1"/>
  <c r="EP292" i="10"/>
  <c r="EP302" i="10" s="1"/>
  <c r="DB292" i="10"/>
  <c r="DF136" i="10"/>
  <c r="DF146" i="10" s="1"/>
  <c r="DF292" i="10"/>
  <c r="DI136" i="10"/>
  <c r="DI146" i="10" s="1"/>
  <c r="DI292" i="10"/>
  <c r="DP136" i="10"/>
  <c r="DP146" i="10" s="1"/>
  <c r="DP292" i="10"/>
  <c r="DU136" i="10"/>
  <c r="DU146" i="10" s="1"/>
  <c r="DU292" i="10"/>
  <c r="DX136" i="10"/>
  <c r="DX146" i="10" s="1"/>
  <c r="DX292" i="10"/>
  <c r="DX302" i="10" s="1"/>
  <c r="EE136" i="10"/>
  <c r="EE146" i="10" s="1"/>
  <c r="EE292" i="10"/>
  <c r="EE302" i="10" s="1"/>
  <c r="EJ136" i="10"/>
  <c r="EJ146" i="10" s="1"/>
  <c r="EJ292" i="10"/>
  <c r="EJ302" i="10" s="1"/>
  <c r="EM136" i="10"/>
  <c r="EM146" i="10" s="1"/>
  <c r="EM292" i="10"/>
  <c r="EM302" i="10" s="1"/>
  <c r="EO136" i="10"/>
  <c r="EO146" i="10" s="1"/>
  <c r="EO292" i="10"/>
  <c r="EO302" i="10" s="1"/>
  <c r="ER136" i="10"/>
  <c r="ER146" i="10" s="1"/>
  <c r="ER292" i="10"/>
  <c r="ER302" i="10" s="1"/>
  <c r="I54" i="12"/>
  <c r="L49" i="12"/>
  <c r="AP292" i="10"/>
  <c r="K105" i="12"/>
  <c r="DM292" i="10"/>
  <c r="H49" i="12"/>
  <c r="M49" i="12"/>
  <c r="N146" i="10"/>
  <c r="AB292" i="10"/>
  <c r="AT292" i="10"/>
  <c r="BA292" i="10"/>
  <c r="BI292" i="10"/>
  <c r="DQ292" i="10"/>
  <c r="F49" i="12"/>
  <c r="K49" i="12"/>
  <c r="AF292" i="10"/>
  <c r="G105" i="12"/>
  <c r="BL292" i="10"/>
  <c r="BL146" i="10"/>
  <c r="BN146" i="10"/>
  <c r="BQ292" i="10"/>
  <c r="DE292" i="10"/>
  <c r="DT292" i="10"/>
  <c r="EB292" i="10"/>
  <c r="EB302" i="10" s="1"/>
  <c r="ED292" i="10"/>
  <c r="ED302" i="10" s="1"/>
  <c r="F54" i="12"/>
  <c r="F150" i="12" s="1"/>
  <c r="I49" i="12"/>
  <c r="J49" i="12"/>
  <c r="N49" i="12"/>
  <c r="BN292" i="10"/>
  <c r="CQ292" i="10"/>
  <c r="CT292" i="10"/>
  <c r="CZ292" i="10"/>
  <c r="EK292" i="10"/>
  <c r="EK302" i="10" s="1"/>
  <c r="ES292" i="10"/>
  <c r="ES302" i="10" s="1"/>
  <c r="BA46" i="10" l="1"/>
  <c r="BA71" i="10" s="1"/>
  <c r="BA73" i="10"/>
  <c r="BA74" i="10"/>
  <c r="BA75" i="10"/>
  <c r="BA98" i="10"/>
  <c r="BA90" i="10"/>
  <c r="BA99" i="10" s="1"/>
  <c r="AV75" i="10"/>
  <c r="AV46" i="10"/>
  <c r="AV71" i="10" s="1"/>
  <c r="AV74" i="10"/>
  <c r="AV73" i="10"/>
  <c r="AV98" i="10"/>
  <c r="AV90" i="10"/>
  <c r="AV99" i="10" s="1"/>
  <c r="CZ90" i="10"/>
  <c r="CZ99" i="10" s="1"/>
  <c r="L95" i="10"/>
  <c r="BU95" i="10"/>
  <c r="BI95" i="10"/>
  <c r="AH251" i="10"/>
  <c r="BD95" i="10"/>
  <c r="BI46" i="10"/>
  <c r="BI71" i="10" s="1"/>
  <c r="BI73" i="10"/>
  <c r="BI74" i="10"/>
  <c r="BI75" i="10"/>
  <c r="BI98" i="10"/>
  <c r="BI90" i="10"/>
  <c r="BI99" i="10" s="1"/>
  <c r="BD98" i="10"/>
  <c r="BD90" i="10"/>
  <c r="BD99" i="10" s="1"/>
  <c r="BD46" i="10"/>
  <c r="BD71" i="10" s="1"/>
  <c r="BD73" i="10"/>
  <c r="BD74" i="10"/>
  <c r="BD75" i="10"/>
  <c r="BU46" i="10"/>
  <c r="BU71" i="10" s="1"/>
  <c r="BU73" i="10"/>
  <c r="BU74" i="10"/>
  <c r="BU75" i="10"/>
  <c r="ER251" i="10"/>
  <c r="BL95" i="10"/>
  <c r="BU98" i="10"/>
  <c r="BU90" i="10"/>
  <c r="BU99" i="10" s="1"/>
  <c r="BL90" i="10"/>
  <c r="BL99" i="10" s="1"/>
  <c r="BL98" i="10"/>
  <c r="BL75" i="10"/>
  <c r="BL74" i="10"/>
  <c r="BL73" i="10"/>
  <c r="BL46" i="10"/>
  <c r="BL71" i="10" s="1"/>
  <c r="BZ73" i="10"/>
  <c r="BZ75" i="10"/>
  <c r="BZ74" i="10"/>
  <c r="BZ46" i="10"/>
  <c r="BZ71" i="10" s="1"/>
  <c r="BZ98" i="10"/>
  <c r="BZ90" i="10"/>
  <c r="BZ99" i="10" s="1"/>
  <c r="I150" i="12"/>
  <c r="CH95" i="10"/>
  <c r="O95" i="10"/>
  <c r="CS251" i="10"/>
  <c r="DQ95" i="10"/>
  <c r="L251" i="10"/>
  <c r="AQ98" i="10"/>
  <c r="AQ90" i="10"/>
  <c r="AQ99" i="10" s="1"/>
  <c r="Y251" i="10"/>
  <c r="CQ251" i="10"/>
  <c r="J95" i="10"/>
  <c r="DY251" i="10"/>
  <c r="DC251" i="10"/>
  <c r="DO251" i="10"/>
  <c r="DJ251" i="10"/>
  <c r="AZ251" i="10"/>
  <c r="AN95" i="10"/>
  <c r="AQ46" i="10"/>
  <c r="AQ71" i="10" s="1"/>
  <c r="AQ73" i="10"/>
  <c r="AQ74" i="10"/>
  <c r="AQ75" i="10"/>
  <c r="AN46" i="10"/>
  <c r="AN71" i="10" s="1"/>
  <c r="AN73" i="10"/>
  <c r="AN74" i="10"/>
  <c r="AN75" i="10"/>
  <c r="AN98" i="10"/>
  <c r="AN90" i="10"/>
  <c r="AN99" i="10" s="1"/>
  <c r="AK251" i="10"/>
  <c r="BY95" i="10"/>
  <c r="CX251" i="10"/>
  <c r="BO251" i="10"/>
  <c r="CE251" i="10"/>
  <c r="AQ95" i="10"/>
  <c r="BC251" i="10"/>
  <c r="CN251" i="10"/>
  <c r="ES251" i="10"/>
  <c r="BP95" i="10"/>
  <c r="BV251" i="10"/>
  <c r="BB251" i="10"/>
  <c r="BP251" i="10"/>
  <c r="CY251" i="10"/>
  <c r="CA251" i="10"/>
  <c r="W251" i="10"/>
  <c r="X251" i="10"/>
  <c r="AR251" i="10"/>
  <c r="DU251" i="10"/>
  <c r="CC251" i="10"/>
  <c r="EP251" i="10"/>
  <c r="BT251" i="10"/>
  <c r="EH251" i="10"/>
  <c r="I95" i="10"/>
  <c r="CA95" i="10"/>
  <c r="BY251" i="10"/>
  <c r="EI251" i="10"/>
  <c r="CB251" i="10"/>
  <c r="EA251" i="10"/>
  <c r="AU251" i="10"/>
  <c r="AP90" i="10"/>
  <c r="AP99" i="10" s="1"/>
  <c r="AR90" i="10"/>
  <c r="AR99" i="10" s="1"/>
  <c r="AS90" i="10"/>
  <c r="AS99" i="10" s="1"/>
  <c r="AU90" i="10"/>
  <c r="AU99" i="10" s="1"/>
  <c r="AY90" i="10"/>
  <c r="AY99" i="10" s="1"/>
  <c r="BE90" i="10"/>
  <c r="BE99" i="10" s="1"/>
  <c r="BG90" i="10"/>
  <c r="BG99" i="10" s="1"/>
  <c r="CK90" i="10"/>
  <c r="CK99" i="10" s="1"/>
  <c r="U95" i="10"/>
  <c r="T95" i="10"/>
  <c r="EQ95" i="10"/>
  <c r="D24" i="11"/>
  <c r="P251" i="10"/>
  <c r="BI251" i="10"/>
  <c r="D20" i="11"/>
  <c r="BE95" i="10"/>
  <c r="ED95" i="10"/>
  <c r="EJ95" i="10"/>
  <c r="CD95" i="10"/>
  <c r="CT95" i="10"/>
  <c r="CK95" i="10"/>
  <c r="BJ95" i="10"/>
  <c r="AA95" i="10"/>
  <c r="BV95" i="10"/>
  <c r="DK95" i="10"/>
  <c r="AE90" i="10"/>
  <c r="AE99" i="10" s="1"/>
  <c r="N150" i="12"/>
  <c r="EL95" i="10"/>
  <c r="DH95" i="10"/>
  <c r="AJ90" i="10"/>
  <c r="AJ99" i="10" s="1"/>
  <c r="AI90" i="10"/>
  <c r="AI99" i="10" s="1"/>
  <c r="AF90" i="10"/>
  <c r="AF99" i="10" s="1"/>
  <c r="Z90" i="10"/>
  <c r="Z99" i="10" s="1"/>
  <c r="X90" i="10"/>
  <c r="X99" i="10" s="1"/>
  <c r="AB90" i="10"/>
  <c r="AB99" i="10" s="1"/>
  <c r="Y90" i="10"/>
  <c r="Y99" i="10" s="1"/>
  <c r="AA90" i="10"/>
  <c r="AA99" i="10" s="1"/>
  <c r="AD90" i="10"/>
  <c r="AD99" i="10" s="1"/>
  <c r="AX90" i="10"/>
  <c r="AX99" i="10" s="1"/>
  <c r="BC90" i="10"/>
  <c r="BC99" i="10" s="1"/>
  <c r="CI90" i="10"/>
  <c r="CI99" i="10" s="1"/>
  <c r="CL90" i="10"/>
  <c r="CL99" i="10" s="1"/>
  <c r="CN90" i="10"/>
  <c r="CN99" i="10" s="1"/>
  <c r="CP90" i="10"/>
  <c r="CP99" i="10" s="1"/>
  <c r="DB90" i="10"/>
  <c r="DB99" i="10" s="1"/>
  <c r="DD90" i="10"/>
  <c r="DD99" i="10" s="1"/>
  <c r="DF90" i="10"/>
  <c r="DF99" i="10" s="1"/>
  <c r="DK90" i="10"/>
  <c r="DK99" i="10" s="1"/>
  <c r="DM90" i="10"/>
  <c r="DM99" i="10" s="1"/>
  <c r="DO90" i="10"/>
  <c r="DO99" i="10" s="1"/>
  <c r="DP90" i="10"/>
  <c r="DP99" i="10" s="1"/>
  <c r="DR90" i="10"/>
  <c r="DR99" i="10" s="1"/>
  <c r="DS90" i="10"/>
  <c r="DS99" i="10" s="1"/>
  <c r="DU90" i="10"/>
  <c r="DU99" i="10" s="1"/>
  <c r="DW90" i="10"/>
  <c r="DW99" i="10" s="1"/>
  <c r="DY90" i="10"/>
  <c r="DY99" i="10" s="1"/>
  <c r="EA90" i="10"/>
  <c r="EA99" i="10" s="1"/>
  <c r="EC90" i="10"/>
  <c r="EC99" i="10" s="1"/>
  <c r="ED90" i="10"/>
  <c r="ED99" i="10" s="1"/>
  <c r="EF90" i="10"/>
  <c r="EF99" i="10" s="1"/>
  <c r="EH90" i="10"/>
  <c r="EH99" i="10" s="1"/>
  <c r="EJ90" i="10"/>
  <c r="EJ99" i="10" s="1"/>
  <c r="EL90" i="10"/>
  <c r="EL99" i="10" s="1"/>
  <c r="EN90" i="10"/>
  <c r="EN99" i="10" s="1"/>
  <c r="EO90" i="10"/>
  <c r="EO99" i="10" s="1"/>
  <c r="EQ90" i="10"/>
  <c r="EQ99" i="10" s="1"/>
  <c r="AH90" i="10"/>
  <c r="AH99" i="10" s="1"/>
  <c r="AK90" i="10"/>
  <c r="AK99" i="10" s="1"/>
  <c r="DA251" i="10"/>
  <c r="AQ251" i="10"/>
  <c r="DA95" i="10"/>
  <c r="CY95" i="10"/>
  <c r="DF95" i="10"/>
  <c r="F117" i="12"/>
  <c r="O117" i="12"/>
  <c r="BG251" i="10"/>
  <c r="AM95" i="10"/>
  <c r="L150" i="12"/>
  <c r="DB95" i="10"/>
  <c r="AJ95" i="10"/>
  <c r="AI95" i="10"/>
  <c r="AF95" i="10"/>
  <c r="Z95" i="10"/>
  <c r="X95" i="10"/>
  <c r="DD95" i="10"/>
  <c r="DM95" i="10"/>
  <c r="DO95" i="10"/>
  <c r="CC90" i="10"/>
  <c r="CC99" i="10" s="1"/>
  <c r="CZ95" i="10"/>
  <c r="EF95" i="10"/>
  <c r="EO95" i="10"/>
  <c r="AK95" i="10"/>
  <c r="AP95" i="10"/>
  <c r="AS95" i="10"/>
  <c r="AU95" i="10"/>
  <c r="AY95" i="10"/>
  <c r="F95" i="10"/>
  <c r="BR95" i="10"/>
  <c r="DP95" i="10"/>
  <c r="DR95" i="10"/>
  <c r="DS95" i="10"/>
  <c r="AE95" i="10"/>
  <c r="AH95" i="10"/>
  <c r="AR95" i="10"/>
  <c r="BG95" i="10"/>
  <c r="AM98" i="10"/>
  <c r="AM90" i="10"/>
  <c r="AM99" i="10" s="1"/>
  <c r="AM49" i="10"/>
  <c r="AM71" i="10" s="1"/>
  <c r="AM73" i="10"/>
  <c r="AM74" i="10"/>
  <c r="AM75" i="10"/>
  <c r="AJ46" i="10"/>
  <c r="AJ71" i="10" s="1"/>
  <c r="AJ73" i="10"/>
  <c r="AJ74" i="10"/>
  <c r="AJ75" i="10"/>
  <c r="AI74" i="10"/>
  <c r="AI46" i="10"/>
  <c r="AI71" i="10" s="1"/>
  <c r="AI73" i="10"/>
  <c r="AI75" i="10"/>
  <c r="AF74" i="10"/>
  <c r="AF46" i="10"/>
  <c r="AF71" i="10" s="1"/>
  <c r="AF73" i="10"/>
  <c r="AF75" i="10"/>
  <c r="Z46" i="10"/>
  <c r="Z71" i="10" s="1"/>
  <c r="Z73" i="10"/>
  <c r="Z74" i="10"/>
  <c r="Z75" i="10"/>
  <c r="F46" i="10"/>
  <c r="F71" i="10" s="1"/>
  <c r="F73" i="10"/>
  <c r="F74" i="10"/>
  <c r="F75" i="10"/>
  <c r="F98" i="10"/>
  <c r="F90" i="10"/>
  <c r="F99" i="10" s="1"/>
  <c r="J98" i="10"/>
  <c r="J90" i="10"/>
  <c r="J99" i="10" s="1"/>
  <c r="J46" i="10"/>
  <c r="J71" i="10" s="1"/>
  <c r="J73" i="10"/>
  <c r="J74" i="10"/>
  <c r="J75" i="10"/>
  <c r="O73" i="10"/>
  <c r="O75" i="10"/>
  <c r="O46" i="10"/>
  <c r="O71" i="10" s="1"/>
  <c r="O74" i="10"/>
  <c r="O98" i="10"/>
  <c r="O90" i="10"/>
  <c r="O99" i="10" s="1"/>
  <c r="AB74" i="10"/>
  <c r="AB75" i="10"/>
  <c r="AB46" i="10"/>
  <c r="AB71" i="10" s="1"/>
  <c r="AB73" i="10"/>
  <c r="BR98" i="10"/>
  <c r="BR90" i="10"/>
  <c r="BR99" i="10" s="1"/>
  <c r="DB46" i="10"/>
  <c r="DB71" i="10" s="1"/>
  <c r="DB74" i="10"/>
  <c r="DB75" i="10"/>
  <c r="DB73" i="10"/>
  <c r="DD74" i="10"/>
  <c r="DD75" i="10"/>
  <c r="DD46" i="10"/>
  <c r="DD71" i="10" s="1"/>
  <c r="DD73" i="10"/>
  <c r="DF75" i="10"/>
  <c r="DF46" i="10"/>
  <c r="DF71" i="10" s="1"/>
  <c r="DF73" i="10"/>
  <c r="DF74" i="10"/>
  <c r="DM75" i="10"/>
  <c r="DM74" i="10"/>
  <c r="DM46" i="10"/>
  <c r="DM71" i="10" s="1"/>
  <c r="DM73" i="10"/>
  <c r="DO46" i="10"/>
  <c r="DO71" i="10" s="1"/>
  <c r="DO73" i="10"/>
  <c r="DO74" i="10"/>
  <c r="DO75" i="10"/>
  <c r="DP75" i="10"/>
  <c r="DP74" i="10"/>
  <c r="DP73" i="10"/>
  <c r="DP46" i="10"/>
  <c r="DP71" i="10" s="1"/>
  <c r="DR73" i="10"/>
  <c r="DR46" i="10"/>
  <c r="DR71" i="10" s="1"/>
  <c r="DR75" i="10"/>
  <c r="DR74" i="10"/>
  <c r="EQ75" i="10"/>
  <c r="EQ74" i="10"/>
  <c r="EQ73" i="10"/>
  <c r="EQ46" i="10"/>
  <c r="EQ71" i="10" s="1"/>
  <c r="AE46" i="10"/>
  <c r="AE71" i="10" s="1"/>
  <c r="AE73" i="10"/>
  <c r="AE74" i="10"/>
  <c r="AE75" i="10"/>
  <c r="AH73" i="10"/>
  <c r="AH75" i="10"/>
  <c r="AH74" i="10"/>
  <c r="AH46" i="10"/>
  <c r="AH71" i="10" s="1"/>
  <c r="AK75" i="10"/>
  <c r="AK74" i="10"/>
  <c r="AK73" i="10"/>
  <c r="AK46" i="10"/>
  <c r="AK71" i="10" s="1"/>
  <c r="AP46" i="10"/>
  <c r="AP71" i="10" s="1"/>
  <c r="AP73" i="10"/>
  <c r="AP74" i="10"/>
  <c r="AP75" i="10"/>
  <c r="AR46" i="10"/>
  <c r="AR71" i="10" s="1"/>
  <c r="AR73" i="10"/>
  <c r="AR74" i="10"/>
  <c r="AR75" i="10"/>
  <c r="AS75" i="10"/>
  <c r="AS46" i="10"/>
  <c r="AS71" i="10" s="1"/>
  <c r="AS73" i="10"/>
  <c r="AS74" i="10"/>
  <c r="AY75" i="10"/>
  <c r="AY74" i="10"/>
  <c r="AY73" i="10"/>
  <c r="AY46" i="10"/>
  <c r="AY71" i="10" s="1"/>
  <c r="BE74" i="10"/>
  <c r="BE46" i="10"/>
  <c r="BE71" i="10" s="1"/>
  <c r="BE75" i="10"/>
  <c r="BE73" i="10"/>
  <c r="BG74" i="10"/>
  <c r="BG75" i="10"/>
  <c r="BG73" i="10"/>
  <c r="BG46" i="10"/>
  <c r="BG71" i="10" s="1"/>
  <c r="BN46" i="10"/>
  <c r="BN71" i="10" s="1"/>
  <c r="BN73" i="10"/>
  <c r="BN74" i="10"/>
  <c r="BN75" i="10"/>
  <c r="BP75" i="10"/>
  <c r="BP74" i="10"/>
  <c r="BP73" i="10"/>
  <c r="BP46" i="10"/>
  <c r="BP71" i="10" s="1"/>
  <c r="BS75" i="10"/>
  <c r="BS74" i="10"/>
  <c r="BS73" i="10"/>
  <c r="BS46" i="10"/>
  <c r="BS71" i="10" s="1"/>
  <c r="CK75" i="10"/>
  <c r="CK74" i="10"/>
  <c r="CK73" i="10"/>
  <c r="CK46" i="10"/>
  <c r="CK71" i="10" s="1"/>
  <c r="U74" i="10"/>
  <c r="U75" i="10"/>
  <c r="U46" i="10"/>
  <c r="U71" i="10" s="1"/>
  <c r="U73" i="10"/>
  <c r="N74" i="10"/>
  <c r="N73" i="10"/>
  <c r="N46" i="10"/>
  <c r="N71" i="10" s="1"/>
  <c r="N75" i="10"/>
  <c r="L54" i="10"/>
  <c r="L71" i="10" s="1"/>
  <c r="L75" i="10"/>
  <c r="L74" i="10"/>
  <c r="L73" i="10"/>
  <c r="H98" i="10"/>
  <c r="H90" i="10"/>
  <c r="H99" i="10" s="1"/>
  <c r="H73" i="10"/>
  <c r="H74" i="10"/>
  <c r="H75" i="10"/>
  <c r="H46" i="10"/>
  <c r="H71" i="10" s="1"/>
  <c r="P98" i="10"/>
  <c r="P90" i="10"/>
  <c r="P99" i="10" s="1"/>
  <c r="P73" i="10"/>
  <c r="P74" i="10"/>
  <c r="P75" i="10"/>
  <c r="P46" i="10"/>
  <c r="P71" i="10" s="1"/>
  <c r="T98" i="10"/>
  <c r="T90" i="10"/>
  <c r="T99" i="10" s="1"/>
  <c r="T73" i="10"/>
  <c r="T74" i="10"/>
  <c r="T75" i="10"/>
  <c r="T46" i="10"/>
  <c r="T71" i="10" s="1"/>
  <c r="W90" i="10"/>
  <c r="W99" i="10" s="1"/>
  <c r="W98" i="10"/>
  <c r="W73" i="10"/>
  <c r="W75" i="10"/>
  <c r="W74" i="10"/>
  <c r="W46" i="10"/>
  <c r="W71" i="10" s="1"/>
  <c r="Y46" i="10"/>
  <c r="Y71" i="10" s="1"/>
  <c r="Y73" i="10"/>
  <c r="Y74" i="10"/>
  <c r="Y75" i="10"/>
  <c r="AA74" i="10"/>
  <c r="AA73" i="10"/>
  <c r="AA75" i="10"/>
  <c r="AA46" i="10"/>
  <c r="AA71" i="10" s="1"/>
  <c r="AD46" i="10"/>
  <c r="AD71" i="10" s="1"/>
  <c r="AD73" i="10"/>
  <c r="AD74" i="10"/>
  <c r="AD75" i="10"/>
  <c r="BJ90" i="10"/>
  <c r="BJ99" i="10" s="1"/>
  <c r="BJ98" i="10"/>
  <c r="BM90" i="10"/>
  <c r="BM99" i="10" s="1"/>
  <c r="BM98" i="10"/>
  <c r="BO98" i="10"/>
  <c r="BO90" i="10"/>
  <c r="BO99" i="10" s="1"/>
  <c r="BV98" i="10"/>
  <c r="BV90" i="10"/>
  <c r="BV99" i="10" s="1"/>
  <c r="BV73" i="10"/>
  <c r="BV46" i="10"/>
  <c r="BV71" i="10" s="1"/>
  <c r="BV74" i="10"/>
  <c r="BV75" i="10"/>
  <c r="BX75" i="10"/>
  <c r="BX74" i="10"/>
  <c r="BX73" i="10"/>
  <c r="BX46" i="10"/>
  <c r="BX71" i="10" s="1"/>
  <c r="BX98" i="10"/>
  <c r="BX90" i="10"/>
  <c r="BX99" i="10" s="1"/>
  <c r="CA98" i="10"/>
  <c r="CA90" i="10"/>
  <c r="CA99" i="10" s="1"/>
  <c r="C24" i="11"/>
  <c r="E24" i="11"/>
  <c r="CZ46" i="10"/>
  <c r="CZ71" i="10" s="1"/>
  <c r="CZ75" i="10"/>
  <c r="CZ74" i="10"/>
  <c r="CZ73" i="10"/>
  <c r="DH73" i="10"/>
  <c r="DH46" i="10"/>
  <c r="DH71" i="10" s="1"/>
  <c r="DH74" i="10"/>
  <c r="DH75" i="10"/>
  <c r="DJ74" i="10"/>
  <c r="H95" i="10"/>
  <c r="BX95" i="10"/>
  <c r="EN95" i="10"/>
  <c r="C54" i="12"/>
  <c r="DJ73" i="10"/>
  <c r="DJ75" i="10"/>
  <c r="W95" i="10"/>
  <c r="Y95" i="10"/>
  <c r="AD95" i="10"/>
  <c r="AX95" i="10"/>
  <c r="BC95" i="10"/>
  <c r="DH90" i="10"/>
  <c r="DH99" i="10" s="1"/>
  <c r="Q95" i="10"/>
  <c r="CR95" i="10"/>
  <c r="CV95" i="10"/>
  <c r="DJ95" i="10"/>
  <c r="CU251" i="10"/>
  <c r="DV251" i="10"/>
  <c r="Z251" i="10"/>
  <c r="CC95" i="10"/>
  <c r="CE95" i="10"/>
  <c r="CG95" i="10"/>
  <c r="CI95" i="10"/>
  <c r="CL95" i="10"/>
  <c r="CN95" i="10"/>
  <c r="CP95" i="10"/>
  <c r="DU95" i="10"/>
  <c r="DW95" i="10"/>
  <c r="DY95" i="10"/>
  <c r="EA95" i="10"/>
  <c r="EC95" i="10"/>
  <c r="EH95" i="10"/>
  <c r="CT251" i="10"/>
  <c r="EC251" i="10"/>
  <c r="I117" i="12"/>
  <c r="BF95" i="10"/>
  <c r="E150" i="12"/>
  <c r="J150" i="12"/>
  <c r="BS95" i="10"/>
  <c r="P95" i="10"/>
  <c r="CX95" i="10"/>
  <c r="BN90" i="10"/>
  <c r="BN99" i="10" s="1"/>
  <c r="BN98" i="10"/>
  <c r="BP90" i="10"/>
  <c r="BP99" i="10" s="1"/>
  <c r="BP98" i="10"/>
  <c r="BS90" i="10"/>
  <c r="BS99" i="10" s="1"/>
  <c r="BS98" i="10"/>
  <c r="CD90" i="10"/>
  <c r="CD99" i="10" s="1"/>
  <c r="CD98" i="10"/>
  <c r="U90" i="10"/>
  <c r="U99" i="10" s="1"/>
  <c r="U98" i="10"/>
  <c r="N98" i="10"/>
  <c r="N90" i="10"/>
  <c r="N99" i="10" s="1"/>
  <c r="L90" i="10"/>
  <c r="L99" i="10" s="1"/>
  <c r="L98" i="10"/>
  <c r="I90" i="10"/>
  <c r="I99" i="10" s="1"/>
  <c r="I98" i="10"/>
  <c r="CE90" i="10"/>
  <c r="CE99" i="10" s="1"/>
  <c r="CE98" i="10"/>
  <c r="CG98" i="10"/>
  <c r="CG90" i="10"/>
  <c r="CG99" i="10" s="1"/>
  <c r="BN95" i="10"/>
  <c r="AA251" i="10"/>
  <c r="K95" i="10"/>
  <c r="BW95" i="10"/>
  <c r="D150" i="12"/>
  <c r="E12" i="12"/>
  <c r="E15" i="12"/>
  <c r="O251" i="10"/>
  <c r="M95" i="10"/>
  <c r="AP251" i="10"/>
  <c r="DQ251" i="10"/>
  <c r="EG251" i="10"/>
  <c r="CK251" i="10"/>
  <c r="EB251" i="10"/>
  <c r="R251" i="10"/>
  <c r="V251" i="10"/>
  <c r="AB251" i="10"/>
  <c r="AB14" i="11" s="1"/>
  <c r="AZ95" i="10"/>
  <c r="BD251" i="10"/>
  <c r="BM251" i="10"/>
  <c r="DR251" i="10"/>
  <c r="K117" i="12"/>
  <c r="BM95" i="10"/>
  <c r="BO95" i="10"/>
  <c r="CV90" i="10"/>
  <c r="CV99" i="10" s="1"/>
  <c r="CX90" i="10"/>
  <c r="CX99" i="10" s="1"/>
  <c r="AI251" i="10"/>
  <c r="AW251" i="10"/>
  <c r="CJ251" i="10"/>
  <c r="EO251" i="10"/>
  <c r="AX74" i="10"/>
  <c r="AX75" i="10"/>
  <c r="AX46" i="10"/>
  <c r="AX71" i="10" s="1"/>
  <c r="AX73" i="10"/>
  <c r="BC46" i="10"/>
  <c r="BC71" i="10" s="1"/>
  <c r="BC73" i="10"/>
  <c r="BC74" i="10"/>
  <c r="BC75" i="10"/>
  <c r="BJ46" i="10"/>
  <c r="BJ71" i="10" s="1"/>
  <c r="BJ73" i="10"/>
  <c r="BJ74" i="10"/>
  <c r="BJ75" i="10"/>
  <c r="BM74" i="10"/>
  <c r="BM46" i="10"/>
  <c r="BM71" i="10" s="1"/>
  <c r="BM73" i="10"/>
  <c r="BM75" i="10"/>
  <c r="BO73" i="10"/>
  <c r="BO75" i="10"/>
  <c r="BO74" i="10"/>
  <c r="BO46" i="10"/>
  <c r="BO71" i="10" s="1"/>
  <c r="BR49" i="10"/>
  <c r="BR71" i="10" s="1"/>
  <c r="BR74" i="10"/>
  <c r="BR75" i="10"/>
  <c r="BR73" i="10"/>
  <c r="CA73" i="10"/>
  <c r="CA75" i="10"/>
  <c r="CA46" i="10"/>
  <c r="CA71" i="10" s="1"/>
  <c r="CA74" i="10"/>
  <c r="CC46" i="10"/>
  <c r="CC71" i="10" s="1"/>
  <c r="CC73" i="10"/>
  <c r="CC74" i="10"/>
  <c r="CC75" i="10"/>
  <c r="CE75" i="10"/>
  <c r="CE74" i="10"/>
  <c r="CE73" i="10"/>
  <c r="CE46" i="10"/>
  <c r="CE71" i="10" s="1"/>
  <c r="CG46" i="10"/>
  <c r="CG71" i="10" s="1"/>
  <c r="CG73" i="10"/>
  <c r="CG74" i="10"/>
  <c r="CG75" i="10"/>
  <c r="CI73" i="10"/>
  <c r="CI74" i="10"/>
  <c r="CI75" i="10"/>
  <c r="CI46" i="10"/>
  <c r="CI71" i="10" s="1"/>
  <c r="CL46" i="10"/>
  <c r="CL71" i="10" s="1"/>
  <c r="CL74" i="10"/>
  <c r="CL75" i="10"/>
  <c r="CL73" i="10"/>
  <c r="CN46" i="10"/>
  <c r="CN71" i="10" s="1"/>
  <c r="CN73" i="10"/>
  <c r="CN74" i="10"/>
  <c r="CN75" i="10"/>
  <c r="CP46" i="10"/>
  <c r="CP71" i="10" s="1"/>
  <c r="CP73" i="10"/>
  <c r="CP74" i="10"/>
  <c r="CP75" i="10"/>
  <c r="CR74" i="10"/>
  <c r="CR75" i="10"/>
  <c r="CR46" i="10"/>
  <c r="CR71" i="10" s="1"/>
  <c r="CR73" i="10"/>
  <c r="DS61" i="10"/>
  <c r="DS71" i="10" s="1"/>
  <c r="DS73" i="10"/>
  <c r="DS75" i="10"/>
  <c r="DS74" i="10"/>
  <c r="DU75" i="10"/>
  <c r="DU46" i="10"/>
  <c r="DU71" i="10" s="1"/>
  <c r="DU73" i="10"/>
  <c r="DU74" i="10"/>
  <c r="DW46" i="10"/>
  <c r="DW71" i="10" s="1"/>
  <c r="DW73" i="10"/>
  <c r="DW74" i="10"/>
  <c r="DW75" i="10"/>
  <c r="DY73" i="10"/>
  <c r="DY46" i="10"/>
  <c r="DY71" i="10" s="1"/>
  <c r="DY74" i="10"/>
  <c r="DY75" i="10"/>
  <c r="EA46" i="10"/>
  <c r="EA71" i="10" s="1"/>
  <c r="EA73" i="10"/>
  <c r="EA74" i="10"/>
  <c r="EA75" i="10"/>
  <c r="EC73" i="10"/>
  <c r="EC46" i="10"/>
  <c r="EC71" i="10" s="1"/>
  <c r="EC74" i="10"/>
  <c r="EC75" i="10"/>
  <c r="ED73" i="10"/>
  <c r="ED46" i="10"/>
  <c r="ED71" i="10" s="1"/>
  <c r="ED74" i="10"/>
  <c r="ED75" i="10"/>
  <c r="EF46" i="10"/>
  <c r="EF71" i="10" s="1"/>
  <c r="EF73" i="10"/>
  <c r="EF74" i="10"/>
  <c r="EF75" i="10"/>
  <c r="EH74" i="10"/>
  <c r="EH73" i="10"/>
  <c r="EH46" i="10"/>
  <c r="EH71" i="10" s="1"/>
  <c r="EH75" i="10"/>
  <c r="EJ75" i="10"/>
  <c r="EJ46" i="10"/>
  <c r="EJ71" i="10" s="1"/>
  <c r="EJ73" i="10"/>
  <c r="EJ74" i="10"/>
  <c r="EL46" i="10"/>
  <c r="EL71" i="10" s="1"/>
  <c r="EL73" i="10"/>
  <c r="EL74" i="10"/>
  <c r="EL75" i="10"/>
  <c r="EN74" i="10"/>
  <c r="EN46" i="10"/>
  <c r="EN71" i="10" s="1"/>
  <c r="EN73" i="10"/>
  <c r="EN75" i="10"/>
  <c r="EO46" i="10"/>
  <c r="EO71" i="10" s="1"/>
  <c r="EO73" i="10"/>
  <c r="EO74" i="10"/>
  <c r="EO75" i="10"/>
  <c r="CX74" i="10"/>
  <c r="CX75" i="10"/>
  <c r="CX73" i="10"/>
  <c r="CX46" i="10"/>
  <c r="CX71" i="10" s="1"/>
  <c r="E111" i="10"/>
  <c r="DV111" i="10"/>
  <c r="DW111" i="10" s="1"/>
  <c r="DX111" i="10" s="1"/>
  <c r="DY111" i="10" s="1"/>
  <c r="DZ111" i="10" s="1"/>
  <c r="EA111" i="10" s="1"/>
  <c r="EB111" i="10" s="1"/>
  <c r="EC111" i="10" s="1"/>
  <c r="ED111" i="10" s="1"/>
  <c r="EE111" i="10" s="1"/>
  <c r="EF111" i="10" s="1"/>
  <c r="EG111" i="10" s="1"/>
  <c r="EH111" i="10" s="1"/>
  <c r="EI111" i="10" s="1"/>
  <c r="EJ111" i="10" s="1"/>
  <c r="EK111" i="10" s="1"/>
  <c r="EL111" i="10" s="1"/>
  <c r="EM111" i="10" s="1"/>
  <c r="EN111" i="10" s="1"/>
  <c r="EO111" i="10" s="1"/>
  <c r="EP111" i="10" s="1"/>
  <c r="EQ111" i="10" s="1"/>
  <c r="ER111" i="10" s="1"/>
  <c r="ES111" i="10" s="1"/>
  <c r="BE251" i="10"/>
  <c r="AS251" i="10"/>
  <c r="E86" i="10"/>
  <c r="E87" i="10"/>
  <c r="EL251" i="10"/>
  <c r="AF251" i="10"/>
  <c r="AY251" i="10"/>
  <c r="BU251" i="10"/>
  <c r="DD251" i="10"/>
  <c r="CO251" i="10"/>
  <c r="EF251" i="10"/>
  <c r="DG251" i="10"/>
  <c r="BW251" i="10"/>
  <c r="DE251" i="10"/>
  <c r="CO95" i="10"/>
  <c r="DM251" i="10"/>
  <c r="AG251" i="10"/>
  <c r="AV251" i="10"/>
  <c r="CJ95" i="10"/>
  <c r="J117" i="12"/>
  <c r="G117" i="12"/>
  <c r="AO95" i="10"/>
  <c r="AW95" i="10"/>
  <c r="EG95" i="10"/>
  <c r="DX95" i="10"/>
  <c r="DV95" i="10"/>
  <c r="DL95" i="10"/>
  <c r="M117" i="12"/>
  <c r="DS251" i="10"/>
  <c r="BL251" i="10"/>
  <c r="BQ251" i="10"/>
  <c r="L117" i="12"/>
  <c r="D27" i="11"/>
  <c r="C56" i="12"/>
  <c r="C49" i="12"/>
  <c r="S95" i="10"/>
  <c r="AC251" i="10"/>
  <c r="AO251" i="10"/>
  <c r="O150" i="12"/>
  <c r="M150" i="12"/>
  <c r="K150" i="12"/>
  <c r="DB251" i="10"/>
  <c r="DI251" i="10"/>
  <c r="CQ95" i="10"/>
  <c r="Q73" i="10"/>
  <c r="Q74" i="10"/>
  <c r="Q75" i="10"/>
  <c r="Q46" i="10"/>
  <c r="Q71" i="10" s="1"/>
  <c r="Q90" i="10"/>
  <c r="Q99" i="10" s="1"/>
  <c r="Q98" i="10"/>
  <c r="S98" i="10"/>
  <c r="S90" i="10"/>
  <c r="S99" i="10" s="1"/>
  <c r="S73" i="10"/>
  <c r="S75" i="10"/>
  <c r="S46" i="10"/>
  <c r="S71" i="10" s="1"/>
  <c r="S74" i="10"/>
  <c r="X46" i="10"/>
  <c r="X71" i="10" s="1"/>
  <c r="X74" i="10"/>
  <c r="X75" i="10"/>
  <c r="X73" i="10"/>
  <c r="CR98" i="10"/>
  <c r="CR90" i="10"/>
  <c r="CR99" i="10" s="1"/>
  <c r="CT98" i="10"/>
  <c r="CT90" i="10"/>
  <c r="CT99" i="10" s="1"/>
  <c r="CT74" i="10"/>
  <c r="CT46" i="10"/>
  <c r="CT71" i="10" s="1"/>
  <c r="CT73" i="10"/>
  <c r="CT75" i="10"/>
  <c r="CV46" i="10"/>
  <c r="CV71" i="10" s="1"/>
  <c r="CV73" i="10"/>
  <c r="CV74" i="10"/>
  <c r="CV75" i="10"/>
  <c r="DJ90" i="10"/>
  <c r="DJ99" i="10" s="1"/>
  <c r="DJ98" i="10"/>
  <c r="DK74" i="10"/>
  <c r="DK46" i="10"/>
  <c r="DK71" i="10" s="1"/>
  <c r="DK73" i="10"/>
  <c r="DK75" i="10"/>
  <c r="AU50" i="10"/>
  <c r="AU71" i="10" s="1"/>
  <c r="AU73" i="10"/>
  <c r="AU74" i="10"/>
  <c r="AU75" i="10"/>
  <c r="BW47" i="10"/>
  <c r="BW71" i="10" s="1"/>
  <c r="BW73" i="10"/>
  <c r="BW74" i="10"/>
  <c r="BW75" i="10"/>
  <c r="BW90" i="10"/>
  <c r="BW99" i="10" s="1"/>
  <c r="BW98" i="10"/>
  <c r="CD73" i="10"/>
  <c r="CD46" i="10"/>
  <c r="CD71" i="10" s="1"/>
  <c r="CD75" i="10"/>
  <c r="CD74" i="10"/>
  <c r="I66" i="10"/>
  <c r="I71" i="10" s="1"/>
  <c r="I75" i="10"/>
  <c r="I74" i="10"/>
  <c r="I73" i="10"/>
  <c r="BN251" i="10"/>
  <c r="BB95" i="10"/>
  <c r="DZ95" i="10"/>
  <c r="G144" i="10"/>
  <c r="G145" i="10" s="1"/>
  <c r="G140" i="10"/>
  <c r="E118" i="10"/>
  <c r="DV118" i="10"/>
  <c r="DW118" i="10" s="1"/>
  <c r="DX118" i="10" s="1"/>
  <c r="DY118" i="10" s="1"/>
  <c r="DZ118" i="10" s="1"/>
  <c r="EA118" i="10" s="1"/>
  <c r="EB118" i="10" s="1"/>
  <c r="EC118" i="10" s="1"/>
  <c r="ED118" i="10" s="1"/>
  <c r="EE118" i="10" s="1"/>
  <c r="EF118" i="10" s="1"/>
  <c r="EG118" i="10" s="1"/>
  <c r="EH118" i="10" s="1"/>
  <c r="EI118" i="10" s="1"/>
  <c r="EJ118" i="10" s="1"/>
  <c r="EK118" i="10" s="1"/>
  <c r="EL118" i="10" s="1"/>
  <c r="EM118" i="10" s="1"/>
  <c r="EN118" i="10" s="1"/>
  <c r="EO118" i="10" s="1"/>
  <c r="EP118" i="10" s="1"/>
  <c r="EQ118" i="10" s="1"/>
  <c r="ER118" i="10" s="1"/>
  <c r="ES118" i="10" s="1"/>
  <c r="F137" i="10"/>
  <c r="F146" i="10"/>
  <c r="E136" i="10"/>
  <c r="G124" i="10"/>
  <c r="G126" i="10"/>
  <c r="G128" i="10"/>
  <c r="G130" i="10"/>
  <c r="G132" i="10"/>
  <c r="G134" i="10"/>
  <c r="E292" i="10"/>
  <c r="F293" i="10"/>
  <c r="G280" i="10"/>
  <c r="G282" i="10"/>
  <c r="G284" i="10"/>
  <c r="G286" i="10"/>
  <c r="G288" i="10"/>
  <c r="G290" i="10"/>
  <c r="K230" i="10"/>
  <c r="K229" i="10"/>
  <c r="K231" i="10"/>
  <c r="K202" i="10"/>
  <c r="K227" i="10" s="1"/>
  <c r="K254" i="10"/>
  <c r="K246" i="10"/>
  <c r="K255" i="10" s="1"/>
  <c r="O230" i="10"/>
  <c r="O231" i="10"/>
  <c r="O229" i="10"/>
  <c r="O202" i="10"/>
  <c r="O227" i="10" s="1"/>
  <c r="O254" i="10"/>
  <c r="O246" i="10"/>
  <c r="O255" i="10" s="1"/>
  <c r="S254" i="10"/>
  <c r="S246" i="10"/>
  <c r="S255" i="10" s="1"/>
  <c r="S230" i="10"/>
  <c r="S229" i="10"/>
  <c r="S231" i="10"/>
  <c r="S202" i="10"/>
  <c r="S227" i="10" s="1"/>
  <c r="Y230" i="10"/>
  <c r="Y229" i="10"/>
  <c r="Y231" i="10"/>
  <c r="Y202" i="10"/>
  <c r="Y227" i="10" s="1"/>
  <c r="Y254" i="10"/>
  <c r="Y246" i="10"/>
  <c r="Y255" i="10" s="1"/>
  <c r="AC231" i="10"/>
  <c r="AC230" i="10"/>
  <c r="AC229" i="10"/>
  <c r="AC202" i="10"/>
  <c r="AC227" i="10" s="1"/>
  <c r="AC254" i="10"/>
  <c r="AC246" i="10"/>
  <c r="AC255" i="10" s="1"/>
  <c r="AJ230" i="10"/>
  <c r="AJ229" i="10"/>
  <c r="AJ231" i="10"/>
  <c r="AJ202" i="10"/>
  <c r="AJ227" i="10" s="1"/>
  <c r="AJ254" i="10"/>
  <c r="AJ246" i="10"/>
  <c r="AJ255" i="10" s="1"/>
  <c r="AP267" i="10"/>
  <c r="G47" i="12"/>
  <c r="AP254" i="10"/>
  <c r="AP246" i="10"/>
  <c r="AP255" i="10" s="1"/>
  <c r="AP212" i="10"/>
  <c r="G81" i="12"/>
  <c r="AP223" i="10"/>
  <c r="G92" i="12"/>
  <c r="AP220" i="10"/>
  <c r="G89" i="12"/>
  <c r="AP224" i="10"/>
  <c r="G93" i="12"/>
  <c r="AP222" i="10"/>
  <c r="G91" i="12"/>
  <c r="AP221" i="10"/>
  <c r="G90" i="12"/>
  <c r="AP214" i="10"/>
  <c r="G83" i="12"/>
  <c r="AP210" i="10"/>
  <c r="G79" i="12"/>
  <c r="AP208" i="10"/>
  <c r="G77" i="12"/>
  <c r="AP203" i="10"/>
  <c r="G72" i="12"/>
  <c r="AP217" i="10"/>
  <c r="G86" i="12"/>
  <c r="AP215" i="10"/>
  <c r="G84" i="12"/>
  <c r="AP207" i="10"/>
  <c r="G76" i="12"/>
  <c r="AP206" i="10"/>
  <c r="G75" i="12"/>
  <c r="AP205" i="10"/>
  <c r="G74" i="12"/>
  <c r="AP219" i="10"/>
  <c r="G88" i="12"/>
  <c r="AP213" i="10"/>
  <c r="G82" i="12"/>
  <c r="AP218" i="10"/>
  <c r="G87" i="12"/>
  <c r="AP216" i="10"/>
  <c r="G85" i="12"/>
  <c r="AP211" i="10"/>
  <c r="G80" i="12"/>
  <c r="AP209" i="10"/>
  <c r="G78" i="12"/>
  <c r="AP204" i="10"/>
  <c r="G73" i="12"/>
  <c r="AP230" i="10"/>
  <c r="AP229" i="10"/>
  <c r="AP231" i="10"/>
  <c r="G71" i="12"/>
  <c r="AP202" i="10"/>
  <c r="AP226" i="10"/>
  <c r="G95" i="12"/>
  <c r="AP225" i="10"/>
  <c r="G94" i="12"/>
  <c r="AS231" i="10"/>
  <c r="AS230" i="10"/>
  <c r="AS229" i="10"/>
  <c r="AS202" i="10"/>
  <c r="AS227" i="10" s="1"/>
  <c r="AS254" i="10"/>
  <c r="AS246" i="10"/>
  <c r="AS255" i="10" s="1"/>
  <c r="BA231" i="10"/>
  <c r="BA230" i="10"/>
  <c r="BA229" i="10"/>
  <c r="BA202" i="10"/>
  <c r="BA227" i="10" s="1"/>
  <c r="BA254" i="10"/>
  <c r="BA246" i="10"/>
  <c r="BA255" i="10" s="1"/>
  <c r="BC231" i="10"/>
  <c r="BC229" i="10"/>
  <c r="BC230" i="10"/>
  <c r="BC202" i="10"/>
  <c r="BC227" i="10" s="1"/>
  <c r="BC254" i="10"/>
  <c r="BC246" i="10"/>
  <c r="BC255" i="10" s="1"/>
  <c r="BE231" i="10"/>
  <c r="BE230" i="10"/>
  <c r="BE229" i="10"/>
  <c r="BE202" i="10"/>
  <c r="BE227" i="10" s="1"/>
  <c r="BE254" i="10"/>
  <c r="BE246" i="10"/>
  <c r="BE255" i="10" s="1"/>
  <c r="BK254" i="10"/>
  <c r="BK246" i="10"/>
  <c r="BK255" i="10" s="1"/>
  <c r="BK230" i="10"/>
  <c r="BK231" i="10"/>
  <c r="BK229" i="10"/>
  <c r="BK202" i="10"/>
  <c r="BK227" i="10" s="1"/>
  <c r="BO230" i="10"/>
  <c r="BO231" i="10"/>
  <c r="BO229" i="10"/>
  <c r="BO202" i="10"/>
  <c r="BO227" i="10" s="1"/>
  <c r="BO254" i="10"/>
  <c r="BO246" i="10"/>
  <c r="BO255" i="10" s="1"/>
  <c r="BS230" i="10"/>
  <c r="BS229" i="10"/>
  <c r="BS231" i="10"/>
  <c r="BS202" i="10"/>
  <c r="BS227" i="10" s="1"/>
  <c r="BS254" i="10"/>
  <c r="BS246" i="10"/>
  <c r="BS255" i="10" s="1"/>
  <c r="BV230" i="10"/>
  <c r="BV229" i="10"/>
  <c r="BV231" i="10"/>
  <c r="BV202" i="10"/>
  <c r="BV227" i="10" s="1"/>
  <c r="BV254" i="10"/>
  <c r="BV246" i="10"/>
  <c r="BV255" i="10" s="1"/>
  <c r="CA230" i="10"/>
  <c r="CA231" i="10"/>
  <c r="CA229" i="10"/>
  <c r="CA202" i="10"/>
  <c r="CA227" i="10" s="1"/>
  <c r="CA254" i="10"/>
  <c r="CA246" i="10"/>
  <c r="CA255" i="10" s="1"/>
  <c r="CC231" i="10"/>
  <c r="CC230" i="10"/>
  <c r="CC229" i="10"/>
  <c r="CC202" i="10"/>
  <c r="CC227" i="10" s="1"/>
  <c r="CC254" i="10"/>
  <c r="CC246" i="10"/>
  <c r="CC255" i="10" s="1"/>
  <c r="CG229" i="10"/>
  <c r="CG231" i="10"/>
  <c r="CG230" i="10"/>
  <c r="CG202" i="10"/>
  <c r="CG227" i="10" s="1"/>
  <c r="CG254" i="10"/>
  <c r="CG246" i="10"/>
  <c r="CG255" i="10" s="1"/>
  <c r="CM254" i="10"/>
  <c r="CM246" i="10"/>
  <c r="CM255" i="10" s="1"/>
  <c r="CM231" i="10"/>
  <c r="CM229" i="10"/>
  <c r="CM230" i="10"/>
  <c r="CM202" i="10"/>
  <c r="CM227" i="10" s="1"/>
  <c r="CR231" i="10"/>
  <c r="CR230" i="10"/>
  <c r="CR229" i="10"/>
  <c r="CR202" i="10"/>
  <c r="CR227" i="10" s="1"/>
  <c r="CR254" i="10"/>
  <c r="CR246" i="10"/>
  <c r="CR255" i="10" s="1"/>
  <c r="CU254" i="10"/>
  <c r="CU246" i="10"/>
  <c r="CU255" i="10" s="1"/>
  <c r="CU230" i="10"/>
  <c r="CU231" i="10"/>
  <c r="CU229" i="10"/>
  <c r="CU202" i="10"/>
  <c r="CU227" i="10" s="1"/>
  <c r="CW230" i="10"/>
  <c r="CW229" i="10"/>
  <c r="CW231" i="10"/>
  <c r="CW202" i="10"/>
  <c r="CW227" i="10" s="1"/>
  <c r="CW254" i="10"/>
  <c r="CW246" i="10"/>
  <c r="CW255" i="10" s="1"/>
  <c r="DB254" i="10"/>
  <c r="DB246" i="10"/>
  <c r="DB255" i="10" s="1"/>
  <c r="DB231" i="10"/>
  <c r="DB230" i="10"/>
  <c r="DB229" i="10"/>
  <c r="DB202" i="10"/>
  <c r="DB227" i="10" s="1"/>
  <c r="DH254" i="10"/>
  <c r="DH246" i="10"/>
  <c r="DH255" i="10" s="1"/>
  <c r="DH230" i="10"/>
  <c r="DH231" i="10"/>
  <c r="DH229" i="10"/>
  <c r="DH202" i="10"/>
  <c r="DH227" i="10" s="1"/>
  <c r="DK254" i="10"/>
  <c r="DK246" i="10"/>
  <c r="DK255" i="10" s="1"/>
  <c r="DK230" i="10"/>
  <c r="DK231" i="10"/>
  <c r="DK229" i="10"/>
  <c r="DK202" i="10"/>
  <c r="DK227" i="10" s="1"/>
  <c r="DQ254" i="10"/>
  <c r="DQ246" i="10"/>
  <c r="DQ255" i="10" s="1"/>
  <c r="DQ231" i="10"/>
  <c r="DQ230" i="10"/>
  <c r="DQ229" i="10"/>
  <c r="DQ202" i="10"/>
  <c r="DQ227" i="10" s="1"/>
  <c r="DS254" i="10"/>
  <c r="DS246" i="10"/>
  <c r="DS255" i="10" s="1"/>
  <c r="DS231" i="10"/>
  <c r="DS230" i="10"/>
  <c r="DS229" i="10"/>
  <c r="DS202" i="10"/>
  <c r="DS227" i="10" s="1"/>
  <c r="DV206" i="10"/>
  <c r="N75" i="12"/>
  <c r="DV204" i="10"/>
  <c r="N73" i="12"/>
  <c r="DV221" i="10"/>
  <c r="N90" i="12"/>
  <c r="DV220" i="10"/>
  <c r="N89" i="12"/>
  <c r="DV219" i="10"/>
  <c r="N88" i="12"/>
  <c r="DV207" i="10"/>
  <c r="N76" i="12"/>
  <c r="DV218" i="10"/>
  <c r="N87" i="12"/>
  <c r="DV217" i="10"/>
  <c r="N86" i="12"/>
  <c r="DV210" i="10"/>
  <c r="N79" i="12"/>
  <c r="DV222" i="10"/>
  <c r="N91" i="12"/>
  <c r="DV213" i="10"/>
  <c r="N82" i="12"/>
  <c r="DV212" i="10"/>
  <c r="N81" i="12"/>
  <c r="DV211" i="10"/>
  <c r="N80" i="12"/>
  <c r="DV209" i="10"/>
  <c r="N78" i="12"/>
  <c r="DV215" i="10"/>
  <c r="N84" i="12"/>
  <c r="DV214" i="10"/>
  <c r="N83" i="12"/>
  <c r="DV203" i="10"/>
  <c r="N72" i="12"/>
  <c r="DV229" i="10"/>
  <c r="DV231" i="10"/>
  <c r="DV230" i="10"/>
  <c r="N71" i="12"/>
  <c r="DV202" i="10"/>
  <c r="DV223" i="10"/>
  <c r="N92" i="12"/>
  <c r="DV216" i="10"/>
  <c r="N85" i="12"/>
  <c r="DV208" i="10"/>
  <c r="N77" i="12"/>
  <c r="DV205" i="10"/>
  <c r="N74" i="12"/>
  <c r="DV226" i="10"/>
  <c r="N95" i="12"/>
  <c r="DV225" i="10"/>
  <c r="N94" i="12"/>
  <c r="DV224" i="10"/>
  <c r="N93" i="12"/>
  <c r="DV254" i="10"/>
  <c r="DV246" i="10"/>
  <c r="DV255" i="10" s="1"/>
  <c r="EA230" i="10"/>
  <c r="EA229" i="10"/>
  <c r="EA231" i="10"/>
  <c r="EA202" i="10"/>
  <c r="EA227" i="10" s="1"/>
  <c r="EA254" i="10"/>
  <c r="EA246" i="10"/>
  <c r="EA255" i="10" s="1"/>
  <c r="EG254" i="10"/>
  <c r="EG246" i="10"/>
  <c r="EG255" i="10" s="1"/>
  <c r="EG230" i="10"/>
  <c r="EG229" i="10"/>
  <c r="EG231" i="10"/>
  <c r="EG202" i="10"/>
  <c r="EG227" i="10" s="1"/>
  <c r="EL254" i="10"/>
  <c r="EL246" i="10"/>
  <c r="EL255" i="10" s="1"/>
  <c r="EL230" i="10"/>
  <c r="EL229" i="10"/>
  <c r="EL231" i="10"/>
  <c r="EL202" i="10"/>
  <c r="EL227" i="10" s="1"/>
  <c r="EP230" i="10"/>
  <c r="EP229" i="10"/>
  <c r="EP231" i="10"/>
  <c r="EP202" i="10"/>
  <c r="EP227" i="10" s="1"/>
  <c r="EP254" i="10"/>
  <c r="EP246" i="10"/>
  <c r="EP255" i="10" s="1"/>
  <c r="ES230" i="10"/>
  <c r="ES229" i="10"/>
  <c r="ES231" i="10"/>
  <c r="ES202" i="10"/>
  <c r="ES227" i="10" s="1"/>
  <c r="ES254" i="10"/>
  <c r="ES246" i="10"/>
  <c r="ES255" i="10" s="1"/>
  <c r="G254" i="10"/>
  <c r="G246" i="10"/>
  <c r="G255" i="10" s="1"/>
  <c r="G230" i="10"/>
  <c r="G229" i="10"/>
  <c r="G231" i="10"/>
  <c r="G202" i="10"/>
  <c r="G227" i="10" s="1"/>
  <c r="I254" i="10"/>
  <c r="I246" i="10"/>
  <c r="I255" i="10" s="1"/>
  <c r="I230" i="10"/>
  <c r="I229" i="10"/>
  <c r="I231" i="10"/>
  <c r="I202" i="10"/>
  <c r="I227" i="10" s="1"/>
  <c r="N231" i="10"/>
  <c r="N230" i="10"/>
  <c r="N229" i="10"/>
  <c r="N202" i="10"/>
  <c r="N227" i="10" s="1"/>
  <c r="N254" i="10"/>
  <c r="N246" i="10"/>
  <c r="N255" i="10" s="1"/>
  <c r="U229" i="10"/>
  <c r="U231" i="10"/>
  <c r="U230" i="10"/>
  <c r="U202" i="10"/>
  <c r="U227" i="10" s="1"/>
  <c r="U254" i="10"/>
  <c r="U246" i="10"/>
  <c r="U255" i="10" s="1"/>
  <c r="Z254" i="10"/>
  <c r="Z246" i="10"/>
  <c r="Z255" i="10" s="1"/>
  <c r="Z231" i="10"/>
  <c r="Z230" i="10"/>
  <c r="Z229" i="10"/>
  <c r="Z202" i="10"/>
  <c r="Z227" i="10" s="1"/>
  <c r="AF230" i="10"/>
  <c r="AF229" i="10"/>
  <c r="AF231" i="10"/>
  <c r="AF202" i="10"/>
  <c r="AF227" i="10" s="1"/>
  <c r="AF254" i="10"/>
  <c r="AF246" i="10"/>
  <c r="AF255" i="10" s="1"/>
  <c r="AI254" i="10"/>
  <c r="AI246" i="10"/>
  <c r="AI255" i="10" s="1"/>
  <c r="AI230" i="10"/>
  <c r="AI229" i="10"/>
  <c r="AI231" i="10"/>
  <c r="AI202" i="10"/>
  <c r="AI227" i="10" s="1"/>
  <c r="AO231" i="10"/>
  <c r="AO230" i="10"/>
  <c r="AO229" i="10"/>
  <c r="AO202" i="10"/>
  <c r="AO227" i="10" s="1"/>
  <c r="AO254" i="10"/>
  <c r="AO246" i="10"/>
  <c r="AO255" i="10" s="1"/>
  <c r="AT230" i="10"/>
  <c r="AT229" i="10"/>
  <c r="AT231" i="10"/>
  <c r="AT202" i="10"/>
  <c r="AT227" i="10" s="1"/>
  <c r="AT254" i="10"/>
  <c r="AT246" i="10"/>
  <c r="AT255" i="10" s="1"/>
  <c r="AW254" i="10"/>
  <c r="AW246" i="10"/>
  <c r="AW255" i="10" s="1"/>
  <c r="AW231" i="10"/>
  <c r="AW230" i="10"/>
  <c r="AW229" i="10"/>
  <c r="AW202" i="10"/>
  <c r="AW227" i="10" s="1"/>
  <c r="BL231" i="10"/>
  <c r="BL230" i="10"/>
  <c r="BL229" i="10"/>
  <c r="BL202" i="10"/>
  <c r="BL227" i="10" s="1"/>
  <c r="BL254" i="10"/>
  <c r="BL246" i="10"/>
  <c r="BL255" i="10" s="1"/>
  <c r="BQ230" i="10"/>
  <c r="BQ231" i="10"/>
  <c r="BQ229" i="10"/>
  <c r="BQ202" i="10"/>
  <c r="BQ227" i="10" s="1"/>
  <c r="BQ254" i="10"/>
  <c r="BQ246" i="10"/>
  <c r="BQ255" i="10" s="1"/>
  <c r="BY229" i="10"/>
  <c r="BY231" i="10"/>
  <c r="BY230" i="10"/>
  <c r="BY202" i="10"/>
  <c r="BY227" i="10" s="1"/>
  <c r="BY254" i="10"/>
  <c r="BY246" i="10"/>
  <c r="BY255" i="10" s="1"/>
  <c r="CI230" i="10"/>
  <c r="CI231" i="10"/>
  <c r="CI229" i="10"/>
  <c r="CI202" i="10"/>
  <c r="CI227" i="10" s="1"/>
  <c r="CI254" i="10"/>
  <c r="CI246" i="10"/>
  <c r="CI255" i="10" s="1"/>
  <c r="CJ230" i="10"/>
  <c r="CJ229" i="10"/>
  <c r="CJ231" i="10"/>
  <c r="CJ202" i="10"/>
  <c r="CJ227" i="10" s="1"/>
  <c r="CJ254" i="10"/>
  <c r="CJ246" i="10"/>
  <c r="CJ255" i="10" s="1"/>
  <c r="CN231" i="10"/>
  <c r="CN230" i="10"/>
  <c r="CN229" i="10"/>
  <c r="CN202" i="10"/>
  <c r="CN227" i="10" s="1"/>
  <c r="CN254" i="10"/>
  <c r="CN246" i="10"/>
  <c r="CN255" i="10" s="1"/>
  <c r="CV229" i="10"/>
  <c r="CV231" i="10"/>
  <c r="CV230" i="10"/>
  <c r="CV202" i="10"/>
  <c r="CV227" i="10" s="1"/>
  <c r="CV254" i="10"/>
  <c r="CV246" i="10"/>
  <c r="CV255" i="10" s="1"/>
  <c r="CZ231" i="10"/>
  <c r="CZ229" i="10"/>
  <c r="CZ230" i="10"/>
  <c r="CZ202" i="10"/>
  <c r="CZ227" i="10" s="1"/>
  <c r="CZ254" i="10"/>
  <c r="CZ246" i="10"/>
  <c r="CZ255" i="10" s="1"/>
  <c r="DI231" i="10"/>
  <c r="DI230" i="10"/>
  <c r="DI229" i="10"/>
  <c r="DI202" i="10"/>
  <c r="DI227" i="10" s="1"/>
  <c r="DI254" i="10"/>
  <c r="DI246" i="10"/>
  <c r="DI255" i="10" s="1"/>
  <c r="DJ254" i="10"/>
  <c r="DJ246" i="10"/>
  <c r="DJ255" i="10" s="1"/>
  <c r="DJ206" i="10"/>
  <c r="M75" i="12"/>
  <c r="DJ221" i="10"/>
  <c r="M90" i="12"/>
  <c r="DJ219" i="10"/>
  <c r="M88" i="12"/>
  <c r="DJ211" i="10"/>
  <c r="M80" i="12"/>
  <c r="DJ212" i="10"/>
  <c r="M81" i="12"/>
  <c r="DJ207" i="10"/>
  <c r="M76" i="12"/>
  <c r="DJ213" i="10"/>
  <c r="M82" i="12"/>
  <c r="DJ223" i="10"/>
  <c r="M92" i="12"/>
  <c r="DJ218" i="10"/>
  <c r="M87" i="12"/>
  <c r="DJ216" i="10"/>
  <c r="M85" i="12"/>
  <c r="DJ204" i="10"/>
  <c r="M73" i="12"/>
  <c r="DJ203" i="10"/>
  <c r="M72" i="12"/>
  <c r="DJ226" i="10"/>
  <c r="M95" i="12"/>
  <c r="DJ210" i="10"/>
  <c r="M79" i="12"/>
  <c r="DJ214" i="10"/>
  <c r="M83" i="12"/>
  <c r="DJ208" i="10"/>
  <c r="M77" i="12"/>
  <c r="DJ205" i="10"/>
  <c r="M74" i="12"/>
  <c r="DJ222" i="10"/>
  <c r="M91" i="12"/>
  <c r="DJ215" i="10"/>
  <c r="M84" i="12"/>
  <c r="DJ220" i="10"/>
  <c r="M89" i="12"/>
  <c r="DJ217" i="10"/>
  <c r="M86" i="12"/>
  <c r="DJ209" i="10"/>
  <c r="M78" i="12"/>
  <c r="DJ229" i="10"/>
  <c r="DJ231" i="10"/>
  <c r="DJ230" i="10"/>
  <c r="M71" i="12"/>
  <c r="DJ202" i="10"/>
  <c r="DJ225" i="10"/>
  <c r="M94" i="12"/>
  <c r="DJ224" i="10"/>
  <c r="M93" i="12"/>
  <c r="DP230" i="10"/>
  <c r="DP231" i="10"/>
  <c r="DP229" i="10"/>
  <c r="DP202" i="10"/>
  <c r="DP227" i="10" s="1"/>
  <c r="DP254" i="10"/>
  <c r="DP246" i="10"/>
  <c r="DP255" i="10" s="1"/>
  <c r="DW231" i="10"/>
  <c r="DW229" i="10"/>
  <c r="DW230" i="10"/>
  <c r="DW202" i="10"/>
  <c r="DW227" i="10" s="1"/>
  <c r="DW254" i="10"/>
  <c r="DW246" i="10"/>
  <c r="DW255" i="10" s="1"/>
  <c r="DZ254" i="10"/>
  <c r="DZ246" i="10"/>
  <c r="DZ255" i="10" s="1"/>
  <c r="DZ230" i="10"/>
  <c r="DZ229" i="10"/>
  <c r="DZ231" i="10"/>
  <c r="DZ202" i="10"/>
  <c r="DZ227" i="10" s="1"/>
  <c r="EE231" i="10"/>
  <c r="EE230" i="10"/>
  <c r="EE229" i="10"/>
  <c r="EE202" i="10"/>
  <c r="EE227" i="10" s="1"/>
  <c r="EE254" i="10"/>
  <c r="EE246" i="10"/>
  <c r="EE255" i="10" s="1"/>
  <c r="EH254" i="10"/>
  <c r="EH246" i="10"/>
  <c r="EH255" i="10" s="1"/>
  <c r="EH204" i="10"/>
  <c r="O73" i="12"/>
  <c r="EH221" i="10"/>
  <c r="O90" i="12"/>
  <c r="EH220" i="10"/>
  <c r="O89" i="12"/>
  <c r="EH214" i="10"/>
  <c r="O83" i="12"/>
  <c r="EH210" i="10"/>
  <c r="O79" i="12"/>
  <c r="EH209" i="10"/>
  <c r="O78" i="12"/>
  <c r="EH206" i="10"/>
  <c r="O75" i="12"/>
  <c r="EH219" i="10"/>
  <c r="O88" i="12"/>
  <c r="EH216" i="10"/>
  <c r="O85" i="12"/>
  <c r="EH207" i="10"/>
  <c r="O76" i="12"/>
  <c r="EH217" i="10"/>
  <c r="O86" i="12"/>
  <c r="EH223" i="10"/>
  <c r="O92" i="12"/>
  <c r="EH218" i="10"/>
  <c r="O87" i="12"/>
  <c r="EH215" i="10"/>
  <c r="O84" i="12"/>
  <c r="EH213" i="10"/>
  <c r="O82" i="12"/>
  <c r="EH212" i="10"/>
  <c r="O81" i="12"/>
  <c r="EH203" i="10"/>
  <c r="O72" i="12"/>
  <c r="EH222" i="10"/>
  <c r="O91" i="12"/>
  <c r="EH211" i="10"/>
  <c r="O80" i="12"/>
  <c r="EH208" i="10"/>
  <c r="O77" i="12"/>
  <c r="EH205" i="10"/>
  <c r="O74" i="12"/>
  <c r="EH230" i="10"/>
  <c r="EH231" i="10"/>
  <c r="EH229" i="10"/>
  <c r="O71" i="12"/>
  <c r="EH202" i="10"/>
  <c r="EH226" i="10"/>
  <c r="O95" i="12"/>
  <c r="EH225" i="10"/>
  <c r="O94" i="12"/>
  <c r="EH224" i="10"/>
  <c r="O93" i="12"/>
  <c r="EK254" i="10"/>
  <c r="EK246" i="10"/>
  <c r="EK255" i="10" s="1"/>
  <c r="EK230" i="10"/>
  <c r="EK229" i="10"/>
  <c r="EK231" i="10"/>
  <c r="EK202" i="10"/>
  <c r="EK227" i="10" s="1"/>
  <c r="EQ231" i="10"/>
  <c r="EQ230" i="10"/>
  <c r="EQ229" i="10"/>
  <c r="EQ202" i="10"/>
  <c r="EQ227" i="10" s="1"/>
  <c r="EQ254" i="10"/>
  <c r="EQ246" i="10"/>
  <c r="EQ255" i="10" s="1"/>
  <c r="H229" i="10"/>
  <c r="H231" i="10"/>
  <c r="H230" i="10"/>
  <c r="H202" i="10"/>
  <c r="H227" i="10" s="1"/>
  <c r="H254" i="10"/>
  <c r="H246" i="10"/>
  <c r="H255" i="10" s="1"/>
  <c r="L229" i="10"/>
  <c r="L230" i="10"/>
  <c r="L231" i="10"/>
  <c r="L202" i="10"/>
  <c r="L227" i="10" s="1"/>
  <c r="L254" i="10"/>
  <c r="L246" i="10"/>
  <c r="L255" i="10" s="1"/>
  <c r="W230" i="10"/>
  <c r="W231" i="10"/>
  <c r="W229" i="10"/>
  <c r="W202" i="10"/>
  <c r="W227" i="10" s="1"/>
  <c r="W254" i="10"/>
  <c r="W16" i="11" s="1"/>
  <c r="W246" i="10"/>
  <c r="W255" i="10" s="1"/>
  <c r="W17" i="11" s="1"/>
  <c r="AA229" i="10"/>
  <c r="AA230" i="10"/>
  <c r="AA231" i="10"/>
  <c r="AA202" i="10"/>
  <c r="AA227" i="10" s="1"/>
  <c r="AA254" i="10"/>
  <c r="AA246" i="10"/>
  <c r="AA255" i="10" s="1"/>
  <c r="AD215" i="10"/>
  <c r="F84" i="12"/>
  <c r="AD221" i="10"/>
  <c r="F90" i="12"/>
  <c r="AD209" i="10"/>
  <c r="F78" i="12"/>
  <c r="AD231" i="10"/>
  <c r="AD229" i="10"/>
  <c r="AD230" i="10"/>
  <c r="F71" i="12"/>
  <c r="AD202" i="10"/>
  <c r="AD203" i="10"/>
  <c r="F72" i="12"/>
  <c r="AD214" i="10"/>
  <c r="F83" i="12"/>
  <c r="AD226" i="10"/>
  <c r="F95" i="12"/>
  <c r="AD222" i="10"/>
  <c r="F91" i="12"/>
  <c r="AD211" i="10"/>
  <c r="F80" i="12"/>
  <c r="AD217" i="10"/>
  <c r="F86" i="12"/>
  <c r="AD207" i="10"/>
  <c r="F76" i="12"/>
  <c r="AD210" i="10"/>
  <c r="F79" i="12"/>
  <c r="AD219" i="10"/>
  <c r="F88" i="12"/>
  <c r="AD224" i="10"/>
  <c r="F93" i="12"/>
  <c r="AD220" i="10"/>
  <c r="F89" i="12"/>
  <c r="AD213" i="10"/>
  <c r="F82" i="12"/>
  <c r="AD212" i="10"/>
  <c r="F81" i="12"/>
  <c r="AD208" i="10"/>
  <c r="F77" i="12"/>
  <c r="AD218" i="10"/>
  <c r="F87" i="12"/>
  <c r="AD204" i="10"/>
  <c r="F73" i="12"/>
  <c r="AD206" i="10"/>
  <c r="F75" i="12"/>
  <c r="AD223" i="10"/>
  <c r="F92" i="12"/>
  <c r="AD205" i="10"/>
  <c r="F74" i="12"/>
  <c r="AD216" i="10"/>
  <c r="F85" i="12"/>
  <c r="AD225" i="10"/>
  <c r="F94" i="12"/>
  <c r="AD267" i="10"/>
  <c r="F47" i="12"/>
  <c r="AD254" i="10"/>
  <c r="AD246" i="10"/>
  <c r="AD255" i="10" s="1"/>
  <c r="AH231" i="10"/>
  <c r="AH230" i="10"/>
  <c r="AH229" i="10"/>
  <c r="AH202" i="10"/>
  <c r="AH227" i="10" s="1"/>
  <c r="AH254" i="10"/>
  <c r="AH246" i="10"/>
  <c r="AH255" i="10" s="1"/>
  <c r="AL231" i="10"/>
  <c r="AL230" i="10"/>
  <c r="AL229" i="10"/>
  <c r="AL202" i="10"/>
  <c r="AL227" i="10" s="1"/>
  <c r="AL254" i="10"/>
  <c r="AL246" i="10"/>
  <c r="AL255" i="10" s="1"/>
  <c r="AU231" i="10"/>
  <c r="AU229" i="10"/>
  <c r="AU230" i="10"/>
  <c r="AU202" i="10"/>
  <c r="AU227" i="10" s="1"/>
  <c r="AU254" i="10"/>
  <c r="AU246" i="10"/>
  <c r="AU255" i="10" s="1"/>
  <c r="AY254" i="10"/>
  <c r="AY246" i="10"/>
  <c r="AY255" i="10" s="1"/>
  <c r="AY231" i="10"/>
  <c r="AY230" i="10"/>
  <c r="AY229" i="10"/>
  <c r="AY202" i="10"/>
  <c r="AY227" i="10" s="1"/>
  <c r="BF231" i="10"/>
  <c r="BF230" i="10"/>
  <c r="BF229" i="10"/>
  <c r="BF202" i="10"/>
  <c r="BF227" i="10" s="1"/>
  <c r="BF254" i="10"/>
  <c r="BF246" i="10"/>
  <c r="BF255" i="10" s="1"/>
  <c r="BH229" i="10"/>
  <c r="BH231" i="10"/>
  <c r="BH230" i="10"/>
  <c r="BH202" i="10"/>
  <c r="BH227" i="10" s="1"/>
  <c r="BH254" i="10"/>
  <c r="BH246" i="10"/>
  <c r="BH255" i="10" s="1"/>
  <c r="BU254" i="10"/>
  <c r="BU246" i="10"/>
  <c r="BU255" i="10" s="1"/>
  <c r="BU230" i="10"/>
  <c r="BU229" i="10"/>
  <c r="BU231" i="10"/>
  <c r="BU202" i="10"/>
  <c r="BU227" i="10" s="1"/>
  <c r="CK230" i="10"/>
  <c r="CK229" i="10"/>
  <c r="CK231" i="10"/>
  <c r="CK202" i="10"/>
  <c r="CK227" i="10" s="1"/>
  <c r="CK254" i="10"/>
  <c r="CK246" i="10"/>
  <c r="CK255" i="10" s="1"/>
  <c r="CQ229" i="10"/>
  <c r="CQ231" i="10"/>
  <c r="CQ230" i="10"/>
  <c r="CQ202" i="10"/>
  <c r="CQ227" i="10" s="1"/>
  <c r="CQ254" i="10"/>
  <c r="CQ246" i="10"/>
  <c r="CQ255" i="10" s="1"/>
  <c r="DF230" i="10"/>
  <c r="DF229" i="10"/>
  <c r="DF231" i="10"/>
  <c r="DF202" i="10"/>
  <c r="DF227" i="10" s="1"/>
  <c r="DF254" i="10"/>
  <c r="DF246" i="10"/>
  <c r="DF255" i="10" s="1"/>
  <c r="EB231" i="10"/>
  <c r="EB230" i="10"/>
  <c r="EB229" i="10"/>
  <c r="EB202" i="10"/>
  <c r="EB227" i="10" s="1"/>
  <c r="EB254" i="10"/>
  <c r="EB246" i="10"/>
  <c r="EB255" i="10" s="1"/>
  <c r="M230" i="10"/>
  <c r="M229" i="10"/>
  <c r="M231" i="10"/>
  <c r="M202" i="10"/>
  <c r="M227" i="10" s="1"/>
  <c r="M254" i="10"/>
  <c r="M246" i="10"/>
  <c r="M255" i="10" s="1"/>
  <c r="P230" i="10"/>
  <c r="P229" i="10"/>
  <c r="P231" i="10"/>
  <c r="P202" i="10"/>
  <c r="P227" i="10" s="1"/>
  <c r="P254" i="10"/>
  <c r="P246" i="10"/>
  <c r="P255" i="10" s="1"/>
  <c r="R267" i="10"/>
  <c r="E47" i="12"/>
  <c r="R254" i="10"/>
  <c r="R246" i="10"/>
  <c r="R255" i="10" s="1"/>
  <c r="R219" i="10"/>
  <c r="E88" i="12"/>
  <c r="R205" i="10"/>
  <c r="E74" i="12"/>
  <c r="R223" i="10"/>
  <c r="E92" i="12"/>
  <c r="R221" i="10"/>
  <c r="E90" i="12"/>
  <c r="R217" i="10"/>
  <c r="E86" i="12"/>
  <c r="R213" i="10"/>
  <c r="E82" i="12"/>
  <c r="R231" i="10"/>
  <c r="R230" i="10"/>
  <c r="R229" i="10"/>
  <c r="E71" i="12"/>
  <c r="R202" i="10"/>
  <c r="R216" i="10"/>
  <c r="E85" i="12"/>
  <c r="R211" i="10"/>
  <c r="E80" i="12"/>
  <c r="R208" i="10"/>
  <c r="E77" i="12"/>
  <c r="R218" i="10"/>
  <c r="E87" i="12"/>
  <c r="R212" i="10"/>
  <c r="E81" i="12"/>
  <c r="R209" i="10"/>
  <c r="E78" i="12"/>
  <c r="R207" i="10"/>
  <c r="E76" i="12"/>
  <c r="R222" i="10"/>
  <c r="E91" i="12"/>
  <c r="R220" i="10"/>
  <c r="E89" i="12"/>
  <c r="R214" i="10"/>
  <c r="E83" i="12"/>
  <c r="R206" i="10"/>
  <c r="E75" i="12"/>
  <c r="R215" i="10"/>
  <c r="E84" i="12"/>
  <c r="R210" i="10"/>
  <c r="E79" i="12"/>
  <c r="R224" i="10"/>
  <c r="E93" i="12"/>
  <c r="R204" i="10"/>
  <c r="E73" i="12"/>
  <c r="R203" i="10"/>
  <c r="E72" i="12"/>
  <c r="R226" i="10"/>
  <c r="E95" i="12"/>
  <c r="R225" i="10"/>
  <c r="E94" i="12"/>
  <c r="V230" i="10"/>
  <c r="V229" i="10"/>
  <c r="V231" i="10"/>
  <c r="V202" i="10"/>
  <c r="V227" i="10" s="1"/>
  <c r="V254" i="10"/>
  <c r="V246" i="10"/>
  <c r="V255" i="10" s="1"/>
  <c r="AB230" i="10"/>
  <c r="AB229" i="10"/>
  <c r="AB231" i="10"/>
  <c r="AB202" i="10"/>
  <c r="AB227" i="10" s="1"/>
  <c r="AB254" i="10"/>
  <c r="AB246" i="10"/>
  <c r="AB255" i="10" s="1"/>
  <c r="AK254" i="10"/>
  <c r="AK246" i="10"/>
  <c r="AK255" i="10" s="1"/>
  <c r="AK230" i="10"/>
  <c r="AK231" i="10"/>
  <c r="AK229" i="10"/>
  <c r="AK202" i="10"/>
  <c r="AK227" i="10" s="1"/>
  <c r="AN230" i="10"/>
  <c r="AN229" i="10"/>
  <c r="AN231" i="10"/>
  <c r="AN202" i="10"/>
  <c r="AN227" i="10" s="1"/>
  <c r="AN254" i="10"/>
  <c r="AN246" i="10"/>
  <c r="AN255" i="10" s="1"/>
  <c r="AR230" i="10"/>
  <c r="AR231" i="10"/>
  <c r="AR229" i="10"/>
  <c r="AR202" i="10"/>
  <c r="AR227" i="10" s="1"/>
  <c r="AR254" i="10"/>
  <c r="AR246" i="10"/>
  <c r="AR255" i="10" s="1"/>
  <c r="AX254" i="10"/>
  <c r="AX246" i="10"/>
  <c r="AX255" i="10" s="1"/>
  <c r="AX231" i="10"/>
  <c r="AX230" i="10"/>
  <c r="AX229" i="10"/>
  <c r="AX202" i="10"/>
  <c r="AX227" i="10" s="1"/>
  <c r="BB212" i="10"/>
  <c r="H81" i="12"/>
  <c r="BB224" i="10"/>
  <c r="H93" i="12"/>
  <c r="BB207" i="10"/>
  <c r="H76" i="12"/>
  <c r="BB221" i="10"/>
  <c r="H90" i="12"/>
  <c r="BB218" i="10"/>
  <c r="H87" i="12"/>
  <c r="BB215" i="10"/>
  <c r="H84" i="12"/>
  <c r="BB209" i="10"/>
  <c r="H78" i="12"/>
  <c r="BB204" i="10"/>
  <c r="H73" i="12"/>
  <c r="BB223" i="10"/>
  <c r="H92" i="12"/>
  <c r="BB214" i="10"/>
  <c r="H83" i="12"/>
  <c r="BB208" i="10"/>
  <c r="H77" i="12"/>
  <c r="BB230" i="10"/>
  <c r="BB229" i="10"/>
  <c r="BB231" i="10"/>
  <c r="H71" i="12"/>
  <c r="BB202" i="10"/>
  <c r="BB225" i="10"/>
  <c r="H94" i="12"/>
  <c r="BB213" i="10"/>
  <c r="H82" i="12"/>
  <c r="BB211" i="10"/>
  <c r="H80" i="12"/>
  <c r="BB222" i="10"/>
  <c r="H91" i="12"/>
  <c r="BB220" i="10"/>
  <c r="H89" i="12"/>
  <c r="BB217" i="10"/>
  <c r="H86" i="12"/>
  <c r="BB210" i="10"/>
  <c r="H79" i="12"/>
  <c r="BB206" i="10"/>
  <c r="H75" i="12"/>
  <c r="BB205" i="10"/>
  <c r="H74" i="12"/>
  <c r="BB216" i="10"/>
  <c r="H85" i="12"/>
  <c r="BB219" i="10"/>
  <c r="H88" i="12"/>
  <c r="BB203" i="10"/>
  <c r="H72" i="12"/>
  <c r="BB226" i="10"/>
  <c r="H95" i="12"/>
  <c r="BB267" i="10"/>
  <c r="H47" i="12"/>
  <c r="BB254" i="10"/>
  <c r="BB246" i="10"/>
  <c r="BB255" i="10" s="1"/>
  <c r="BG230" i="10"/>
  <c r="BG231" i="10"/>
  <c r="BG229" i="10"/>
  <c r="BG202" i="10"/>
  <c r="BG227" i="10" s="1"/>
  <c r="BG254" i="10"/>
  <c r="BG246" i="10"/>
  <c r="BG255" i="10" s="1"/>
  <c r="BI254" i="10"/>
  <c r="BI246" i="10"/>
  <c r="BI255" i="10" s="1"/>
  <c r="BI230" i="10"/>
  <c r="BI229" i="10"/>
  <c r="BI231" i="10"/>
  <c r="BI202" i="10"/>
  <c r="BI227" i="10" s="1"/>
  <c r="BN267" i="10"/>
  <c r="I47" i="12"/>
  <c r="BN254" i="10"/>
  <c r="BN246" i="10"/>
  <c r="BN255" i="10" s="1"/>
  <c r="BN206" i="10"/>
  <c r="I75" i="12"/>
  <c r="BN205" i="10"/>
  <c r="I74" i="12"/>
  <c r="BN229" i="10"/>
  <c r="BN231" i="10"/>
  <c r="BN230" i="10"/>
  <c r="I71" i="12"/>
  <c r="BN202" i="10"/>
  <c r="BN216" i="10"/>
  <c r="I85" i="12"/>
  <c r="BN211" i="10"/>
  <c r="I80" i="12"/>
  <c r="BN207" i="10"/>
  <c r="I76" i="12"/>
  <c r="BN221" i="10"/>
  <c r="I90" i="12"/>
  <c r="BN213" i="10"/>
  <c r="I82" i="12"/>
  <c r="BN204" i="10"/>
  <c r="I73" i="12"/>
  <c r="BN223" i="10"/>
  <c r="I92" i="12"/>
  <c r="BN222" i="10"/>
  <c r="I91" i="12"/>
  <c r="BN209" i="10"/>
  <c r="I78" i="12"/>
  <c r="BN224" i="10"/>
  <c r="I93" i="12"/>
  <c r="BN219" i="10"/>
  <c r="I88" i="12"/>
  <c r="BN218" i="10"/>
  <c r="I87" i="12"/>
  <c r="BN217" i="10"/>
  <c r="I86" i="12"/>
  <c r="BN215" i="10"/>
  <c r="I84" i="12"/>
  <c r="BN214" i="10"/>
  <c r="I83" i="12"/>
  <c r="BN212" i="10"/>
  <c r="I81" i="12"/>
  <c r="BN220" i="10"/>
  <c r="I89" i="12"/>
  <c r="BN210" i="10"/>
  <c r="I79" i="12"/>
  <c r="BN208" i="10"/>
  <c r="I77" i="12"/>
  <c r="BN203" i="10"/>
  <c r="I72" i="12"/>
  <c r="BN226" i="10"/>
  <c r="I95" i="12"/>
  <c r="BN225" i="10"/>
  <c r="I94" i="12"/>
  <c r="BT229" i="10"/>
  <c r="BT231" i="10"/>
  <c r="BT230" i="10"/>
  <c r="BT202" i="10"/>
  <c r="BT227" i="10" s="1"/>
  <c r="BT254" i="10"/>
  <c r="BT246" i="10"/>
  <c r="BT255" i="10" s="1"/>
  <c r="BX231" i="10"/>
  <c r="BX230" i="10"/>
  <c r="BX229" i="10"/>
  <c r="BX202" i="10"/>
  <c r="BX227" i="10" s="1"/>
  <c r="BX254" i="10"/>
  <c r="BX246" i="10"/>
  <c r="BX255" i="10" s="1"/>
  <c r="BZ207" i="10"/>
  <c r="J76" i="12"/>
  <c r="BZ222" i="10"/>
  <c r="J91" i="12"/>
  <c r="BZ219" i="10"/>
  <c r="J88" i="12"/>
  <c r="BZ217" i="10"/>
  <c r="J86" i="12"/>
  <c r="BZ223" i="10"/>
  <c r="J92" i="12"/>
  <c r="BZ221" i="10"/>
  <c r="J90" i="12"/>
  <c r="BZ215" i="10"/>
  <c r="J84" i="12"/>
  <c r="BZ214" i="10"/>
  <c r="J83" i="12"/>
  <c r="BZ213" i="10"/>
  <c r="J82" i="12"/>
  <c r="BZ212" i="10"/>
  <c r="J81" i="12"/>
  <c r="BZ209" i="10"/>
  <c r="J78" i="12"/>
  <c r="BZ208" i="10"/>
  <c r="J77" i="12"/>
  <c r="BZ231" i="10"/>
  <c r="BZ229" i="10"/>
  <c r="BZ230" i="10"/>
  <c r="J71" i="12"/>
  <c r="BZ202" i="10"/>
  <c r="BZ216" i="10"/>
  <c r="J85" i="12"/>
  <c r="BZ211" i="10"/>
  <c r="J80" i="12"/>
  <c r="BZ206" i="10"/>
  <c r="J75" i="12"/>
  <c r="BZ224" i="10"/>
  <c r="J93" i="12"/>
  <c r="BZ203" i="10"/>
  <c r="J72" i="12"/>
  <c r="BZ220" i="10"/>
  <c r="J89" i="12"/>
  <c r="BZ218" i="10"/>
  <c r="J87" i="12"/>
  <c r="BZ210" i="10"/>
  <c r="J79" i="12"/>
  <c r="BZ205" i="10"/>
  <c r="J74" i="12"/>
  <c r="BZ204" i="10"/>
  <c r="J73" i="12"/>
  <c r="BZ226" i="10"/>
  <c r="J95" i="12"/>
  <c r="BZ225" i="10"/>
  <c r="J94" i="12"/>
  <c r="BZ267" i="10"/>
  <c r="J47" i="12"/>
  <c r="BZ254" i="10"/>
  <c r="BZ246" i="10"/>
  <c r="BZ255" i="10" s="1"/>
  <c r="CD254" i="10"/>
  <c r="CD246" i="10"/>
  <c r="CD255" i="10" s="1"/>
  <c r="CD229" i="10"/>
  <c r="CD231" i="10"/>
  <c r="CD230" i="10"/>
  <c r="CD202" i="10"/>
  <c r="CD227" i="10" s="1"/>
  <c r="CH231" i="10"/>
  <c r="CH229" i="10"/>
  <c r="CH230" i="10"/>
  <c r="CH202" i="10"/>
  <c r="CH227" i="10" s="1"/>
  <c r="CH254" i="10"/>
  <c r="CH246" i="10"/>
  <c r="CH255" i="10" s="1"/>
  <c r="CT231" i="10"/>
  <c r="CT229" i="10"/>
  <c r="CT230" i="10"/>
  <c r="CT202" i="10"/>
  <c r="CT227" i="10" s="1"/>
  <c r="CT254" i="10"/>
  <c r="CT246" i="10"/>
  <c r="CT255" i="10" s="1"/>
  <c r="DA229" i="10"/>
  <c r="DA231" i="10"/>
  <c r="DA230" i="10"/>
  <c r="DA202" i="10"/>
  <c r="DA227" i="10" s="1"/>
  <c r="DA254" i="10"/>
  <c r="DA246" i="10"/>
  <c r="DA255" i="10" s="1"/>
  <c r="DD230" i="10"/>
  <c r="DD231" i="10"/>
  <c r="DD229" i="10"/>
  <c r="DD202" i="10"/>
  <c r="DD227" i="10" s="1"/>
  <c r="DD254" i="10"/>
  <c r="DD246" i="10"/>
  <c r="DD255" i="10" s="1"/>
  <c r="DG254" i="10"/>
  <c r="DG246" i="10"/>
  <c r="DG255" i="10" s="1"/>
  <c r="DG231" i="10"/>
  <c r="DG229" i="10"/>
  <c r="DG230" i="10"/>
  <c r="DG202" i="10"/>
  <c r="DG227" i="10" s="1"/>
  <c r="DL230" i="10"/>
  <c r="DL229" i="10"/>
  <c r="DL231" i="10"/>
  <c r="DL202" i="10"/>
  <c r="DL227" i="10" s="1"/>
  <c r="DL254" i="10"/>
  <c r="DL246" i="10"/>
  <c r="DL255" i="10" s="1"/>
  <c r="DN229" i="10"/>
  <c r="DN231" i="10"/>
  <c r="DN230" i="10"/>
  <c r="DN202" i="10"/>
  <c r="DN227" i="10" s="1"/>
  <c r="DN254" i="10"/>
  <c r="DN246" i="10"/>
  <c r="DN255" i="10" s="1"/>
  <c r="DY254" i="10"/>
  <c r="DY246" i="10"/>
  <c r="DY255" i="10" s="1"/>
  <c r="DY229" i="10"/>
  <c r="DY231" i="10"/>
  <c r="DY230" i="10"/>
  <c r="DY202" i="10"/>
  <c r="DY227" i="10" s="1"/>
  <c r="ED230" i="10"/>
  <c r="ED229" i="10"/>
  <c r="ED231" i="10"/>
  <c r="ED202" i="10"/>
  <c r="ED227" i="10" s="1"/>
  <c r="ED254" i="10"/>
  <c r="ED246" i="10"/>
  <c r="ED255" i="10" s="1"/>
  <c r="EI254" i="10"/>
  <c r="EI246" i="10"/>
  <c r="EI255" i="10" s="1"/>
  <c r="EI229" i="10"/>
  <c r="EI231" i="10"/>
  <c r="EI230" i="10"/>
  <c r="EI202" i="10"/>
  <c r="EI227" i="10" s="1"/>
  <c r="EM231" i="10"/>
  <c r="EM230" i="10"/>
  <c r="EM229" i="10"/>
  <c r="EM202" i="10"/>
  <c r="EM227" i="10" s="1"/>
  <c r="EM254" i="10"/>
  <c r="EM246" i="10"/>
  <c r="EM255" i="10" s="1"/>
  <c r="EO231" i="10"/>
  <c r="EO230" i="10"/>
  <c r="EO229" i="10"/>
  <c r="EO202" i="10"/>
  <c r="EO227" i="10" s="1"/>
  <c r="EO254" i="10"/>
  <c r="EO246" i="10"/>
  <c r="EO255" i="10" s="1"/>
  <c r="E242" i="10"/>
  <c r="E243" i="10"/>
  <c r="F257" i="10"/>
  <c r="E247" i="10"/>
  <c r="F251" i="10"/>
  <c r="E234" i="10"/>
  <c r="F254" i="10"/>
  <c r="F246" i="10"/>
  <c r="E238" i="10"/>
  <c r="E187" i="10"/>
  <c r="D81" i="12"/>
  <c r="F212" i="10"/>
  <c r="E181" i="10"/>
  <c r="D75" i="12"/>
  <c r="F206" i="10"/>
  <c r="E199" i="10"/>
  <c r="D93" i="12"/>
  <c r="F224" i="10"/>
  <c r="E195" i="10"/>
  <c r="D89" i="12"/>
  <c r="F220" i="10"/>
  <c r="E192" i="10"/>
  <c r="D86" i="12"/>
  <c r="F217" i="10"/>
  <c r="E190" i="10"/>
  <c r="D84" i="12"/>
  <c r="F215" i="10"/>
  <c r="E184" i="10"/>
  <c r="D78" i="12"/>
  <c r="F209" i="10"/>
  <c r="E179" i="10"/>
  <c r="D73" i="12"/>
  <c r="F204" i="10"/>
  <c r="E197" i="10"/>
  <c r="D91" i="12"/>
  <c r="F222" i="10"/>
  <c r="E193" i="10"/>
  <c r="D87" i="12"/>
  <c r="F218" i="10"/>
  <c r="E186" i="10"/>
  <c r="D80" i="12"/>
  <c r="F211" i="10"/>
  <c r="E185" i="10"/>
  <c r="D79" i="12"/>
  <c r="F210" i="10"/>
  <c r="E182" i="10"/>
  <c r="D76" i="12"/>
  <c r="F207" i="10"/>
  <c r="F231" i="10"/>
  <c r="F229" i="10"/>
  <c r="E177" i="10"/>
  <c r="F230" i="10"/>
  <c r="D71" i="12"/>
  <c r="F202" i="10"/>
  <c r="E196" i="10"/>
  <c r="D90" i="12"/>
  <c r="F221" i="10"/>
  <c r="E189" i="10"/>
  <c r="D83" i="12"/>
  <c r="F214" i="10"/>
  <c r="E188" i="10"/>
  <c r="D82" i="12"/>
  <c r="F213" i="10"/>
  <c r="E198" i="10"/>
  <c r="D92" i="12"/>
  <c r="F223" i="10"/>
  <c r="E194" i="10"/>
  <c r="D88" i="12"/>
  <c r="F219" i="10"/>
  <c r="E191" i="10"/>
  <c r="D85" i="12"/>
  <c r="F216" i="10"/>
  <c r="E183" i="10"/>
  <c r="D77" i="12"/>
  <c r="F208" i="10"/>
  <c r="E180" i="10"/>
  <c r="D74" i="12"/>
  <c r="F205" i="10"/>
  <c r="E178" i="10"/>
  <c r="D72" i="12"/>
  <c r="F203" i="10"/>
  <c r="E201" i="10"/>
  <c r="D95" i="12"/>
  <c r="F226" i="10"/>
  <c r="E200" i="10"/>
  <c r="D94" i="12"/>
  <c r="F225" i="10"/>
  <c r="J231" i="10"/>
  <c r="J229" i="10"/>
  <c r="J230" i="10"/>
  <c r="J202" i="10"/>
  <c r="J227" i="10" s="1"/>
  <c r="J254" i="10"/>
  <c r="J246" i="10"/>
  <c r="J255" i="10" s="1"/>
  <c r="Q231" i="10"/>
  <c r="Q230" i="10"/>
  <c r="Q229" i="10"/>
  <c r="Q202" i="10"/>
  <c r="Q227" i="10" s="1"/>
  <c r="Q254" i="10"/>
  <c r="Q246" i="10"/>
  <c r="Q255" i="10" s="1"/>
  <c r="X254" i="10"/>
  <c r="X246" i="10"/>
  <c r="X255" i="10" s="1"/>
  <c r="X231" i="10"/>
  <c r="X230" i="10"/>
  <c r="X229" i="10"/>
  <c r="X202" i="10"/>
  <c r="X227" i="10" s="1"/>
  <c r="AE229" i="10"/>
  <c r="AE231" i="10"/>
  <c r="AE230" i="10"/>
  <c r="AE202" i="10"/>
  <c r="AE227" i="10" s="1"/>
  <c r="AE254" i="10"/>
  <c r="AE246" i="10"/>
  <c r="AE255" i="10" s="1"/>
  <c r="AQ254" i="10"/>
  <c r="AQ246" i="10"/>
  <c r="AQ255" i="10" s="1"/>
  <c r="AQ231" i="10"/>
  <c r="AQ230" i="10"/>
  <c r="AQ229" i="10"/>
  <c r="AQ202" i="10"/>
  <c r="AQ227" i="10" s="1"/>
  <c r="BJ230" i="10"/>
  <c r="BJ231" i="10"/>
  <c r="BJ229" i="10"/>
  <c r="BJ202" i="10"/>
  <c r="BJ227" i="10" s="1"/>
  <c r="BJ254" i="10"/>
  <c r="BJ246" i="10"/>
  <c r="BJ255" i="10" s="1"/>
  <c r="BP254" i="10"/>
  <c r="BP246" i="10"/>
  <c r="BP255" i="10" s="1"/>
  <c r="BP230" i="10"/>
  <c r="BP229" i="10"/>
  <c r="BP231" i="10"/>
  <c r="BP202" i="10"/>
  <c r="BP227" i="10" s="1"/>
  <c r="BW254" i="10"/>
  <c r="BW246" i="10"/>
  <c r="BW255" i="10" s="1"/>
  <c r="BW231" i="10"/>
  <c r="BW230" i="10"/>
  <c r="BW229" i="10"/>
  <c r="BW202" i="10"/>
  <c r="BW227" i="10" s="1"/>
  <c r="CB230" i="10"/>
  <c r="CB229" i="10"/>
  <c r="CB231" i="10"/>
  <c r="CB202" i="10"/>
  <c r="CB227" i="10" s="1"/>
  <c r="CB254" i="10"/>
  <c r="CB246" i="10"/>
  <c r="CB255" i="10" s="1"/>
  <c r="CF254" i="10"/>
  <c r="CF246" i="10"/>
  <c r="CF255" i="10" s="1"/>
  <c r="CF231" i="10"/>
  <c r="CF229" i="10"/>
  <c r="CF230" i="10"/>
  <c r="CF202" i="10"/>
  <c r="CF227" i="10" s="1"/>
  <c r="CO231" i="10"/>
  <c r="CO230" i="10"/>
  <c r="CO229" i="10"/>
  <c r="CO202" i="10"/>
  <c r="CO227" i="10" s="1"/>
  <c r="CO254" i="10"/>
  <c r="CO246" i="10"/>
  <c r="CO255" i="10" s="1"/>
  <c r="CS254" i="10"/>
  <c r="CS246" i="10"/>
  <c r="CS255" i="10" s="1"/>
  <c r="CS229" i="10"/>
  <c r="CS230" i="10"/>
  <c r="CS231" i="10"/>
  <c r="CS202" i="10"/>
  <c r="CS227" i="10" s="1"/>
  <c r="CX267" i="10"/>
  <c r="L47" i="12"/>
  <c r="CX254" i="10"/>
  <c r="CX246" i="10"/>
  <c r="CX255" i="10" s="1"/>
  <c r="CX207" i="10"/>
  <c r="L76" i="12"/>
  <c r="CX204" i="10"/>
  <c r="L73" i="12"/>
  <c r="CX218" i="10"/>
  <c r="L87" i="12"/>
  <c r="CX214" i="10"/>
  <c r="L83" i="12"/>
  <c r="CX210" i="10"/>
  <c r="L79" i="12"/>
  <c r="CX223" i="10"/>
  <c r="L92" i="12"/>
  <c r="CX219" i="10"/>
  <c r="L88" i="12"/>
  <c r="CX212" i="10"/>
  <c r="L81" i="12"/>
  <c r="CX222" i="10"/>
  <c r="L91" i="12"/>
  <c r="CX216" i="10"/>
  <c r="L85" i="12"/>
  <c r="CX209" i="10"/>
  <c r="L78" i="12"/>
  <c r="CX205" i="10"/>
  <c r="L74" i="12"/>
  <c r="CX226" i="10"/>
  <c r="L95" i="12"/>
  <c r="CX224" i="10"/>
  <c r="L93" i="12"/>
  <c r="CX211" i="10"/>
  <c r="L80" i="12"/>
  <c r="CX221" i="10"/>
  <c r="L90" i="12"/>
  <c r="CX213" i="10"/>
  <c r="L82" i="12"/>
  <c r="CX231" i="10"/>
  <c r="CX230" i="10"/>
  <c r="CX229" i="10"/>
  <c r="L71" i="12"/>
  <c r="CX202" i="10"/>
  <c r="CX220" i="10"/>
  <c r="L89" i="12"/>
  <c r="CX203" i="10"/>
  <c r="L72" i="12"/>
  <c r="CX206" i="10"/>
  <c r="L75" i="12"/>
  <c r="CX217" i="10"/>
  <c r="L86" i="12"/>
  <c r="CX215" i="10"/>
  <c r="L84" i="12"/>
  <c r="CX208" i="10"/>
  <c r="L77" i="12"/>
  <c r="CX225" i="10"/>
  <c r="L94" i="12"/>
  <c r="DC254" i="10"/>
  <c r="DC246" i="10"/>
  <c r="DC255" i="10" s="1"/>
  <c r="DC230" i="10"/>
  <c r="DC229" i="10"/>
  <c r="DC231" i="10"/>
  <c r="DC202" i="10"/>
  <c r="DC227" i="10" s="1"/>
  <c r="DM231" i="10"/>
  <c r="DM230" i="10"/>
  <c r="DM229" i="10"/>
  <c r="DM202" i="10"/>
  <c r="DM227" i="10" s="1"/>
  <c r="DM254" i="10"/>
  <c r="DM246" i="10"/>
  <c r="DM255" i="10" s="1"/>
  <c r="DO254" i="10"/>
  <c r="DO246" i="10"/>
  <c r="DO255" i="10" s="1"/>
  <c r="DO230" i="10"/>
  <c r="DO229" i="10"/>
  <c r="DO231" i="10"/>
  <c r="DO202" i="10"/>
  <c r="DO227" i="10" s="1"/>
  <c r="E267" i="10"/>
  <c r="DV267" i="10"/>
  <c r="DW267" i="10" s="1"/>
  <c r="DX267" i="10" s="1"/>
  <c r="DY267" i="10" s="1"/>
  <c r="DZ267" i="10" s="1"/>
  <c r="EA267" i="10" s="1"/>
  <c r="EB267" i="10" s="1"/>
  <c r="EC267" i="10" s="1"/>
  <c r="ED267" i="10" s="1"/>
  <c r="EE267" i="10" s="1"/>
  <c r="EF267" i="10" s="1"/>
  <c r="EG267" i="10" s="1"/>
  <c r="EH267" i="10" s="1"/>
  <c r="EI267" i="10" s="1"/>
  <c r="EJ267" i="10" s="1"/>
  <c r="EK267" i="10" s="1"/>
  <c r="EL267" i="10" s="1"/>
  <c r="EM267" i="10" s="1"/>
  <c r="EN267" i="10" s="1"/>
  <c r="EO267" i="10" s="1"/>
  <c r="EP267" i="10" s="1"/>
  <c r="EQ267" i="10" s="1"/>
  <c r="ER267" i="10" s="1"/>
  <c r="ES267" i="10" s="1"/>
  <c r="DU254" i="10"/>
  <c r="DU246" i="10"/>
  <c r="DU255" i="10" s="1"/>
  <c r="DU231" i="10"/>
  <c r="DU230" i="10"/>
  <c r="DU229" i="10"/>
  <c r="DU202" i="10"/>
  <c r="DU227" i="10" s="1"/>
  <c r="DX229" i="10"/>
  <c r="DX231" i="10"/>
  <c r="DX230" i="10"/>
  <c r="DX202" i="10"/>
  <c r="DX227" i="10" s="1"/>
  <c r="DX254" i="10"/>
  <c r="DX246" i="10"/>
  <c r="DX255" i="10" s="1"/>
  <c r="EF254" i="10"/>
  <c r="EF246" i="10"/>
  <c r="EF255" i="10" s="1"/>
  <c r="EF229" i="10"/>
  <c r="EF230" i="10"/>
  <c r="EF231" i="10"/>
  <c r="EF202" i="10"/>
  <c r="EF227" i="10" s="1"/>
  <c r="EJ229" i="10"/>
  <c r="EJ230" i="10"/>
  <c r="EJ231" i="10"/>
  <c r="EJ202" i="10"/>
  <c r="EJ227" i="10" s="1"/>
  <c r="EJ254" i="10"/>
  <c r="EJ246" i="10"/>
  <c r="EJ255" i="10" s="1"/>
  <c r="EN254" i="10"/>
  <c r="EN246" i="10"/>
  <c r="EN255" i="10" s="1"/>
  <c r="EN230" i="10"/>
  <c r="EN229" i="10"/>
  <c r="EN231" i="10"/>
  <c r="EN202" i="10"/>
  <c r="EN227" i="10" s="1"/>
  <c r="ER231" i="10"/>
  <c r="ER230" i="10"/>
  <c r="ER229" i="10"/>
  <c r="ER202" i="10"/>
  <c r="ER227" i="10" s="1"/>
  <c r="ER254" i="10"/>
  <c r="ER246" i="10"/>
  <c r="ER255" i="10" s="1"/>
  <c r="T229" i="10"/>
  <c r="T231" i="10"/>
  <c r="T230" i="10"/>
  <c r="T202" i="10"/>
  <c r="T227" i="10" s="1"/>
  <c r="T254" i="10"/>
  <c r="T246" i="10"/>
  <c r="T255" i="10" s="1"/>
  <c r="AG230" i="10"/>
  <c r="AG229" i="10"/>
  <c r="AG231" i="10"/>
  <c r="AG202" i="10"/>
  <c r="AG227" i="10" s="1"/>
  <c r="AG254" i="10"/>
  <c r="AG246" i="10"/>
  <c r="AG255" i="10" s="1"/>
  <c r="AM254" i="10"/>
  <c r="AM246" i="10"/>
  <c r="AM255" i="10" s="1"/>
  <c r="AM230" i="10"/>
  <c r="AM231" i="10"/>
  <c r="AM229" i="10"/>
  <c r="AM202" i="10"/>
  <c r="AM227" i="10" s="1"/>
  <c r="AV254" i="10"/>
  <c r="AV246" i="10"/>
  <c r="AV255" i="10" s="1"/>
  <c r="AV230" i="10"/>
  <c r="AV229" i="10"/>
  <c r="AV231" i="10"/>
  <c r="AV202" i="10"/>
  <c r="AV227" i="10" s="1"/>
  <c r="AZ254" i="10"/>
  <c r="AZ246" i="10"/>
  <c r="AZ255" i="10" s="1"/>
  <c r="AZ230" i="10"/>
  <c r="AZ229" i="10"/>
  <c r="AZ231" i="10"/>
  <c r="AZ202" i="10"/>
  <c r="AZ227" i="10" s="1"/>
  <c r="BD254" i="10"/>
  <c r="BD246" i="10"/>
  <c r="BD255" i="10" s="1"/>
  <c r="BD229" i="10"/>
  <c r="BD230" i="10"/>
  <c r="BD231" i="10"/>
  <c r="BD202" i="10"/>
  <c r="BD227" i="10" s="1"/>
  <c r="BM254" i="10"/>
  <c r="BM246" i="10"/>
  <c r="BM255" i="10" s="1"/>
  <c r="BM231" i="10"/>
  <c r="BM230" i="10"/>
  <c r="BM229" i="10"/>
  <c r="BM202" i="10"/>
  <c r="BM227" i="10" s="1"/>
  <c r="BR231" i="10"/>
  <c r="BR229" i="10"/>
  <c r="BR230" i="10"/>
  <c r="BR202" i="10"/>
  <c r="BR227" i="10" s="1"/>
  <c r="BR254" i="10"/>
  <c r="BR246" i="10"/>
  <c r="BR255" i="10" s="1"/>
  <c r="CE230" i="10"/>
  <c r="CE231" i="10"/>
  <c r="CE229" i="10"/>
  <c r="CE202" i="10"/>
  <c r="CE227" i="10" s="1"/>
  <c r="CE254" i="10"/>
  <c r="CE246" i="10"/>
  <c r="CE255" i="10" s="1"/>
  <c r="CL267" i="10"/>
  <c r="K47" i="12"/>
  <c r="CL254" i="10"/>
  <c r="CL246" i="10"/>
  <c r="CL255" i="10" s="1"/>
  <c r="CL209" i="10"/>
  <c r="K78" i="12"/>
  <c r="CL214" i="10"/>
  <c r="K83" i="12"/>
  <c r="CL211" i="10"/>
  <c r="K80" i="12"/>
  <c r="CL224" i="10"/>
  <c r="K93" i="12"/>
  <c r="CL216" i="10"/>
  <c r="K85" i="12"/>
  <c r="CL207" i="10"/>
  <c r="K76" i="12"/>
  <c r="CL203" i="10"/>
  <c r="K72" i="12"/>
  <c r="CL223" i="10"/>
  <c r="K92" i="12"/>
  <c r="CL215" i="10"/>
  <c r="K84" i="12"/>
  <c r="CL205" i="10"/>
  <c r="K74" i="12"/>
  <c r="CL220" i="10"/>
  <c r="K89" i="12"/>
  <c r="CL218" i="10"/>
  <c r="K87" i="12"/>
  <c r="CL212" i="10"/>
  <c r="K81" i="12"/>
  <c r="CL221" i="10"/>
  <c r="K90" i="12"/>
  <c r="CL217" i="10"/>
  <c r="K86" i="12"/>
  <c r="CL210" i="10"/>
  <c r="K79" i="12"/>
  <c r="CL206" i="10"/>
  <c r="K75" i="12"/>
  <c r="CL204" i="10"/>
  <c r="K73" i="12"/>
  <c r="CL222" i="10"/>
  <c r="K91" i="12"/>
  <c r="CL208" i="10"/>
  <c r="K77" i="12"/>
  <c r="CL213" i="10"/>
  <c r="K82" i="12"/>
  <c r="CL219" i="10"/>
  <c r="K88" i="12"/>
  <c r="CL229" i="10"/>
  <c r="CL231" i="10"/>
  <c r="CL230" i="10"/>
  <c r="K71" i="12"/>
  <c r="CL202" i="10"/>
  <c r="CL226" i="10"/>
  <c r="K95" i="12"/>
  <c r="CL225" i="10"/>
  <c r="K94" i="12"/>
  <c r="CP254" i="10"/>
  <c r="CP246" i="10"/>
  <c r="CP255" i="10" s="1"/>
  <c r="CP229" i="10"/>
  <c r="CP230" i="10"/>
  <c r="CP231" i="10"/>
  <c r="CP202" i="10"/>
  <c r="CP227" i="10" s="1"/>
  <c r="CY230" i="10"/>
  <c r="CY229" i="10"/>
  <c r="CY231" i="10"/>
  <c r="CY202" i="10"/>
  <c r="CY227" i="10" s="1"/>
  <c r="CY254" i="10"/>
  <c r="CY246" i="10"/>
  <c r="CY255" i="10" s="1"/>
  <c r="DE229" i="10"/>
  <c r="DE231" i="10"/>
  <c r="DE230" i="10"/>
  <c r="DE202" i="10"/>
  <c r="DE227" i="10" s="1"/>
  <c r="DE254" i="10"/>
  <c r="DE246" i="10"/>
  <c r="DE255" i="10" s="1"/>
  <c r="DR229" i="10"/>
  <c r="DR231" i="10"/>
  <c r="DR230" i="10"/>
  <c r="DR202" i="10"/>
  <c r="DR227" i="10" s="1"/>
  <c r="DR254" i="10"/>
  <c r="DR246" i="10"/>
  <c r="DR255" i="10" s="1"/>
  <c r="DT254" i="10"/>
  <c r="DT246" i="10"/>
  <c r="DT255" i="10" s="1"/>
  <c r="DT230" i="10"/>
  <c r="DT231" i="10"/>
  <c r="DT229" i="10"/>
  <c r="DT202" i="10"/>
  <c r="DT227" i="10" s="1"/>
  <c r="EC254" i="10"/>
  <c r="EC246" i="10"/>
  <c r="EC255" i="10" s="1"/>
  <c r="EC229" i="10"/>
  <c r="EC230" i="10"/>
  <c r="EC231" i="10"/>
  <c r="EC202" i="10"/>
  <c r="EC227" i="10" s="1"/>
  <c r="CQ46" i="10"/>
  <c r="CQ71" i="10" s="1"/>
  <c r="CQ73" i="10"/>
  <c r="CQ74" i="10"/>
  <c r="CQ75" i="10"/>
  <c r="CQ98" i="10"/>
  <c r="CQ90" i="10"/>
  <c r="CQ99" i="10" s="1"/>
  <c r="CO46" i="10"/>
  <c r="CO71" i="10" s="1"/>
  <c r="CO73" i="10"/>
  <c r="CO74" i="10"/>
  <c r="CO75" i="10"/>
  <c r="CO98" i="10"/>
  <c r="CO90" i="10"/>
  <c r="CO99" i="10" s="1"/>
  <c r="CM46" i="10"/>
  <c r="CM73" i="10"/>
  <c r="CM74" i="10"/>
  <c r="CM75" i="10"/>
  <c r="CM98" i="10"/>
  <c r="CM90" i="10"/>
  <c r="CM99" i="10" s="1"/>
  <c r="CJ98" i="10"/>
  <c r="CJ90" i="10"/>
  <c r="CJ99" i="10" s="1"/>
  <c r="CJ46" i="10"/>
  <c r="CJ71" i="10" s="1"/>
  <c r="CJ73" i="10"/>
  <c r="CJ74" i="10"/>
  <c r="CJ75" i="10"/>
  <c r="CH46" i="10"/>
  <c r="CH71" i="10" s="1"/>
  <c r="CH73" i="10"/>
  <c r="CH74" i="10"/>
  <c r="CH75" i="10"/>
  <c r="CH98" i="10"/>
  <c r="CH90" i="10"/>
  <c r="CH99" i="10" s="1"/>
  <c r="CF98" i="10"/>
  <c r="CF90" i="10"/>
  <c r="CF99" i="10" s="1"/>
  <c r="CF46" i="10"/>
  <c r="CF71" i="10" s="1"/>
  <c r="CF73" i="10"/>
  <c r="CF74" i="10"/>
  <c r="CF75" i="10"/>
  <c r="CB98" i="10"/>
  <c r="CB90" i="10"/>
  <c r="CB99" i="10" s="1"/>
  <c r="CB46" i="10"/>
  <c r="CB73" i="10"/>
  <c r="CB74" i="10"/>
  <c r="CB75" i="10"/>
  <c r="BY46" i="10"/>
  <c r="BY71" i="10" s="1"/>
  <c r="BY73" i="10"/>
  <c r="BY74" i="10"/>
  <c r="BY75" i="10"/>
  <c r="BY98" i="10"/>
  <c r="BY90" i="10"/>
  <c r="BY99" i="10" s="1"/>
  <c r="BT46" i="10"/>
  <c r="BT71" i="10" s="1"/>
  <c r="BT73" i="10"/>
  <c r="BT74" i="10"/>
  <c r="BT75" i="10"/>
  <c r="BT98" i="10"/>
  <c r="BT90" i="10"/>
  <c r="BT99" i="10" s="1"/>
  <c r="BQ98" i="10"/>
  <c r="BQ90" i="10"/>
  <c r="BQ99" i="10" s="1"/>
  <c r="BQ46" i="10"/>
  <c r="BQ73" i="10"/>
  <c r="BQ74" i="10"/>
  <c r="BQ75" i="10"/>
  <c r="BK98" i="10"/>
  <c r="BK90" i="10"/>
  <c r="BK99" i="10" s="1"/>
  <c r="BK46" i="10"/>
  <c r="BK71" i="10" s="1"/>
  <c r="BK73" i="10"/>
  <c r="BK74" i="10"/>
  <c r="BK75" i="10"/>
  <c r="BH46" i="10"/>
  <c r="BH71" i="10" s="1"/>
  <c r="BH73" i="10"/>
  <c r="BH74" i="10"/>
  <c r="BH75" i="10"/>
  <c r="BH98" i="10"/>
  <c r="BH90" i="10"/>
  <c r="BH99" i="10" s="1"/>
  <c r="BF46" i="10"/>
  <c r="BF71" i="10" s="1"/>
  <c r="BF73" i="10"/>
  <c r="BF74" i="10"/>
  <c r="BF75" i="10"/>
  <c r="BF98" i="10"/>
  <c r="BF90" i="10"/>
  <c r="BF99" i="10" s="1"/>
  <c r="H120" i="12"/>
  <c r="BB49" i="10"/>
  <c r="H121" i="12"/>
  <c r="BB50" i="10"/>
  <c r="H125" i="12"/>
  <c r="BB54" i="10"/>
  <c r="H126" i="12"/>
  <c r="BB55" i="10"/>
  <c r="H129" i="12"/>
  <c r="BB58" i="10"/>
  <c r="H117" i="12"/>
  <c r="BB46" i="10"/>
  <c r="BB73" i="10"/>
  <c r="BB74" i="10"/>
  <c r="BB75" i="10"/>
  <c r="H118" i="12"/>
  <c r="BB47" i="10"/>
  <c r="H119" i="12"/>
  <c r="BB48" i="10"/>
  <c r="H122" i="12"/>
  <c r="BB51" i="10"/>
  <c r="H123" i="12"/>
  <c r="BB52" i="10"/>
  <c r="H124" i="12"/>
  <c r="BB53" i="10"/>
  <c r="H127" i="12"/>
  <c r="BB56" i="10"/>
  <c r="H128" i="12"/>
  <c r="BB57" i="10"/>
  <c r="H130" i="12"/>
  <c r="BB59" i="10"/>
  <c r="H131" i="12"/>
  <c r="BB60" i="10"/>
  <c r="H132" i="12"/>
  <c r="BB61" i="10"/>
  <c r="H133" i="12"/>
  <c r="BB62" i="10"/>
  <c r="H134" i="12"/>
  <c r="BB63" i="10"/>
  <c r="H135" i="12"/>
  <c r="BB64" i="10"/>
  <c r="H136" i="12"/>
  <c r="BB65" i="10"/>
  <c r="H137" i="12"/>
  <c r="BB66" i="10"/>
  <c r="H138" i="12"/>
  <c r="BB67" i="10"/>
  <c r="H139" i="12"/>
  <c r="BB68" i="10"/>
  <c r="H140" i="12"/>
  <c r="BB69" i="10"/>
  <c r="H141" i="12"/>
  <c r="BB70" i="10"/>
  <c r="BB98" i="10"/>
  <c r="BB90" i="10"/>
  <c r="BB99" i="10" s="1"/>
  <c r="AT98" i="10"/>
  <c r="AT90" i="10"/>
  <c r="AT99" i="10" s="1"/>
  <c r="AT46" i="10"/>
  <c r="AT73" i="10"/>
  <c r="AT74" i="10"/>
  <c r="AT75" i="10"/>
  <c r="AO98" i="10"/>
  <c r="AO90" i="10"/>
  <c r="AO99" i="10" s="1"/>
  <c r="AO46" i="10"/>
  <c r="AO71" i="10" s="1"/>
  <c r="AO73" i="10"/>
  <c r="AO74" i="10"/>
  <c r="AO75" i="10"/>
  <c r="AL46" i="10"/>
  <c r="AL71" i="10" s="1"/>
  <c r="AL73" i="10"/>
  <c r="AL74" i="10"/>
  <c r="AL75" i="10"/>
  <c r="AL98" i="10"/>
  <c r="AL90" i="10"/>
  <c r="AL99" i="10" s="1"/>
  <c r="AG98" i="10"/>
  <c r="AG90" i="10"/>
  <c r="AG99" i="10" s="1"/>
  <c r="AG46" i="10"/>
  <c r="AG73" i="10"/>
  <c r="AG74" i="10"/>
  <c r="AG75" i="10"/>
  <c r="AC98" i="10"/>
  <c r="AC90" i="10"/>
  <c r="AC99" i="10" s="1"/>
  <c r="AC46" i="10"/>
  <c r="AC71" i="10" s="1"/>
  <c r="AC73" i="10"/>
  <c r="AC74" i="10"/>
  <c r="AC75" i="10"/>
  <c r="V98" i="10"/>
  <c r="V90" i="10"/>
  <c r="V99" i="10" s="1"/>
  <c r="V73" i="10"/>
  <c r="V74" i="10"/>
  <c r="V75" i="10"/>
  <c r="V46" i="10"/>
  <c r="V71" i="10" s="1"/>
  <c r="R98" i="10"/>
  <c r="R90" i="10"/>
  <c r="R99" i="10" s="1"/>
  <c r="E118" i="12"/>
  <c r="R47" i="10"/>
  <c r="E119" i="12"/>
  <c r="R48" i="10"/>
  <c r="E121" i="12"/>
  <c r="R50" i="10"/>
  <c r="E123" i="12"/>
  <c r="R52" i="10"/>
  <c r="E124" i="12"/>
  <c r="R53" i="10"/>
  <c r="E125" i="12"/>
  <c r="R54" i="10"/>
  <c r="E126" i="12"/>
  <c r="R55" i="10"/>
  <c r="E128" i="12"/>
  <c r="R57" i="10"/>
  <c r="E130" i="12"/>
  <c r="R59" i="10"/>
  <c r="E131" i="12"/>
  <c r="R60" i="10"/>
  <c r="E132" i="12"/>
  <c r="R61" i="10"/>
  <c r="E133" i="12"/>
  <c r="R62" i="10"/>
  <c r="E134" i="12"/>
  <c r="R63" i="10"/>
  <c r="E135" i="12"/>
  <c r="R64" i="10"/>
  <c r="E136" i="12"/>
  <c r="R65" i="10"/>
  <c r="E137" i="12"/>
  <c r="R66" i="10"/>
  <c r="E138" i="12"/>
  <c r="R67" i="10"/>
  <c r="E139" i="12"/>
  <c r="R68" i="10"/>
  <c r="E140" i="12"/>
  <c r="R69" i="10"/>
  <c r="E141" i="12"/>
  <c r="R70" i="10"/>
  <c r="E117" i="12"/>
  <c r="R73" i="10"/>
  <c r="R74" i="10"/>
  <c r="R75" i="10"/>
  <c r="R46" i="10"/>
  <c r="E120" i="12"/>
  <c r="R49" i="10"/>
  <c r="E122" i="12"/>
  <c r="R51" i="10"/>
  <c r="E127" i="12"/>
  <c r="R56" i="10"/>
  <c r="E129" i="12"/>
  <c r="R58" i="10"/>
  <c r="M98" i="10"/>
  <c r="M90" i="10"/>
  <c r="M99" i="10" s="1"/>
  <c r="M73" i="10"/>
  <c r="M74" i="10"/>
  <c r="M75" i="10"/>
  <c r="M46" i="10"/>
  <c r="M71" i="10" s="1"/>
  <c r="K98" i="10"/>
  <c r="K90" i="10"/>
  <c r="K99" i="10" s="1"/>
  <c r="K73" i="10"/>
  <c r="K74" i="10"/>
  <c r="K75" i="10"/>
  <c r="K46" i="10"/>
  <c r="K71" i="10" s="1"/>
  <c r="G98" i="10"/>
  <c r="G90" i="10"/>
  <c r="G73" i="10"/>
  <c r="G74" i="10"/>
  <c r="G75" i="10"/>
  <c r="G46" i="10"/>
  <c r="AZ46" i="10"/>
  <c r="AZ71" i="10" s="1"/>
  <c r="AZ73" i="10"/>
  <c r="AZ74" i="10"/>
  <c r="AZ75" i="10"/>
  <c r="AZ98" i="10"/>
  <c r="AZ90" i="10"/>
  <c r="AZ99" i="10" s="1"/>
  <c r="CW46" i="10"/>
  <c r="CW71" i="10" s="1"/>
  <c r="CW73" i="10"/>
  <c r="CW74" i="10"/>
  <c r="CW75" i="10"/>
  <c r="CW98" i="10"/>
  <c r="CW90" i="10"/>
  <c r="CW99" i="10" s="1"/>
  <c r="AW98" i="10"/>
  <c r="AW90" i="10"/>
  <c r="AW99" i="10" s="1"/>
  <c r="AW46" i="10"/>
  <c r="AW71" i="10" s="1"/>
  <c r="AW73" i="10"/>
  <c r="AW74" i="10"/>
  <c r="AW75" i="10"/>
  <c r="ES98" i="10"/>
  <c r="ES90" i="10"/>
  <c r="ES99" i="10" s="1"/>
  <c r="ES46" i="10"/>
  <c r="ES71" i="10" s="1"/>
  <c r="ES73" i="10"/>
  <c r="ES74" i="10"/>
  <c r="ES75" i="10"/>
  <c r="ER98" i="10"/>
  <c r="ER90" i="10"/>
  <c r="ER99" i="10" s="1"/>
  <c r="ER46" i="10"/>
  <c r="ER71" i="10" s="1"/>
  <c r="ER73" i="10"/>
  <c r="ER74" i="10"/>
  <c r="ER75" i="10"/>
  <c r="EP98" i="10"/>
  <c r="EP90" i="10"/>
  <c r="EP99" i="10" s="1"/>
  <c r="EP46" i="10"/>
  <c r="EP71" i="10" s="1"/>
  <c r="EP73" i="10"/>
  <c r="EP74" i="10"/>
  <c r="EP75" i="10"/>
  <c r="EM46" i="10"/>
  <c r="EM71" i="10" s="1"/>
  <c r="EM73" i="10"/>
  <c r="EM74" i="10"/>
  <c r="EM75" i="10"/>
  <c r="EM98" i="10"/>
  <c r="EM90" i="10"/>
  <c r="EM99" i="10" s="1"/>
  <c r="EK98" i="10"/>
  <c r="EK90" i="10"/>
  <c r="EK99" i="10" s="1"/>
  <c r="EK46" i="10"/>
  <c r="EK71" i="10" s="1"/>
  <c r="EK73" i="10"/>
  <c r="EK74" i="10"/>
  <c r="EK75" i="10"/>
  <c r="EI98" i="10"/>
  <c r="EI90" i="10"/>
  <c r="EI99" i="10" s="1"/>
  <c r="EI46" i="10"/>
  <c r="EI73" i="10"/>
  <c r="EI74" i="10"/>
  <c r="EI75" i="10"/>
  <c r="EG98" i="10"/>
  <c r="EG90" i="10"/>
  <c r="EG99" i="10" s="1"/>
  <c r="EG46" i="10"/>
  <c r="EG71" i="10" s="1"/>
  <c r="EG73" i="10"/>
  <c r="EG74" i="10"/>
  <c r="EG75" i="10"/>
  <c r="EE98" i="10"/>
  <c r="EE90" i="10"/>
  <c r="EE99" i="10" s="1"/>
  <c r="EE46" i="10"/>
  <c r="EE71" i="10" s="1"/>
  <c r="EE73" i="10"/>
  <c r="EE74" i="10"/>
  <c r="EE75" i="10"/>
  <c r="EB98" i="10"/>
  <c r="EB90" i="10"/>
  <c r="EB99" i="10" s="1"/>
  <c r="EB46" i="10"/>
  <c r="EB71" i="10" s="1"/>
  <c r="EB73" i="10"/>
  <c r="EB74" i="10"/>
  <c r="EB75" i="10"/>
  <c r="DZ98" i="10"/>
  <c r="DZ90" i="10"/>
  <c r="DZ99" i="10" s="1"/>
  <c r="DZ46" i="10"/>
  <c r="DZ71" i="10" s="1"/>
  <c r="DZ73" i="10"/>
  <c r="DZ74" i="10"/>
  <c r="DZ75" i="10"/>
  <c r="DX98" i="10"/>
  <c r="DX90" i="10"/>
  <c r="DX99" i="10" s="1"/>
  <c r="DX46" i="10"/>
  <c r="DX71" i="10" s="1"/>
  <c r="DX73" i="10"/>
  <c r="DX74" i="10"/>
  <c r="DX75" i="10"/>
  <c r="DV98" i="10"/>
  <c r="DV90" i="10"/>
  <c r="DV99" i="10" s="1"/>
  <c r="N120" i="12"/>
  <c r="DV49" i="10"/>
  <c r="N121" i="12"/>
  <c r="DV50" i="10"/>
  <c r="N125" i="12"/>
  <c r="DV54" i="10"/>
  <c r="N126" i="12"/>
  <c r="DV55" i="10"/>
  <c r="N128" i="12"/>
  <c r="DV57" i="10"/>
  <c r="N129" i="12"/>
  <c r="DV58" i="10"/>
  <c r="N117" i="12"/>
  <c r="DV46" i="10"/>
  <c r="DV73" i="10"/>
  <c r="DV74" i="10"/>
  <c r="DV75" i="10"/>
  <c r="N118" i="12"/>
  <c r="DV47" i="10"/>
  <c r="N119" i="12"/>
  <c r="DV48" i="10"/>
  <c r="N122" i="12"/>
  <c r="DV51" i="10"/>
  <c r="N123" i="12"/>
  <c r="DV52" i="10"/>
  <c r="N124" i="12"/>
  <c r="DV53" i="10"/>
  <c r="N127" i="12"/>
  <c r="DV56" i="10"/>
  <c r="N130" i="12"/>
  <c r="DV59" i="10"/>
  <c r="N131" i="12"/>
  <c r="DV60" i="10"/>
  <c r="N132" i="12"/>
  <c r="DV61" i="10"/>
  <c r="N133" i="12"/>
  <c r="DV62" i="10"/>
  <c r="N134" i="12"/>
  <c r="DV63" i="10"/>
  <c r="N135" i="12"/>
  <c r="DV64" i="10"/>
  <c r="N136" i="12"/>
  <c r="DV65" i="10"/>
  <c r="N137" i="12"/>
  <c r="DV66" i="10"/>
  <c r="N138" i="12"/>
  <c r="DV67" i="10"/>
  <c r="N139" i="12"/>
  <c r="DV68" i="10"/>
  <c r="N140" i="12"/>
  <c r="DV69" i="10"/>
  <c r="N141" i="12"/>
  <c r="DV70" i="10"/>
  <c r="DT98" i="10"/>
  <c r="DT90" i="10"/>
  <c r="DT99" i="10" s="1"/>
  <c r="DT46" i="10"/>
  <c r="DT71" i="10" s="1"/>
  <c r="DT73" i="10"/>
  <c r="DT74" i="10"/>
  <c r="DT75" i="10"/>
  <c r="DQ46" i="10"/>
  <c r="DQ71" i="10" s="1"/>
  <c r="DQ73" i="10"/>
  <c r="DQ74" i="10"/>
  <c r="DQ75" i="10"/>
  <c r="DQ98" i="10"/>
  <c r="DQ90" i="10"/>
  <c r="DQ99" i="10" s="1"/>
  <c r="DN98" i="10"/>
  <c r="DN90" i="10"/>
  <c r="DN99" i="10" s="1"/>
  <c r="DN46" i="10"/>
  <c r="DN71" i="10" s="1"/>
  <c r="DN73" i="10"/>
  <c r="DN74" i="10"/>
  <c r="DN75" i="10"/>
  <c r="DL98" i="10"/>
  <c r="DL90" i="10"/>
  <c r="DL99" i="10" s="1"/>
  <c r="DL46" i="10"/>
  <c r="DL73" i="10"/>
  <c r="DL74" i="10"/>
  <c r="DL75" i="10"/>
  <c r="DI98" i="10"/>
  <c r="DI90" i="10"/>
  <c r="DI99" i="10" s="1"/>
  <c r="DI46" i="10"/>
  <c r="DI71" i="10" s="1"/>
  <c r="DI73" i="10"/>
  <c r="DI74" i="10"/>
  <c r="DI75" i="10"/>
  <c r="DG98" i="10"/>
  <c r="DG90" i="10"/>
  <c r="DG99" i="10" s="1"/>
  <c r="DG46" i="10"/>
  <c r="DG71" i="10" s="1"/>
  <c r="DG73" i="10"/>
  <c r="DG74" i="10"/>
  <c r="DG75" i="10"/>
  <c r="DE98" i="10"/>
  <c r="DE90" i="10"/>
  <c r="DE99" i="10" s="1"/>
  <c r="DE46" i="10"/>
  <c r="DE71" i="10" s="1"/>
  <c r="DE73" i="10"/>
  <c r="DE74" i="10"/>
  <c r="DE75" i="10"/>
  <c r="DC98" i="10"/>
  <c r="DC90" i="10"/>
  <c r="DC99" i="10" s="1"/>
  <c r="DC46" i="10"/>
  <c r="DC71" i="10" s="1"/>
  <c r="DC73" i="10"/>
  <c r="DC74" i="10"/>
  <c r="DC75" i="10"/>
  <c r="DA46" i="10"/>
  <c r="DA71" i="10" s="1"/>
  <c r="DA73" i="10"/>
  <c r="DA74" i="10"/>
  <c r="DA75" i="10"/>
  <c r="DA98" i="10"/>
  <c r="DA90" i="10"/>
  <c r="DA99" i="10" s="1"/>
  <c r="CY46" i="10"/>
  <c r="CY73" i="10"/>
  <c r="CY74" i="10"/>
  <c r="CY75" i="10"/>
  <c r="CY98" i="10"/>
  <c r="CY90" i="10"/>
  <c r="CY99" i="10" s="1"/>
  <c r="CU46" i="10"/>
  <c r="CU71" i="10" s="1"/>
  <c r="CU73" i="10"/>
  <c r="CU74" i="10"/>
  <c r="CU75" i="10"/>
  <c r="CU98" i="10"/>
  <c r="CU90" i="10"/>
  <c r="CU99" i="10" s="1"/>
  <c r="CS46" i="10"/>
  <c r="CS71" i="10" s="1"/>
  <c r="CS73" i="10"/>
  <c r="CS74" i="10"/>
  <c r="CS75" i="10"/>
  <c r="CS98" i="10"/>
  <c r="CS90" i="10"/>
  <c r="CS99" i="10" s="1"/>
  <c r="F111" i="10"/>
  <c r="E20" i="11"/>
  <c r="C20" i="11"/>
  <c r="DV274" i="10"/>
  <c r="DW274" i="10" s="1"/>
  <c r="DX274" i="10" s="1"/>
  <c r="DY274" i="10" s="1"/>
  <c r="DZ274" i="10" s="1"/>
  <c r="EA274" i="10" s="1"/>
  <c r="EB274" i="10" s="1"/>
  <c r="EC274" i="10" s="1"/>
  <c r="ED274" i="10" s="1"/>
  <c r="EE274" i="10" s="1"/>
  <c r="EF274" i="10" s="1"/>
  <c r="EG274" i="10" s="1"/>
  <c r="EH274" i="10" s="1"/>
  <c r="EI274" i="10" s="1"/>
  <c r="EJ274" i="10" s="1"/>
  <c r="EK274" i="10" s="1"/>
  <c r="EL274" i="10" s="1"/>
  <c r="EM274" i="10" s="1"/>
  <c r="EN274" i="10" s="1"/>
  <c r="EO274" i="10" s="1"/>
  <c r="EP274" i="10" s="1"/>
  <c r="EQ274" i="10" s="1"/>
  <c r="ER274" i="10" s="1"/>
  <c r="ES274" i="10" s="1"/>
  <c r="E274" i="10"/>
  <c r="AT251" i="10"/>
  <c r="DL251" i="10"/>
  <c r="AE251" i="10"/>
  <c r="DJ71" i="10"/>
  <c r="S251" i="10"/>
  <c r="S14" i="11" s="1"/>
  <c r="BA251" i="10"/>
  <c r="CM251" i="10"/>
  <c r="DH251" i="10"/>
  <c r="DK251" i="10"/>
  <c r="N47" i="12"/>
  <c r="EK251" i="10"/>
  <c r="BZ251" i="10"/>
  <c r="N251" i="10"/>
  <c r="EE251" i="10"/>
  <c r="CD251" i="10"/>
  <c r="CV251" i="10"/>
  <c r="CZ251" i="10"/>
  <c r="EQ251" i="10"/>
  <c r="CH251" i="10"/>
  <c r="BF251" i="10"/>
  <c r="BH251" i="10"/>
  <c r="DF251" i="10"/>
  <c r="ED251" i="10"/>
  <c r="EM251" i="10"/>
  <c r="E244" i="10"/>
  <c r="CF251" i="10"/>
  <c r="DT251" i="10"/>
  <c r="BT95" i="10"/>
  <c r="CW95" i="10"/>
  <c r="DN251" i="10"/>
  <c r="J251" i="10"/>
  <c r="Q251" i="10"/>
  <c r="Q14" i="11" s="1"/>
  <c r="DX251" i="10"/>
  <c r="T251" i="10"/>
  <c r="AM251" i="10"/>
  <c r="CP251" i="10"/>
  <c r="BH95" i="10"/>
  <c r="AL95" i="10"/>
  <c r="E88" i="10"/>
  <c r="BX251" i="10"/>
  <c r="BR251" i="10"/>
  <c r="CL251" i="10"/>
  <c r="CM95" i="10"/>
  <c r="EM95" i="10"/>
  <c r="AJ251" i="10"/>
  <c r="BK251" i="10"/>
  <c r="CG251" i="10"/>
  <c r="CR251" i="10"/>
  <c r="CU95" i="10"/>
  <c r="CS95" i="10"/>
  <c r="BS251" i="10"/>
  <c r="N57" i="12"/>
  <c r="O57" i="12"/>
  <c r="G150" i="12"/>
  <c r="H150" i="12"/>
  <c r="C105" i="12"/>
  <c r="C107" i="12"/>
  <c r="K251" i="10"/>
  <c r="K14" i="11" s="1"/>
  <c r="G251" i="10"/>
  <c r="I251" i="10"/>
  <c r="U251" i="10"/>
  <c r="DW251" i="10"/>
  <c r="DZ251" i="10"/>
  <c r="O47" i="12"/>
  <c r="M251" i="10"/>
  <c r="M14" i="11" s="1"/>
  <c r="AN251" i="10"/>
  <c r="AX251" i="10"/>
  <c r="DK267" i="10"/>
  <c r="M47" i="12"/>
  <c r="CM48" i="10"/>
  <c r="K119" i="12"/>
  <c r="CM50" i="10"/>
  <c r="K121" i="12"/>
  <c r="CM53" i="10"/>
  <c r="K124" i="12"/>
  <c r="CM55" i="10"/>
  <c r="K126" i="12"/>
  <c r="CM56" i="10"/>
  <c r="K127" i="12"/>
  <c r="CM58" i="10"/>
  <c r="K129" i="12"/>
  <c r="CM47" i="10"/>
  <c r="K118" i="12"/>
  <c r="CM49" i="10"/>
  <c r="K120" i="12"/>
  <c r="CM51" i="10"/>
  <c r="K122" i="12"/>
  <c r="CM52" i="10"/>
  <c r="K123" i="12"/>
  <c r="CM54" i="10"/>
  <c r="K125" i="12"/>
  <c r="CM57" i="10"/>
  <c r="K128" i="12"/>
  <c r="CM59" i="10"/>
  <c r="K130" i="12"/>
  <c r="CM60" i="10"/>
  <c r="K131" i="12"/>
  <c r="CM61" i="10"/>
  <c r="K132" i="12"/>
  <c r="CM62" i="10"/>
  <c r="K133" i="12"/>
  <c r="CM63" i="10"/>
  <c r="K134" i="12"/>
  <c r="CM64" i="10"/>
  <c r="K135" i="12"/>
  <c r="CM65" i="10"/>
  <c r="K136" i="12"/>
  <c r="CM66" i="10"/>
  <c r="K137" i="12"/>
  <c r="CM67" i="10"/>
  <c r="K138" i="12"/>
  <c r="CM68" i="10"/>
  <c r="K139" i="12"/>
  <c r="CM69" i="10"/>
  <c r="K140" i="12"/>
  <c r="CM70" i="10"/>
  <c r="K141" i="12"/>
  <c r="CB47" i="10"/>
  <c r="J118" i="12"/>
  <c r="CB49" i="10"/>
  <c r="J120" i="12"/>
  <c r="CB51" i="10"/>
  <c r="J122" i="12"/>
  <c r="CB52" i="10"/>
  <c r="J123" i="12"/>
  <c r="CB57" i="10"/>
  <c r="J128" i="12"/>
  <c r="CB58" i="10"/>
  <c r="J129" i="12"/>
  <c r="CB59" i="10"/>
  <c r="J130" i="12"/>
  <c r="CB60" i="10"/>
  <c r="J131" i="12"/>
  <c r="CB61" i="10"/>
  <c r="J132" i="12"/>
  <c r="CB62" i="10"/>
  <c r="J133" i="12"/>
  <c r="CB63" i="10"/>
  <c r="J134" i="12"/>
  <c r="CB64" i="10"/>
  <c r="J135" i="12"/>
  <c r="CB65" i="10"/>
  <c r="J136" i="12"/>
  <c r="CB66" i="10"/>
  <c r="J137" i="12"/>
  <c r="CB67" i="10"/>
  <c r="J138" i="12"/>
  <c r="CB68" i="10"/>
  <c r="J139" i="12"/>
  <c r="CB69" i="10"/>
  <c r="J140" i="12"/>
  <c r="CB70" i="10"/>
  <c r="J141" i="12"/>
  <c r="CB48" i="10"/>
  <c r="J119" i="12"/>
  <c r="CB50" i="10"/>
  <c r="J121" i="12"/>
  <c r="CB53" i="10"/>
  <c r="J124" i="12"/>
  <c r="CB54" i="10"/>
  <c r="J125" i="12"/>
  <c r="CB55" i="10"/>
  <c r="J126" i="12"/>
  <c r="CB56" i="10"/>
  <c r="J127" i="12"/>
  <c r="BQ47" i="10"/>
  <c r="I118" i="12"/>
  <c r="BQ48" i="10"/>
  <c r="I119" i="12"/>
  <c r="BQ49" i="10"/>
  <c r="I120" i="12"/>
  <c r="BQ50" i="10"/>
  <c r="I121" i="12"/>
  <c r="BQ52" i="10"/>
  <c r="I123" i="12"/>
  <c r="BQ53" i="10"/>
  <c r="I124" i="12"/>
  <c r="BQ55" i="10"/>
  <c r="I126" i="12"/>
  <c r="BQ56" i="10"/>
  <c r="I127" i="12"/>
  <c r="BQ58" i="10"/>
  <c r="I129" i="12"/>
  <c r="BQ59" i="10"/>
  <c r="I130" i="12"/>
  <c r="BQ60" i="10"/>
  <c r="I131" i="12"/>
  <c r="BQ61" i="10"/>
  <c r="I132" i="12"/>
  <c r="BQ62" i="10"/>
  <c r="I133" i="12"/>
  <c r="BQ63" i="10"/>
  <c r="I134" i="12"/>
  <c r="BQ64" i="10"/>
  <c r="I135" i="12"/>
  <c r="BQ65" i="10"/>
  <c r="I136" i="12"/>
  <c r="BQ66" i="10"/>
  <c r="I137" i="12"/>
  <c r="BQ67" i="10"/>
  <c r="I138" i="12"/>
  <c r="BQ68" i="10"/>
  <c r="I139" i="12"/>
  <c r="BQ69" i="10"/>
  <c r="I140" i="12"/>
  <c r="BQ70" i="10"/>
  <c r="I141" i="12"/>
  <c r="BQ51" i="10"/>
  <c r="I122" i="12"/>
  <c r="BQ54" i="10"/>
  <c r="I125" i="12"/>
  <c r="BQ57" i="10"/>
  <c r="I128" i="12"/>
  <c r="AT47" i="10"/>
  <c r="G118" i="12"/>
  <c r="AT48" i="10"/>
  <c r="G119" i="12"/>
  <c r="AT50" i="10"/>
  <c r="G121" i="12"/>
  <c r="AT52" i="10"/>
  <c r="G123" i="12"/>
  <c r="AT53" i="10"/>
  <c r="G124" i="12"/>
  <c r="AT56" i="10"/>
  <c r="G127" i="12"/>
  <c r="AT57" i="10"/>
  <c r="G128" i="12"/>
  <c r="AT60" i="10"/>
  <c r="G131" i="12"/>
  <c r="AT61" i="10"/>
  <c r="G132" i="12"/>
  <c r="AT62" i="10"/>
  <c r="G133" i="12"/>
  <c r="AT63" i="10"/>
  <c r="G134" i="12"/>
  <c r="AT64" i="10"/>
  <c r="G135" i="12"/>
  <c r="AT65" i="10"/>
  <c r="G136" i="12"/>
  <c r="AT66" i="10"/>
  <c r="G137" i="12"/>
  <c r="AT67" i="10"/>
  <c r="G138" i="12"/>
  <c r="AT68" i="10"/>
  <c r="G139" i="12"/>
  <c r="AT69" i="10"/>
  <c r="G140" i="12"/>
  <c r="AT70" i="10"/>
  <c r="G141" i="12"/>
  <c r="AT49" i="10"/>
  <c r="G120" i="12"/>
  <c r="AT51" i="10"/>
  <c r="G122" i="12"/>
  <c r="AT54" i="10"/>
  <c r="G125" i="12"/>
  <c r="AT55" i="10"/>
  <c r="G126" i="12"/>
  <c r="AT58" i="10"/>
  <c r="G129" i="12"/>
  <c r="AT59" i="10"/>
  <c r="G130" i="12"/>
  <c r="AG49" i="10"/>
  <c r="F120" i="12"/>
  <c r="AG50" i="10"/>
  <c r="F121" i="12"/>
  <c r="AG53" i="10"/>
  <c r="F124" i="12"/>
  <c r="AG58" i="10"/>
  <c r="F129" i="12"/>
  <c r="AG47" i="10"/>
  <c r="F118" i="12"/>
  <c r="AG48" i="10"/>
  <c r="F119" i="12"/>
  <c r="AG51" i="10"/>
  <c r="F122" i="12"/>
  <c r="AG52" i="10"/>
  <c r="F123" i="12"/>
  <c r="AG54" i="10"/>
  <c r="F125" i="12"/>
  <c r="AG55" i="10"/>
  <c r="F126" i="12"/>
  <c r="AG56" i="10"/>
  <c r="F127" i="12"/>
  <c r="AG57" i="10"/>
  <c r="F128" i="12"/>
  <c r="AG59" i="10"/>
  <c r="F130" i="12"/>
  <c r="AG60" i="10"/>
  <c r="F131" i="12"/>
  <c r="AG61" i="10"/>
  <c r="F132" i="12"/>
  <c r="AG62" i="10"/>
  <c r="F133" i="12"/>
  <c r="AG63" i="10"/>
  <c r="F134" i="12"/>
  <c r="AG64" i="10"/>
  <c r="F135" i="12"/>
  <c r="AG65" i="10"/>
  <c r="F136" i="12"/>
  <c r="AG66" i="10"/>
  <c r="F137" i="12"/>
  <c r="AG67" i="10"/>
  <c r="F138" i="12"/>
  <c r="AG68" i="10"/>
  <c r="F139" i="12"/>
  <c r="AG69" i="10"/>
  <c r="F140" i="12"/>
  <c r="AG70" i="10"/>
  <c r="F141" i="12"/>
  <c r="G101" i="10"/>
  <c r="E91" i="10"/>
  <c r="D117" i="12"/>
  <c r="E21" i="10"/>
  <c r="G50" i="10"/>
  <c r="D121" i="12"/>
  <c r="E25" i="10"/>
  <c r="G51" i="10"/>
  <c r="D122" i="12"/>
  <c r="E26" i="10"/>
  <c r="G57" i="10"/>
  <c r="D128" i="12"/>
  <c r="E32" i="10"/>
  <c r="G95" i="10"/>
  <c r="E80" i="10"/>
  <c r="G47" i="10"/>
  <c r="D118" i="12"/>
  <c r="E22" i="10"/>
  <c r="G48" i="10"/>
  <c r="E23" i="10"/>
  <c r="D119" i="12"/>
  <c r="G49" i="10"/>
  <c r="D120" i="12"/>
  <c r="E24" i="10"/>
  <c r="G52" i="10"/>
  <c r="D123" i="12"/>
  <c r="E27" i="10"/>
  <c r="G53" i="10"/>
  <c r="D124" i="12"/>
  <c r="E28" i="10"/>
  <c r="G54" i="10"/>
  <c r="E29" i="10"/>
  <c r="D125" i="12"/>
  <c r="G55" i="10"/>
  <c r="D126" i="12"/>
  <c r="E30" i="10"/>
  <c r="G56" i="10"/>
  <c r="D127" i="12"/>
  <c r="E31" i="10"/>
  <c r="G58" i="10"/>
  <c r="D129" i="12"/>
  <c r="E33" i="10"/>
  <c r="G59" i="10"/>
  <c r="D130" i="12"/>
  <c r="E34" i="10"/>
  <c r="G60" i="10"/>
  <c r="D131" i="12"/>
  <c r="E35" i="10"/>
  <c r="G61" i="10"/>
  <c r="D132" i="12"/>
  <c r="E36" i="10"/>
  <c r="G62" i="10"/>
  <c r="D133" i="12"/>
  <c r="E37" i="10"/>
  <c r="G63" i="10"/>
  <c r="D134" i="12"/>
  <c r="E38" i="10"/>
  <c r="G64" i="10"/>
  <c r="D135" i="12"/>
  <c r="E39" i="10"/>
  <c r="G65" i="10"/>
  <c r="E40" i="10"/>
  <c r="D136" i="12"/>
  <c r="G66" i="10"/>
  <c r="D137" i="12"/>
  <c r="E41" i="10"/>
  <c r="G67" i="10"/>
  <c r="D138" i="12"/>
  <c r="E42" i="10"/>
  <c r="G68" i="10"/>
  <c r="E43" i="10"/>
  <c r="D139" i="12"/>
  <c r="G69" i="10"/>
  <c r="D140" i="12"/>
  <c r="E44" i="10"/>
  <c r="G70" i="10"/>
  <c r="E45" i="10"/>
  <c r="D141" i="12"/>
  <c r="EI47" i="10"/>
  <c r="O118" i="12"/>
  <c r="EI49" i="10"/>
  <c r="O120" i="12"/>
  <c r="EI50" i="10"/>
  <c r="O121" i="12"/>
  <c r="EI51" i="10"/>
  <c r="O122" i="12"/>
  <c r="EI52" i="10"/>
  <c r="O123" i="12"/>
  <c r="EI53" i="10"/>
  <c r="O124" i="12"/>
  <c r="EI56" i="10"/>
  <c r="O127" i="12"/>
  <c r="EI57" i="10"/>
  <c r="O128" i="12"/>
  <c r="EI59" i="10"/>
  <c r="O130" i="12"/>
  <c r="EI60" i="10"/>
  <c r="O131" i="12"/>
  <c r="EI61" i="10"/>
  <c r="O132" i="12"/>
  <c r="EI62" i="10"/>
  <c r="O133" i="12"/>
  <c r="EI63" i="10"/>
  <c r="O134" i="12"/>
  <c r="EI64" i="10"/>
  <c r="O135" i="12"/>
  <c r="EI65" i="10"/>
  <c r="O136" i="12"/>
  <c r="EI66" i="10"/>
  <c r="O137" i="12"/>
  <c r="EI67" i="10"/>
  <c r="O138" i="12"/>
  <c r="EI68" i="10"/>
  <c r="O139" i="12"/>
  <c r="EI69" i="10"/>
  <c r="O140" i="12"/>
  <c r="EI70" i="10"/>
  <c r="O141" i="12"/>
  <c r="EI48" i="10"/>
  <c r="O119" i="12"/>
  <c r="EI54" i="10"/>
  <c r="O125" i="12"/>
  <c r="EI55" i="10"/>
  <c r="O126" i="12"/>
  <c r="EI58" i="10"/>
  <c r="O129" i="12"/>
  <c r="DL48" i="10"/>
  <c r="M119" i="12"/>
  <c r="DL54" i="10"/>
  <c r="M125" i="12"/>
  <c r="DL57" i="10"/>
  <c r="M128" i="12"/>
  <c r="DL47" i="10"/>
  <c r="M118" i="12"/>
  <c r="DL49" i="10"/>
  <c r="M120" i="12"/>
  <c r="DL50" i="10"/>
  <c r="M121" i="12"/>
  <c r="DL51" i="10"/>
  <c r="M122" i="12"/>
  <c r="DL52" i="10"/>
  <c r="M123" i="12"/>
  <c r="DL53" i="10"/>
  <c r="M124" i="12"/>
  <c r="DL55" i="10"/>
  <c r="M126" i="12"/>
  <c r="DL56" i="10"/>
  <c r="M127" i="12"/>
  <c r="DL58" i="10"/>
  <c r="M129" i="12"/>
  <c r="DL59" i="10"/>
  <c r="M130" i="12"/>
  <c r="DL60" i="10"/>
  <c r="M131" i="12"/>
  <c r="DL61" i="10"/>
  <c r="M132" i="12"/>
  <c r="DL62" i="10"/>
  <c r="M133" i="12"/>
  <c r="DL63" i="10"/>
  <c r="M134" i="12"/>
  <c r="DL64" i="10"/>
  <c r="M135" i="12"/>
  <c r="DL65" i="10"/>
  <c r="M136" i="12"/>
  <c r="DL66" i="10"/>
  <c r="M137" i="12"/>
  <c r="DL67" i="10"/>
  <c r="M138" i="12"/>
  <c r="DL68" i="10"/>
  <c r="M139" i="12"/>
  <c r="DL69" i="10"/>
  <c r="M140" i="12"/>
  <c r="DL70" i="10"/>
  <c r="M141" i="12"/>
  <c r="CY49" i="10"/>
  <c r="L120" i="12"/>
  <c r="CY53" i="10"/>
  <c r="L124" i="12"/>
  <c r="CY54" i="10"/>
  <c r="L125" i="12"/>
  <c r="CY56" i="10"/>
  <c r="L127" i="12"/>
  <c r="CY47" i="10"/>
  <c r="L118" i="12"/>
  <c r="CY48" i="10"/>
  <c r="L119" i="12"/>
  <c r="CY50" i="10"/>
  <c r="L121" i="12"/>
  <c r="CY51" i="10"/>
  <c r="L122" i="12"/>
  <c r="CY52" i="10"/>
  <c r="L123" i="12"/>
  <c r="CY55" i="10"/>
  <c r="L126" i="12"/>
  <c r="CY57" i="10"/>
  <c r="L128" i="12"/>
  <c r="CY58" i="10"/>
  <c r="L129" i="12"/>
  <c r="CY59" i="10"/>
  <c r="L130" i="12"/>
  <c r="CY60" i="10"/>
  <c r="L131" i="12"/>
  <c r="CY61" i="10"/>
  <c r="L132" i="12"/>
  <c r="CY62" i="10"/>
  <c r="L133" i="12"/>
  <c r="CY63" i="10"/>
  <c r="L134" i="12"/>
  <c r="CY64" i="10"/>
  <c r="L135" i="12"/>
  <c r="CY65" i="10"/>
  <c r="L136" i="12"/>
  <c r="CY66" i="10"/>
  <c r="L137" i="12"/>
  <c r="CY67" i="10"/>
  <c r="L138" i="12"/>
  <c r="CY68" i="10"/>
  <c r="L139" i="12"/>
  <c r="CY69" i="10"/>
  <c r="L140" i="12"/>
  <c r="CY70" i="10"/>
  <c r="L141" i="12"/>
  <c r="E27" i="11"/>
  <c r="C27" i="11"/>
  <c r="CW251" i="10"/>
  <c r="DG95" i="10"/>
  <c r="AD251" i="10"/>
  <c r="DE95" i="10"/>
  <c r="CI251" i="10"/>
  <c r="BJ251" i="10"/>
  <c r="DP251" i="10"/>
  <c r="H251" i="10"/>
  <c r="AL251" i="10"/>
  <c r="E236" i="10"/>
  <c r="DN95" i="10"/>
  <c r="DC95" i="10"/>
  <c r="AG95" i="10"/>
  <c r="AC95" i="10"/>
  <c r="EE95" i="10"/>
  <c r="DT95" i="10"/>
  <c r="EJ251" i="10"/>
  <c r="EN251" i="10"/>
  <c r="CB95" i="10"/>
  <c r="V95" i="10"/>
  <c r="R95" i="10"/>
  <c r="E82" i="10"/>
  <c r="CF95" i="10"/>
  <c r="BQ95" i="10"/>
  <c r="BK95" i="10"/>
  <c r="AT95" i="10"/>
  <c r="E78" i="10"/>
  <c r="ES95" i="10"/>
  <c r="ER95" i="10"/>
  <c r="EP95" i="10"/>
  <c r="EK95" i="10"/>
  <c r="EI95" i="10"/>
  <c r="EB95" i="10"/>
  <c r="DI95" i="10"/>
  <c r="BA109" i="10" l="1"/>
  <c r="BA85" i="10"/>
  <c r="BA100" i="10" s="1"/>
  <c r="BA84" i="10"/>
  <c r="BA142" i="10"/>
  <c r="BA76" i="10"/>
  <c r="BA83" i="10"/>
  <c r="BA93" i="10"/>
  <c r="AV109" i="10"/>
  <c r="AV85" i="10"/>
  <c r="AV100" i="10" s="1"/>
  <c r="AV84" i="10"/>
  <c r="AV142" i="10"/>
  <c r="AV76" i="10"/>
  <c r="AV83" i="10"/>
  <c r="AV93" i="10"/>
  <c r="BI109" i="10"/>
  <c r="BI85" i="10"/>
  <c r="BI100" i="10" s="1"/>
  <c r="BI84" i="10"/>
  <c r="BI142" i="10"/>
  <c r="BI76" i="10"/>
  <c r="BI83" i="10"/>
  <c r="BI93" i="10"/>
  <c r="BD109" i="10"/>
  <c r="BD85" i="10"/>
  <c r="BD100" i="10" s="1"/>
  <c r="BD84" i="10"/>
  <c r="BD142" i="10"/>
  <c r="BD76" i="10"/>
  <c r="BD83" i="10"/>
  <c r="BD93" i="10"/>
  <c r="BU109" i="10"/>
  <c r="BU142" i="10"/>
  <c r="BU85" i="10"/>
  <c r="BU100" i="10" s="1"/>
  <c r="BU84" i="10"/>
  <c r="BU76" i="10"/>
  <c r="BU83" i="10"/>
  <c r="BU93" i="10"/>
  <c r="BL76" i="10"/>
  <c r="BL83" i="10"/>
  <c r="BL93" i="10"/>
  <c r="BL109" i="10"/>
  <c r="BL85" i="10"/>
  <c r="BL100" i="10" s="1"/>
  <c r="BL84" i="10"/>
  <c r="BL142" i="10"/>
  <c r="BZ76" i="10"/>
  <c r="BZ83" i="10"/>
  <c r="BZ93" i="10"/>
  <c r="M16" i="11"/>
  <c r="M17" i="11"/>
  <c r="AB16" i="11"/>
  <c r="AB17" i="11"/>
  <c r="AV89" i="10"/>
  <c r="AV96" i="10" s="1"/>
  <c r="Y14" i="11"/>
  <c r="AQ109" i="10"/>
  <c r="AQ85" i="10"/>
  <c r="AQ100" i="10" s="1"/>
  <c r="AQ84" i="10"/>
  <c r="AQ142" i="10"/>
  <c r="AQ76" i="10"/>
  <c r="AQ83" i="10"/>
  <c r="AQ93" i="10"/>
  <c r="AN109" i="10"/>
  <c r="AN85" i="10"/>
  <c r="AN100" i="10" s="1"/>
  <c r="AN84" i="10"/>
  <c r="AN142" i="10"/>
  <c r="AN76" i="10"/>
  <c r="AN83" i="10"/>
  <c r="AN93" i="10"/>
  <c r="BA89" i="10"/>
  <c r="BA96" i="10" s="1"/>
  <c r="X14" i="11"/>
  <c r="H16" i="11"/>
  <c r="H17" i="11"/>
  <c r="T16" i="11"/>
  <c r="T17" i="11"/>
  <c r="J14" i="11"/>
  <c r="AM109" i="10"/>
  <c r="AM142" i="10"/>
  <c r="AM85" i="10"/>
  <c r="AM100" i="10" s="1"/>
  <c r="AM84" i="10"/>
  <c r="AM83" i="10"/>
  <c r="AM76" i="10"/>
  <c r="AM93" i="10"/>
  <c r="AJ109" i="10"/>
  <c r="AJ142" i="10"/>
  <c r="AJ85" i="10"/>
  <c r="AJ100" i="10" s="1"/>
  <c r="AJ84" i="10"/>
  <c r="AJ76" i="10"/>
  <c r="AJ83" i="10"/>
  <c r="AJ93" i="10"/>
  <c r="AI109" i="10"/>
  <c r="AI142" i="10"/>
  <c r="AI85" i="10"/>
  <c r="AI100" i="10" s="1"/>
  <c r="AI84" i="10"/>
  <c r="AI76" i="10"/>
  <c r="AI83" i="10"/>
  <c r="AI93" i="10"/>
  <c r="AF109" i="10"/>
  <c r="AF142" i="10"/>
  <c r="AF85" i="10"/>
  <c r="AF100" i="10" s="1"/>
  <c r="AF84" i="10"/>
  <c r="AF93" i="10"/>
  <c r="AF76" i="10"/>
  <c r="AF83" i="10"/>
  <c r="Q16" i="11"/>
  <c r="Q17" i="11"/>
  <c r="X16" i="11"/>
  <c r="X17" i="11"/>
  <c r="I16" i="11"/>
  <c r="I17" i="11"/>
  <c r="AA16" i="11"/>
  <c r="AA17" i="11"/>
  <c r="T14" i="11"/>
  <c r="I14" i="11"/>
  <c r="Y16" i="11"/>
  <c r="P16" i="11"/>
  <c r="AC16" i="11"/>
  <c r="O17" i="11"/>
  <c r="P17" i="11"/>
  <c r="G17" i="11"/>
  <c r="Z17" i="11"/>
  <c r="S17" i="11"/>
  <c r="Y17" i="11"/>
  <c r="U17" i="11"/>
  <c r="J16" i="11"/>
  <c r="J17" i="11"/>
  <c r="V17" i="11"/>
  <c r="N14" i="11"/>
  <c r="N17" i="11"/>
  <c r="U16" i="11"/>
  <c r="G14" i="11"/>
  <c r="V16" i="11"/>
  <c r="P14" i="11"/>
  <c r="AA14" i="11"/>
  <c r="O14" i="11"/>
  <c r="O16" i="11"/>
  <c r="S16" i="11"/>
  <c r="AC17" i="11"/>
  <c r="G16" i="11"/>
  <c r="Z16" i="11"/>
  <c r="H14" i="11"/>
  <c r="Z14" i="11"/>
  <c r="V14" i="11"/>
  <c r="K16" i="11"/>
  <c r="K17" i="11"/>
  <c r="N16" i="11"/>
  <c r="L16" i="11"/>
  <c r="L17" i="11"/>
  <c r="R14" i="11"/>
  <c r="L14" i="11"/>
  <c r="AC14" i="11"/>
  <c r="W14" i="11"/>
  <c r="BP83" i="10"/>
  <c r="BP76" i="10"/>
  <c r="BP93" i="10"/>
  <c r="BP109" i="10"/>
  <c r="BP85" i="10"/>
  <c r="BP100" i="10" s="1"/>
  <c r="BP84" i="10"/>
  <c r="BP142" i="10"/>
  <c r="BS76" i="10"/>
  <c r="BS83" i="10"/>
  <c r="BS93" i="10"/>
  <c r="BS109" i="10"/>
  <c r="BS85" i="10"/>
  <c r="BS100" i="10" s="1"/>
  <c r="BS84" i="10"/>
  <c r="BS142" i="10"/>
  <c r="CK93" i="10"/>
  <c r="CK83" i="10"/>
  <c r="CK76" i="10"/>
  <c r="CK85" i="10"/>
  <c r="CK100" i="10" s="1"/>
  <c r="CK84" i="10"/>
  <c r="CK142" i="10"/>
  <c r="CK109" i="10"/>
  <c r="U109" i="10"/>
  <c r="U85" i="10"/>
  <c r="U100" i="10" s="1"/>
  <c r="U84" i="10"/>
  <c r="U37" i="11"/>
  <c r="U142" i="10"/>
  <c r="U76" i="10"/>
  <c r="U83" i="10"/>
  <c r="U93" i="10"/>
  <c r="N76" i="10"/>
  <c r="N83" i="10"/>
  <c r="N93" i="10"/>
  <c r="N109" i="10"/>
  <c r="N85" i="10"/>
  <c r="N100" i="10" s="1"/>
  <c r="N84" i="10"/>
  <c r="N89" i="10" s="1"/>
  <c r="N96" i="10" s="1"/>
  <c r="N37" i="11"/>
  <c r="N142" i="10"/>
  <c r="L142" i="10"/>
  <c r="L109" i="10"/>
  <c r="L85" i="10"/>
  <c r="L100" i="10" s="1"/>
  <c r="L84" i="10"/>
  <c r="L76" i="10"/>
  <c r="L93" i="10"/>
  <c r="L83" i="10"/>
  <c r="Z109" i="10"/>
  <c r="Z37" i="11"/>
  <c r="Z85" i="10"/>
  <c r="Z100" i="10" s="1"/>
  <c r="Z84" i="10"/>
  <c r="Z142" i="10"/>
  <c r="Z76" i="10"/>
  <c r="Z83" i="10"/>
  <c r="Z93" i="10"/>
  <c r="F76" i="10"/>
  <c r="F83" i="10"/>
  <c r="F93" i="10"/>
  <c r="J109" i="10"/>
  <c r="J37" i="11"/>
  <c r="J85" i="10"/>
  <c r="J100" i="10" s="1"/>
  <c r="J84" i="10"/>
  <c r="J142" i="10"/>
  <c r="J76" i="10"/>
  <c r="J83" i="10"/>
  <c r="J93" i="10"/>
  <c r="O76" i="10"/>
  <c r="O83" i="10"/>
  <c r="O93" i="10"/>
  <c r="O109" i="10"/>
  <c r="O37" i="11"/>
  <c r="O85" i="10"/>
  <c r="O100" i="10" s="1"/>
  <c r="O84" i="10"/>
  <c r="O89" i="10" s="1"/>
  <c r="O96" i="10" s="1"/>
  <c r="O142" i="10"/>
  <c r="AB109" i="10"/>
  <c r="AB85" i="10"/>
  <c r="AB100" i="10" s="1"/>
  <c r="AB37" i="11"/>
  <c r="AB84" i="10"/>
  <c r="AB142" i="10"/>
  <c r="AB76" i="10"/>
  <c r="AB83" i="10"/>
  <c r="AB89" i="10" s="1"/>
  <c r="AB96" i="10" s="1"/>
  <c r="AB93" i="10"/>
  <c r="DB109" i="10"/>
  <c r="DB85" i="10"/>
  <c r="DB100" i="10" s="1"/>
  <c r="DB84" i="10"/>
  <c r="DB142" i="10"/>
  <c r="DB93" i="10"/>
  <c r="DB76" i="10"/>
  <c r="DB83" i="10"/>
  <c r="DD142" i="10"/>
  <c r="DD109" i="10"/>
  <c r="DD85" i="10"/>
  <c r="DD100" i="10" s="1"/>
  <c r="DD84" i="10"/>
  <c r="DD93" i="10"/>
  <c r="DD76" i="10"/>
  <c r="DD83" i="10"/>
  <c r="DD89" i="10" s="1"/>
  <c r="DD96" i="10" s="1"/>
  <c r="DF142" i="10"/>
  <c r="DF84" i="10"/>
  <c r="DF85" i="10"/>
  <c r="DF100" i="10" s="1"/>
  <c r="DF109" i="10"/>
  <c r="DF93" i="10"/>
  <c r="DF83" i="10"/>
  <c r="DF76" i="10"/>
  <c r="DM142" i="10"/>
  <c r="DM84" i="10"/>
  <c r="DM85" i="10"/>
  <c r="DM100" i="10" s="1"/>
  <c r="DM109" i="10"/>
  <c r="DM93" i="10"/>
  <c r="DM76" i="10"/>
  <c r="DM83" i="10"/>
  <c r="DO142" i="10"/>
  <c r="DO84" i="10"/>
  <c r="DO85" i="10"/>
  <c r="DO100" i="10" s="1"/>
  <c r="DO109" i="10"/>
  <c r="DO83" i="10"/>
  <c r="DO76" i="10"/>
  <c r="DO93" i="10"/>
  <c r="DP93" i="10"/>
  <c r="DP83" i="10"/>
  <c r="DP76" i="10"/>
  <c r="DP84" i="10"/>
  <c r="DP142" i="10"/>
  <c r="DP109" i="10"/>
  <c r="DP85" i="10"/>
  <c r="DP100" i="10" s="1"/>
  <c r="DR83" i="10"/>
  <c r="DR93" i="10"/>
  <c r="DR76" i="10"/>
  <c r="DR109" i="10"/>
  <c r="DR85" i="10"/>
  <c r="DR100" i="10" s="1"/>
  <c r="DR84" i="10"/>
  <c r="DR142" i="10"/>
  <c r="EQ93" i="10"/>
  <c r="EQ83" i="10"/>
  <c r="EQ76" i="10"/>
  <c r="EQ142" i="10"/>
  <c r="EQ84" i="10"/>
  <c r="EQ85" i="10"/>
  <c r="EQ100" i="10" s="1"/>
  <c r="AE142" i="10"/>
  <c r="AE84" i="10"/>
  <c r="AE85" i="10"/>
  <c r="AE100" i="10" s="1"/>
  <c r="AE109" i="10"/>
  <c r="AE83" i="10"/>
  <c r="AE76" i="10"/>
  <c r="AE93" i="10"/>
  <c r="AH83" i="10"/>
  <c r="AH76" i="10"/>
  <c r="AH93" i="10"/>
  <c r="AH84" i="10"/>
  <c r="AH142" i="10"/>
  <c r="AH109" i="10"/>
  <c r="AH85" i="10"/>
  <c r="AH100" i="10" s="1"/>
  <c r="AK93" i="10"/>
  <c r="AK76" i="10"/>
  <c r="AK83" i="10"/>
  <c r="AK109" i="10"/>
  <c r="AK85" i="10"/>
  <c r="AK100" i="10" s="1"/>
  <c r="AK84" i="10"/>
  <c r="AK142" i="10"/>
  <c r="AP83" i="10"/>
  <c r="AP76" i="10"/>
  <c r="AP93" i="10"/>
  <c r="AR109" i="10"/>
  <c r="AR85" i="10"/>
  <c r="AR100" i="10" s="1"/>
  <c r="AR84" i="10"/>
  <c r="AR142" i="10"/>
  <c r="AR83" i="10"/>
  <c r="AR76" i="10"/>
  <c r="AR93" i="10"/>
  <c r="AS142" i="10"/>
  <c r="AS84" i="10"/>
  <c r="AS109" i="10"/>
  <c r="AS85" i="10"/>
  <c r="AS100" i="10" s="1"/>
  <c r="AS83" i="10"/>
  <c r="AS76" i="10"/>
  <c r="AS93" i="10"/>
  <c r="AY93" i="10"/>
  <c r="AY76" i="10"/>
  <c r="AY83" i="10"/>
  <c r="AY142" i="10"/>
  <c r="AY84" i="10"/>
  <c r="AY85" i="10"/>
  <c r="AY100" i="10" s="1"/>
  <c r="AY109" i="10"/>
  <c r="BE84" i="10"/>
  <c r="BE142" i="10"/>
  <c r="BE109" i="10"/>
  <c r="BE85" i="10"/>
  <c r="BE100" i="10" s="1"/>
  <c r="BE83" i="10"/>
  <c r="BE93" i="10"/>
  <c r="BE76" i="10"/>
  <c r="BG76" i="10"/>
  <c r="BG83" i="10"/>
  <c r="BG93" i="10"/>
  <c r="BG109" i="10"/>
  <c r="BG85" i="10"/>
  <c r="BG100" i="10" s="1"/>
  <c r="BG84" i="10"/>
  <c r="BG89" i="10" s="1"/>
  <c r="BG96" i="10" s="1"/>
  <c r="BG142" i="10"/>
  <c r="BN76" i="10"/>
  <c r="BN83" i="10"/>
  <c r="BN93" i="10"/>
  <c r="H93" i="10"/>
  <c r="H76" i="10"/>
  <c r="H83" i="10"/>
  <c r="H142" i="10"/>
  <c r="H37" i="11"/>
  <c r="H84" i="10"/>
  <c r="H85" i="10"/>
  <c r="H100" i="10" s="1"/>
  <c r="H109" i="10"/>
  <c r="P93" i="10"/>
  <c r="P83" i="10"/>
  <c r="P76" i="10"/>
  <c r="P142" i="10"/>
  <c r="P84" i="10"/>
  <c r="P85" i="10"/>
  <c r="P100" i="10" s="1"/>
  <c r="P37" i="11"/>
  <c r="P109" i="10"/>
  <c r="T76" i="10"/>
  <c r="T83" i="10"/>
  <c r="T93" i="10"/>
  <c r="T109" i="10"/>
  <c r="T37" i="11"/>
  <c r="T142" i="10"/>
  <c r="T84" i="10"/>
  <c r="T85" i="10"/>
  <c r="T100" i="10" s="1"/>
  <c r="W76" i="10"/>
  <c r="W83" i="10"/>
  <c r="W93" i="10"/>
  <c r="W142" i="10"/>
  <c r="W37" i="11"/>
  <c r="W109" i="10"/>
  <c r="W84" i="10"/>
  <c r="W85" i="10"/>
  <c r="W100" i="10" s="1"/>
  <c r="Y142" i="10"/>
  <c r="Y109" i="10"/>
  <c r="Y84" i="10"/>
  <c r="Y85" i="10"/>
  <c r="Y100" i="10" s="1"/>
  <c r="Y37" i="11"/>
  <c r="Y76" i="10"/>
  <c r="Y93" i="10"/>
  <c r="Y83" i="10"/>
  <c r="Y89" i="10" s="1"/>
  <c r="Y96" i="10" s="1"/>
  <c r="AA93" i="10"/>
  <c r="AA76" i="10"/>
  <c r="AA83" i="10"/>
  <c r="AA142" i="10"/>
  <c r="AA84" i="10"/>
  <c r="AA85" i="10"/>
  <c r="AA100" i="10" s="1"/>
  <c r="AA109" i="10"/>
  <c r="AD93" i="10"/>
  <c r="AD83" i="10"/>
  <c r="AD76" i="10"/>
  <c r="BV83" i="10"/>
  <c r="BV76" i="10"/>
  <c r="BV93" i="10"/>
  <c r="BV142" i="10"/>
  <c r="BV84" i="10"/>
  <c r="BV85" i="10"/>
  <c r="BV100" i="10" s="1"/>
  <c r="BV109" i="10"/>
  <c r="BX76" i="10"/>
  <c r="BX93" i="10"/>
  <c r="BX83" i="10"/>
  <c r="BX142" i="10"/>
  <c r="BX84" i="10"/>
  <c r="BX85" i="10"/>
  <c r="BX100" i="10" s="1"/>
  <c r="BX109" i="10"/>
  <c r="CZ142" i="10"/>
  <c r="CZ84" i="10"/>
  <c r="CZ85" i="10"/>
  <c r="CZ100" i="10" s="1"/>
  <c r="CZ109" i="10"/>
  <c r="CZ83" i="10"/>
  <c r="CZ76" i="10"/>
  <c r="CZ93" i="10"/>
  <c r="DH76" i="10"/>
  <c r="DH83" i="10"/>
  <c r="DH93" i="10"/>
  <c r="DH109" i="10"/>
  <c r="DH84" i="10"/>
  <c r="DH142" i="10"/>
  <c r="DH85" i="10"/>
  <c r="DH100" i="10" s="1"/>
  <c r="L41" i="12"/>
  <c r="C150" i="12"/>
  <c r="DJ76" i="10"/>
  <c r="DJ83" i="10"/>
  <c r="DJ93" i="10"/>
  <c r="O41" i="12"/>
  <c r="CM71" i="10"/>
  <c r="BQ71" i="10"/>
  <c r="AT71" i="10"/>
  <c r="AG71" i="10"/>
  <c r="AA37" i="11" s="1"/>
  <c r="CB71" i="10"/>
  <c r="EI71" i="10"/>
  <c r="DL71" i="10"/>
  <c r="AX109" i="10"/>
  <c r="AX85" i="10"/>
  <c r="AX100" i="10" s="1"/>
  <c r="AX84" i="10"/>
  <c r="AX142" i="10"/>
  <c r="AX76" i="10"/>
  <c r="AX83" i="10"/>
  <c r="AX93" i="10"/>
  <c r="BC109" i="10"/>
  <c r="BC85" i="10"/>
  <c r="BC100" i="10" s="1"/>
  <c r="BC84" i="10"/>
  <c r="BC142" i="10"/>
  <c r="BC76" i="10"/>
  <c r="BC83" i="10"/>
  <c r="BC93" i="10"/>
  <c r="BJ109" i="10"/>
  <c r="BJ85" i="10"/>
  <c r="BJ100" i="10" s="1"/>
  <c r="BJ84" i="10"/>
  <c r="BJ142" i="10"/>
  <c r="BJ76" i="10"/>
  <c r="BJ83" i="10"/>
  <c r="BJ93" i="10"/>
  <c r="BM85" i="10"/>
  <c r="BM100" i="10" s="1"/>
  <c r="BM84" i="10"/>
  <c r="BM142" i="10"/>
  <c r="BM109" i="10"/>
  <c r="BM83" i="10"/>
  <c r="BM93" i="10"/>
  <c r="BM76" i="10"/>
  <c r="BO83" i="10"/>
  <c r="BO93" i="10"/>
  <c r="BO76" i="10"/>
  <c r="BO109" i="10"/>
  <c r="BO85" i="10"/>
  <c r="BO100" i="10" s="1"/>
  <c r="BO84" i="10"/>
  <c r="BO142" i="10"/>
  <c r="BR109" i="10"/>
  <c r="BR85" i="10"/>
  <c r="BR100" i="10" s="1"/>
  <c r="BR142" i="10"/>
  <c r="BR84" i="10"/>
  <c r="BR76" i="10"/>
  <c r="BR83" i="10"/>
  <c r="BR93" i="10"/>
  <c r="CA83" i="10"/>
  <c r="CA93" i="10"/>
  <c r="CA76" i="10"/>
  <c r="CA109" i="10"/>
  <c r="CA85" i="10"/>
  <c r="CA100" i="10" s="1"/>
  <c r="CA84" i="10"/>
  <c r="CA142" i="10"/>
  <c r="CC109" i="10"/>
  <c r="CC85" i="10"/>
  <c r="CC100" i="10" s="1"/>
  <c r="CC84" i="10"/>
  <c r="CC142" i="10"/>
  <c r="CC76" i="10"/>
  <c r="CC83" i="10"/>
  <c r="CC93" i="10"/>
  <c r="CE76" i="10"/>
  <c r="CE83" i="10"/>
  <c r="CE93" i="10"/>
  <c r="CE109" i="10"/>
  <c r="CE85" i="10"/>
  <c r="CE100" i="10" s="1"/>
  <c r="CE84" i="10"/>
  <c r="CE89" i="10" s="1"/>
  <c r="CE96" i="10" s="1"/>
  <c r="CE142" i="10"/>
  <c r="CG109" i="10"/>
  <c r="CG85" i="10"/>
  <c r="CG100" i="10" s="1"/>
  <c r="CG84" i="10"/>
  <c r="CG142" i="10"/>
  <c r="CG76" i="10"/>
  <c r="CG83" i="10"/>
  <c r="CG93" i="10"/>
  <c r="CI76" i="10"/>
  <c r="CI83" i="10"/>
  <c r="CI93" i="10"/>
  <c r="CI85" i="10"/>
  <c r="CI100" i="10" s="1"/>
  <c r="CI84" i="10"/>
  <c r="CI142" i="10"/>
  <c r="CI109" i="10"/>
  <c r="CL83" i="10"/>
  <c r="CL93" i="10"/>
  <c r="CL76" i="10"/>
  <c r="CN109" i="10"/>
  <c r="CN85" i="10"/>
  <c r="CN100" i="10" s="1"/>
  <c r="CN84" i="10"/>
  <c r="CN142" i="10"/>
  <c r="CN83" i="10"/>
  <c r="CN93" i="10"/>
  <c r="CN76" i="10"/>
  <c r="CP109" i="10"/>
  <c r="CP85" i="10"/>
  <c r="CP100" i="10" s="1"/>
  <c r="CP142" i="10"/>
  <c r="CP84" i="10"/>
  <c r="CP76" i="10"/>
  <c r="CP83" i="10"/>
  <c r="CP89" i="10" s="1"/>
  <c r="CP96" i="10" s="1"/>
  <c r="CP93" i="10"/>
  <c r="CR84" i="10"/>
  <c r="CR142" i="10"/>
  <c r="CR109" i="10"/>
  <c r="CR85" i="10"/>
  <c r="CR100" i="10" s="1"/>
  <c r="CR93" i="10"/>
  <c r="CR76" i="10"/>
  <c r="CR83" i="10"/>
  <c r="DS109" i="10"/>
  <c r="DS85" i="10"/>
  <c r="DS100" i="10" s="1"/>
  <c r="DS84" i="10"/>
  <c r="DS142" i="10"/>
  <c r="DS76" i="10"/>
  <c r="DS83" i="10"/>
  <c r="DS93" i="10"/>
  <c r="DU109" i="10"/>
  <c r="DU85" i="10"/>
  <c r="DU100" i="10" s="1"/>
  <c r="DU84" i="10"/>
  <c r="DU142" i="10"/>
  <c r="DU76" i="10"/>
  <c r="DU83" i="10"/>
  <c r="DU93" i="10"/>
  <c r="DW84" i="10"/>
  <c r="DW142" i="10"/>
  <c r="DW85" i="10"/>
  <c r="DW100" i="10" s="1"/>
  <c r="DW93" i="10"/>
  <c r="DW76" i="10"/>
  <c r="DW83" i="10"/>
  <c r="DY76" i="10"/>
  <c r="DY83" i="10"/>
  <c r="DY93" i="10"/>
  <c r="DY85" i="10"/>
  <c r="DY100" i="10" s="1"/>
  <c r="DY84" i="10"/>
  <c r="DY142" i="10"/>
  <c r="EA85" i="10"/>
  <c r="EA100" i="10" s="1"/>
  <c r="EA84" i="10"/>
  <c r="EA142" i="10"/>
  <c r="EA83" i="10"/>
  <c r="EA93" i="10"/>
  <c r="EA76" i="10"/>
  <c r="EC76" i="10"/>
  <c r="EC83" i="10"/>
  <c r="EC93" i="10"/>
  <c r="EC85" i="10"/>
  <c r="EC100" i="10" s="1"/>
  <c r="EC84" i="10"/>
  <c r="EC142" i="10"/>
  <c r="ED93" i="10"/>
  <c r="ED76" i="10"/>
  <c r="ED83" i="10"/>
  <c r="ED142" i="10"/>
  <c r="ED85" i="10"/>
  <c r="ED100" i="10" s="1"/>
  <c r="ED84" i="10"/>
  <c r="EF85" i="10"/>
  <c r="EF100" i="10" s="1"/>
  <c r="EF84" i="10"/>
  <c r="EF142" i="10"/>
  <c r="EF76" i="10"/>
  <c r="EF83" i="10"/>
  <c r="EF93" i="10"/>
  <c r="EH83" i="10"/>
  <c r="EH76" i="10"/>
  <c r="EH93" i="10"/>
  <c r="EJ85" i="10"/>
  <c r="EJ100" i="10" s="1"/>
  <c r="EJ84" i="10"/>
  <c r="EJ142" i="10"/>
  <c r="EJ76" i="10"/>
  <c r="EJ83" i="10"/>
  <c r="EJ89" i="10" s="1"/>
  <c r="EJ96" i="10" s="1"/>
  <c r="EJ93" i="10"/>
  <c r="EL142" i="10"/>
  <c r="EL84" i="10"/>
  <c r="EL85" i="10"/>
  <c r="EL100" i="10" s="1"/>
  <c r="EL93" i="10"/>
  <c r="EL76" i="10"/>
  <c r="EL83" i="10"/>
  <c r="EL89" i="10" s="1"/>
  <c r="EL96" i="10" s="1"/>
  <c r="EN84" i="10"/>
  <c r="EN142" i="10"/>
  <c r="EN85" i="10"/>
  <c r="EN100" i="10" s="1"/>
  <c r="EN76" i="10"/>
  <c r="EN83" i="10"/>
  <c r="EN93" i="10"/>
  <c r="EO85" i="10"/>
  <c r="EO100" i="10" s="1"/>
  <c r="EO84" i="10"/>
  <c r="EO142" i="10"/>
  <c r="EO76" i="10"/>
  <c r="EO93" i="10"/>
  <c r="EO83" i="10"/>
  <c r="CX76" i="10"/>
  <c r="CX83" i="10"/>
  <c r="CX93" i="10"/>
  <c r="G111" i="10"/>
  <c r="E101" i="10"/>
  <c r="C75" i="12"/>
  <c r="E224" i="10"/>
  <c r="EJ94" i="10"/>
  <c r="C81" i="12"/>
  <c r="E212" i="10"/>
  <c r="E206" i="10"/>
  <c r="C93" i="12"/>
  <c r="C89" i="12"/>
  <c r="E220" i="10"/>
  <c r="C86" i="12"/>
  <c r="E217" i="10"/>
  <c r="C84" i="12"/>
  <c r="E215" i="10"/>
  <c r="C78" i="12"/>
  <c r="E209" i="10"/>
  <c r="C73" i="12"/>
  <c r="E204" i="10"/>
  <c r="C91" i="12"/>
  <c r="E222" i="10"/>
  <c r="C87" i="12"/>
  <c r="E218" i="10"/>
  <c r="C80" i="12"/>
  <c r="E211" i="10"/>
  <c r="C79" i="12"/>
  <c r="E210" i="10"/>
  <c r="C76" i="12"/>
  <c r="E207" i="10"/>
  <c r="E230" i="10"/>
  <c r="C90" i="12"/>
  <c r="E221" i="10"/>
  <c r="C83" i="12"/>
  <c r="E214" i="10"/>
  <c r="C82" i="12"/>
  <c r="E213" i="10"/>
  <c r="C92" i="12"/>
  <c r="E223" i="10"/>
  <c r="C88" i="12"/>
  <c r="E73" i="10"/>
  <c r="E75" i="10"/>
  <c r="CY71" i="10"/>
  <c r="L101" i="12" s="1"/>
  <c r="H41" i="12"/>
  <c r="G41" i="12"/>
  <c r="C117" i="12"/>
  <c r="E50" i="10"/>
  <c r="E51" i="10"/>
  <c r="E57" i="10"/>
  <c r="E47" i="10"/>
  <c r="E48" i="10"/>
  <c r="E49" i="10"/>
  <c r="E52" i="10"/>
  <c r="E53" i="10"/>
  <c r="E54" i="10"/>
  <c r="E55" i="10"/>
  <c r="E56" i="10"/>
  <c r="E58" i="10"/>
  <c r="E59" i="10"/>
  <c r="E60" i="10"/>
  <c r="E61" i="10"/>
  <c r="E62" i="10"/>
  <c r="E63" i="10"/>
  <c r="E64" i="10"/>
  <c r="E65" i="10"/>
  <c r="E66" i="10"/>
  <c r="E67" i="10"/>
  <c r="E68" i="10"/>
  <c r="E69" i="10"/>
  <c r="E70" i="10"/>
  <c r="Q76" i="10"/>
  <c r="Q83" i="10"/>
  <c r="Q93" i="10"/>
  <c r="Q109" i="10"/>
  <c r="Q85" i="10"/>
  <c r="Q100" i="10" s="1"/>
  <c r="Q84" i="10"/>
  <c r="Q37" i="11"/>
  <c r="Q142" i="10"/>
  <c r="S76" i="10"/>
  <c r="S83" i="10"/>
  <c r="S93" i="10"/>
  <c r="S109" i="10"/>
  <c r="S85" i="10"/>
  <c r="S100" i="10" s="1"/>
  <c r="S84" i="10"/>
  <c r="S89" i="10" s="1"/>
  <c r="S96" i="10" s="1"/>
  <c r="S37" i="11"/>
  <c r="S142" i="10"/>
  <c r="X109" i="10"/>
  <c r="X85" i="10"/>
  <c r="X100" i="10" s="1"/>
  <c r="X84" i="10"/>
  <c r="X37" i="11"/>
  <c r="X142" i="10"/>
  <c r="X83" i="10"/>
  <c r="X93" i="10"/>
  <c r="X76" i="10"/>
  <c r="CT85" i="10"/>
  <c r="CT100" i="10" s="1"/>
  <c r="CT84" i="10"/>
  <c r="CT142" i="10"/>
  <c r="CT109" i="10"/>
  <c r="CT76" i="10"/>
  <c r="CT83" i="10"/>
  <c r="CT93" i="10"/>
  <c r="CV109" i="10"/>
  <c r="CV85" i="10"/>
  <c r="CV100" i="10" s="1"/>
  <c r="CV84" i="10"/>
  <c r="CV142" i="10"/>
  <c r="CV76" i="10"/>
  <c r="CV83" i="10"/>
  <c r="CV93" i="10"/>
  <c r="DK85" i="10"/>
  <c r="DK100" i="10" s="1"/>
  <c r="DK84" i="10"/>
  <c r="DK142" i="10"/>
  <c r="DK109" i="10"/>
  <c r="DK83" i="10"/>
  <c r="DK93" i="10"/>
  <c r="DK76" i="10"/>
  <c r="AU109" i="10"/>
  <c r="AU85" i="10"/>
  <c r="AU100" i="10" s="1"/>
  <c r="AU84" i="10"/>
  <c r="AU142" i="10"/>
  <c r="AU76" i="10"/>
  <c r="AU83" i="10"/>
  <c r="AU93" i="10"/>
  <c r="BW109" i="10"/>
  <c r="BW85" i="10"/>
  <c r="BW100" i="10" s="1"/>
  <c r="BW84" i="10"/>
  <c r="BW142" i="10"/>
  <c r="BW76" i="10"/>
  <c r="BW83" i="10"/>
  <c r="BW93" i="10"/>
  <c r="CD76" i="10"/>
  <c r="CD83" i="10"/>
  <c r="CD93" i="10"/>
  <c r="CD85" i="10"/>
  <c r="CD100" i="10" s="1"/>
  <c r="CD84" i="10"/>
  <c r="CD142" i="10"/>
  <c r="CD109" i="10"/>
  <c r="I109" i="10"/>
  <c r="I85" i="10"/>
  <c r="I100" i="10" s="1"/>
  <c r="I84" i="10"/>
  <c r="I37" i="11"/>
  <c r="I142" i="10"/>
  <c r="I76" i="10"/>
  <c r="I83" i="10"/>
  <c r="I93" i="10"/>
  <c r="H144" i="10"/>
  <c r="H145" i="10" s="1"/>
  <c r="H140" i="10"/>
  <c r="F147" i="10"/>
  <c r="F148" i="10" s="1"/>
  <c r="E146" i="10"/>
  <c r="G105" i="10"/>
  <c r="H124" i="10"/>
  <c r="H126" i="10"/>
  <c r="H128" i="10"/>
  <c r="H130" i="10"/>
  <c r="H132" i="10"/>
  <c r="H134" i="10"/>
  <c r="H280" i="10"/>
  <c r="H282" i="10"/>
  <c r="H284" i="10"/>
  <c r="H286" i="10"/>
  <c r="H288" i="10"/>
  <c r="H290" i="10"/>
  <c r="F109" i="10"/>
  <c r="F37" i="11"/>
  <c r="F85" i="10"/>
  <c r="F84" i="10"/>
  <c r="F142" i="10"/>
  <c r="K249" i="10"/>
  <c r="K232" i="10"/>
  <c r="K239" i="10"/>
  <c r="K298" i="10"/>
  <c r="K11" i="11"/>
  <c r="K240" i="10"/>
  <c r="K241" i="10"/>
  <c r="K256" i="10" s="1"/>
  <c r="K265" i="10"/>
  <c r="O249" i="10"/>
  <c r="O232" i="10"/>
  <c r="O239" i="10"/>
  <c r="O298" i="10"/>
  <c r="O240" i="10"/>
  <c r="O241" i="10"/>
  <c r="O256" i="10" s="1"/>
  <c r="O11" i="11"/>
  <c r="O265" i="10"/>
  <c r="S249" i="10"/>
  <c r="S232" i="10"/>
  <c r="S239" i="10"/>
  <c r="S298" i="10"/>
  <c r="S240" i="10"/>
  <c r="S241" i="10"/>
  <c r="S256" i="10" s="1"/>
  <c r="S11" i="11"/>
  <c r="S265" i="10"/>
  <c r="Y249" i="10"/>
  <c r="Y232" i="10"/>
  <c r="Y239" i="10"/>
  <c r="Y298" i="10"/>
  <c r="Y240" i="10"/>
  <c r="Y241" i="10"/>
  <c r="Y256" i="10" s="1"/>
  <c r="Y11" i="11"/>
  <c r="Y265" i="10"/>
  <c r="AC249" i="10"/>
  <c r="AC232" i="10"/>
  <c r="AC239" i="10"/>
  <c r="AC298" i="10"/>
  <c r="AC11" i="11"/>
  <c r="AC240" i="10"/>
  <c r="AC241" i="10"/>
  <c r="AC256" i="10" s="1"/>
  <c r="AC265" i="10"/>
  <c r="AJ249" i="10"/>
  <c r="AJ232" i="10"/>
  <c r="AJ239" i="10"/>
  <c r="AJ298" i="10"/>
  <c r="AJ241" i="10"/>
  <c r="AJ256" i="10" s="1"/>
  <c r="AJ240" i="10"/>
  <c r="AJ265" i="10"/>
  <c r="AP249" i="10"/>
  <c r="AP232" i="10"/>
  <c r="AP239" i="10"/>
  <c r="AS249" i="10"/>
  <c r="AS232" i="10"/>
  <c r="AS239" i="10"/>
  <c r="AS298" i="10"/>
  <c r="AS240" i="10"/>
  <c r="AS241" i="10"/>
  <c r="AS256" i="10" s="1"/>
  <c r="AS265" i="10"/>
  <c r="BA249" i="10"/>
  <c r="BA232" i="10"/>
  <c r="BA239" i="10"/>
  <c r="BA298" i="10"/>
  <c r="BA240" i="10"/>
  <c r="BA241" i="10"/>
  <c r="BA256" i="10" s="1"/>
  <c r="BA265" i="10"/>
  <c r="BC249" i="10"/>
  <c r="BC232" i="10"/>
  <c r="BC239" i="10"/>
  <c r="BC298" i="10"/>
  <c r="BC240" i="10"/>
  <c r="BC241" i="10"/>
  <c r="BC256" i="10" s="1"/>
  <c r="BC265" i="10"/>
  <c r="BE249" i="10"/>
  <c r="BE232" i="10"/>
  <c r="BE239" i="10"/>
  <c r="BE298" i="10"/>
  <c r="BE240" i="10"/>
  <c r="BE241" i="10"/>
  <c r="BE256" i="10" s="1"/>
  <c r="BE265" i="10"/>
  <c r="BK249" i="10"/>
  <c r="BK232" i="10"/>
  <c r="BK239" i="10"/>
  <c r="BK298" i="10"/>
  <c r="BK241" i="10"/>
  <c r="BK256" i="10" s="1"/>
  <c r="BK240" i="10"/>
  <c r="BK265" i="10"/>
  <c r="BO249" i="10"/>
  <c r="BO232" i="10"/>
  <c r="BO239" i="10"/>
  <c r="BO298" i="10"/>
  <c r="BO241" i="10"/>
  <c r="BO256" i="10" s="1"/>
  <c r="BO240" i="10"/>
  <c r="BO265" i="10"/>
  <c r="BS249" i="10"/>
  <c r="BS232" i="10"/>
  <c r="BS239" i="10"/>
  <c r="BS298" i="10"/>
  <c r="BS241" i="10"/>
  <c r="BS256" i="10" s="1"/>
  <c r="BS240" i="10"/>
  <c r="BS265" i="10"/>
  <c r="BV249" i="10"/>
  <c r="BV232" i="10"/>
  <c r="BV239" i="10"/>
  <c r="BV298" i="10"/>
  <c r="BV240" i="10"/>
  <c r="BV241" i="10"/>
  <c r="BV256" i="10" s="1"/>
  <c r="BV265" i="10"/>
  <c r="CA249" i="10"/>
  <c r="CA232" i="10"/>
  <c r="CA239" i="10"/>
  <c r="CA298" i="10"/>
  <c r="CA240" i="10"/>
  <c r="CA241" i="10"/>
  <c r="CA256" i="10" s="1"/>
  <c r="CA265" i="10"/>
  <c r="CC249" i="10"/>
  <c r="CC232" i="10"/>
  <c r="CC239" i="10"/>
  <c r="CC298" i="10"/>
  <c r="CC240" i="10"/>
  <c r="CC241" i="10"/>
  <c r="CC256" i="10" s="1"/>
  <c r="CC265" i="10"/>
  <c r="CG249" i="10"/>
  <c r="CG232" i="10"/>
  <c r="CG239" i="10"/>
  <c r="CG298" i="10"/>
  <c r="CG240" i="10"/>
  <c r="CG241" i="10"/>
  <c r="CG256" i="10" s="1"/>
  <c r="CG265" i="10"/>
  <c r="CM249" i="10"/>
  <c r="CM232" i="10"/>
  <c r="CM239" i="10"/>
  <c r="CM298" i="10"/>
  <c r="CM240" i="10"/>
  <c r="CM241" i="10"/>
  <c r="CM256" i="10" s="1"/>
  <c r="CM265" i="10"/>
  <c r="CR249" i="10"/>
  <c r="CR232" i="10"/>
  <c r="CR239" i="10"/>
  <c r="CR298" i="10"/>
  <c r="CR241" i="10"/>
  <c r="CR256" i="10" s="1"/>
  <c r="CR240" i="10"/>
  <c r="CR265" i="10"/>
  <c r="CU249" i="10"/>
  <c r="CU232" i="10"/>
  <c r="CU239" i="10"/>
  <c r="CU298" i="10"/>
  <c r="CU240" i="10"/>
  <c r="CU241" i="10"/>
  <c r="CU256" i="10" s="1"/>
  <c r="CU265" i="10"/>
  <c r="CW249" i="10"/>
  <c r="CW232" i="10"/>
  <c r="CW239" i="10"/>
  <c r="CW298" i="10"/>
  <c r="CW240" i="10"/>
  <c r="CW241" i="10"/>
  <c r="CW256" i="10" s="1"/>
  <c r="CW265" i="10"/>
  <c r="DB249" i="10"/>
  <c r="DB232" i="10"/>
  <c r="DB239" i="10"/>
  <c r="DB298" i="10"/>
  <c r="DB241" i="10"/>
  <c r="DB256" i="10" s="1"/>
  <c r="DB240" i="10"/>
  <c r="DB265" i="10"/>
  <c r="DH249" i="10"/>
  <c r="DH232" i="10"/>
  <c r="DH239" i="10"/>
  <c r="DH298" i="10"/>
  <c r="DH240" i="10"/>
  <c r="DH241" i="10"/>
  <c r="DH256" i="10" s="1"/>
  <c r="DH265" i="10"/>
  <c r="DK249" i="10"/>
  <c r="DK232" i="10"/>
  <c r="DK239" i="10"/>
  <c r="DK298" i="10"/>
  <c r="DK240" i="10"/>
  <c r="DK241" i="10"/>
  <c r="DK256" i="10" s="1"/>
  <c r="DK265" i="10"/>
  <c r="DQ249" i="10"/>
  <c r="DQ232" i="10"/>
  <c r="DQ239" i="10"/>
  <c r="DQ298" i="10"/>
  <c r="DQ241" i="10"/>
  <c r="DQ256" i="10" s="1"/>
  <c r="DQ240" i="10"/>
  <c r="DQ265" i="10"/>
  <c r="DS249" i="10"/>
  <c r="DS232" i="10"/>
  <c r="DS239" i="10"/>
  <c r="DS298" i="10"/>
  <c r="DS241" i="10"/>
  <c r="DS256" i="10" s="1"/>
  <c r="DS240" i="10"/>
  <c r="DS265" i="10"/>
  <c r="DV249" i="10"/>
  <c r="DV232" i="10"/>
  <c r="DV239" i="10"/>
  <c r="EA249" i="10"/>
  <c r="EA232" i="10"/>
  <c r="EA239" i="10"/>
  <c r="EA298" i="10"/>
  <c r="EA241" i="10"/>
  <c r="EA256" i="10" s="1"/>
  <c r="EA240" i="10"/>
  <c r="EG249" i="10"/>
  <c r="EG232" i="10"/>
  <c r="EG239" i="10"/>
  <c r="EG298" i="10"/>
  <c r="EG240" i="10"/>
  <c r="EG241" i="10"/>
  <c r="EG256" i="10" s="1"/>
  <c r="EL249" i="10"/>
  <c r="EL232" i="10"/>
  <c r="EL239" i="10"/>
  <c r="EL298" i="10"/>
  <c r="EL240" i="10"/>
  <c r="EL241" i="10"/>
  <c r="EL256" i="10" s="1"/>
  <c r="EP249" i="10"/>
  <c r="EP232" i="10"/>
  <c r="EP239" i="10"/>
  <c r="EP298" i="10"/>
  <c r="EP240" i="10"/>
  <c r="EP241" i="10"/>
  <c r="EP256" i="10" s="1"/>
  <c r="ES249" i="10"/>
  <c r="ES232" i="10"/>
  <c r="ES239" i="10"/>
  <c r="ES298" i="10"/>
  <c r="ES240" i="10"/>
  <c r="ES241" i="10"/>
  <c r="ES256" i="10" s="1"/>
  <c r="G249" i="10"/>
  <c r="G232" i="10"/>
  <c r="G239" i="10"/>
  <c r="G298" i="10"/>
  <c r="G11" i="11"/>
  <c r="G241" i="10"/>
  <c r="G256" i="10" s="1"/>
  <c r="G240" i="10"/>
  <c r="G265" i="10"/>
  <c r="I249" i="10"/>
  <c r="I232" i="10"/>
  <c r="I239" i="10"/>
  <c r="I298" i="10"/>
  <c r="I11" i="11"/>
  <c r="I240" i="10"/>
  <c r="I241" i="10"/>
  <c r="I256" i="10" s="1"/>
  <c r="I265" i="10"/>
  <c r="N249" i="10"/>
  <c r="N232" i="10"/>
  <c r="N239" i="10"/>
  <c r="N298" i="10"/>
  <c r="N240" i="10"/>
  <c r="N241" i="10"/>
  <c r="N256" i="10" s="1"/>
  <c r="N11" i="11"/>
  <c r="N265" i="10"/>
  <c r="U249" i="10"/>
  <c r="U232" i="10"/>
  <c r="U239" i="10"/>
  <c r="U298" i="10"/>
  <c r="U241" i="10"/>
  <c r="U256" i="10" s="1"/>
  <c r="U240" i="10"/>
  <c r="U11" i="11"/>
  <c r="U265" i="10"/>
  <c r="Z249" i="10"/>
  <c r="Z232" i="10"/>
  <c r="Z239" i="10"/>
  <c r="Z298" i="10"/>
  <c r="Z11" i="11"/>
  <c r="Z240" i="10"/>
  <c r="Z241" i="10"/>
  <c r="Z256" i="10" s="1"/>
  <c r="Z265" i="10"/>
  <c r="AF249" i="10"/>
  <c r="AF232" i="10"/>
  <c r="AF239" i="10"/>
  <c r="AF298" i="10"/>
  <c r="AF240" i="10"/>
  <c r="AF241" i="10"/>
  <c r="AF256" i="10" s="1"/>
  <c r="AF265" i="10"/>
  <c r="AI249" i="10"/>
  <c r="AI232" i="10"/>
  <c r="AI239" i="10"/>
  <c r="AI298" i="10"/>
  <c r="AI240" i="10"/>
  <c r="AI241" i="10"/>
  <c r="AI256" i="10" s="1"/>
  <c r="AI265" i="10"/>
  <c r="AO249" i="10"/>
  <c r="AO232" i="10"/>
  <c r="AO239" i="10"/>
  <c r="AO298" i="10"/>
  <c r="AO240" i="10"/>
  <c r="AO241" i="10"/>
  <c r="AO256" i="10" s="1"/>
  <c r="AO265" i="10"/>
  <c r="AT249" i="10"/>
  <c r="AT232" i="10"/>
  <c r="AT239" i="10"/>
  <c r="AT298" i="10"/>
  <c r="AT240" i="10"/>
  <c r="AT241" i="10"/>
  <c r="AT256" i="10" s="1"/>
  <c r="AT265" i="10"/>
  <c r="AW249" i="10"/>
  <c r="AW232" i="10"/>
  <c r="AW239" i="10"/>
  <c r="AW298" i="10"/>
  <c r="AW240" i="10"/>
  <c r="AW241" i="10"/>
  <c r="AW256" i="10" s="1"/>
  <c r="AW265" i="10"/>
  <c r="BL249" i="10"/>
  <c r="BL232" i="10"/>
  <c r="BL239" i="10"/>
  <c r="BL298" i="10"/>
  <c r="BL240" i="10"/>
  <c r="BL241" i="10"/>
  <c r="BL256" i="10" s="1"/>
  <c r="BL265" i="10"/>
  <c r="BQ249" i="10"/>
  <c r="BQ232" i="10"/>
  <c r="BQ239" i="10"/>
  <c r="BQ298" i="10"/>
  <c r="BQ240" i="10"/>
  <c r="BQ241" i="10"/>
  <c r="BQ256" i="10" s="1"/>
  <c r="BQ265" i="10"/>
  <c r="BY249" i="10"/>
  <c r="BY232" i="10"/>
  <c r="BY239" i="10"/>
  <c r="BY298" i="10"/>
  <c r="BY240" i="10"/>
  <c r="BY241" i="10"/>
  <c r="BY256" i="10" s="1"/>
  <c r="BY265" i="10"/>
  <c r="CI249" i="10"/>
  <c r="CI232" i="10"/>
  <c r="CI239" i="10"/>
  <c r="CI298" i="10"/>
  <c r="CI240" i="10"/>
  <c r="CI241" i="10"/>
  <c r="CI256" i="10" s="1"/>
  <c r="CI265" i="10"/>
  <c r="CJ249" i="10"/>
  <c r="CJ232" i="10"/>
  <c r="CJ239" i="10"/>
  <c r="CJ298" i="10"/>
  <c r="CJ241" i="10"/>
  <c r="CJ256" i="10" s="1"/>
  <c r="CJ240" i="10"/>
  <c r="CJ265" i="10"/>
  <c r="CN249" i="10"/>
  <c r="CN232" i="10"/>
  <c r="CN239" i="10"/>
  <c r="CN298" i="10"/>
  <c r="CN241" i="10"/>
  <c r="CN256" i="10" s="1"/>
  <c r="CN240" i="10"/>
  <c r="CN265" i="10"/>
  <c r="CV249" i="10"/>
  <c r="CV232" i="10"/>
  <c r="CV239" i="10"/>
  <c r="CV298" i="10"/>
  <c r="CV241" i="10"/>
  <c r="CV256" i="10" s="1"/>
  <c r="CV240" i="10"/>
  <c r="CV265" i="10"/>
  <c r="CZ249" i="10"/>
  <c r="CZ232" i="10"/>
  <c r="CZ239" i="10"/>
  <c r="CZ298" i="10"/>
  <c r="CZ240" i="10"/>
  <c r="CZ241" i="10"/>
  <c r="CZ256" i="10" s="1"/>
  <c r="CZ265" i="10"/>
  <c r="DI249" i="10"/>
  <c r="DI232" i="10"/>
  <c r="DI239" i="10"/>
  <c r="DI298" i="10"/>
  <c r="DI241" i="10"/>
  <c r="DI256" i="10" s="1"/>
  <c r="DI240" i="10"/>
  <c r="DI265" i="10"/>
  <c r="DJ249" i="10"/>
  <c r="DJ232" i="10"/>
  <c r="DJ239" i="10"/>
  <c r="DP249" i="10"/>
  <c r="DP232" i="10"/>
  <c r="DP239" i="10"/>
  <c r="DP298" i="10"/>
  <c r="DP240" i="10"/>
  <c r="DP241" i="10"/>
  <c r="DP256" i="10" s="1"/>
  <c r="DP265" i="10"/>
  <c r="DW249" i="10"/>
  <c r="DW232" i="10"/>
  <c r="DW239" i="10"/>
  <c r="DW298" i="10"/>
  <c r="DW241" i="10"/>
  <c r="DW256" i="10" s="1"/>
  <c r="DW240" i="10"/>
  <c r="DZ249" i="10"/>
  <c r="DZ232" i="10"/>
  <c r="DZ239" i="10"/>
  <c r="DZ298" i="10"/>
  <c r="DZ240" i="10"/>
  <c r="DZ241" i="10"/>
  <c r="DZ256" i="10" s="1"/>
  <c r="EE249" i="10"/>
  <c r="EE232" i="10"/>
  <c r="EE239" i="10"/>
  <c r="EE298" i="10"/>
  <c r="EE240" i="10"/>
  <c r="EE241" i="10"/>
  <c r="EE256" i="10" s="1"/>
  <c r="EH249" i="10"/>
  <c r="EH232" i="10"/>
  <c r="EH239" i="10"/>
  <c r="EK249" i="10"/>
  <c r="EK232" i="10"/>
  <c r="EK239" i="10"/>
  <c r="EK298" i="10"/>
  <c r="EK240" i="10"/>
  <c r="EK241" i="10"/>
  <c r="EK256" i="10" s="1"/>
  <c r="EQ249" i="10"/>
  <c r="EQ232" i="10"/>
  <c r="EQ239" i="10"/>
  <c r="EQ298" i="10"/>
  <c r="EQ240" i="10"/>
  <c r="EQ241" i="10"/>
  <c r="EQ256" i="10" s="1"/>
  <c r="H249" i="10"/>
  <c r="H232" i="10"/>
  <c r="H239" i="10"/>
  <c r="H298" i="10"/>
  <c r="H11" i="11"/>
  <c r="H240" i="10"/>
  <c r="H241" i="10"/>
  <c r="H256" i="10" s="1"/>
  <c r="H265" i="10"/>
  <c r="L249" i="10"/>
  <c r="L232" i="10"/>
  <c r="L239" i="10"/>
  <c r="L298" i="10"/>
  <c r="L240" i="10"/>
  <c r="L241" i="10"/>
  <c r="L256" i="10" s="1"/>
  <c r="L265" i="10"/>
  <c r="W249" i="10"/>
  <c r="W232" i="10"/>
  <c r="W239" i="10"/>
  <c r="W298" i="10"/>
  <c r="W11" i="11"/>
  <c r="W240" i="10"/>
  <c r="W241" i="10"/>
  <c r="W256" i="10" s="1"/>
  <c r="W265" i="10"/>
  <c r="AA249" i="10"/>
  <c r="AA232" i="10"/>
  <c r="AA239" i="10"/>
  <c r="AA298" i="10"/>
  <c r="AA11" i="11"/>
  <c r="AA241" i="10"/>
  <c r="AA256" i="10" s="1"/>
  <c r="AA240" i="10"/>
  <c r="AA265" i="10"/>
  <c r="AD249" i="10"/>
  <c r="AD232" i="10"/>
  <c r="AD239" i="10"/>
  <c r="AH249" i="10"/>
  <c r="AH232" i="10"/>
  <c r="AH239" i="10"/>
  <c r="AH298" i="10"/>
  <c r="AH240" i="10"/>
  <c r="AH241" i="10"/>
  <c r="AH256" i="10" s="1"/>
  <c r="AH265" i="10"/>
  <c r="AL249" i="10"/>
  <c r="AL232" i="10"/>
  <c r="AL239" i="10"/>
  <c r="AL298" i="10"/>
  <c r="AL240" i="10"/>
  <c r="AL241" i="10"/>
  <c r="AL256" i="10" s="1"/>
  <c r="AL265" i="10"/>
  <c r="AU249" i="10"/>
  <c r="AU232" i="10"/>
  <c r="AU239" i="10"/>
  <c r="AU298" i="10"/>
  <c r="AU240" i="10"/>
  <c r="AU241" i="10"/>
  <c r="AU256" i="10" s="1"/>
  <c r="AU265" i="10"/>
  <c r="AY249" i="10"/>
  <c r="AY232" i="10"/>
  <c r="AY239" i="10"/>
  <c r="AY298" i="10"/>
  <c r="AY240" i="10"/>
  <c r="AY241" i="10"/>
  <c r="AY256" i="10" s="1"/>
  <c r="AY265" i="10"/>
  <c r="BF249" i="10"/>
  <c r="BF232" i="10"/>
  <c r="BF239" i="10"/>
  <c r="BF298" i="10"/>
  <c r="BF240" i="10"/>
  <c r="BF241" i="10"/>
  <c r="BF256" i="10" s="1"/>
  <c r="BF265" i="10"/>
  <c r="BH249" i="10"/>
  <c r="BH232" i="10"/>
  <c r="BH239" i="10"/>
  <c r="BH298" i="10"/>
  <c r="BH240" i="10"/>
  <c r="BH241" i="10"/>
  <c r="BH256" i="10" s="1"/>
  <c r="BH265" i="10"/>
  <c r="BU249" i="10"/>
  <c r="BU232" i="10"/>
  <c r="BU239" i="10"/>
  <c r="BU298" i="10"/>
  <c r="BU241" i="10"/>
  <c r="BU256" i="10" s="1"/>
  <c r="BU240" i="10"/>
  <c r="BU265" i="10"/>
  <c r="CK249" i="10"/>
  <c r="CK232" i="10"/>
  <c r="CK239" i="10"/>
  <c r="CK298" i="10"/>
  <c r="CK240" i="10"/>
  <c r="CK241" i="10"/>
  <c r="CK256" i="10" s="1"/>
  <c r="CK265" i="10"/>
  <c r="CQ249" i="10"/>
  <c r="CQ232" i="10"/>
  <c r="CQ239" i="10"/>
  <c r="CQ298" i="10"/>
  <c r="CQ240" i="10"/>
  <c r="CQ241" i="10"/>
  <c r="CQ256" i="10" s="1"/>
  <c r="CQ265" i="10"/>
  <c r="DF249" i="10"/>
  <c r="DF232" i="10"/>
  <c r="DF239" i="10"/>
  <c r="DF298" i="10"/>
  <c r="DF240" i="10"/>
  <c r="DF241" i="10"/>
  <c r="DF256" i="10" s="1"/>
  <c r="DF265" i="10"/>
  <c r="EB249" i="10"/>
  <c r="EB232" i="10"/>
  <c r="EB239" i="10"/>
  <c r="EB298" i="10"/>
  <c r="EB240" i="10"/>
  <c r="EB241" i="10"/>
  <c r="EB256" i="10" s="1"/>
  <c r="M249" i="10"/>
  <c r="M232" i="10"/>
  <c r="M239" i="10"/>
  <c r="M298" i="10"/>
  <c r="M11" i="11"/>
  <c r="M240" i="10"/>
  <c r="M241" i="10"/>
  <c r="M256" i="10" s="1"/>
  <c r="M265" i="10"/>
  <c r="P249" i="10"/>
  <c r="P232" i="10"/>
  <c r="P239" i="10"/>
  <c r="P298" i="10"/>
  <c r="P11" i="11"/>
  <c r="P240" i="10"/>
  <c r="P241" i="10"/>
  <c r="P256" i="10" s="1"/>
  <c r="P265" i="10"/>
  <c r="E44" i="12"/>
  <c r="R16" i="11"/>
  <c r="E45" i="12"/>
  <c r="R17" i="11"/>
  <c r="R249" i="10"/>
  <c r="R232" i="10"/>
  <c r="R239" i="10"/>
  <c r="V249" i="10"/>
  <c r="V232" i="10"/>
  <c r="V239" i="10"/>
  <c r="V298" i="10"/>
  <c r="V11" i="11"/>
  <c r="V240" i="10"/>
  <c r="V241" i="10"/>
  <c r="V256" i="10" s="1"/>
  <c r="V265" i="10"/>
  <c r="AB249" i="10"/>
  <c r="AB232" i="10"/>
  <c r="AB239" i="10"/>
  <c r="AB298" i="10"/>
  <c r="AB11" i="11"/>
  <c r="AB240" i="10"/>
  <c r="AB241" i="10"/>
  <c r="AB256" i="10" s="1"/>
  <c r="AB265" i="10"/>
  <c r="AK249" i="10"/>
  <c r="AK232" i="10"/>
  <c r="AK239" i="10"/>
  <c r="AK298" i="10"/>
  <c r="AK240" i="10"/>
  <c r="AK241" i="10"/>
  <c r="AK256" i="10" s="1"/>
  <c r="AK265" i="10"/>
  <c r="AN249" i="10"/>
  <c r="AN232" i="10"/>
  <c r="AN239" i="10"/>
  <c r="AN298" i="10"/>
  <c r="AN241" i="10"/>
  <c r="AN256" i="10" s="1"/>
  <c r="AN240" i="10"/>
  <c r="AN265" i="10"/>
  <c r="AR249" i="10"/>
  <c r="AR232" i="10"/>
  <c r="AR239" i="10"/>
  <c r="AR298" i="10"/>
  <c r="AR240" i="10"/>
  <c r="AR241" i="10"/>
  <c r="AR256" i="10" s="1"/>
  <c r="AR265" i="10"/>
  <c r="AX249" i="10"/>
  <c r="AX232" i="10"/>
  <c r="AX239" i="10"/>
  <c r="AX298" i="10"/>
  <c r="AX240" i="10"/>
  <c r="AX241" i="10"/>
  <c r="AX256" i="10" s="1"/>
  <c r="AX265" i="10"/>
  <c r="BB249" i="10"/>
  <c r="BB232" i="10"/>
  <c r="BB239" i="10"/>
  <c r="BG249" i="10"/>
  <c r="BG232" i="10"/>
  <c r="BG239" i="10"/>
  <c r="BG298" i="10"/>
  <c r="BG241" i="10"/>
  <c r="BG256" i="10" s="1"/>
  <c r="BG240" i="10"/>
  <c r="BG265" i="10"/>
  <c r="BI249" i="10"/>
  <c r="BI232" i="10"/>
  <c r="BI239" i="10"/>
  <c r="BI298" i="10"/>
  <c r="BI240" i="10"/>
  <c r="BI241" i="10"/>
  <c r="BI256" i="10" s="1"/>
  <c r="BI265" i="10"/>
  <c r="BN249" i="10"/>
  <c r="BN232" i="10"/>
  <c r="BN239" i="10"/>
  <c r="BT249" i="10"/>
  <c r="BT232" i="10"/>
  <c r="BT239" i="10"/>
  <c r="BT298" i="10"/>
  <c r="BT240" i="10"/>
  <c r="BT241" i="10"/>
  <c r="BT256" i="10" s="1"/>
  <c r="BT265" i="10"/>
  <c r="BX249" i="10"/>
  <c r="BX232" i="10"/>
  <c r="BX239" i="10"/>
  <c r="BX298" i="10"/>
  <c r="BX240" i="10"/>
  <c r="BX241" i="10"/>
  <c r="BX256" i="10" s="1"/>
  <c r="BX265" i="10"/>
  <c r="BZ249" i="10"/>
  <c r="BZ232" i="10"/>
  <c r="BZ239" i="10"/>
  <c r="CD249" i="10"/>
  <c r="CD232" i="10"/>
  <c r="CD239" i="10"/>
  <c r="CD298" i="10"/>
  <c r="CD240" i="10"/>
  <c r="CD241" i="10"/>
  <c r="CD256" i="10" s="1"/>
  <c r="CD265" i="10"/>
  <c r="CH249" i="10"/>
  <c r="CH232" i="10"/>
  <c r="CH239" i="10"/>
  <c r="CH298" i="10"/>
  <c r="CH240" i="10"/>
  <c r="CH241" i="10"/>
  <c r="CH256" i="10" s="1"/>
  <c r="CH265" i="10"/>
  <c r="CT249" i="10"/>
  <c r="CT232" i="10"/>
  <c r="CT239" i="10"/>
  <c r="CT298" i="10"/>
  <c r="CT240" i="10"/>
  <c r="CT241" i="10"/>
  <c r="CT256" i="10" s="1"/>
  <c r="CT265" i="10"/>
  <c r="DA249" i="10"/>
  <c r="DA232" i="10"/>
  <c r="DA239" i="10"/>
  <c r="DA298" i="10"/>
  <c r="DA240" i="10"/>
  <c r="DA241" i="10"/>
  <c r="DA256" i="10" s="1"/>
  <c r="DA265" i="10"/>
  <c r="DD249" i="10"/>
  <c r="DD232" i="10"/>
  <c r="DD239" i="10"/>
  <c r="DD298" i="10"/>
  <c r="DD241" i="10"/>
  <c r="DD256" i="10" s="1"/>
  <c r="DD240" i="10"/>
  <c r="DD265" i="10"/>
  <c r="DG249" i="10"/>
  <c r="DG232" i="10"/>
  <c r="DG239" i="10"/>
  <c r="DG298" i="10"/>
  <c r="DG240" i="10"/>
  <c r="DG241" i="10"/>
  <c r="DG256" i="10" s="1"/>
  <c r="DG265" i="10"/>
  <c r="DL249" i="10"/>
  <c r="DL232" i="10"/>
  <c r="DL239" i="10"/>
  <c r="DL298" i="10"/>
  <c r="DL240" i="10"/>
  <c r="DL241" i="10"/>
  <c r="DL256" i="10" s="1"/>
  <c r="DL265" i="10"/>
  <c r="DN249" i="10"/>
  <c r="DN232" i="10"/>
  <c r="DN239" i="10"/>
  <c r="DN298" i="10"/>
  <c r="DN240" i="10"/>
  <c r="DN241" i="10"/>
  <c r="DN256" i="10" s="1"/>
  <c r="DN265" i="10"/>
  <c r="DY249" i="10"/>
  <c r="DY232" i="10"/>
  <c r="DY239" i="10"/>
  <c r="DY298" i="10"/>
  <c r="DY240" i="10"/>
  <c r="DY241" i="10"/>
  <c r="DY256" i="10" s="1"/>
  <c r="ED249" i="10"/>
  <c r="ED232" i="10"/>
  <c r="ED239" i="10"/>
  <c r="ED298" i="10"/>
  <c r="ED241" i="10"/>
  <c r="ED256" i="10" s="1"/>
  <c r="ED240" i="10"/>
  <c r="EI249" i="10"/>
  <c r="EI232" i="10"/>
  <c r="EI239" i="10"/>
  <c r="EI298" i="10"/>
  <c r="EI240" i="10"/>
  <c r="EI241" i="10"/>
  <c r="EI256" i="10" s="1"/>
  <c r="EM249" i="10"/>
  <c r="EM232" i="10"/>
  <c r="EM239" i="10"/>
  <c r="EM298" i="10"/>
  <c r="EM241" i="10"/>
  <c r="EM256" i="10" s="1"/>
  <c r="EM240" i="10"/>
  <c r="EO249" i="10"/>
  <c r="EO232" i="10"/>
  <c r="EO239" i="10"/>
  <c r="EO298" i="10"/>
  <c r="EO240" i="10"/>
  <c r="EO241" i="10"/>
  <c r="EO256" i="10" s="1"/>
  <c r="E257" i="10"/>
  <c r="D47" i="12"/>
  <c r="C47" i="12" s="1"/>
  <c r="F267" i="10"/>
  <c r="E251" i="10"/>
  <c r="D41" i="12"/>
  <c r="F14" i="11"/>
  <c r="E254" i="10"/>
  <c r="F16" i="11"/>
  <c r="D44" i="12"/>
  <c r="E231" i="10"/>
  <c r="F249" i="10"/>
  <c r="F232" i="10"/>
  <c r="F239" i="10"/>
  <c r="E229" i="10"/>
  <c r="C71" i="12"/>
  <c r="D153" i="12"/>
  <c r="E202" i="10"/>
  <c r="F227" i="10"/>
  <c r="J249" i="10"/>
  <c r="J232" i="10"/>
  <c r="J239" i="10"/>
  <c r="J298" i="10"/>
  <c r="J11" i="11"/>
  <c r="J240" i="10"/>
  <c r="J241" i="10"/>
  <c r="J256" i="10" s="1"/>
  <c r="J265" i="10"/>
  <c r="Q249" i="10"/>
  <c r="Q232" i="10"/>
  <c r="Q239" i="10"/>
  <c r="Q298" i="10"/>
  <c r="Q11" i="11"/>
  <c r="Q240" i="10"/>
  <c r="Q241" i="10"/>
  <c r="Q256" i="10" s="1"/>
  <c r="Q265" i="10"/>
  <c r="X249" i="10"/>
  <c r="X232" i="10"/>
  <c r="X239" i="10"/>
  <c r="X298" i="10"/>
  <c r="X240" i="10"/>
  <c r="X241" i="10"/>
  <c r="X256" i="10" s="1"/>
  <c r="X265" i="10"/>
  <c r="AE249" i="10"/>
  <c r="AE232" i="10"/>
  <c r="AE239" i="10"/>
  <c r="AE298" i="10"/>
  <c r="AE240" i="10"/>
  <c r="AE241" i="10"/>
  <c r="AE256" i="10" s="1"/>
  <c r="AE265" i="10"/>
  <c r="AQ249" i="10"/>
  <c r="AQ232" i="10"/>
  <c r="AQ239" i="10"/>
  <c r="AQ298" i="10"/>
  <c r="AQ240" i="10"/>
  <c r="AQ241" i="10"/>
  <c r="AQ256" i="10" s="1"/>
  <c r="AQ265" i="10"/>
  <c r="BJ249" i="10"/>
  <c r="BJ232" i="10"/>
  <c r="BJ239" i="10"/>
  <c r="BJ298" i="10"/>
  <c r="BJ241" i="10"/>
  <c r="BJ256" i="10" s="1"/>
  <c r="BJ240" i="10"/>
  <c r="BJ265" i="10"/>
  <c r="BP249" i="10"/>
  <c r="BP232" i="10"/>
  <c r="BP239" i="10"/>
  <c r="BP298" i="10"/>
  <c r="BP240" i="10"/>
  <c r="BP241" i="10"/>
  <c r="BP256" i="10" s="1"/>
  <c r="BP265" i="10"/>
  <c r="BW249" i="10"/>
  <c r="BW232" i="10"/>
  <c r="BW239" i="10"/>
  <c r="BW298" i="10"/>
  <c r="BW240" i="10"/>
  <c r="BW241" i="10"/>
  <c r="BW256" i="10" s="1"/>
  <c r="BW265" i="10"/>
  <c r="CB249" i="10"/>
  <c r="CB232" i="10"/>
  <c r="CB239" i="10"/>
  <c r="CB298" i="10"/>
  <c r="CB241" i="10"/>
  <c r="CB256" i="10" s="1"/>
  <c r="CB240" i="10"/>
  <c r="CB265" i="10"/>
  <c r="CF249" i="10"/>
  <c r="CF232" i="10"/>
  <c r="CF239" i="10"/>
  <c r="CF298" i="10"/>
  <c r="CF241" i="10"/>
  <c r="CF256" i="10" s="1"/>
  <c r="CF240" i="10"/>
  <c r="CF265" i="10"/>
  <c r="CO249" i="10"/>
  <c r="CO232" i="10"/>
  <c r="CO239" i="10"/>
  <c r="CO298" i="10"/>
  <c r="CO240" i="10"/>
  <c r="CO241" i="10"/>
  <c r="CO256" i="10" s="1"/>
  <c r="CO265" i="10"/>
  <c r="CS249" i="10"/>
  <c r="CS232" i="10"/>
  <c r="CS239" i="10"/>
  <c r="CS298" i="10"/>
  <c r="CS240" i="10"/>
  <c r="CS241" i="10"/>
  <c r="CS256" i="10" s="1"/>
  <c r="CS265" i="10"/>
  <c r="CX249" i="10"/>
  <c r="CX232" i="10"/>
  <c r="CX239" i="10"/>
  <c r="DC249" i="10"/>
  <c r="DC232" i="10"/>
  <c r="DC239" i="10"/>
  <c r="DC298" i="10"/>
  <c r="DC240" i="10"/>
  <c r="DC241" i="10"/>
  <c r="DC256" i="10" s="1"/>
  <c r="DC265" i="10"/>
  <c r="DM249" i="10"/>
  <c r="DM232" i="10"/>
  <c r="DM239" i="10"/>
  <c r="DM298" i="10"/>
  <c r="DM241" i="10"/>
  <c r="DM256" i="10" s="1"/>
  <c r="DM240" i="10"/>
  <c r="DM265" i="10"/>
  <c r="DO249" i="10"/>
  <c r="DO232" i="10"/>
  <c r="DO239" i="10"/>
  <c r="DO298" i="10"/>
  <c r="DO240" i="10"/>
  <c r="DO241" i="10"/>
  <c r="DO256" i="10" s="1"/>
  <c r="DO265" i="10"/>
  <c r="DU249" i="10"/>
  <c r="DU232" i="10"/>
  <c r="DU239" i="10"/>
  <c r="DU298" i="10"/>
  <c r="DU240" i="10"/>
  <c r="DU241" i="10"/>
  <c r="DU256" i="10" s="1"/>
  <c r="DU265" i="10"/>
  <c r="DX249" i="10"/>
  <c r="DX232" i="10"/>
  <c r="DX239" i="10"/>
  <c r="DX298" i="10"/>
  <c r="DX240" i="10"/>
  <c r="DX241" i="10"/>
  <c r="DX256" i="10" s="1"/>
  <c r="EF249" i="10"/>
  <c r="EF232" i="10"/>
  <c r="EF239" i="10"/>
  <c r="EF298" i="10"/>
  <c r="EF240" i="10"/>
  <c r="EF241" i="10"/>
  <c r="EF256" i="10" s="1"/>
  <c r="EJ249" i="10"/>
  <c r="EJ232" i="10"/>
  <c r="EJ239" i="10"/>
  <c r="EJ298" i="10"/>
  <c r="EJ241" i="10"/>
  <c r="EJ256" i="10" s="1"/>
  <c r="EJ240" i="10"/>
  <c r="EN249" i="10"/>
  <c r="EN232" i="10"/>
  <c r="EN239" i="10"/>
  <c r="EN298" i="10"/>
  <c r="EN240" i="10"/>
  <c r="EN241" i="10"/>
  <c r="EN256" i="10" s="1"/>
  <c r="ER249" i="10"/>
  <c r="ER232" i="10"/>
  <c r="ER239" i="10"/>
  <c r="ER298" i="10"/>
  <c r="ER240" i="10"/>
  <c r="ER241" i="10"/>
  <c r="ER256" i="10" s="1"/>
  <c r="T249" i="10"/>
  <c r="T232" i="10"/>
  <c r="T239" i="10"/>
  <c r="T298" i="10"/>
  <c r="T240" i="10"/>
  <c r="T241" i="10"/>
  <c r="T256" i="10" s="1"/>
  <c r="T11" i="11"/>
  <c r="T265" i="10"/>
  <c r="AG249" i="10"/>
  <c r="AG232" i="10"/>
  <c r="AG239" i="10"/>
  <c r="AG298" i="10"/>
  <c r="AG240" i="10"/>
  <c r="AG241" i="10"/>
  <c r="AG256" i="10" s="1"/>
  <c r="AG265" i="10"/>
  <c r="AM249" i="10"/>
  <c r="AM232" i="10"/>
  <c r="AM239" i="10"/>
  <c r="AM298" i="10"/>
  <c r="AM240" i="10"/>
  <c r="AM241" i="10"/>
  <c r="AM256" i="10" s="1"/>
  <c r="AM265" i="10"/>
  <c r="AV249" i="10"/>
  <c r="AV232" i="10"/>
  <c r="AV239" i="10"/>
  <c r="AV298" i="10"/>
  <c r="AV240" i="10"/>
  <c r="AV241" i="10"/>
  <c r="AV256" i="10" s="1"/>
  <c r="AV265" i="10"/>
  <c r="AZ249" i="10"/>
  <c r="AZ232" i="10"/>
  <c r="AZ239" i="10"/>
  <c r="AZ298" i="10"/>
  <c r="AZ240" i="10"/>
  <c r="AZ241" i="10"/>
  <c r="AZ256" i="10" s="1"/>
  <c r="AZ265" i="10"/>
  <c r="BD249" i="10"/>
  <c r="BD232" i="10"/>
  <c r="BD239" i="10"/>
  <c r="BD298" i="10"/>
  <c r="BD240" i="10"/>
  <c r="BD241" i="10"/>
  <c r="BD256" i="10" s="1"/>
  <c r="BD265" i="10"/>
  <c r="BM249" i="10"/>
  <c r="BM232" i="10"/>
  <c r="BM239" i="10"/>
  <c r="BM298" i="10"/>
  <c r="BM240" i="10"/>
  <c r="BM245" i="10" s="1"/>
  <c r="BM252" i="10" s="1"/>
  <c r="BM241" i="10"/>
  <c r="BM256" i="10" s="1"/>
  <c r="BM265" i="10"/>
  <c r="BR249" i="10"/>
  <c r="BR232" i="10"/>
  <c r="BR239" i="10"/>
  <c r="BR298" i="10"/>
  <c r="BR240" i="10"/>
  <c r="BR241" i="10"/>
  <c r="BR256" i="10" s="1"/>
  <c r="BR265" i="10"/>
  <c r="CE249" i="10"/>
  <c r="CE232" i="10"/>
  <c r="CE239" i="10"/>
  <c r="CE298" i="10"/>
  <c r="CE240" i="10"/>
  <c r="CE241" i="10"/>
  <c r="CE256" i="10" s="1"/>
  <c r="CE265" i="10"/>
  <c r="CL249" i="10"/>
  <c r="CL232" i="10"/>
  <c r="CL239" i="10"/>
  <c r="CP249" i="10"/>
  <c r="CP232" i="10"/>
  <c r="CP239" i="10"/>
  <c r="CP298" i="10"/>
  <c r="CP240" i="10"/>
  <c r="CP241" i="10"/>
  <c r="CP256" i="10" s="1"/>
  <c r="CP265" i="10"/>
  <c r="CY249" i="10"/>
  <c r="CY232" i="10"/>
  <c r="CY239" i="10"/>
  <c r="CY298" i="10"/>
  <c r="CY240" i="10"/>
  <c r="CY241" i="10"/>
  <c r="CY256" i="10" s="1"/>
  <c r="CY265" i="10"/>
  <c r="DE249" i="10"/>
  <c r="DE232" i="10"/>
  <c r="DE239" i="10"/>
  <c r="DE298" i="10"/>
  <c r="DE240" i="10"/>
  <c r="DE241" i="10"/>
  <c r="DE256" i="10" s="1"/>
  <c r="DE265" i="10"/>
  <c r="DR249" i="10"/>
  <c r="DR232" i="10"/>
  <c r="DR239" i="10"/>
  <c r="DR298" i="10"/>
  <c r="DR240" i="10"/>
  <c r="DR241" i="10"/>
  <c r="DR256" i="10" s="1"/>
  <c r="DR265" i="10"/>
  <c r="DT249" i="10"/>
  <c r="DT232" i="10"/>
  <c r="DT239" i="10"/>
  <c r="DT298" i="10"/>
  <c r="DT240" i="10"/>
  <c r="DT241" i="10"/>
  <c r="DT256" i="10" s="1"/>
  <c r="DT265" i="10"/>
  <c r="EC249" i="10"/>
  <c r="EC232" i="10"/>
  <c r="EC239" i="10"/>
  <c r="EC298" i="10"/>
  <c r="EC240" i="10"/>
  <c r="EC241" i="10"/>
  <c r="EC256" i="10" s="1"/>
  <c r="CQ109" i="10"/>
  <c r="CQ85" i="10"/>
  <c r="CQ100" i="10" s="1"/>
  <c r="CQ84" i="10"/>
  <c r="CQ142" i="10"/>
  <c r="CQ76" i="10"/>
  <c r="CQ83" i="10"/>
  <c r="CQ93" i="10"/>
  <c r="CO109" i="10"/>
  <c r="CO85" i="10"/>
  <c r="CO100" i="10" s="1"/>
  <c r="CO84" i="10"/>
  <c r="CO142" i="10"/>
  <c r="CO76" i="10"/>
  <c r="CO83" i="10"/>
  <c r="CO93" i="10"/>
  <c r="CM76" i="10"/>
  <c r="CM83" i="10"/>
  <c r="CM93" i="10"/>
  <c r="CJ109" i="10"/>
  <c r="CJ85" i="10"/>
  <c r="CJ100" i="10" s="1"/>
  <c r="CJ84" i="10"/>
  <c r="CJ142" i="10"/>
  <c r="CJ76" i="10"/>
  <c r="CJ83" i="10"/>
  <c r="CJ93" i="10"/>
  <c r="CH109" i="10"/>
  <c r="CH85" i="10"/>
  <c r="CH100" i="10" s="1"/>
  <c r="CH84" i="10"/>
  <c r="CH142" i="10"/>
  <c r="CH76" i="10"/>
  <c r="CH83" i="10"/>
  <c r="CH93" i="10"/>
  <c r="CF109" i="10"/>
  <c r="CF85" i="10"/>
  <c r="CF100" i="10" s="1"/>
  <c r="CF84" i="10"/>
  <c r="CF142" i="10"/>
  <c r="CF76" i="10"/>
  <c r="CF83" i="10"/>
  <c r="CF89" i="10" s="1"/>
  <c r="CF96" i="10" s="1"/>
  <c r="CF93" i="10"/>
  <c r="CB76" i="10"/>
  <c r="CB83" i="10"/>
  <c r="CB93" i="10"/>
  <c r="BY109" i="10"/>
  <c r="BY85" i="10"/>
  <c r="BY100" i="10" s="1"/>
  <c r="BY84" i="10"/>
  <c r="BY142" i="10"/>
  <c r="BY76" i="10"/>
  <c r="BY83" i="10"/>
  <c r="BY89" i="10" s="1"/>
  <c r="BY96" i="10" s="1"/>
  <c r="BY93" i="10"/>
  <c r="BT109" i="10"/>
  <c r="BT85" i="10"/>
  <c r="BT100" i="10" s="1"/>
  <c r="BT84" i="10"/>
  <c r="BT142" i="10"/>
  <c r="BT76" i="10"/>
  <c r="BT83" i="10"/>
  <c r="BT93" i="10"/>
  <c r="BQ76" i="10"/>
  <c r="BQ83" i="10"/>
  <c r="BQ93" i="10"/>
  <c r="BK109" i="10"/>
  <c r="BK85" i="10"/>
  <c r="BK100" i="10" s="1"/>
  <c r="BK84" i="10"/>
  <c r="BK142" i="10"/>
  <c r="BK76" i="10"/>
  <c r="BK83" i="10"/>
  <c r="BK93" i="10"/>
  <c r="BH109" i="10"/>
  <c r="BH85" i="10"/>
  <c r="BH100" i="10" s="1"/>
  <c r="BH84" i="10"/>
  <c r="BH142" i="10"/>
  <c r="BH76" i="10"/>
  <c r="BH83" i="10"/>
  <c r="BH89" i="10" s="1"/>
  <c r="BH96" i="10" s="1"/>
  <c r="BH93" i="10"/>
  <c r="BF109" i="10"/>
  <c r="BF85" i="10"/>
  <c r="BF100" i="10" s="1"/>
  <c r="BF84" i="10"/>
  <c r="BF142" i="10"/>
  <c r="BF76" i="10"/>
  <c r="BF83" i="10"/>
  <c r="BF89" i="10" s="1"/>
  <c r="BF96" i="10" s="1"/>
  <c r="BF93" i="10"/>
  <c r="BB76" i="10"/>
  <c r="BB83" i="10"/>
  <c r="BB93" i="10"/>
  <c r="AT76" i="10"/>
  <c r="AT83" i="10"/>
  <c r="AT93" i="10"/>
  <c r="AO109" i="10"/>
  <c r="AO85" i="10"/>
  <c r="AO100" i="10" s="1"/>
  <c r="AO84" i="10"/>
  <c r="AO142" i="10"/>
  <c r="AO76" i="10"/>
  <c r="AO83" i="10"/>
  <c r="AO93" i="10"/>
  <c r="AL109" i="10"/>
  <c r="AL85" i="10"/>
  <c r="AL100" i="10" s="1"/>
  <c r="AL84" i="10"/>
  <c r="AL142" i="10"/>
  <c r="AL76" i="10"/>
  <c r="AL83" i="10"/>
  <c r="AL93" i="10"/>
  <c r="AG76" i="10"/>
  <c r="AG83" i="10"/>
  <c r="AG93" i="10"/>
  <c r="AC109" i="10"/>
  <c r="AC85" i="10"/>
  <c r="AC100" i="10" s="1"/>
  <c r="AC84" i="10"/>
  <c r="AC37" i="11"/>
  <c r="AC142" i="10"/>
  <c r="AC76" i="10"/>
  <c r="AC83" i="10"/>
  <c r="AC93" i="10"/>
  <c r="V76" i="10"/>
  <c r="V83" i="10"/>
  <c r="V93" i="10"/>
  <c r="V109" i="10"/>
  <c r="V37" i="11"/>
  <c r="V85" i="10"/>
  <c r="V100" i="10" s="1"/>
  <c r="V84" i="10"/>
  <c r="V142" i="10"/>
  <c r="R76" i="10"/>
  <c r="R83" i="10"/>
  <c r="R93" i="10"/>
  <c r="M76" i="10"/>
  <c r="M83" i="10"/>
  <c r="M93" i="10"/>
  <c r="M109" i="10"/>
  <c r="M37" i="11"/>
  <c r="M85" i="10"/>
  <c r="M100" i="10" s="1"/>
  <c r="M84" i="10"/>
  <c r="M89" i="10" s="1"/>
  <c r="M96" i="10" s="1"/>
  <c r="M142" i="10"/>
  <c r="K76" i="10"/>
  <c r="K83" i="10"/>
  <c r="K93" i="10"/>
  <c r="K109" i="10"/>
  <c r="K37" i="11"/>
  <c r="K85" i="10"/>
  <c r="K100" i="10" s="1"/>
  <c r="K84" i="10"/>
  <c r="K89" i="10" s="1"/>
  <c r="K96" i="10" s="1"/>
  <c r="K142" i="10"/>
  <c r="E90" i="10"/>
  <c r="G99" i="10"/>
  <c r="E99" i="10" s="1"/>
  <c r="G76" i="10"/>
  <c r="G83" i="10"/>
  <c r="G93" i="10"/>
  <c r="AZ109" i="10"/>
  <c r="AZ85" i="10"/>
  <c r="AZ100" i="10" s="1"/>
  <c r="AZ84" i="10"/>
  <c r="AZ142" i="10"/>
  <c r="AZ76" i="10"/>
  <c r="AZ83" i="10"/>
  <c r="AZ89" i="10" s="1"/>
  <c r="AZ96" i="10" s="1"/>
  <c r="AZ93" i="10"/>
  <c r="CW109" i="10"/>
  <c r="CW85" i="10"/>
  <c r="CW100" i="10" s="1"/>
  <c r="CW84" i="10"/>
  <c r="CW142" i="10"/>
  <c r="CW76" i="10"/>
  <c r="CW83" i="10"/>
  <c r="CW89" i="10" s="1"/>
  <c r="CW96" i="10" s="1"/>
  <c r="CW93" i="10"/>
  <c r="AW109" i="10"/>
  <c r="AW85" i="10"/>
  <c r="AW100" i="10" s="1"/>
  <c r="AW84" i="10"/>
  <c r="AW142" i="10"/>
  <c r="AW76" i="10"/>
  <c r="AW83" i="10"/>
  <c r="AW93" i="10"/>
  <c r="ES85" i="10"/>
  <c r="ES100" i="10" s="1"/>
  <c r="ES84" i="10"/>
  <c r="ES142" i="10"/>
  <c r="ES76" i="10"/>
  <c r="ES83" i="10"/>
  <c r="ES89" i="10" s="1"/>
  <c r="ES96" i="10" s="1"/>
  <c r="ES93" i="10"/>
  <c r="ER85" i="10"/>
  <c r="ER100" i="10" s="1"/>
  <c r="ER84" i="10"/>
  <c r="ER142" i="10"/>
  <c r="ER76" i="10"/>
  <c r="ER83" i="10"/>
  <c r="ER93" i="10"/>
  <c r="EP85" i="10"/>
  <c r="EP100" i="10" s="1"/>
  <c r="EP84" i="10"/>
  <c r="EP142" i="10"/>
  <c r="EP76" i="10"/>
  <c r="EP83" i="10"/>
  <c r="EP93" i="10"/>
  <c r="EM85" i="10"/>
  <c r="EM100" i="10" s="1"/>
  <c r="EM84" i="10"/>
  <c r="EM142" i="10"/>
  <c r="EM76" i="10"/>
  <c r="EM83" i="10"/>
  <c r="EM89" i="10" s="1"/>
  <c r="EM96" i="10" s="1"/>
  <c r="EM93" i="10"/>
  <c r="EK85" i="10"/>
  <c r="EK100" i="10" s="1"/>
  <c r="EK84" i="10"/>
  <c r="EK142" i="10"/>
  <c r="EK76" i="10"/>
  <c r="EK83" i="10"/>
  <c r="EK93" i="10"/>
  <c r="EI76" i="10"/>
  <c r="EI83" i="10"/>
  <c r="EI93" i="10"/>
  <c r="EG85" i="10"/>
  <c r="EG100" i="10" s="1"/>
  <c r="EG84" i="10"/>
  <c r="EG142" i="10"/>
  <c r="EG76" i="10"/>
  <c r="EG83" i="10"/>
  <c r="EG89" i="10" s="1"/>
  <c r="EG96" i="10" s="1"/>
  <c r="EG93" i="10"/>
  <c r="EE85" i="10"/>
  <c r="EE100" i="10" s="1"/>
  <c r="EE84" i="10"/>
  <c r="EE142" i="10"/>
  <c r="EE76" i="10"/>
  <c r="EE83" i="10"/>
  <c r="EE93" i="10"/>
  <c r="EB85" i="10"/>
  <c r="EB100" i="10" s="1"/>
  <c r="EB84" i="10"/>
  <c r="EB142" i="10"/>
  <c r="EB76" i="10"/>
  <c r="EB83" i="10"/>
  <c r="EB93" i="10"/>
  <c r="DZ85" i="10"/>
  <c r="DZ100" i="10" s="1"/>
  <c r="DZ84" i="10"/>
  <c r="DZ142" i="10"/>
  <c r="DZ76" i="10"/>
  <c r="DZ83" i="10"/>
  <c r="DZ89" i="10" s="1"/>
  <c r="DZ96" i="10" s="1"/>
  <c r="DZ93" i="10"/>
  <c r="DX85" i="10"/>
  <c r="DX100" i="10" s="1"/>
  <c r="DX84" i="10"/>
  <c r="DX142" i="10"/>
  <c r="DX76" i="10"/>
  <c r="DX83" i="10"/>
  <c r="DX89" i="10" s="1"/>
  <c r="DX96" i="10" s="1"/>
  <c r="DX93" i="10"/>
  <c r="DV76" i="10"/>
  <c r="DV83" i="10"/>
  <c r="DV93" i="10"/>
  <c r="DT109" i="10"/>
  <c r="DT85" i="10"/>
  <c r="DT100" i="10" s="1"/>
  <c r="DT84" i="10"/>
  <c r="DT142" i="10"/>
  <c r="DT76" i="10"/>
  <c r="DT83" i="10"/>
  <c r="DT89" i="10" s="1"/>
  <c r="DT96" i="10" s="1"/>
  <c r="DT93" i="10"/>
  <c r="DQ109" i="10"/>
  <c r="DQ85" i="10"/>
  <c r="DQ100" i="10" s="1"/>
  <c r="DQ84" i="10"/>
  <c r="DQ142" i="10"/>
  <c r="DQ76" i="10"/>
  <c r="DQ83" i="10"/>
  <c r="DQ93" i="10"/>
  <c r="DN109" i="10"/>
  <c r="DN85" i="10"/>
  <c r="DN100" i="10" s="1"/>
  <c r="DN84" i="10"/>
  <c r="DN142" i="10"/>
  <c r="DN76" i="10"/>
  <c r="DN83" i="10"/>
  <c r="DN89" i="10" s="1"/>
  <c r="DN96" i="10" s="1"/>
  <c r="DN93" i="10"/>
  <c r="DL76" i="10"/>
  <c r="DL83" i="10"/>
  <c r="DL93" i="10"/>
  <c r="DI109" i="10"/>
  <c r="DI85" i="10"/>
  <c r="DI100" i="10" s="1"/>
  <c r="DI84" i="10"/>
  <c r="DI142" i="10"/>
  <c r="DI76" i="10"/>
  <c r="DI83" i="10"/>
  <c r="DI93" i="10"/>
  <c r="DG109" i="10"/>
  <c r="DG85" i="10"/>
  <c r="DG100" i="10" s="1"/>
  <c r="DG84" i="10"/>
  <c r="DG142" i="10"/>
  <c r="DG76" i="10"/>
  <c r="DG83" i="10"/>
  <c r="DG89" i="10"/>
  <c r="DG96" i="10" s="1"/>
  <c r="DG93" i="10"/>
  <c r="DE109" i="10"/>
  <c r="DE85" i="10"/>
  <c r="DE100" i="10" s="1"/>
  <c r="DE84" i="10"/>
  <c r="DE142" i="10"/>
  <c r="DE76" i="10"/>
  <c r="DE83" i="10"/>
  <c r="DE89" i="10" s="1"/>
  <c r="DE96" i="10" s="1"/>
  <c r="DE93" i="10"/>
  <c r="DC109" i="10"/>
  <c r="DC85" i="10"/>
  <c r="DC100" i="10" s="1"/>
  <c r="DC84" i="10"/>
  <c r="DC142" i="10"/>
  <c r="DC76" i="10"/>
  <c r="DC83" i="10"/>
  <c r="DC93" i="10"/>
  <c r="DA109" i="10"/>
  <c r="DA85" i="10"/>
  <c r="DA100" i="10" s="1"/>
  <c r="DA84" i="10"/>
  <c r="DA142" i="10"/>
  <c r="DA76" i="10"/>
  <c r="DA83" i="10"/>
  <c r="DA89" i="10" s="1"/>
  <c r="DA96" i="10" s="1"/>
  <c r="DA93" i="10"/>
  <c r="CY76" i="10"/>
  <c r="CY83" i="10"/>
  <c r="CY93" i="10"/>
  <c r="CU109" i="10"/>
  <c r="CU85" i="10"/>
  <c r="CU100" i="10" s="1"/>
  <c r="CU84" i="10"/>
  <c r="CU142" i="10"/>
  <c r="CU76" i="10"/>
  <c r="CU83" i="10"/>
  <c r="CU89" i="10" s="1"/>
  <c r="CU96" i="10" s="1"/>
  <c r="CU93" i="10"/>
  <c r="CS109" i="10"/>
  <c r="CS85" i="10"/>
  <c r="CS100" i="10" s="1"/>
  <c r="CS84" i="10"/>
  <c r="CS142" i="10"/>
  <c r="CS76" i="10"/>
  <c r="CS83" i="10"/>
  <c r="CS89" i="10" s="1"/>
  <c r="CS96" i="10" s="1"/>
  <c r="CS93" i="10"/>
  <c r="AD142" i="10"/>
  <c r="AD84" i="10"/>
  <c r="AD85" i="10"/>
  <c r="AD100" i="10" s="1"/>
  <c r="AD109" i="10"/>
  <c r="CL142" i="10"/>
  <c r="CL84" i="10"/>
  <c r="CL85" i="10"/>
  <c r="CL100" i="10" s="1"/>
  <c r="CL109" i="10"/>
  <c r="CX142" i="10"/>
  <c r="CX84" i="10"/>
  <c r="CX85" i="10"/>
  <c r="CX100" i="10" s="1"/>
  <c r="CX109" i="10"/>
  <c r="DJ142" i="10"/>
  <c r="DJ84" i="10"/>
  <c r="DJ85" i="10"/>
  <c r="DJ100" i="10" s="1"/>
  <c r="DJ109" i="10"/>
  <c r="EH142" i="10"/>
  <c r="EH84" i="10"/>
  <c r="EH85" i="10"/>
  <c r="EH100" i="10" s="1"/>
  <c r="AP142" i="10"/>
  <c r="AP84" i="10"/>
  <c r="AP85" i="10"/>
  <c r="AP100" i="10" s="1"/>
  <c r="AP109" i="10"/>
  <c r="BZ142" i="10"/>
  <c r="BZ84" i="10"/>
  <c r="BZ85" i="10"/>
  <c r="BZ100" i="10" s="1"/>
  <c r="BZ109" i="10"/>
  <c r="BN142" i="10"/>
  <c r="BN84" i="10"/>
  <c r="BN85" i="10"/>
  <c r="BN100" i="10" s="1"/>
  <c r="BN109" i="10"/>
  <c r="G153" i="12"/>
  <c r="M45" i="12"/>
  <c r="M153" i="12"/>
  <c r="F45" i="12"/>
  <c r="R227" i="10"/>
  <c r="L11" i="11" s="1"/>
  <c r="AP227" i="10"/>
  <c r="DJ227" i="10"/>
  <c r="O44" i="12"/>
  <c r="E153" i="12"/>
  <c r="H45" i="12"/>
  <c r="BN227" i="10"/>
  <c r="C123" i="12"/>
  <c r="C130" i="12"/>
  <c r="C134" i="12"/>
  <c r="F41" i="12"/>
  <c r="G45" i="12"/>
  <c r="N153" i="12"/>
  <c r="DV227" i="10"/>
  <c r="N45" i="12"/>
  <c r="O45" i="12"/>
  <c r="AD227" i="10"/>
  <c r="X11" i="11" s="1"/>
  <c r="F44" i="12"/>
  <c r="I44" i="12"/>
  <c r="J45" i="12"/>
  <c r="C119" i="12"/>
  <c r="C126" i="12"/>
  <c r="C137" i="12"/>
  <c r="C141" i="12"/>
  <c r="G44" i="12"/>
  <c r="N44" i="12"/>
  <c r="O153" i="12"/>
  <c r="H153" i="12"/>
  <c r="I45" i="12"/>
  <c r="I153" i="12"/>
  <c r="BZ227" i="10"/>
  <c r="J44" i="12"/>
  <c r="C118" i="12"/>
  <c r="C124" i="12"/>
  <c r="C131" i="12"/>
  <c r="C140" i="12"/>
  <c r="EH227" i="10"/>
  <c r="F153" i="12"/>
  <c r="BB227" i="10"/>
  <c r="H44" i="12"/>
  <c r="J153" i="12"/>
  <c r="M44" i="12"/>
  <c r="C135" i="12"/>
  <c r="E219" i="10"/>
  <c r="C85" i="12"/>
  <c r="E216" i="10"/>
  <c r="C77" i="12"/>
  <c r="E208" i="10"/>
  <c r="C74" i="12"/>
  <c r="E205" i="10"/>
  <c r="C72" i="12"/>
  <c r="E203" i="10"/>
  <c r="C95" i="12"/>
  <c r="E226" i="10"/>
  <c r="C94" i="12"/>
  <c r="E225" i="10"/>
  <c r="L44" i="12"/>
  <c r="L45" i="12"/>
  <c r="L153" i="12"/>
  <c r="CX227" i="10"/>
  <c r="R71" i="10"/>
  <c r="L37" i="11" s="1"/>
  <c r="E95" i="10"/>
  <c r="C125" i="12"/>
  <c r="C138" i="12"/>
  <c r="K44" i="12"/>
  <c r="K45" i="12"/>
  <c r="K153" i="12"/>
  <c r="CL227" i="10"/>
  <c r="BB71" i="10"/>
  <c r="C122" i="12"/>
  <c r="C120" i="12"/>
  <c r="C127" i="12"/>
  <c r="C133" i="12"/>
  <c r="C139" i="12"/>
  <c r="E98" i="10"/>
  <c r="E74" i="10"/>
  <c r="DV71" i="10"/>
  <c r="M41" i="12"/>
  <c r="J41" i="12"/>
  <c r="I41" i="12"/>
  <c r="K41" i="12"/>
  <c r="N41" i="12"/>
  <c r="C121" i="12"/>
  <c r="C128" i="12"/>
  <c r="C129" i="12"/>
  <c r="C132" i="12"/>
  <c r="C136" i="12"/>
  <c r="E246" i="10"/>
  <c r="F255" i="10"/>
  <c r="G71" i="10"/>
  <c r="E46" i="10"/>
  <c r="U14" i="11"/>
  <c r="E41" i="12"/>
  <c r="BK89" i="10" l="1"/>
  <c r="BK96" i="10" s="1"/>
  <c r="BD89" i="10"/>
  <c r="BD96" i="10" s="1"/>
  <c r="BA94" i="10"/>
  <c r="AV94" i="10"/>
  <c r="T89" i="10"/>
  <c r="T96" i="10" s="1"/>
  <c r="DQ89" i="10"/>
  <c r="DQ96" i="10" s="1"/>
  <c r="BI89" i="10"/>
  <c r="BI96" i="10" s="1"/>
  <c r="AN89" i="10"/>
  <c r="AN96" i="10" s="1"/>
  <c r="AI89" i="10"/>
  <c r="AI96" i="10" s="1"/>
  <c r="CT89" i="10"/>
  <c r="CT96" i="10" s="1"/>
  <c r="AX89" i="10"/>
  <c r="AX96" i="10" s="1"/>
  <c r="AE89" i="10"/>
  <c r="AE96" i="10" s="1"/>
  <c r="AE94" i="10"/>
  <c r="BU89" i="10"/>
  <c r="BU96" i="10" s="1"/>
  <c r="AH89" i="10"/>
  <c r="AH96" i="10" s="1"/>
  <c r="BC89" i="10"/>
  <c r="BC96" i="10" s="1"/>
  <c r="DU89" i="10"/>
  <c r="DU96" i="10" s="1"/>
  <c r="AF89" i="10"/>
  <c r="AF96" i="10" s="1"/>
  <c r="W89" i="10"/>
  <c r="W96" i="10" s="1"/>
  <c r="AJ89" i="10"/>
  <c r="AJ96" i="10" s="1"/>
  <c r="AW89" i="10"/>
  <c r="AW96" i="10" s="1"/>
  <c r="BJ89" i="10"/>
  <c r="BJ96" i="10" s="1"/>
  <c r="BI94" i="10"/>
  <c r="BD94" i="10"/>
  <c r="BU94" i="10"/>
  <c r="DS89" i="10"/>
  <c r="DS96" i="10" s="1"/>
  <c r="BT89" i="10"/>
  <c r="BT96" i="10" s="1"/>
  <c r="CF245" i="10"/>
  <c r="CF252" i="10" s="1"/>
  <c r="AK89" i="10"/>
  <c r="AK96" i="10" s="1"/>
  <c r="CZ89" i="10"/>
  <c r="CZ96" i="10" s="1"/>
  <c r="CZ94" i="10"/>
  <c r="AU89" i="10"/>
  <c r="AU96" i="10" s="1"/>
  <c r="DY89" i="10"/>
  <c r="DY96" i="10" s="1"/>
  <c r="BL94" i="10"/>
  <c r="ER89" i="10"/>
  <c r="ER96" i="10" s="1"/>
  <c r="BL89" i="10"/>
  <c r="BL96" i="10" s="1"/>
  <c r="G245" i="10"/>
  <c r="G252" i="10" s="1"/>
  <c r="CG89" i="10"/>
  <c r="CG96" i="10" s="1"/>
  <c r="BF245" i="10"/>
  <c r="BF252" i="10" s="1"/>
  <c r="EI245" i="10"/>
  <c r="EI252" i="10" s="1"/>
  <c r="BD245" i="10"/>
  <c r="BD252" i="10" s="1"/>
  <c r="EK89" i="10"/>
  <c r="EK96" i="10" s="1"/>
  <c r="DC89" i="10"/>
  <c r="DC96" i="10" s="1"/>
  <c r="DS245" i="10"/>
  <c r="DS252" i="10" s="1"/>
  <c r="AO89" i="10"/>
  <c r="AO96" i="10" s="1"/>
  <c r="AR89" i="10"/>
  <c r="AR96" i="10" s="1"/>
  <c r="AQ89" i="10"/>
  <c r="AQ96" i="10" s="1"/>
  <c r="AR94" i="10"/>
  <c r="I18" i="11"/>
  <c r="N245" i="10"/>
  <c r="N252" i="10" s="1"/>
  <c r="G18" i="11"/>
  <c r="CO89" i="10"/>
  <c r="CO96" i="10" s="1"/>
  <c r="DI89" i="10"/>
  <c r="DI96" i="10" s="1"/>
  <c r="BZ89" i="10"/>
  <c r="BZ96" i="10" s="1"/>
  <c r="BZ94" i="10"/>
  <c r="AL89" i="10"/>
  <c r="AL96" i="10" s="1"/>
  <c r="U245" i="10"/>
  <c r="U252" i="10" s="1"/>
  <c r="AQ94" i="10"/>
  <c r="AN94" i="10"/>
  <c r="EP89" i="10"/>
  <c r="EP96" i="10" s="1"/>
  <c r="CQ89" i="10"/>
  <c r="CQ96" i="10" s="1"/>
  <c r="BX94" i="10"/>
  <c r="CJ89" i="10"/>
  <c r="CJ96" i="10" s="1"/>
  <c r="AJ94" i="10"/>
  <c r="AI94" i="10"/>
  <c r="AF94" i="10"/>
  <c r="BS89" i="10"/>
  <c r="BS96" i="10" s="1"/>
  <c r="DY94" i="10"/>
  <c r="ED94" i="10"/>
  <c r="AM89" i="10"/>
  <c r="AM96" i="10" s="1"/>
  <c r="AM94" i="10"/>
  <c r="Z89" i="10"/>
  <c r="Z96" i="10" s="1"/>
  <c r="BV94" i="10"/>
  <c r="DH94" i="10"/>
  <c r="DH89" i="10"/>
  <c r="DH96" i="10" s="1"/>
  <c r="CH89" i="10"/>
  <c r="CH96" i="10" s="1"/>
  <c r="EA89" i="10"/>
  <c r="EA96" i="10" s="1"/>
  <c r="EA94" i="10"/>
  <c r="EF89" i="10"/>
  <c r="EF96" i="10" s="1"/>
  <c r="EF94" i="10"/>
  <c r="U94" i="10"/>
  <c r="L94" i="10"/>
  <c r="Z18" i="11"/>
  <c r="Z94" i="10"/>
  <c r="J94" i="10"/>
  <c r="DR94" i="10"/>
  <c r="EQ94" i="10"/>
  <c r="AH94" i="10"/>
  <c r="DU94" i="10"/>
  <c r="K18" i="11"/>
  <c r="Y18" i="11"/>
  <c r="N18" i="11"/>
  <c r="M18" i="11"/>
  <c r="AB18" i="11"/>
  <c r="U18" i="11"/>
  <c r="S18" i="11"/>
  <c r="AC18" i="11"/>
  <c r="O18" i="11"/>
  <c r="D16" i="11"/>
  <c r="H18" i="11"/>
  <c r="W18" i="11"/>
  <c r="AA18" i="11"/>
  <c r="P18" i="11"/>
  <c r="D17" i="11"/>
  <c r="V18" i="11"/>
  <c r="J18" i="11"/>
  <c r="Q18" i="11"/>
  <c r="T18" i="11"/>
  <c r="D14" i="11"/>
  <c r="AY94" i="10"/>
  <c r="BG94" i="10"/>
  <c r="H94" i="10"/>
  <c r="T94" i="10"/>
  <c r="W94" i="10"/>
  <c r="Y94" i="10"/>
  <c r="DD94" i="10"/>
  <c r="CV89" i="10"/>
  <c r="CV96" i="10" s="1"/>
  <c r="DP94" i="10"/>
  <c r="BS94" i="10"/>
  <c r="BP94" i="10"/>
  <c r="AB94" i="10"/>
  <c r="N94" i="10"/>
  <c r="AK94" i="10"/>
  <c r="V89" i="10"/>
  <c r="V96" i="10" s="1"/>
  <c r="EE89" i="10"/>
  <c r="EE96" i="10" s="1"/>
  <c r="O94" i="10"/>
  <c r="BV89" i="10"/>
  <c r="BV96" i="10" s="1"/>
  <c r="BX89" i="10"/>
  <c r="BX96" i="10" s="1"/>
  <c r="U89" i="10"/>
  <c r="U96" i="10" s="1"/>
  <c r="L89" i="10"/>
  <c r="L96" i="10" s="1"/>
  <c r="DR89" i="10"/>
  <c r="DR96" i="10" s="1"/>
  <c r="AY89" i="10"/>
  <c r="AY96" i="10" s="1"/>
  <c r="EB89" i="10"/>
  <c r="EB96" i="10" s="1"/>
  <c r="EQ89" i="10"/>
  <c r="EQ96" i="10" s="1"/>
  <c r="BP89" i="10"/>
  <c r="BP96" i="10" s="1"/>
  <c r="CK89" i="10"/>
  <c r="CK96" i="10" s="1"/>
  <c r="CK94" i="10"/>
  <c r="DB89" i="10"/>
  <c r="DB96" i="10" s="1"/>
  <c r="DB94" i="10"/>
  <c r="DF89" i="10"/>
  <c r="DF96" i="10" s="1"/>
  <c r="DF94" i="10"/>
  <c r="DM89" i="10"/>
  <c r="DM96" i="10" s="1"/>
  <c r="DM94" i="10"/>
  <c r="DO89" i="10"/>
  <c r="DO96" i="10" s="1"/>
  <c r="DO94" i="10"/>
  <c r="AS89" i="10"/>
  <c r="AS96" i="10" s="1"/>
  <c r="AS94" i="10"/>
  <c r="BE89" i="10"/>
  <c r="BE96" i="10" s="1"/>
  <c r="BE94" i="10"/>
  <c r="P94" i="10"/>
  <c r="P89" i="10"/>
  <c r="P96" i="10" s="1"/>
  <c r="AA89" i="10"/>
  <c r="AA96" i="10" s="1"/>
  <c r="AA94" i="10"/>
  <c r="Y245" i="10"/>
  <c r="Y252" i="10" s="1"/>
  <c r="J89" i="10"/>
  <c r="J96" i="10" s="1"/>
  <c r="DP89" i="10"/>
  <c r="DP96" i="10" s="1"/>
  <c r="H89" i="10"/>
  <c r="H96" i="10" s="1"/>
  <c r="DF245" i="10"/>
  <c r="DF252" i="10" s="1"/>
  <c r="CB245" i="10"/>
  <c r="CB252" i="10" s="1"/>
  <c r="O245" i="10"/>
  <c r="O252" i="10" s="1"/>
  <c r="AX94" i="10"/>
  <c r="BC94" i="10"/>
  <c r="BJ94" i="10"/>
  <c r="Q89" i="10"/>
  <c r="Q96" i="10" s="1"/>
  <c r="CE94" i="10"/>
  <c r="CG94" i="10"/>
  <c r="CL94" i="10"/>
  <c r="CP94" i="10"/>
  <c r="DS94" i="10"/>
  <c r="EC94" i="10"/>
  <c r="EC89" i="10"/>
  <c r="EC96" i="10" s="1"/>
  <c r="ED89" i="10"/>
  <c r="ED96" i="10" s="1"/>
  <c r="EH94" i="10"/>
  <c r="EL94" i="10"/>
  <c r="EL97" i="10" s="1"/>
  <c r="EL102" i="10" s="1"/>
  <c r="EL104" i="10" s="1"/>
  <c r="CX94" i="10"/>
  <c r="CQ94" i="10"/>
  <c r="AC89" i="10"/>
  <c r="AC96" i="10" s="1"/>
  <c r="CC94" i="10"/>
  <c r="CC89" i="10"/>
  <c r="CC96" i="10" s="1"/>
  <c r="BS245" i="10"/>
  <c r="BS252" i="10" s="1"/>
  <c r="BR245" i="10"/>
  <c r="BR252" i="10" s="1"/>
  <c r="CK245" i="10"/>
  <c r="CK252" i="10" s="1"/>
  <c r="BE245" i="10"/>
  <c r="BE252" i="10" s="1"/>
  <c r="BQ245" i="10"/>
  <c r="BQ252" i="10" s="1"/>
  <c r="CW245" i="10"/>
  <c r="CW252" i="10" s="1"/>
  <c r="AN245" i="10"/>
  <c r="AN252" i="10" s="1"/>
  <c r="P245" i="10"/>
  <c r="P252" i="10" s="1"/>
  <c r="CP245" i="10"/>
  <c r="CP252" i="10" s="1"/>
  <c r="DQ245" i="10"/>
  <c r="DQ252" i="10" s="1"/>
  <c r="AS245" i="10"/>
  <c r="AS252" i="10" s="1"/>
  <c r="CR245" i="10"/>
  <c r="CR252" i="10" s="1"/>
  <c r="H245" i="10"/>
  <c r="H252" i="10" s="1"/>
  <c r="EP245" i="10"/>
  <c r="EP252" i="10" s="1"/>
  <c r="EM245" i="10"/>
  <c r="EM252" i="10" s="1"/>
  <c r="J245" i="10"/>
  <c r="J252" i="10" s="1"/>
  <c r="J15" i="11" s="1"/>
  <c r="Q94" i="10"/>
  <c r="S94" i="10"/>
  <c r="CT94" i="10"/>
  <c r="CV94" i="10"/>
  <c r="CD94" i="10"/>
  <c r="CD89" i="10"/>
  <c r="CD96" i="10" s="1"/>
  <c r="I94" i="10"/>
  <c r="C41" i="12"/>
  <c r="C153" i="12"/>
  <c r="EJ97" i="10"/>
  <c r="EJ102" i="10" s="1"/>
  <c r="EJ104" i="10" s="1"/>
  <c r="CL89" i="10"/>
  <c r="CL96" i="10" s="1"/>
  <c r="CX89" i="10"/>
  <c r="CX96" i="10" s="1"/>
  <c r="EH89" i="10"/>
  <c r="EH96" i="10" s="1"/>
  <c r="K101" i="12"/>
  <c r="K161" i="12" s="1"/>
  <c r="CM142" i="10"/>
  <c r="CM109" i="10"/>
  <c r="CM84" i="10"/>
  <c r="CM85" i="10"/>
  <c r="CM100" i="10" s="1"/>
  <c r="BQ84" i="10"/>
  <c r="BQ142" i="10"/>
  <c r="BQ85" i="10"/>
  <c r="BQ100" i="10" s="1"/>
  <c r="I101" i="12"/>
  <c r="I161" i="12" s="1"/>
  <c r="BQ109" i="10"/>
  <c r="G101" i="12"/>
  <c r="G161" i="12" s="1"/>
  <c r="AT109" i="10"/>
  <c r="AT142" i="10"/>
  <c r="AT84" i="10"/>
  <c r="AT85" i="10"/>
  <c r="AT100" i="10" s="1"/>
  <c r="AG84" i="10"/>
  <c r="AG109" i="10"/>
  <c r="AG85" i="10"/>
  <c r="AG100" i="10" s="1"/>
  <c r="F101" i="12"/>
  <c r="F161" i="12" s="1"/>
  <c r="AG142" i="10"/>
  <c r="CB109" i="10"/>
  <c r="J101" i="12"/>
  <c r="J161" i="12" s="1"/>
  <c r="CB142" i="10"/>
  <c r="CB84" i="10"/>
  <c r="CB85" i="10"/>
  <c r="CB100" i="10" s="1"/>
  <c r="EI142" i="10"/>
  <c r="EI84" i="10"/>
  <c r="EI85" i="10"/>
  <c r="EI100" i="10" s="1"/>
  <c r="O101" i="12"/>
  <c r="O154" i="12" s="1"/>
  <c r="DL109" i="10"/>
  <c r="DL142" i="10"/>
  <c r="M101" i="12"/>
  <c r="M161" i="12" s="1"/>
  <c r="DL84" i="10"/>
  <c r="DL85" i="10"/>
  <c r="DL100" i="10" s="1"/>
  <c r="BM89" i="10"/>
  <c r="BM96" i="10" s="1"/>
  <c r="BM94" i="10"/>
  <c r="BO94" i="10"/>
  <c r="BO89" i="10"/>
  <c r="BO96" i="10" s="1"/>
  <c r="BR94" i="10"/>
  <c r="BR89" i="10"/>
  <c r="BR96" i="10" s="1"/>
  <c r="CA94" i="10"/>
  <c r="CA89" i="10"/>
  <c r="CA96" i="10" s="1"/>
  <c r="CI89" i="10"/>
  <c r="CI96" i="10" s="1"/>
  <c r="CI94" i="10"/>
  <c r="CN94" i="10"/>
  <c r="CN89" i="10"/>
  <c r="CN96" i="10" s="1"/>
  <c r="CR89" i="10"/>
  <c r="CR96" i="10" s="1"/>
  <c r="CR94" i="10"/>
  <c r="E109" i="10"/>
  <c r="DV109" i="10"/>
  <c r="DW109" i="10" s="1"/>
  <c r="DW94" i="10"/>
  <c r="DW89" i="10"/>
  <c r="DW96" i="10" s="1"/>
  <c r="EN89" i="10"/>
  <c r="EN96" i="10" s="1"/>
  <c r="EN94" i="10"/>
  <c r="EO89" i="10"/>
  <c r="EO96" i="10" s="1"/>
  <c r="EO94" i="10"/>
  <c r="AY245" i="10"/>
  <c r="AY252" i="10" s="1"/>
  <c r="EB245" i="10"/>
  <c r="EB252" i="10" s="1"/>
  <c r="AR245" i="10"/>
  <c r="AR252" i="10" s="1"/>
  <c r="W245" i="10"/>
  <c r="W252" i="10" s="1"/>
  <c r="AL245" i="10"/>
  <c r="AL252" i="10" s="1"/>
  <c r="DH245" i="10"/>
  <c r="DH252" i="10" s="1"/>
  <c r="L245" i="10"/>
  <c r="L252" i="10" s="1"/>
  <c r="BV245" i="10"/>
  <c r="BV252" i="10" s="1"/>
  <c r="EA245" i="10"/>
  <c r="EA252" i="10" s="1"/>
  <c r="EL245" i="10"/>
  <c r="EL252" i="10" s="1"/>
  <c r="DW245" i="10"/>
  <c r="DW252" i="10" s="1"/>
  <c r="BH245" i="10"/>
  <c r="BH252" i="10" s="1"/>
  <c r="M245" i="10"/>
  <c r="M252" i="10" s="1"/>
  <c r="AX245" i="10"/>
  <c r="AX252" i="10" s="1"/>
  <c r="DL245" i="10"/>
  <c r="DL252" i="10" s="1"/>
  <c r="X245" i="10"/>
  <c r="X252" i="10" s="1"/>
  <c r="AE245" i="10"/>
  <c r="AE252" i="10" s="1"/>
  <c r="DX245" i="10"/>
  <c r="DX252" i="10" s="1"/>
  <c r="DT245" i="10"/>
  <c r="DT252" i="10" s="1"/>
  <c r="AU245" i="10"/>
  <c r="AU252" i="10" s="1"/>
  <c r="Z245" i="10"/>
  <c r="Z252" i="10" s="1"/>
  <c r="CU245" i="10"/>
  <c r="CU252" i="10" s="1"/>
  <c r="BA245" i="10"/>
  <c r="BA252" i="10" s="1"/>
  <c r="BO245" i="10"/>
  <c r="BO252" i="10" s="1"/>
  <c r="CA245" i="10"/>
  <c r="CA252" i="10" s="1"/>
  <c r="DN245" i="10"/>
  <c r="DN252" i="10" s="1"/>
  <c r="EE245" i="10"/>
  <c r="EE252" i="10" s="1"/>
  <c r="CQ245" i="10"/>
  <c r="CQ252" i="10" s="1"/>
  <c r="EC245" i="10"/>
  <c r="EC252" i="10" s="1"/>
  <c r="DR245" i="10"/>
  <c r="DR252" i="10" s="1"/>
  <c r="CI245" i="10"/>
  <c r="CI252" i="10" s="1"/>
  <c r="AG245" i="10"/>
  <c r="AG252" i="10" s="1"/>
  <c r="AF245" i="10"/>
  <c r="AF252" i="10" s="1"/>
  <c r="K245" i="10"/>
  <c r="K252" i="10" s="1"/>
  <c r="BC245" i="10"/>
  <c r="BC252" i="10" s="1"/>
  <c r="BK245" i="10"/>
  <c r="BK252" i="10" s="1"/>
  <c r="CY245" i="10"/>
  <c r="CY252" i="10" s="1"/>
  <c r="DD245" i="10"/>
  <c r="DD252" i="10" s="1"/>
  <c r="BP245" i="10"/>
  <c r="BP252" i="10" s="1"/>
  <c r="DP245" i="10"/>
  <c r="DP252" i="10" s="1"/>
  <c r="AC245" i="10"/>
  <c r="AC252" i="10" s="1"/>
  <c r="AW245" i="10"/>
  <c r="AW252" i="10" s="1"/>
  <c r="CD245" i="10"/>
  <c r="CD252" i="10" s="1"/>
  <c r="DC245" i="10"/>
  <c r="DC252" i="10" s="1"/>
  <c r="T245" i="10"/>
  <c r="T252" i="10" s="1"/>
  <c r="AJ245" i="10"/>
  <c r="AJ252" i="10" s="1"/>
  <c r="DB245" i="10"/>
  <c r="DB252" i="10" s="1"/>
  <c r="EG245" i="10"/>
  <c r="EG252" i="10" s="1"/>
  <c r="AB245" i="10"/>
  <c r="AB252" i="10" s="1"/>
  <c r="DA245" i="10"/>
  <c r="DA252" i="10" s="1"/>
  <c r="ED245" i="10"/>
  <c r="ED252" i="10" s="1"/>
  <c r="BJ245" i="10"/>
  <c r="BJ252" i="10" s="1"/>
  <c r="BW245" i="10"/>
  <c r="BW252" i="10" s="1"/>
  <c r="CS245" i="10"/>
  <c r="CS252" i="10" s="1"/>
  <c r="AM245" i="10"/>
  <c r="AM252" i="10" s="1"/>
  <c r="DE245" i="10"/>
  <c r="DE252" i="10" s="1"/>
  <c r="CO245" i="10"/>
  <c r="CO252" i="10" s="1"/>
  <c r="CC245" i="10"/>
  <c r="CC252" i="10" s="1"/>
  <c r="CM245" i="10"/>
  <c r="CM252" i="10" s="1"/>
  <c r="BT245" i="10"/>
  <c r="BT252" i="10" s="1"/>
  <c r="I245" i="10"/>
  <c r="I252" i="10" s="1"/>
  <c r="AO245" i="10"/>
  <c r="AO252" i="10" s="1"/>
  <c r="CH245" i="10"/>
  <c r="CH252" i="10" s="1"/>
  <c r="AI245" i="10"/>
  <c r="AI252" i="10" s="1"/>
  <c r="DZ245" i="10"/>
  <c r="DZ252" i="10" s="1"/>
  <c r="EJ245" i="10"/>
  <c r="EJ252" i="10" s="1"/>
  <c r="AT245" i="10"/>
  <c r="AT252" i="10" s="1"/>
  <c r="BY245" i="10"/>
  <c r="BY252" i="10" s="1"/>
  <c r="CV245" i="10"/>
  <c r="CV252" i="10" s="1"/>
  <c r="BX245" i="10"/>
  <c r="BX252" i="10" s="1"/>
  <c r="BI245" i="10"/>
  <c r="BI252" i="10" s="1"/>
  <c r="BL245" i="10"/>
  <c r="BL252" i="10" s="1"/>
  <c r="CJ245" i="10"/>
  <c r="CJ252" i="10" s="1"/>
  <c r="DI245" i="10"/>
  <c r="DI252" i="10" s="1"/>
  <c r="AQ245" i="10"/>
  <c r="AQ252" i="10" s="1"/>
  <c r="Q245" i="10"/>
  <c r="Q252" i="10" s="1"/>
  <c r="CT245" i="10"/>
  <c r="CT252" i="10" s="1"/>
  <c r="DY245" i="10"/>
  <c r="DY252" i="10" s="1"/>
  <c r="EO245" i="10"/>
  <c r="EO252" i="10" s="1"/>
  <c r="CG245" i="10"/>
  <c r="CG252" i="10" s="1"/>
  <c r="EQ245" i="10"/>
  <c r="EQ252" i="10" s="1"/>
  <c r="BU245" i="10"/>
  <c r="BU252" i="10" s="1"/>
  <c r="DM245" i="10"/>
  <c r="DM252" i="10" s="1"/>
  <c r="EN245" i="10"/>
  <c r="EN252" i="10" s="1"/>
  <c r="AV245" i="10"/>
  <c r="AV252" i="10" s="1"/>
  <c r="AZ245" i="10"/>
  <c r="AZ252" i="10" s="1"/>
  <c r="CN245" i="10"/>
  <c r="CN252" i="10" s="1"/>
  <c r="CZ245" i="10"/>
  <c r="CZ252" i="10" s="1"/>
  <c r="EK245" i="10"/>
  <c r="EK252" i="10" s="1"/>
  <c r="AK245" i="10"/>
  <c r="AK252" i="10" s="1"/>
  <c r="ER245" i="10"/>
  <c r="ER252" i="10" s="1"/>
  <c r="S245" i="10"/>
  <c r="S252" i="10" s="1"/>
  <c r="ES245" i="10"/>
  <c r="ES252" i="10" s="1"/>
  <c r="AU94" i="10"/>
  <c r="BG245" i="10"/>
  <c r="BG252" i="10" s="1"/>
  <c r="DK245" i="10"/>
  <c r="DK252" i="10" s="1"/>
  <c r="AA245" i="10"/>
  <c r="AA252" i="10" s="1"/>
  <c r="DG245" i="10"/>
  <c r="DG252" i="10" s="1"/>
  <c r="EI250" i="10"/>
  <c r="C44" i="12"/>
  <c r="V245" i="10"/>
  <c r="V252" i="10" s="1"/>
  <c r="AM250" i="10"/>
  <c r="CO94" i="10"/>
  <c r="BT94" i="10"/>
  <c r="BK94" i="10"/>
  <c r="BF94" i="10"/>
  <c r="DO245" i="10"/>
  <c r="DO252" i="10" s="1"/>
  <c r="DU245" i="10"/>
  <c r="DU252" i="10" s="1"/>
  <c r="EF245" i="10"/>
  <c r="EF252" i="10" s="1"/>
  <c r="ER250" i="10"/>
  <c r="T250" i="10"/>
  <c r="EC250" i="10"/>
  <c r="CJ94" i="10"/>
  <c r="CH94" i="10"/>
  <c r="AL94" i="10"/>
  <c r="E93" i="10"/>
  <c r="ES94" i="10"/>
  <c r="ES97" i="10" s="1"/>
  <c r="ES102" i="10" s="1"/>
  <c r="ES104" i="10" s="1"/>
  <c r="ER94" i="10"/>
  <c r="EP94" i="10"/>
  <c r="EM94" i="10"/>
  <c r="EM97" i="10" s="1"/>
  <c r="EM102" i="10" s="1"/>
  <c r="EM104" i="10" s="1"/>
  <c r="EK94" i="10"/>
  <c r="CE245" i="10"/>
  <c r="CE252" i="10" s="1"/>
  <c r="CP250" i="10"/>
  <c r="EG94" i="10"/>
  <c r="EG97" i="10" s="1"/>
  <c r="EG102" i="10" s="1"/>
  <c r="EG104" i="10" s="1"/>
  <c r="EE94" i="10"/>
  <c r="EB94" i="10"/>
  <c r="DX94" i="10"/>
  <c r="DX97" i="10" s="1"/>
  <c r="DX102" i="10" s="1"/>
  <c r="DX104" i="10" s="1"/>
  <c r="DT94" i="10"/>
  <c r="DN94" i="10"/>
  <c r="DA94" i="10"/>
  <c r="AH245" i="10"/>
  <c r="AH252" i="10" s="1"/>
  <c r="E71" i="10"/>
  <c r="C7" i="12" s="1"/>
  <c r="I89" i="10"/>
  <c r="I96" i="10" s="1"/>
  <c r="CY85" i="10"/>
  <c r="CY100" i="10" s="1"/>
  <c r="CY109" i="10"/>
  <c r="CY142" i="10"/>
  <c r="CY84" i="10"/>
  <c r="X89" i="10"/>
  <c r="X96" i="10" s="1"/>
  <c r="X94" i="10"/>
  <c r="DK89" i="10"/>
  <c r="DK96" i="10" s="1"/>
  <c r="DK94" i="10"/>
  <c r="BW89" i="10"/>
  <c r="BW96" i="10" s="1"/>
  <c r="BW94" i="10"/>
  <c r="AD89" i="10"/>
  <c r="AD96" i="10" s="1"/>
  <c r="AD94" i="10"/>
  <c r="DJ89" i="10"/>
  <c r="DJ96" i="10" s="1"/>
  <c r="DJ94" i="10"/>
  <c r="D101" i="12"/>
  <c r="D161" i="12" s="1"/>
  <c r="C6" i="12"/>
  <c r="I144" i="10"/>
  <c r="I145" i="10" s="1"/>
  <c r="I140" i="10"/>
  <c r="G137" i="10"/>
  <c r="I124" i="10"/>
  <c r="I126" i="10"/>
  <c r="I128" i="10"/>
  <c r="I130" i="10"/>
  <c r="I132" i="10"/>
  <c r="I134" i="10"/>
  <c r="I280" i="10"/>
  <c r="I282" i="10"/>
  <c r="I284" i="10"/>
  <c r="I286" i="10"/>
  <c r="I288" i="10"/>
  <c r="I290" i="10"/>
  <c r="F100" i="10"/>
  <c r="F94" i="10"/>
  <c r="F89" i="10"/>
  <c r="K12" i="11"/>
  <c r="K41" i="11"/>
  <c r="O12" i="11"/>
  <c r="O41" i="11"/>
  <c r="S12" i="11"/>
  <c r="S41" i="11"/>
  <c r="Y12" i="11"/>
  <c r="Y41" i="11"/>
  <c r="AC12" i="11"/>
  <c r="AC41" i="11"/>
  <c r="G39" i="12"/>
  <c r="G12" i="11"/>
  <c r="I12" i="11"/>
  <c r="I41" i="11"/>
  <c r="N12" i="11"/>
  <c r="N41" i="11"/>
  <c r="U12" i="11"/>
  <c r="U41" i="11"/>
  <c r="Z12" i="11"/>
  <c r="Z41" i="11"/>
  <c r="M39" i="12"/>
  <c r="H12" i="11"/>
  <c r="H41" i="11"/>
  <c r="L12" i="11"/>
  <c r="L41" i="11"/>
  <c r="W12" i="11"/>
  <c r="W41" i="11"/>
  <c r="AA12" i="11"/>
  <c r="AA41" i="11"/>
  <c r="F39" i="12"/>
  <c r="M12" i="11"/>
  <c r="M41" i="11"/>
  <c r="P12" i="11"/>
  <c r="P41" i="11"/>
  <c r="R12" i="11"/>
  <c r="E39" i="12"/>
  <c r="V12" i="11"/>
  <c r="V41" i="11"/>
  <c r="AB12" i="11"/>
  <c r="AB41" i="11"/>
  <c r="H39" i="12"/>
  <c r="I39" i="12"/>
  <c r="J39" i="12"/>
  <c r="E14" i="11"/>
  <c r="C14" i="11"/>
  <c r="E16" i="11"/>
  <c r="C16" i="11"/>
  <c r="E249" i="10"/>
  <c r="F12" i="11"/>
  <c r="D39" i="12"/>
  <c r="C8" i="13"/>
  <c r="E8" i="13" s="1"/>
  <c r="F265" i="10"/>
  <c r="C7" i="13"/>
  <c r="E7" i="13" s="1"/>
  <c r="F241" i="10"/>
  <c r="F240" i="10"/>
  <c r="F11" i="11"/>
  <c r="D6" i="12"/>
  <c r="D38" i="12"/>
  <c r="E227" i="10"/>
  <c r="F298" i="10"/>
  <c r="J12" i="11"/>
  <c r="J41" i="11"/>
  <c r="Q12" i="11"/>
  <c r="Q41" i="11"/>
  <c r="X12" i="11"/>
  <c r="X41" i="11"/>
  <c r="L39" i="12"/>
  <c r="E265" i="10"/>
  <c r="DV265" i="10"/>
  <c r="T12" i="11"/>
  <c r="T41" i="11"/>
  <c r="K39" i="12"/>
  <c r="E76" i="10"/>
  <c r="L161" i="12"/>
  <c r="R265" i="10"/>
  <c r="E38" i="12"/>
  <c r="R241" i="10"/>
  <c r="R256" i="10" s="1"/>
  <c r="L18" i="11" s="1"/>
  <c r="R240" i="10"/>
  <c r="R11" i="11"/>
  <c r="R298" i="10"/>
  <c r="AP265" i="10"/>
  <c r="G38" i="12"/>
  <c r="AP241" i="10"/>
  <c r="AP256" i="10" s="1"/>
  <c r="G46" i="12" s="1"/>
  <c r="AP240" i="10"/>
  <c r="AP298" i="10"/>
  <c r="DJ265" i="10"/>
  <c r="M38" i="12"/>
  <c r="DJ241" i="10"/>
  <c r="DJ256" i="10" s="1"/>
  <c r="M46" i="12" s="1"/>
  <c r="DJ240" i="10"/>
  <c r="DJ298" i="10"/>
  <c r="BN265" i="10"/>
  <c r="I38" i="12"/>
  <c r="BN241" i="10"/>
  <c r="BN256" i="10" s="1"/>
  <c r="I46" i="12" s="1"/>
  <c r="BN240" i="10"/>
  <c r="BN298" i="10"/>
  <c r="N38" i="12"/>
  <c r="DV241" i="10"/>
  <c r="DV256" i="10" s="1"/>
  <c r="N46" i="12" s="1"/>
  <c r="DV240" i="10"/>
  <c r="DV298" i="10"/>
  <c r="AD265" i="10"/>
  <c r="AD241" i="10"/>
  <c r="AD256" i="10" s="1"/>
  <c r="AD240" i="10"/>
  <c r="F38" i="12"/>
  <c r="AD298" i="10"/>
  <c r="BZ265" i="10"/>
  <c r="J38" i="12"/>
  <c r="BZ241" i="10"/>
  <c r="BZ256" i="10" s="1"/>
  <c r="J46" i="12" s="1"/>
  <c r="BZ240" i="10"/>
  <c r="BZ298" i="10"/>
  <c r="EH241" i="10"/>
  <c r="EH256" i="10" s="1"/>
  <c r="O46" i="12" s="1"/>
  <c r="EH240" i="10"/>
  <c r="O38" i="12"/>
  <c r="EH298" i="10"/>
  <c r="BB265" i="10"/>
  <c r="BB241" i="10"/>
  <c r="BB256" i="10" s="1"/>
  <c r="H46" i="12" s="1"/>
  <c r="BB240" i="10"/>
  <c r="H38" i="12"/>
  <c r="BB298" i="10"/>
  <c r="CX265" i="10"/>
  <c r="CX241" i="10"/>
  <c r="CX256" i="10" s="1"/>
  <c r="L46" i="12" s="1"/>
  <c r="CX240" i="10"/>
  <c r="L38" i="12"/>
  <c r="CX298" i="10"/>
  <c r="R142" i="10"/>
  <c r="E101" i="12"/>
  <c r="R84" i="10"/>
  <c r="R85" i="10"/>
  <c r="R100" i="10" s="1"/>
  <c r="R37" i="11"/>
  <c r="D37" i="11" s="1"/>
  <c r="R109" i="10"/>
  <c r="CL265" i="10"/>
  <c r="K38" i="12"/>
  <c r="CL241" i="10"/>
  <c r="CL256" i="10" s="1"/>
  <c r="K46" i="12" s="1"/>
  <c r="CL240" i="10"/>
  <c r="CL298" i="10"/>
  <c r="BB142" i="10"/>
  <c r="H101" i="12"/>
  <c r="BB84" i="10"/>
  <c r="BB85" i="10"/>
  <c r="BB100" i="10" s="1"/>
  <c r="BB109" i="10"/>
  <c r="DV142" i="10"/>
  <c r="N101" i="12"/>
  <c r="N154" i="12" s="1"/>
  <c r="DV84" i="10"/>
  <c r="DV85" i="10"/>
  <c r="DV100" i="10" s="1"/>
  <c r="D45" i="12"/>
  <c r="C45" i="12" s="1"/>
  <c r="F17" i="11"/>
  <c r="E255" i="10"/>
  <c r="G142" i="10"/>
  <c r="G84" i="10"/>
  <c r="G85" i="10"/>
  <c r="G37" i="11"/>
  <c r="G109" i="10"/>
  <c r="H105" i="10"/>
  <c r="X250" i="10"/>
  <c r="AE250" i="10"/>
  <c r="AQ250" i="10"/>
  <c r="BJ250" i="10"/>
  <c r="CO250" i="10"/>
  <c r="DU250" i="10"/>
  <c r="BR250" i="10"/>
  <c r="DE250" i="10"/>
  <c r="DR250" i="10"/>
  <c r="AO94" i="10"/>
  <c r="E83" i="10"/>
  <c r="AZ94" i="10"/>
  <c r="AW94" i="10"/>
  <c r="AC250" i="10"/>
  <c r="AJ250" i="10"/>
  <c r="AS250" i="10"/>
  <c r="BA250" i="10"/>
  <c r="BC250" i="10"/>
  <c r="BE250" i="10"/>
  <c r="BK250" i="10"/>
  <c r="BO250" i="10"/>
  <c r="BS250" i="10"/>
  <c r="BV250" i="10"/>
  <c r="CA250" i="10"/>
  <c r="CC250" i="10"/>
  <c r="CG250" i="10"/>
  <c r="CM250" i="10"/>
  <c r="CR250" i="10"/>
  <c r="CU250" i="10"/>
  <c r="CW250" i="10"/>
  <c r="DB250" i="10"/>
  <c r="DH250" i="10"/>
  <c r="DK250" i="10"/>
  <c r="CK250" i="10"/>
  <c r="DF250" i="10"/>
  <c r="CD250" i="10"/>
  <c r="CT250" i="10"/>
  <c r="DG250" i="10"/>
  <c r="ED250" i="10"/>
  <c r="EM250" i="10"/>
  <c r="EO250" i="10"/>
  <c r="BP250" i="10"/>
  <c r="DQ250" i="10"/>
  <c r="DS250" i="10"/>
  <c r="N39" i="12"/>
  <c r="EA250" i="10"/>
  <c r="EG250" i="10"/>
  <c r="EL250" i="10"/>
  <c r="EP250" i="10"/>
  <c r="ES250" i="10"/>
  <c r="G250" i="10"/>
  <c r="I250" i="10"/>
  <c r="N250" i="10"/>
  <c r="U250" i="10"/>
  <c r="Z250" i="10"/>
  <c r="AF250" i="10"/>
  <c r="AI250" i="10"/>
  <c r="AO250" i="10"/>
  <c r="AT250" i="10"/>
  <c r="AW250" i="10"/>
  <c r="BL250" i="10"/>
  <c r="BQ250" i="10"/>
  <c r="AA250" i="10"/>
  <c r="AH250" i="10"/>
  <c r="AL250" i="10"/>
  <c r="AU250" i="10"/>
  <c r="BU250" i="10"/>
  <c r="CQ250" i="10"/>
  <c r="EB250" i="10"/>
  <c r="P250" i="10"/>
  <c r="V250" i="10"/>
  <c r="AB250" i="10"/>
  <c r="AK250" i="10"/>
  <c r="AN250" i="10"/>
  <c r="AX250" i="10"/>
  <c r="BG250" i="10"/>
  <c r="CH250" i="10"/>
  <c r="DA250" i="10"/>
  <c r="DD250" i="10"/>
  <c r="DL250" i="10"/>
  <c r="DC250" i="10"/>
  <c r="AZ250" i="10"/>
  <c r="BM250" i="10"/>
  <c r="M94" i="10"/>
  <c r="CW94" i="10"/>
  <c r="DQ94" i="10"/>
  <c r="BY250" i="10"/>
  <c r="CI250" i="10"/>
  <c r="CJ250" i="10"/>
  <c r="CN250" i="10"/>
  <c r="CV250" i="10"/>
  <c r="CZ250" i="10"/>
  <c r="DI250" i="10"/>
  <c r="DP250" i="10"/>
  <c r="DW250" i="10"/>
  <c r="DZ250" i="10"/>
  <c r="EE250" i="10"/>
  <c r="O39" i="12"/>
  <c r="EK250" i="10"/>
  <c r="EQ250" i="10"/>
  <c r="H250" i="10"/>
  <c r="L250" i="10"/>
  <c r="W250" i="10"/>
  <c r="AY250" i="10"/>
  <c r="BF250" i="10"/>
  <c r="BH250" i="10"/>
  <c r="M250" i="10"/>
  <c r="AR250" i="10"/>
  <c r="BI250" i="10"/>
  <c r="BT250" i="10"/>
  <c r="BX250" i="10"/>
  <c r="DN250" i="10"/>
  <c r="DY250" i="10"/>
  <c r="E232" i="10"/>
  <c r="Q250" i="10"/>
  <c r="AG250" i="10"/>
  <c r="CU94" i="10"/>
  <c r="CS94" i="10"/>
  <c r="E239" i="10"/>
  <c r="CB250" i="10"/>
  <c r="CF250" i="10"/>
  <c r="CS250" i="10"/>
  <c r="EJ250" i="10"/>
  <c r="EN250" i="10"/>
  <c r="BD250" i="10"/>
  <c r="CF94" i="10"/>
  <c r="BY94" i="10"/>
  <c r="BH94" i="10"/>
  <c r="AC94" i="10"/>
  <c r="V94" i="10"/>
  <c r="DZ94" i="10"/>
  <c r="DZ97" i="10" s="1"/>
  <c r="DZ102" i="10" s="1"/>
  <c r="DI94" i="10"/>
  <c r="DG94" i="10"/>
  <c r="DE94" i="10"/>
  <c r="DC94" i="10"/>
  <c r="K250" i="10"/>
  <c r="O250" i="10"/>
  <c r="S250" i="10"/>
  <c r="Y250" i="10"/>
  <c r="J250" i="10"/>
  <c r="BW250" i="10"/>
  <c r="DM250" i="10"/>
  <c r="DO250" i="10"/>
  <c r="DX250" i="10"/>
  <c r="EF250" i="10"/>
  <c r="AV250" i="10"/>
  <c r="CE250" i="10"/>
  <c r="CY250" i="10"/>
  <c r="DT250" i="10"/>
  <c r="K94" i="10"/>
  <c r="AP89" i="10"/>
  <c r="AP96" i="10" s="1"/>
  <c r="AP94" i="10"/>
  <c r="BN89" i="10"/>
  <c r="BN96" i="10" s="1"/>
  <c r="BN94" i="10"/>
  <c r="BA97" i="10" l="1"/>
  <c r="BA102" i="10" s="1"/>
  <c r="BA104" i="10" s="1"/>
  <c r="BA112" i="10"/>
  <c r="BA110" i="10"/>
  <c r="AV112" i="10"/>
  <c r="AV97" i="10"/>
  <c r="AV102" i="10" s="1"/>
  <c r="AV104" i="10" s="1"/>
  <c r="AV110" i="10"/>
  <c r="AE97" i="10"/>
  <c r="AE102" i="10" s="1"/>
  <c r="AE104" i="10" s="1"/>
  <c r="AE110" i="10"/>
  <c r="AE112" i="10"/>
  <c r="AF97" i="10"/>
  <c r="AF102" i="10" s="1"/>
  <c r="AF104" i="10" s="1"/>
  <c r="AR97" i="10"/>
  <c r="AR102" i="10" s="1"/>
  <c r="AR104" i="10" s="1"/>
  <c r="BI97" i="10"/>
  <c r="BI102" i="10" s="1"/>
  <c r="BI104" i="10" s="1"/>
  <c r="BI110" i="10"/>
  <c r="BI112" i="10"/>
  <c r="BD97" i="10"/>
  <c r="BD102" i="10" s="1"/>
  <c r="BD104" i="10" s="1"/>
  <c r="BD112" i="10"/>
  <c r="BD110" i="10"/>
  <c r="BU97" i="10"/>
  <c r="BU102" i="10" s="1"/>
  <c r="BU104" i="10" s="1"/>
  <c r="BU112" i="10"/>
  <c r="BU110" i="10"/>
  <c r="DY97" i="10"/>
  <c r="DY102" i="10" s="1"/>
  <c r="DY104" i="10" s="1"/>
  <c r="ER97" i="10"/>
  <c r="ER102" i="10" s="1"/>
  <c r="ER104" i="10" s="1"/>
  <c r="CZ97" i="10"/>
  <c r="CZ102" i="10" s="1"/>
  <c r="CZ104" i="10" s="1"/>
  <c r="CZ110" i="10"/>
  <c r="CZ112" i="10"/>
  <c r="BL97" i="10"/>
  <c r="BL102" i="10" s="1"/>
  <c r="BL104" i="10" s="1"/>
  <c r="BL112" i="10"/>
  <c r="BL110" i="10"/>
  <c r="EI253" i="10"/>
  <c r="EI258" i="10" s="1"/>
  <c r="EI260" i="10" s="1"/>
  <c r="BD113" i="10"/>
  <c r="EK97" i="10"/>
  <c r="EK102" i="10" s="1"/>
  <c r="EK104" i="10" s="1"/>
  <c r="AR112" i="10"/>
  <c r="AR110" i="10"/>
  <c r="AR113" i="10" s="1"/>
  <c r="O15" i="11"/>
  <c r="H15" i="11"/>
  <c r="BZ97" i="10"/>
  <c r="BZ102" i="10" s="1"/>
  <c r="BZ104" i="10" s="1"/>
  <c r="BZ112" i="10"/>
  <c r="BZ110" i="10"/>
  <c r="EP97" i="10"/>
  <c r="EP102" i="10" s="1"/>
  <c r="EP104" i="10" s="1"/>
  <c r="AQ97" i="10"/>
  <c r="AQ102" i="10" s="1"/>
  <c r="AQ104" i="10" s="1"/>
  <c r="AQ110" i="10"/>
  <c r="AQ112" i="10"/>
  <c r="AN97" i="10"/>
  <c r="AN102" i="10" s="1"/>
  <c r="AN104" i="10" s="1"/>
  <c r="AN112" i="10"/>
  <c r="AN110" i="10"/>
  <c r="U15" i="11"/>
  <c r="EF97" i="10"/>
  <c r="EF102" i="10" s="1"/>
  <c r="EF104" i="10" s="1"/>
  <c r="EA97" i="10"/>
  <c r="EA102" i="10" s="1"/>
  <c r="EA104" i="10" s="1"/>
  <c r="E6" i="12"/>
  <c r="AJ97" i="10"/>
  <c r="AJ102" i="10" s="1"/>
  <c r="AJ104" i="10" s="1"/>
  <c r="AJ110" i="10"/>
  <c r="AJ112" i="10"/>
  <c r="AI97" i="10"/>
  <c r="AI102" i="10" s="1"/>
  <c r="AI104" i="10" s="1"/>
  <c r="AI112" i="10"/>
  <c r="AI110" i="10"/>
  <c r="AV113" i="10"/>
  <c r="BW112" i="10"/>
  <c r="BW110" i="10"/>
  <c r="AF112" i="10"/>
  <c r="AF110" i="10"/>
  <c r="BR112" i="10"/>
  <c r="BR110" i="10"/>
  <c r="EQ97" i="10"/>
  <c r="EQ102" i="10" s="1"/>
  <c r="EQ104" i="10" s="1"/>
  <c r="ED97" i="10"/>
  <c r="ED102" i="10" s="1"/>
  <c r="ED104" i="10" s="1"/>
  <c r="AM112" i="10"/>
  <c r="AM97" i="10"/>
  <c r="AM102" i="10" s="1"/>
  <c r="AM104" i="10" s="1"/>
  <c r="AM110" i="10"/>
  <c r="DH97" i="10"/>
  <c r="DH102" i="10" s="1"/>
  <c r="DH104" i="10" s="1"/>
  <c r="DH112" i="10"/>
  <c r="DH110" i="10"/>
  <c r="Z97" i="10"/>
  <c r="Z102" i="10" s="1"/>
  <c r="Z112" i="10"/>
  <c r="Z110" i="10"/>
  <c r="DU97" i="10"/>
  <c r="DU102" i="10" s="1"/>
  <c r="DU104" i="10" s="1"/>
  <c r="DU112" i="10"/>
  <c r="DU110" i="10"/>
  <c r="S15" i="11"/>
  <c r="I15" i="11"/>
  <c r="AH97" i="10"/>
  <c r="AH102" i="10" s="1"/>
  <c r="AH112" i="10"/>
  <c r="AH110" i="10"/>
  <c r="DM97" i="10"/>
  <c r="DM102" i="10" s="1"/>
  <c r="DM104" i="10" s="1"/>
  <c r="DM110" i="10"/>
  <c r="DM112" i="10"/>
  <c r="BE97" i="10"/>
  <c r="BE102" i="10" s="1"/>
  <c r="BE104" i="10" s="1"/>
  <c r="BE112" i="10"/>
  <c r="BE110" i="10"/>
  <c r="Y15" i="11"/>
  <c r="W15" i="11"/>
  <c r="Z15" i="11"/>
  <c r="K15" i="11"/>
  <c r="P15" i="11"/>
  <c r="AC15" i="11"/>
  <c r="AB15" i="11"/>
  <c r="AA15" i="11"/>
  <c r="V15" i="11"/>
  <c r="M15" i="11"/>
  <c r="G15" i="11"/>
  <c r="T15" i="11"/>
  <c r="N15" i="11"/>
  <c r="F46" i="12"/>
  <c r="X18" i="11"/>
  <c r="EO97" i="10"/>
  <c r="EO102" i="10" s="1"/>
  <c r="EO104" i="10" s="1"/>
  <c r="EE97" i="10"/>
  <c r="EE102" i="10" s="1"/>
  <c r="EE104" i="10" s="1"/>
  <c r="AY97" i="10"/>
  <c r="AY102" i="10" s="1"/>
  <c r="AY104" i="10" s="1"/>
  <c r="AY112" i="10"/>
  <c r="AY110" i="10"/>
  <c r="BG110" i="10"/>
  <c r="BG112" i="10"/>
  <c r="BG97" i="10"/>
  <c r="BG102" i="10" s="1"/>
  <c r="BG104" i="10" s="1"/>
  <c r="T97" i="10"/>
  <c r="T102" i="10" s="1"/>
  <c r="T110" i="10"/>
  <c r="T112" i="10"/>
  <c r="W110" i="10"/>
  <c r="W112" i="10"/>
  <c r="W97" i="10"/>
  <c r="W102" i="10" s="1"/>
  <c r="Y112" i="10"/>
  <c r="Y110" i="10"/>
  <c r="Y97" i="10"/>
  <c r="Y102" i="10" s="1"/>
  <c r="DD110" i="10"/>
  <c r="DD97" i="10"/>
  <c r="DD102" i="10" s="1"/>
  <c r="DD104" i="10" s="1"/>
  <c r="DD112" i="10"/>
  <c r="DP97" i="10"/>
  <c r="DP102" i="10" s="1"/>
  <c r="DP104" i="10" s="1"/>
  <c r="DP110" i="10"/>
  <c r="DP112" i="10"/>
  <c r="BS112" i="10"/>
  <c r="BS97" i="10"/>
  <c r="BS102" i="10" s="1"/>
  <c r="BS104" i="10" s="1"/>
  <c r="BS110" i="10"/>
  <c r="BP110" i="10"/>
  <c r="BP112" i="10"/>
  <c r="BP97" i="10"/>
  <c r="BP102" i="10" s="1"/>
  <c r="BP104" i="10" s="1"/>
  <c r="AB97" i="10"/>
  <c r="AB102" i="10" s="1"/>
  <c r="AB104" i="10" s="1"/>
  <c r="AB112" i="10"/>
  <c r="AB110" i="10"/>
  <c r="N112" i="10"/>
  <c r="N110" i="10"/>
  <c r="N97" i="10"/>
  <c r="N102" i="10" s="1"/>
  <c r="AK110" i="10"/>
  <c r="AK112" i="10"/>
  <c r="AK97" i="10"/>
  <c r="AK102" i="10" s="1"/>
  <c r="AK104" i="10" s="1"/>
  <c r="O112" i="10"/>
  <c r="O97" i="10"/>
  <c r="O102" i="10" s="1"/>
  <c r="O104" i="10" s="1"/>
  <c r="O110" i="10"/>
  <c r="U97" i="10"/>
  <c r="U102" i="10" s="1"/>
  <c r="U110" i="10"/>
  <c r="U112" i="10"/>
  <c r="L112" i="10"/>
  <c r="L97" i="10"/>
  <c r="L102" i="10" s="1"/>
  <c r="L110" i="10"/>
  <c r="DR110" i="10"/>
  <c r="DR97" i="10"/>
  <c r="DR102" i="10" s="1"/>
  <c r="DR104" i="10" s="1"/>
  <c r="DR112" i="10"/>
  <c r="CK97" i="10"/>
  <c r="CK102" i="10" s="1"/>
  <c r="CK104" i="10" s="1"/>
  <c r="CK112" i="10"/>
  <c r="CK110" i="10"/>
  <c r="DO110" i="10"/>
  <c r="DO97" i="10"/>
  <c r="DO102" i="10" s="1"/>
  <c r="DO104" i="10" s="1"/>
  <c r="DO112" i="10"/>
  <c r="AS110" i="10"/>
  <c r="AS112" i="10"/>
  <c r="AS97" i="10"/>
  <c r="AS102" i="10" s="1"/>
  <c r="AS104" i="10" s="1"/>
  <c r="P112" i="10"/>
  <c r="P110" i="10"/>
  <c r="P97" i="10"/>
  <c r="P102" i="10" s="1"/>
  <c r="AA97" i="10"/>
  <c r="AA102" i="10" s="1"/>
  <c r="AA110" i="10"/>
  <c r="AA112" i="10"/>
  <c r="J97" i="10"/>
  <c r="J102" i="10" s="1"/>
  <c r="J112" i="10"/>
  <c r="J110" i="10"/>
  <c r="EH97" i="10"/>
  <c r="EH102" i="10" s="1"/>
  <c r="EH104" i="10" s="1"/>
  <c r="EB97" i="10"/>
  <c r="EB102" i="10" s="1"/>
  <c r="EB104" i="10" s="1"/>
  <c r="EN97" i="10"/>
  <c r="EN102" i="10" s="1"/>
  <c r="EN104" i="10" s="1"/>
  <c r="BV97" i="10"/>
  <c r="BV102" i="10" s="1"/>
  <c r="BV104" i="10" s="1"/>
  <c r="BV110" i="10"/>
  <c r="BV112" i="10"/>
  <c r="BX97" i="10"/>
  <c r="BX102" i="10" s="1"/>
  <c r="BX104" i="10" s="1"/>
  <c r="BX112" i="10"/>
  <c r="BX110" i="10"/>
  <c r="DB97" i="10"/>
  <c r="DB102" i="10" s="1"/>
  <c r="DB104" i="10" s="1"/>
  <c r="DB110" i="10"/>
  <c r="DB112" i="10"/>
  <c r="DF97" i="10"/>
  <c r="DF102" i="10" s="1"/>
  <c r="DF104" i="10" s="1"/>
  <c r="DF112" i="10"/>
  <c r="DF110" i="10"/>
  <c r="DF113" i="10" s="1"/>
  <c r="H97" i="10"/>
  <c r="H102" i="10" s="1"/>
  <c r="H110" i="10"/>
  <c r="H112" i="10"/>
  <c r="CQ97" i="10"/>
  <c r="CQ102" i="10" s="1"/>
  <c r="CQ104" i="10" s="1"/>
  <c r="CQ110" i="10"/>
  <c r="CQ112" i="10"/>
  <c r="EC97" i="10"/>
  <c r="EC102" i="10" s="1"/>
  <c r="EC104" i="10" s="1"/>
  <c r="AX97" i="10"/>
  <c r="AX102" i="10" s="1"/>
  <c r="AX104" i="10" s="1"/>
  <c r="AX110" i="10"/>
  <c r="AX112" i="10"/>
  <c r="BC97" i="10"/>
  <c r="BC102" i="10" s="1"/>
  <c r="BC104" i="10" s="1"/>
  <c r="BC110" i="10"/>
  <c r="BC112" i="10"/>
  <c r="BJ97" i="10"/>
  <c r="BJ102" i="10" s="1"/>
  <c r="BJ104" i="10" s="1"/>
  <c r="BJ110" i="10"/>
  <c r="BJ112" i="10"/>
  <c r="CE110" i="10"/>
  <c r="CE97" i="10"/>
  <c r="CE102" i="10" s="1"/>
  <c r="CE104" i="10" s="1"/>
  <c r="CE112" i="10"/>
  <c r="CG97" i="10"/>
  <c r="CG102" i="10" s="1"/>
  <c r="CG104" i="10" s="1"/>
  <c r="CG110" i="10"/>
  <c r="CG112" i="10"/>
  <c r="CP97" i="10"/>
  <c r="CP102" i="10" s="1"/>
  <c r="CP104" i="10" s="1"/>
  <c r="CP110" i="10"/>
  <c r="CP112" i="10"/>
  <c r="DS97" i="10"/>
  <c r="DS102" i="10" s="1"/>
  <c r="DS104" i="10" s="1"/>
  <c r="DS112" i="10"/>
  <c r="DS110" i="10"/>
  <c r="CC110" i="10"/>
  <c r="CC112" i="10"/>
  <c r="CC97" i="10"/>
  <c r="CC102" i="10" s="1"/>
  <c r="CC104" i="10" s="1"/>
  <c r="AT89" i="10"/>
  <c r="AT96" i="10" s="1"/>
  <c r="AT94" i="10"/>
  <c r="AG89" i="10"/>
  <c r="AG96" i="10" s="1"/>
  <c r="AG94" i="10"/>
  <c r="CB89" i="10"/>
  <c r="CB96" i="10" s="1"/>
  <c r="CB94" i="10"/>
  <c r="EM253" i="10"/>
  <c r="EM258" i="10" s="1"/>
  <c r="EM260" i="10" s="1"/>
  <c r="EP253" i="10"/>
  <c r="EP258" i="10" s="1"/>
  <c r="EP260" i="10" s="1"/>
  <c r="BO97" i="10"/>
  <c r="BO102" i="10" s="1"/>
  <c r="BO104" i="10" s="1"/>
  <c r="BR97" i="10"/>
  <c r="BR102" i="10" s="1"/>
  <c r="BR104" i="10" s="1"/>
  <c r="DW97" i="10"/>
  <c r="DW102" i="10" s="1"/>
  <c r="DW104" i="10" s="1"/>
  <c r="I97" i="10"/>
  <c r="I102" i="10" s="1"/>
  <c r="Q97" i="10"/>
  <c r="Q102" i="10" s="1"/>
  <c r="Q110" i="10"/>
  <c r="Q112" i="10"/>
  <c r="S97" i="10"/>
  <c r="S102" i="10" s="1"/>
  <c r="S112" i="10"/>
  <c r="S110" i="10"/>
  <c r="CT97" i="10"/>
  <c r="CT102" i="10" s="1"/>
  <c r="CT104" i="10" s="1"/>
  <c r="CT112" i="10"/>
  <c r="CT110" i="10"/>
  <c r="CV97" i="10"/>
  <c r="CV102" i="10" s="1"/>
  <c r="CV104" i="10" s="1"/>
  <c r="CV110" i="10"/>
  <c r="CV112" i="10"/>
  <c r="CD97" i="10"/>
  <c r="CD102" i="10" s="1"/>
  <c r="CD104" i="10" s="1"/>
  <c r="CD112" i="10"/>
  <c r="CD110" i="10"/>
  <c r="I110" i="10"/>
  <c r="I112" i="10"/>
  <c r="CL97" i="10"/>
  <c r="CL102" i="10" s="1"/>
  <c r="CL104" i="10" s="1"/>
  <c r="CL110" i="10"/>
  <c r="CL112" i="10"/>
  <c r="CX112" i="10"/>
  <c r="CX97" i="10"/>
  <c r="CX102" i="10" s="1"/>
  <c r="CX104" i="10" s="1"/>
  <c r="CX110" i="10"/>
  <c r="CM89" i="10"/>
  <c r="CM96" i="10" s="1"/>
  <c r="CM94" i="10"/>
  <c r="BQ89" i="10"/>
  <c r="BQ96" i="10" s="1"/>
  <c r="BQ94" i="10"/>
  <c r="EI94" i="10"/>
  <c r="EI89" i="10"/>
  <c r="EI96" i="10" s="1"/>
  <c r="DL89" i="10"/>
  <c r="DL96" i="10" s="1"/>
  <c r="DL94" i="10"/>
  <c r="BM97" i="10"/>
  <c r="BM102" i="10" s="1"/>
  <c r="BM104" i="10" s="1"/>
  <c r="BM112" i="10"/>
  <c r="BM110" i="10"/>
  <c r="BO110" i="10"/>
  <c r="BO112" i="10"/>
  <c r="CA110" i="10"/>
  <c r="CA112" i="10"/>
  <c r="CA97" i="10"/>
  <c r="CA102" i="10" s="1"/>
  <c r="CA104" i="10" s="1"/>
  <c r="CI110" i="10"/>
  <c r="CI97" i="10"/>
  <c r="CI102" i="10" s="1"/>
  <c r="CI104" i="10" s="1"/>
  <c r="CI112" i="10"/>
  <c r="CN97" i="10"/>
  <c r="CN102" i="10" s="1"/>
  <c r="CN104" i="10" s="1"/>
  <c r="CN110" i="10"/>
  <c r="CN112" i="10"/>
  <c r="CR97" i="10"/>
  <c r="CR102" i="10" s="1"/>
  <c r="CR104" i="10" s="1"/>
  <c r="CR112" i="10"/>
  <c r="CR110" i="10"/>
  <c r="AU97" i="10"/>
  <c r="AU102" i="10" s="1"/>
  <c r="AU104" i="10" s="1"/>
  <c r="AU112" i="10"/>
  <c r="AU110" i="10"/>
  <c r="CF97" i="10"/>
  <c r="CF102" i="10" s="1"/>
  <c r="CF104" i="10" s="1"/>
  <c r="CF110" i="10"/>
  <c r="CF112" i="10"/>
  <c r="BY97" i="10"/>
  <c r="BY102" i="10" s="1"/>
  <c r="BY104" i="10" s="1"/>
  <c r="BY110" i="10"/>
  <c r="BY112" i="10"/>
  <c r="AP245" i="10"/>
  <c r="AP252" i="10" s="1"/>
  <c r="G42" i="12" s="1"/>
  <c r="AP250" i="10"/>
  <c r="G40" i="12" s="1"/>
  <c r="DV245" i="10"/>
  <c r="DV252" i="10" s="1"/>
  <c r="N42" i="12" s="1"/>
  <c r="DV250" i="10"/>
  <c r="EB253" i="10"/>
  <c r="EB258" i="10" s="1"/>
  <c r="EB260" i="10" s="1"/>
  <c r="EA253" i="10"/>
  <c r="EA258" i="10" s="1"/>
  <c r="EA260" i="10" s="1"/>
  <c r="DN266" i="10"/>
  <c r="EL253" i="10"/>
  <c r="EL258" i="10" s="1"/>
  <c r="EL260" i="10" s="1"/>
  <c r="DW253" i="10"/>
  <c r="DW258" i="10" s="1"/>
  <c r="DW260" i="10" s="1"/>
  <c r="DX253" i="10"/>
  <c r="DX258" i="10" s="1"/>
  <c r="DX260" i="10" s="1"/>
  <c r="AD245" i="10"/>
  <c r="AD252" i="10" s="1"/>
  <c r="AD250" i="10"/>
  <c r="X13" i="11" s="1"/>
  <c r="EC253" i="10"/>
  <c r="EC258" i="10" s="1"/>
  <c r="EC260" i="10" s="1"/>
  <c r="EE253" i="10"/>
  <c r="EE258" i="10" s="1"/>
  <c r="EE260" i="10" s="1"/>
  <c r="AM266" i="10"/>
  <c r="ER253" i="10"/>
  <c r="ER258" i="10" s="1"/>
  <c r="ER260" i="10" s="1"/>
  <c r="AG253" i="10"/>
  <c r="AG258" i="10" s="1"/>
  <c r="AG260" i="10" s="1"/>
  <c r="AG266" i="10"/>
  <c r="AG268" i="10"/>
  <c r="ED253" i="10"/>
  <c r="ED258" i="10" s="1"/>
  <c r="ED260" i="10" s="1"/>
  <c r="EG253" i="10"/>
  <c r="EG258" i="10" s="1"/>
  <c r="EG260" i="10" s="1"/>
  <c r="Q15" i="11"/>
  <c r="Q268" i="10"/>
  <c r="BT253" i="10"/>
  <c r="BT258" i="10" s="1"/>
  <c r="BT260" i="10" s="1"/>
  <c r="BT266" i="10"/>
  <c r="BT268" i="10"/>
  <c r="DN253" i="10"/>
  <c r="DN258" i="10" s="1"/>
  <c r="DN260" i="10" s="1"/>
  <c r="DN268" i="10"/>
  <c r="J266" i="10"/>
  <c r="J268" i="10"/>
  <c r="EO253" i="10"/>
  <c r="EO258" i="10" s="1"/>
  <c r="EO260" i="10" s="1"/>
  <c r="ES253" i="10"/>
  <c r="ES258" i="10" s="1"/>
  <c r="ES260" i="10" s="1"/>
  <c r="Q266" i="10"/>
  <c r="DZ253" i="10"/>
  <c r="DZ258" i="10" s="1"/>
  <c r="DZ260" i="10" s="1"/>
  <c r="BI253" i="10"/>
  <c r="BI258" i="10" s="1"/>
  <c r="BI260" i="10" s="1"/>
  <c r="BX253" i="10"/>
  <c r="BX258" i="10" s="1"/>
  <c r="BX260" i="10" s="1"/>
  <c r="DY253" i="10"/>
  <c r="DY258" i="10" s="1"/>
  <c r="DY260" i="10" s="1"/>
  <c r="EJ253" i="10"/>
  <c r="EJ258" i="10" s="1"/>
  <c r="EJ260" i="10" s="1"/>
  <c r="BX268" i="10"/>
  <c r="BX266" i="10"/>
  <c r="BI268" i="10"/>
  <c r="BI266" i="10"/>
  <c r="EK253" i="10"/>
  <c r="EK258" i="10" s="1"/>
  <c r="EK260" i="10" s="1"/>
  <c r="EQ253" i="10"/>
  <c r="EQ258" i="10" s="1"/>
  <c r="EQ260" i="10" s="1"/>
  <c r="EN253" i="10"/>
  <c r="EN258" i="10" s="1"/>
  <c r="EN260" i="10" s="1"/>
  <c r="T268" i="10"/>
  <c r="T266" i="10"/>
  <c r="DJ245" i="10"/>
  <c r="DJ252" i="10" s="1"/>
  <c r="M42" i="12" s="1"/>
  <c r="DJ250" i="10"/>
  <c r="EH245" i="10"/>
  <c r="EH252" i="10" s="1"/>
  <c r="O42" i="12" s="1"/>
  <c r="EH250" i="10"/>
  <c r="K266" i="10"/>
  <c r="K268" i="10"/>
  <c r="O266" i="10"/>
  <c r="O268" i="10"/>
  <c r="S268" i="10"/>
  <c r="S266" i="10"/>
  <c r="Y268" i="10"/>
  <c r="Y266" i="10"/>
  <c r="DM253" i="10"/>
  <c r="DM258" i="10" s="1"/>
  <c r="DM260" i="10" s="1"/>
  <c r="DM268" i="10"/>
  <c r="DM266" i="10"/>
  <c r="DO266" i="10"/>
  <c r="DO268" i="10"/>
  <c r="AD112" i="10"/>
  <c r="AD110" i="10"/>
  <c r="AD97" i="10"/>
  <c r="AD102" i="10" s="1"/>
  <c r="AD104" i="10" s="1"/>
  <c r="DJ110" i="10"/>
  <c r="DJ112" i="10"/>
  <c r="DJ97" i="10"/>
  <c r="DJ102" i="10" s="1"/>
  <c r="DJ104" i="10" s="1"/>
  <c r="C101" i="12"/>
  <c r="DO253" i="10"/>
  <c r="DO258" i="10" s="1"/>
  <c r="DO260" i="10" s="1"/>
  <c r="EF253" i="10"/>
  <c r="CE253" i="10"/>
  <c r="CE258" i="10" s="1"/>
  <c r="CE260" i="10" s="1"/>
  <c r="DK97" i="10"/>
  <c r="DK102" i="10" s="1"/>
  <c r="DK104" i="10" s="1"/>
  <c r="BW97" i="10"/>
  <c r="BW102" i="10" s="1"/>
  <c r="BW104" i="10" s="1"/>
  <c r="BA113" i="10"/>
  <c r="G113" i="12" s="1"/>
  <c r="AM268" i="10"/>
  <c r="AM253" i="10"/>
  <c r="AM258" i="10" s="1"/>
  <c r="AM260" i="10" s="1"/>
  <c r="CO97" i="10"/>
  <c r="CO102" i="10" s="1"/>
  <c r="CO104" i="10" s="1"/>
  <c r="CO110" i="10"/>
  <c r="CO112" i="10"/>
  <c r="BT97" i="10"/>
  <c r="BT102" i="10" s="1"/>
  <c r="BT104" i="10" s="1"/>
  <c r="BT110" i="10"/>
  <c r="BT112" i="10"/>
  <c r="BK97" i="10"/>
  <c r="BK102" i="10" s="1"/>
  <c r="BK104" i="10" s="1"/>
  <c r="BK110" i="10"/>
  <c r="BK112" i="10"/>
  <c r="BF97" i="10"/>
  <c r="BF102" i="10" s="1"/>
  <c r="BF104" i="10" s="1"/>
  <c r="BF112" i="10"/>
  <c r="BF110" i="10"/>
  <c r="T253" i="10"/>
  <c r="T258" i="10" s="1"/>
  <c r="T13" i="11"/>
  <c r="CJ97" i="10"/>
  <c r="CJ102" i="10" s="1"/>
  <c r="CJ104" i="10" s="1"/>
  <c r="CJ110" i="10"/>
  <c r="CJ112" i="10"/>
  <c r="CH97" i="10"/>
  <c r="CH102" i="10" s="1"/>
  <c r="CH104" i="10" s="1"/>
  <c r="CH110" i="10"/>
  <c r="CH112" i="10"/>
  <c r="AL97" i="10"/>
  <c r="AL102" i="10" s="1"/>
  <c r="AL104" i="10" s="1"/>
  <c r="AL112" i="10"/>
  <c r="AL110" i="10"/>
  <c r="AL113" i="10" s="1"/>
  <c r="CP253" i="10"/>
  <c r="CP258" i="10" s="1"/>
  <c r="CP260" i="10" s="1"/>
  <c r="CP266" i="10"/>
  <c r="CP268" i="10"/>
  <c r="DT97" i="10"/>
  <c r="DT102" i="10" s="1"/>
  <c r="DT104" i="10" s="1"/>
  <c r="DT112" i="10"/>
  <c r="DT110" i="10"/>
  <c r="DN97" i="10"/>
  <c r="DN102" i="10" s="1"/>
  <c r="DN104" i="10" s="1"/>
  <c r="DN112" i="10"/>
  <c r="DN110" i="10"/>
  <c r="DA97" i="10"/>
  <c r="DA102" i="10" s="1"/>
  <c r="DA104" i="10" s="1"/>
  <c r="DA112" i="10"/>
  <c r="DA110" i="10"/>
  <c r="CY89" i="10"/>
  <c r="CY96" i="10" s="1"/>
  <c r="CY94" i="10"/>
  <c r="X97" i="10"/>
  <c r="X102" i="10" s="1"/>
  <c r="X112" i="10"/>
  <c r="X110" i="10"/>
  <c r="DK110" i="10"/>
  <c r="DK112" i="10"/>
  <c r="BB245" i="10"/>
  <c r="BB252" i="10" s="1"/>
  <c r="H42" i="12" s="1"/>
  <c r="BB250" i="10"/>
  <c r="CU97" i="10"/>
  <c r="CU102" i="10" s="1"/>
  <c r="CU104" i="10" s="1"/>
  <c r="CU110" i="10"/>
  <c r="CU112" i="10"/>
  <c r="CS97" i="10"/>
  <c r="CS102" i="10" s="1"/>
  <c r="CS104" i="10" s="1"/>
  <c r="CS110" i="10"/>
  <c r="CS112" i="10"/>
  <c r="BD253" i="10"/>
  <c r="BD258" i="10" s="1"/>
  <c r="BD260" i="10" s="1"/>
  <c r="BD266" i="10"/>
  <c r="BD268" i="10"/>
  <c r="BH97" i="10"/>
  <c r="BH102" i="10" s="1"/>
  <c r="BH104" i="10" s="1"/>
  <c r="BH112" i="10"/>
  <c r="BH110" i="10"/>
  <c r="AC97" i="10"/>
  <c r="AC102" i="10" s="1"/>
  <c r="AC112" i="10"/>
  <c r="AC110" i="10"/>
  <c r="V97" i="10"/>
  <c r="V102" i="10" s="1"/>
  <c r="V112" i="10"/>
  <c r="V110" i="10"/>
  <c r="DI97" i="10"/>
  <c r="DI102" i="10" s="1"/>
  <c r="DI104" i="10" s="1"/>
  <c r="DI112" i="10"/>
  <c r="DI110" i="10"/>
  <c r="DG97" i="10"/>
  <c r="DG102" i="10" s="1"/>
  <c r="DG104" i="10" s="1"/>
  <c r="DG112" i="10"/>
  <c r="DG110" i="10"/>
  <c r="DE97" i="10"/>
  <c r="DE102" i="10" s="1"/>
  <c r="DE104" i="10" s="1"/>
  <c r="DE110" i="10"/>
  <c r="DE112" i="10"/>
  <c r="DC97" i="10"/>
  <c r="DC102" i="10" s="1"/>
  <c r="DC104" i="10" s="1"/>
  <c r="DC110" i="10"/>
  <c r="DC112" i="10"/>
  <c r="AV253" i="10"/>
  <c r="AV258" i="10" s="1"/>
  <c r="AV260" i="10" s="1"/>
  <c r="AV268" i="10"/>
  <c r="AV266" i="10"/>
  <c r="CE266" i="10"/>
  <c r="CE268" i="10"/>
  <c r="CY253" i="10"/>
  <c r="CY258" i="10" s="1"/>
  <c r="CY260" i="10" s="1"/>
  <c r="CY268" i="10"/>
  <c r="CY266" i="10"/>
  <c r="DT253" i="10"/>
  <c r="DT258" i="10" s="1"/>
  <c r="DT260" i="10" s="1"/>
  <c r="DT268" i="10"/>
  <c r="DT266" i="10"/>
  <c r="K97" i="10"/>
  <c r="K102" i="10" s="1"/>
  <c r="K112" i="10"/>
  <c r="K110" i="10"/>
  <c r="J144" i="10"/>
  <c r="J145" i="10" s="1"/>
  <c r="J140" i="10"/>
  <c r="G147" i="10"/>
  <c r="I105" i="10"/>
  <c r="J124" i="10"/>
  <c r="J126" i="10"/>
  <c r="J128" i="10"/>
  <c r="J130" i="10"/>
  <c r="J132" i="10"/>
  <c r="J134" i="10"/>
  <c r="J280" i="10"/>
  <c r="J282" i="10"/>
  <c r="J284" i="10"/>
  <c r="J286" i="10"/>
  <c r="J288" i="10"/>
  <c r="J290" i="10"/>
  <c r="F96" i="10"/>
  <c r="DX109" i="10"/>
  <c r="E12" i="11"/>
  <c r="C12" i="11"/>
  <c r="F256" i="10"/>
  <c r="E241" i="10"/>
  <c r="F250" i="10"/>
  <c r="F245" i="10"/>
  <c r="E240" i="10"/>
  <c r="E11" i="11"/>
  <c r="C11" i="11"/>
  <c r="F41" i="11"/>
  <c r="C38" i="12"/>
  <c r="D147" i="12"/>
  <c r="D154" i="12" s="1"/>
  <c r="D7" i="12"/>
  <c r="E7" i="12" s="1"/>
  <c r="DW265" i="10"/>
  <c r="E147" i="12"/>
  <c r="E154" i="12" s="1"/>
  <c r="E46" i="12"/>
  <c r="R18" i="11"/>
  <c r="R245" i="10"/>
  <c r="R252" i="10" s="1"/>
  <c r="L15" i="11" s="1"/>
  <c r="R250" i="10"/>
  <c r="L13" i="11" s="1"/>
  <c r="D11" i="11"/>
  <c r="R41" i="11"/>
  <c r="G147" i="12"/>
  <c r="G154" i="12" s="1"/>
  <c r="M147" i="12"/>
  <c r="M154" i="12" s="1"/>
  <c r="I147" i="12"/>
  <c r="I154" i="12" s="1"/>
  <c r="N147" i="12"/>
  <c r="N66" i="12"/>
  <c r="F147" i="12"/>
  <c r="F154" i="12" s="1"/>
  <c r="J147" i="12"/>
  <c r="J154" i="12" s="1"/>
  <c r="BZ245" i="10"/>
  <c r="BZ252" i="10" s="1"/>
  <c r="J42" i="12" s="1"/>
  <c r="BZ250" i="10"/>
  <c r="O147" i="12"/>
  <c r="O66" i="12"/>
  <c r="H147" i="12"/>
  <c r="H154" i="12" s="1"/>
  <c r="CX245" i="10"/>
  <c r="CX252" i="10" s="1"/>
  <c r="L42" i="12" s="1"/>
  <c r="CX250" i="10"/>
  <c r="L147" i="12"/>
  <c r="L154" i="12" s="1"/>
  <c r="E161" i="12"/>
  <c r="K147" i="12"/>
  <c r="K154" i="12" s="1"/>
  <c r="CL245" i="10"/>
  <c r="CL252" i="10" s="1"/>
  <c r="K42" i="12" s="1"/>
  <c r="CL250" i="10"/>
  <c r="H161" i="12"/>
  <c r="BB89" i="10"/>
  <c r="BB94" i="10"/>
  <c r="DV94" i="10"/>
  <c r="DV89" i="10"/>
  <c r="DV96" i="10" s="1"/>
  <c r="E17" i="11"/>
  <c r="C17" i="11"/>
  <c r="X253" i="10"/>
  <c r="X258" i="10" s="1"/>
  <c r="AC253" i="10"/>
  <c r="AC258" i="10" s="1"/>
  <c r="AC13" i="11"/>
  <c r="G253" i="10"/>
  <c r="G258" i="10" s="1"/>
  <c r="G13" i="11"/>
  <c r="I253" i="10"/>
  <c r="I258" i="10" s="1"/>
  <c r="I13" i="11"/>
  <c r="N253" i="10"/>
  <c r="N258" i="10" s="1"/>
  <c r="N13" i="11"/>
  <c r="U253" i="10"/>
  <c r="U258" i="10" s="1"/>
  <c r="U13" i="11"/>
  <c r="Z253" i="10"/>
  <c r="Z258" i="10" s="1"/>
  <c r="Z13" i="11"/>
  <c r="AA253" i="10"/>
  <c r="AA258" i="10" s="1"/>
  <c r="AA13" i="11"/>
  <c r="P253" i="10"/>
  <c r="P258" i="10" s="1"/>
  <c r="P13" i="11"/>
  <c r="V253" i="10"/>
  <c r="V258" i="10" s="1"/>
  <c r="V13" i="11"/>
  <c r="AB253" i="10"/>
  <c r="AB258" i="10" s="1"/>
  <c r="AB13" i="11"/>
  <c r="H253" i="10"/>
  <c r="H258" i="10" s="1"/>
  <c r="H13" i="11"/>
  <c r="L253" i="10"/>
  <c r="L258" i="10" s="1"/>
  <c r="W253" i="10"/>
  <c r="W258" i="10" s="1"/>
  <c r="W13" i="11"/>
  <c r="M253" i="10"/>
  <c r="M258" i="10" s="1"/>
  <c r="M13" i="11"/>
  <c r="Q253" i="10"/>
  <c r="Q258" i="10" s="1"/>
  <c r="Q13" i="11"/>
  <c r="DZ104" i="10"/>
  <c r="K253" i="10"/>
  <c r="K258" i="10" s="1"/>
  <c r="K13" i="11"/>
  <c r="O253" i="10"/>
  <c r="O258" i="10" s="1"/>
  <c r="O13" i="11"/>
  <c r="S253" i="10"/>
  <c r="S258" i="10" s="1"/>
  <c r="S13" i="11"/>
  <c r="Y253" i="10"/>
  <c r="Y258" i="10" s="1"/>
  <c r="Y13" i="11"/>
  <c r="J253" i="10"/>
  <c r="J258" i="10" s="1"/>
  <c r="J13" i="11"/>
  <c r="AP110" i="10"/>
  <c r="AP97" i="10"/>
  <c r="AP102" i="10" s="1"/>
  <c r="AP112" i="10"/>
  <c r="BN112" i="10"/>
  <c r="BN97" i="10"/>
  <c r="BN102" i="10" s="1"/>
  <c r="BN110" i="10"/>
  <c r="D12" i="11"/>
  <c r="C39" i="12"/>
  <c r="BN245" i="10"/>
  <c r="BN252" i="10" s="1"/>
  <c r="I42" i="12" s="1"/>
  <c r="BN250" i="10"/>
  <c r="R89" i="10"/>
  <c r="R96" i="10" s="1"/>
  <c r="R94" i="10"/>
  <c r="G89" i="10"/>
  <c r="G96" i="10" s="1"/>
  <c r="E84" i="10"/>
  <c r="G94" i="10"/>
  <c r="G100" i="10"/>
  <c r="E100" i="10" s="1"/>
  <c r="E85" i="10"/>
  <c r="E37" i="11"/>
  <c r="C37" i="11"/>
  <c r="G41" i="11"/>
  <c r="X266" i="10"/>
  <c r="X268" i="10"/>
  <c r="AE253" i="10"/>
  <c r="AE258" i="10" s="1"/>
  <c r="AE268" i="10"/>
  <c r="AE266" i="10"/>
  <c r="AQ253" i="10"/>
  <c r="AQ258" i="10" s="1"/>
  <c r="AQ266" i="10"/>
  <c r="AQ268" i="10"/>
  <c r="BJ253" i="10"/>
  <c r="BJ258" i="10" s="1"/>
  <c r="BJ268" i="10"/>
  <c r="BJ266" i="10"/>
  <c r="CO253" i="10"/>
  <c r="CO258" i="10" s="1"/>
  <c r="CO268" i="10"/>
  <c r="CO266" i="10"/>
  <c r="DU253" i="10"/>
  <c r="DU258" i="10" s="1"/>
  <c r="DU268" i="10"/>
  <c r="DU266" i="10"/>
  <c r="BR253" i="10"/>
  <c r="BR258" i="10" s="1"/>
  <c r="BR268" i="10"/>
  <c r="BR266" i="10"/>
  <c r="DE253" i="10"/>
  <c r="DE258" i="10" s="1"/>
  <c r="DE268" i="10"/>
  <c r="DE266" i="10"/>
  <c r="DR253" i="10"/>
  <c r="DR258" i="10" s="1"/>
  <c r="DR268" i="10"/>
  <c r="DR266" i="10"/>
  <c r="AO97" i="10"/>
  <c r="AO102" i="10" s="1"/>
  <c r="AO112" i="10"/>
  <c r="AO110" i="10"/>
  <c r="AZ97" i="10"/>
  <c r="AZ102" i="10" s="1"/>
  <c r="AZ110" i="10"/>
  <c r="AZ112" i="10"/>
  <c r="AW97" i="10"/>
  <c r="AW102" i="10" s="1"/>
  <c r="AW112" i="10"/>
  <c r="AW110" i="10"/>
  <c r="AC268" i="10"/>
  <c r="AC266" i="10"/>
  <c r="AJ253" i="10"/>
  <c r="AJ258" i="10" s="1"/>
  <c r="AJ266" i="10"/>
  <c r="AJ268" i="10"/>
  <c r="AS253" i="10"/>
  <c r="AS258" i="10" s="1"/>
  <c r="AS268" i="10"/>
  <c r="AS266" i="10"/>
  <c r="BA253" i="10"/>
  <c r="BA258" i="10" s="1"/>
  <c r="BA266" i="10"/>
  <c r="BA268" i="10"/>
  <c r="BC253" i="10"/>
  <c r="BC258" i="10" s="1"/>
  <c r="BC268" i="10"/>
  <c r="BC266" i="10"/>
  <c r="BE253" i="10"/>
  <c r="BE258" i="10" s="1"/>
  <c r="BE268" i="10"/>
  <c r="BE266" i="10"/>
  <c r="BK253" i="10"/>
  <c r="BK258" i="10" s="1"/>
  <c r="BK268" i="10"/>
  <c r="BK266" i="10"/>
  <c r="BO253" i="10"/>
  <c r="BO258" i="10" s="1"/>
  <c r="BO268" i="10"/>
  <c r="BO266" i="10"/>
  <c r="BS253" i="10"/>
  <c r="BS258" i="10" s="1"/>
  <c r="BS268" i="10"/>
  <c r="BS266" i="10"/>
  <c r="BV253" i="10"/>
  <c r="BV258" i="10" s="1"/>
  <c r="BV266" i="10"/>
  <c r="BV268" i="10"/>
  <c r="CA253" i="10"/>
  <c r="CA258" i="10" s="1"/>
  <c r="CA268" i="10"/>
  <c r="CA266" i="10"/>
  <c r="CC253" i="10"/>
  <c r="CC258" i="10" s="1"/>
  <c r="CC268" i="10"/>
  <c r="CC266" i="10"/>
  <c r="CG253" i="10"/>
  <c r="CG258" i="10" s="1"/>
  <c r="CG266" i="10"/>
  <c r="CG268" i="10"/>
  <c r="CM253" i="10"/>
  <c r="CM258" i="10" s="1"/>
  <c r="CM266" i="10"/>
  <c r="CM268" i="10"/>
  <c r="CR253" i="10"/>
  <c r="CR258" i="10" s="1"/>
  <c r="CR268" i="10"/>
  <c r="CR266" i="10"/>
  <c r="CU253" i="10"/>
  <c r="CU258" i="10" s="1"/>
  <c r="CU266" i="10"/>
  <c r="CU268" i="10"/>
  <c r="CW253" i="10"/>
  <c r="CW258" i="10" s="1"/>
  <c r="CW266" i="10"/>
  <c r="CW268" i="10"/>
  <c r="DB253" i="10"/>
  <c r="DB258" i="10" s="1"/>
  <c r="DB266" i="10"/>
  <c r="DB268" i="10"/>
  <c r="DH253" i="10"/>
  <c r="DH258" i="10" s="1"/>
  <c r="DH268" i="10"/>
  <c r="DH266" i="10"/>
  <c r="DK253" i="10"/>
  <c r="DK258" i="10" s="1"/>
  <c r="DK268" i="10"/>
  <c r="DK266" i="10"/>
  <c r="CK253" i="10"/>
  <c r="CK258" i="10" s="1"/>
  <c r="CK268" i="10"/>
  <c r="CK266" i="10"/>
  <c r="DF253" i="10"/>
  <c r="DF258" i="10" s="1"/>
  <c r="DF266" i="10"/>
  <c r="DF268" i="10"/>
  <c r="CD253" i="10"/>
  <c r="CD258" i="10" s="1"/>
  <c r="CD268" i="10"/>
  <c r="CD266" i="10"/>
  <c r="CT253" i="10"/>
  <c r="CT258" i="10" s="1"/>
  <c r="CT268" i="10"/>
  <c r="CT266" i="10"/>
  <c r="DG253" i="10"/>
  <c r="DG258" i="10" s="1"/>
  <c r="DG268" i="10"/>
  <c r="DG266" i="10"/>
  <c r="BP253" i="10"/>
  <c r="BP258" i="10" s="1"/>
  <c r="BP268" i="10"/>
  <c r="BP266" i="10"/>
  <c r="DQ253" i="10"/>
  <c r="DQ258" i="10" s="1"/>
  <c r="DQ266" i="10"/>
  <c r="DQ268" i="10"/>
  <c r="DS253" i="10"/>
  <c r="DS258" i="10" s="1"/>
  <c r="DS266" i="10"/>
  <c r="DS268" i="10"/>
  <c r="G268" i="10"/>
  <c r="G266" i="10"/>
  <c r="I268" i="10"/>
  <c r="I266" i="10"/>
  <c r="N266" i="10"/>
  <c r="N268" i="10"/>
  <c r="U268" i="10"/>
  <c r="U266" i="10"/>
  <c r="Z266" i="10"/>
  <c r="Z268" i="10"/>
  <c r="AF253" i="10"/>
  <c r="AF258" i="10" s="1"/>
  <c r="AF268" i="10"/>
  <c r="AF266" i="10"/>
  <c r="AI253" i="10"/>
  <c r="AI258" i="10" s="1"/>
  <c r="AI268" i="10"/>
  <c r="AI266" i="10"/>
  <c r="AO253" i="10"/>
  <c r="AO258" i="10" s="1"/>
  <c r="AO268" i="10"/>
  <c r="AO266" i="10"/>
  <c r="AT253" i="10"/>
  <c r="AT258" i="10" s="1"/>
  <c r="AT266" i="10"/>
  <c r="AT268" i="10"/>
  <c r="AW253" i="10"/>
  <c r="AW258" i="10" s="1"/>
  <c r="AW266" i="10"/>
  <c r="AW268" i="10"/>
  <c r="BL253" i="10"/>
  <c r="BL258" i="10" s="1"/>
  <c r="BL268" i="10"/>
  <c r="BL266" i="10"/>
  <c r="BQ253" i="10"/>
  <c r="BQ258" i="10" s="1"/>
  <c r="BQ266" i="10"/>
  <c r="BQ268" i="10"/>
  <c r="AA268" i="10"/>
  <c r="AA266" i="10"/>
  <c r="AH253" i="10"/>
  <c r="AH258" i="10" s="1"/>
  <c r="AH268" i="10"/>
  <c r="AH266" i="10"/>
  <c r="AL253" i="10"/>
  <c r="AL258" i="10" s="1"/>
  <c r="AL268" i="10"/>
  <c r="AL266" i="10"/>
  <c r="AU253" i="10"/>
  <c r="AU258" i="10" s="1"/>
  <c r="AU266" i="10"/>
  <c r="AU268" i="10"/>
  <c r="BU253" i="10"/>
  <c r="BU258" i="10" s="1"/>
  <c r="BU268" i="10"/>
  <c r="BU266" i="10"/>
  <c r="CQ253" i="10"/>
  <c r="CQ258" i="10" s="1"/>
  <c r="CQ266" i="10"/>
  <c r="CQ268" i="10"/>
  <c r="P266" i="10"/>
  <c r="P268" i="10"/>
  <c r="V268" i="10"/>
  <c r="V266" i="10"/>
  <c r="AB268" i="10"/>
  <c r="AB266" i="10"/>
  <c r="AK253" i="10"/>
  <c r="AK258" i="10" s="1"/>
  <c r="AK268" i="10"/>
  <c r="AK266" i="10"/>
  <c r="AN253" i="10"/>
  <c r="AN258" i="10" s="1"/>
  <c r="AN268" i="10"/>
  <c r="AN266" i="10"/>
  <c r="AX253" i="10"/>
  <c r="AX258" i="10" s="1"/>
  <c r="AX266" i="10"/>
  <c r="AX268" i="10"/>
  <c r="BG253" i="10"/>
  <c r="BG258" i="10" s="1"/>
  <c r="BG266" i="10"/>
  <c r="BG268" i="10"/>
  <c r="CH253" i="10"/>
  <c r="CH258" i="10" s="1"/>
  <c r="CH266" i="10"/>
  <c r="CH268" i="10"/>
  <c r="DA253" i="10"/>
  <c r="DA258" i="10" s="1"/>
  <c r="DA268" i="10"/>
  <c r="DA266" i="10"/>
  <c r="DD253" i="10"/>
  <c r="DD258" i="10" s="1"/>
  <c r="DD268" i="10"/>
  <c r="DD266" i="10"/>
  <c r="DL253" i="10"/>
  <c r="DL258" i="10" s="1"/>
  <c r="DL266" i="10"/>
  <c r="DL268" i="10"/>
  <c r="DC253" i="10"/>
  <c r="DC258" i="10" s="1"/>
  <c r="DC268" i="10"/>
  <c r="DC266" i="10"/>
  <c r="AZ253" i="10"/>
  <c r="AZ258" i="10" s="1"/>
  <c r="AZ268" i="10"/>
  <c r="AZ266" i="10"/>
  <c r="BM253" i="10"/>
  <c r="BM258" i="10" s="1"/>
  <c r="BM266" i="10"/>
  <c r="BM268" i="10"/>
  <c r="M97" i="10"/>
  <c r="M102" i="10" s="1"/>
  <c r="M110" i="10"/>
  <c r="M112" i="10"/>
  <c r="CW97" i="10"/>
  <c r="CW102" i="10" s="1"/>
  <c r="CW110" i="10"/>
  <c r="CW112" i="10"/>
  <c r="DQ97" i="10"/>
  <c r="DQ102" i="10" s="1"/>
  <c r="DQ110" i="10"/>
  <c r="DQ112" i="10"/>
  <c r="BY253" i="10"/>
  <c r="BY258" i="10" s="1"/>
  <c r="BY268" i="10"/>
  <c r="BY266" i="10"/>
  <c r="CI253" i="10"/>
  <c r="CI258" i="10" s="1"/>
  <c r="CI268" i="10"/>
  <c r="CI266" i="10"/>
  <c r="CJ253" i="10"/>
  <c r="CJ258" i="10" s="1"/>
  <c r="CJ268" i="10"/>
  <c r="CJ266" i="10"/>
  <c r="CN253" i="10"/>
  <c r="CN258" i="10" s="1"/>
  <c r="CN266" i="10"/>
  <c r="CN268" i="10"/>
  <c r="CV253" i="10"/>
  <c r="CV258" i="10" s="1"/>
  <c r="CV268" i="10"/>
  <c r="CV266" i="10"/>
  <c r="CZ253" i="10"/>
  <c r="CZ258" i="10" s="1"/>
  <c r="CZ266" i="10"/>
  <c r="CZ268" i="10"/>
  <c r="DI253" i="10"/>
  <c r="DI258" i="10" s="1"/>
  <c r="DI268" i="10"/>
  <c r="DI266" i="10"/>
  <c r="DP253" i="10"/>
  <c r="DP258" i="10" s="1"/>
  <c r="DP268" i="10"/>
  <c r="DP266" i="10"/>
  <c r="H268" i="10"/>
  <c r="H266" i="10"/>
  <c r="L268" i="10"/>
  <c r="L266" i="10"/>
  <c r="W268" i="10"/>
  <c r="W266" i="10"/>
  <c r="AY253" i="10"/>
  <c r="AY258" i="10" s="1"/>
  <c r="AY266" i="10"/>
  <c r="AY268" i="10"/>
  <c r="BF253" i="10"/>
  <c r="BF258" i="10" s="1"/>
  <c r="BF268" i="10"/>
  <c r="BF266" i="10"/>
  <c r="BH253" i="10"/>
  <c r="BH258" i="10" s="1"/>
  <c r="BH266" i="10"/>
  <c r="BH268" i="10"/>
  <c r="M268" i="10"/>
  <c r="M266" i="10"/>
  <c r="AR253" i="10"/>
  <c r="AR258" i="10" s="1"/>
  <c r="AR268" i="10"/>
  <c r="AR266" i="10"/>
  <c r="CB253" i="10"/>
  <c r="CB258" i="10" s="1"/>
  <c r="CB266" i="10"/>
  <c r="CB268" i="10"/>
  <c r="CF253" i="10"/>
  <c r="CF258" i="10" s="1"/>
  <c r="CF266" i="10"/>
  <c r="CF268" i="10"/>
  <c r="CS253" i="10"/>
  <c r="CS258" i="10" s="1"/>
  <c r="CS266" i="10"/>
  <c r="CS268" i="10"/>
  <c r="BW253" i="10"/>
  <c r="BW258" i="10" s="1"/>
  <c r="BW268" i="10"/>
  <c r="BW266" i="10"/>
  <c r="BU113" i="10" l="1"/>
  <c r="BL113" i="10"/>
  <c r="AE113" i="10"/>
  <c r="BH113" i="10"/>
  <c r="AB113" i="10"/>
  <c r="J113" i="10"/>
  <c r="CK113" i="10"/>
  <c r="J113" i="12" s="1"/>
  <c r="CD113" i="10"/>
  <c r="AH113" i="10"/>
  <c r="O38" i="11"/>
  <c r="BI113" i="10"/>
  <c r="BI114" i="10" s="1"/>
  <c r="BZ113" i="10"/>
  <c r="O113" i="10"/>
  <c r="DN113" i="10"/>
  <c r="BX113" i="10"/>
  <c r="Y113" i="10"/>
  <c r="CZ113" i="10"/>
  <c r="L113" i="10"/>
  <c r="BS113" i="10"/>
  <c r="M269" i="10"/>
  <c r="BM113" i="10"/>
  <c r="X113" i="10"/>
  <c r="AC113" i="10"/>
  <c r="BR113" i="10"/>
  <c r="BN113" i="10"/>
  <c r="AW113" i="10"/>
  <c r="AW114" i="10" s="1"/>
  <c r="BF113" i="10"/>
  <c r="AU113" i="10"/>
  <c r="AV114" i="10" s="1"/>
  <c r="CT113" i="10"/>
  <c r="S113" i="10"/>
  <c r="AN113" i="10"/>
  <c r="DT113" i="10"/>
  <c r="DG113" i="10"/>
  <c r="DG114" i="10" s="1"/>
  <c r="Z113" i="10"/>
  <c r="BU269" i="10"/>
  <c r="AD113" i="10"/>
  <c r="N113" i="10"/>
  <c r="K113" i="10"/>
  <c r="BW113" i="10"/>
  <c r="AJ113" i="10"/>
  <c r="AI113" i="10"/>
  <c r="AQ113" i="10"/>
  <c r="AR114" i="10" s="1"/>
  <c r="AM113" i="10"/>
  <c r="DI113" i="10"/>
  <c r="AF113" i="10"/>
  <c r="DH113" i="10"/>
  <c r="AB269" i="10"/>
  <c r="Z104" i="10"/>
  <c r="Z38" i="11"/>
  <c r="DM113" i="10"/>
  <c r="DB113" i="10"/>
  <c r="H113" i="10"/>
  <c r="CR113" i="10"/>
  <c r="P113" i="10"/>
  <c r="AO113" i="10"/>
  <c r="E112" i="10"/>
  <c r="DV112" i="10"/>
  <c r="DW112" i="10" s="1"/>
  <c r="DX112" i="10" s="1"/>
  <c r="DY112" i="10" s="1"/>
  <c r="DZ112" i="10" s="1"/>
  <c r="EA112" i="10" s="1"/>
  <c r="EB112" i="10" s="1"/>
  <c r="EC112" i="10" s="1"/>
  <c r="ED112" i="10" s="1"/>
  <c r="EE112" i="10" s="1"/>
  <c r="EF112" i="10" s="1"/>
  <c r="EG112" i="10" s="1"/>
  <c r="EH112" i="10" s="1"/>
  <c r="EI112" i="10" s="1"/>
  <c r="EJ112" i="10" s="1"/>
  <c r="EK112" i="10" s="1"/>
  <c r="EL112" i="10" s="1"/>
  <c r="EM112" i="10" s="1"/>
  <c r="EN112" i="10" s="1"/>
  <c r="EO112" i="10" s="1"/>
  <c r="EP112" i="10" s="1"/>
  <c r="EQ112" i="10" s="1"/>
  <c r="ER112" i="10" s="1"/>
  <c r="ES112" i="10" s="1"/>
  <c r="DU113" i="10"/>
  <c r="DV110" i="10"/>
  <c r="E110" i="10"/>
  <c r="AH104" i="10"/>
  <c r="AB38" i="11"/>
  <c r="CJ269" i="10"/>
  <c r="H269" i="10"/>
  <c r="BG113" i="10"/>
  <c r="T113" i="10"/>
  <c r="W113" i="10"/>
  <c r="DD113" i="10"/>
  <c r="DP113" i="10"/>
  <c r="BP113" i="10"/>
  <c r="D18" i="11"/>
  <c r="BE113" i="10"/>
  <c r="AY113" i="10"/>
  <c r="N40" i="12"/>
  <c r="DV253" i="10"/>
  <c r="F42" i="12"/>
  <c r="X15" i="11"/>
  <c r="BL269" i="10"/>
  <c r="BF269" i="10"/>
  <c r="AR269" i="10"/>
  <c r="CK269" i="10"/>
  <c r="DD269" i="10"/>
  <c r="AO269" i="10"/>
  <c r="F64" i="12" s="1"/>
  <c r="W269" i="10"/>
  <c r="AK113" i="10"/>
  <c r="U113" i="10"/>
  <c r="DR113" i="10"/>
  <c r="DO113" i="10"/>
  <c r="AS113" i="10"/>
  <c r="AS114" i="10" s="1"/>
  <c r="AA113" i="10"/>
  <c r="DA113" i="10"/>
  <c r="V113" i="10"/>
  <c r="CQ113" i="10"/>
  <c r="CF113" i="10"/>
  <c r="BY113" i="10"/>
  <c r="BP269" i="10"/>
  <c r="T38" i="11"/>
  <c r="T104" i="10"/>
  <c r="W38" i="11"/>
  <c r="W104" i="10"/>
  <c r="Y38" i="11"/>
  <c r="Y104" i="10"/>
  <c r="N38" i="11"/>
  <c r="N104" i="10"/>
  <c r="U104" i="10"/>
  <c r="U38" i="11"/>
  <c r="L104" i="10"/>
  <c r="P38" i="11"/>
  <c r="P104" i="10"/>
  <c r="AA104" i="10"/>
  <c r="J104" i="10"/>
  <c r="J38" i="11"/>
  <c r="BC113" i="10"/>
  <c r="BD114" i="10" s="1"/>
  <c r="BJ113" i="10"/>
  <c r="CE113" i="10"/>
  <c r="BV113" i="10"/>
  <c r="H38" i="11"/>
  <c r="H104" i="10"/>
  <c r="H106" i="10" s="1"/>
  <c r="H107" i="10" s="1"/>
  <c r="K38" i="11"/>
  <c r="K104" i="10"/>
  <c r="AZ269" i="10"/>
  <c r="AL269" i="10"/>
  <c r="CC113" i="10"/>
  <c r="Q113" i="10"/>
  <c r="CV113" i="10"/>
  <c r="I113" i="10"/>
  <c r="EI97" i="10"/>
  <c r="EI102" i="10" s="1"/>
  <c r="CG113" i="10"/>
  <c r="DS113" i="10"/>
  <c r="CX113" i="10"/>
  <c r="Y269" i="10"/>
  <c r="CO113" i="10"/>
  <c r="CU113" i="10"/>
  <c r="CS113" i="10"/>
  <c r="AX113" i="10"/>
  <c r="CP113" i="10"/>
  <c r="DK113" i="10"/>
  <c r="AT112" i="10"/>
  <c r="AT97" i="10"/>
  <c r="AT102" i="10" s="1"/>
  <c r="AT110" i="10"/>
  <c r="AG97" i="10"/>
  <c r="AG102" i="10" s="1"/>
  <c r="AA38" i="11" s="1"/>
  <c r="AG110" i="10"/>
  <c r="AG112" i="10"/>
  <c r="CB97" i="10"/>
  <c r="CB102" i="10" s="1"/>
  <c r="CB110" i="10"/>
  <c r="CB112" i="10"/>
  <c r="I104" i="10"/>
  <c r="I38" i="11"/>
  <c r="BQ97" i="10"/>
  <c r="BQ102" i="10" s="1"/>
  <c r="BQ112" i="10"/>
  <c r="BQ110" i="10"/>
  <c r="DL97" i="10"/>
  <c r="DL102" i="10" s="1"/>
  <c r="DL110" i="10"/>
  <c r="DL112" i="10"/>
  <c r="BX269" i="10"/>
  <c r="BO269" i="10"/>
  <c r="Q269" i="10"/>
  <c r="DN269" i="10"/>
  <c r="DT269" i="10"/>
  <c r="BS269" i="10"/>
  <c r="BK269" i="10"/>
  <c r="BJ269" i="10"/>
  <c r="BW269" i="10"/>
  <c r="AI269" i="10"/>
  <c r="AF269" i="10"/>
  <c r="DA269" i="10"/>
  <c r="U269" i="10"/>
  <c r="CA269" i="10"/>
  <c r="V269" i="10"/>
  <c r="CD269" i="10"/>
  <c r="S269" i="10"/>
  <c r="AV269" i="10"/>
  <c r="AH269" i="10"/>
  <c r="DE269" i="10"/>
  <c r="I269" i="10"/>
  <c r="CO269" i="10"/>
  <c r="DR269" i="10"/>
  <c r="BC269" i="10"/>
  <c r="BE269" i="10"/>
  <c r="DI269" i="10"/>
  <c r="L64" i="12" s="1"/>
  <c r="AK269" i="10"/>
  <c r="CC269" i="10"/>
  <c r="AN269" i="10"/>
  <c r="Q104" i="10"/>
  <c r="Q38" i="11"/>
  <c r="S38" i="11"/>
  <c r="S104" i="10"/>
  <c r="CL113" i="10"/>
  <c r="BO113" i="10"/>
  <c r="CA113" i="10"/>
  <c r="CI113" i="10"/>
  <c r="CN113" i="10"/>
  <c r="C147" i="12"/>
  <c r="C154" i="12" s="1"/>
  <c r="DJ113" i="10"/>
  <c r="CM97" i="10"/>
  <c r="CM102" i="10" s="1"/>
  <c r="CM112" i="10"/>
  <c r="CM110" i="10"/>
  <c r="AC104" i="10"/>
  <c r="AC38" i="11"/>
  <c r="V104" i="10"/>
  <c r="V38" i="11"/>
  <c r="AS269" i="10"/>
  <c r="CR269" i="10"/>
  <c r="AE269" i="10"/>
  <c r="BI269" i="10"/>
  <c r="AP266" i="10"/>
  <c r="AP268" i="10"/>
  <c r="AP253" i="10"/>
  <c r="AD268" i="10"/>
  <c r="AD266" i="10"/>
  <c r="L269" i="10"/>
  <c r="F40" i="12"/>
  <c r="AD253" i="10"/>
  <c r="CV269" i="10"/>
  <c r="T269" i="10"/>
  <c r="DH269" i="10"/>
  <c r="DG269" i="10"/>
  <c r="G269" i="10"/>
  <c r="AA269" i="10"/>
  <c r="DK269" i="10"/>
  <c r="AG269" i="10"/>
  <c r="AM269" i="10"/>
  <c r="J269" i="10"/>
  <c r="BT269" i="10"/>
  <c r="DC269" i="10"/>
  <c r="DM269" i="10"/>
  <c r="DP269" i="10"/>
  <c r="DO269" i="10"/>
  <c r="BD269" i="10"/>
  <c r="CE269" i="10"/>
  <c r="CY269" i="10"/>
  <c r="O40" i="12"/>
  <c r="EH253" i="10"/>
  <c r="CP269" i="10"/>
  <c r="CT269" i="10"/>
  <c r="CI269" i="10"/>
  <c r="K269" i="10"/>
  <c r="O269" i="10"/>
  <c r="M40" i="12"/>
  <c r="DJ253" i="10"/>
  <c r="DJ266" i="10"/>
  <c r="DJ268" i="10"/>
  <c r="EF258" i="10"/>
  <c r="T260" i="10"/>
  <c r="T19" i="11"/>
  <c r="CY110" i="10"/>
  <c r="CY112" i="10"/>
  <c r="CY97" i="10"/>
  <c r="CY102" i="10" s="1"/>
  <c r="X104" i="10"/>
  <c r="X38" i="11"/>
  <c r="BT113" i="10"/>
  <c r="BK113" i="10"/>
  <c r="CJ113" i="10"/>
  <c r="CH113" i="10"/>
  <c r="E94" i="10"/>
  <c r="BR269" i="10"/>
  <c r="AC269" i="10"/>
  <c r="DE113" i="10"/>
  <c r="CF269" i="10"/>
  <c r="BY269" i="10"/>
  <c r="DC113" i="10"/>
  <c r="BB268" i="10"/>
  <c r="H40" i="12"/>
  <c r="BB266" i="10"/>
  <c r="BB253" i="10"/>
  <c r="BB96" i="10"/>
  <c r="E89" i="10"/>
  <c r="K144" i="10"/>
  <c r="K145" i="10" s="1"/>
  <c r="K140" i="10"/>
  <c r="G148" i="10"/>
  <c r="K124" i="10"/>
  <c r="K126" i="10"/>
  <c r="K128" i="10"/>
  <c r="K130" i="10"/>
  <c r="K132" i="10"/>
  <c r="K134" i="10"/>
  <c r="K280" i="10"/>
  <c r="K282" i="10"/>
  <c r="K284" i="10"/>
  <c r="K286" i="10"/>
  <c r="K288" i="10"/>
  <c r="K290" i="10"/>
  <c r="DY109" i="10"/>
  <c r="E256" i="10"/>
  <c r="F18" i="11"/>
  <c r="D46" i="12"/>
  <c r="C46" i="12" s="1"/>
  <c r="D40" i="12"/>
  <c r="F13" i="11"/>
  <c r="E250" i="10"/>
  <c r="E245" i="10"/>
  <c r="F252" i="10"/>
  <c r="E41" i="11"/>
  <c r="C41" i="11"/>
  <c r="DX265" i="10"/>
  <c r="R15" i="11"/>
  <c r="E42" i="12"/>
  <c r="R268" i="10"/>
  <c r="R266" i="10"/>
  <c r="R253" i="10"/>
  <c r="R13" i="11"/>
  <c r="D13" i="11" s="1"/>
  <c r="E40" i="12"/>
  <c r="D41" i="11"/>
  <c r="BZ253" i="10"/>
  <c r="BZ268" i="10"/>
  <c r="BZ266" i="10"/>
  <c r="J40" i="12"/>
  <c r="CX253" i="10"/>
  <c r="CX268" i="10"/>
  <c r="CX266" i="10"/>
  <c r="L40" i="12"/>
  <c r="CL266" i="10"/>
  <c r="CL268" i="10"/>
  <c r="CL253" i="10"/>
  <c r="K40" i="12"/>
  <c r="X260" i="10"/>
  <c r="AC260" i="10"/>
  <c r="AC19" i="11"/>
  <c r="G260" i="10"/>
  <c r="G19" i="11"/>
  <c r="I260" i="10"/>
  <c r="I19" i="11"/>
  <c r="N260" i="10"/>
  <c r="N19" i="11"/>
  <c r="U260" i="10"/>
  <c r="U19" i="11"/>
  <c r="Z260" i="10"/>
  <c r="Z19" i="11"/>
  <c r="AA260" i="10"/>
  <c r="AA19" i="11"/>
  <c r="P260" i="10"/>
  <c r="P19" i="11"/>
  <c r="V260" i="10"/>
  <c r="V19" i="11"/>
  <c r="AB260" i="10"/>
  <c r="AB19" i="11"/>
  <c r="H260" i="10"/>
  <c r="H19" i="11"/>
  <c r="L260" i="10"/>
  <c r="W260" i="10"/>
  <c r="W19" i="11"/>
  <c r="M260" i="10"/>
  <c r="M19" i="11"/>
  <c r="Q260" i="10"/>
  <c r="Q19" i="11"/>
  <c r="K260" i="10"/>
  <c r="K19" i="11"/>
  <c r="O260" i="10"/>
  <c r="O19" i="11"/>
  <c r="S260" i="10"/>
  <c r="S19" i="11"/>
  <c r="Y260" i="10"/>
  <c r="Y19" i="11"/>
  <c r="J260" i="10"/>
  <c r="J19" i="11"/>
  <c r="AP104" i="10"/>
  <c r="BN104" i="10"/>
  <c r="BN253" i="10"/>
  <c r="BN268" i="10"/>
  <c r="BN266" i="10"/>
  <c r="I40" i="12"/>
  <c r="R97" i="10"/>
  <c r="R102" i="10" s="1"/>
  <c r="L38" i="11" s="1"/>
  <c r="R112" i="10"/>
  <c r="R110" i="10"/>
  <c r="R113" i="10" s="1"/>
  <c r="G97" i="10"/>
  <c r="G102" i="10" s="1"/>
  <c r="G112" i="10"/>
  <c r="G110" i="10"/>
  <c r="AE260" i="10"/>
  <c r="AQ260" i="10"/>
  <c r="BJ260" i="10"/>
  <c r="CO260" i="10"/>
  <c r="DU260" i="10"/>
  <c r="DV268" i="10"/>
  <c r="DW268" i="10" s="1"/>
  <c r="DX268" i="10" s="1"/>
  <c r="DY268" i="10" s="1"/>
  <c r="DZ268" i="10" s="1"/>
  <c r="EA268" i="10" s="1"/>
  <c r="EB268" i="10" s="1"/>
  <c r="EC268" i="10" s="1"/>
  <c r="ED268" i="10" s="1"/>
  <c r="EE268" i="10" s="1"/>
  <c r="EF268" i="10" s="1"/>
  <c r="EG268" i="10" s="1"/>
  <c r="EH268" i="10" s="1"/>
  <c r="EI268" i="10" s="1"/>
  <c r="EJ268" i="10" s="1"/>
  <c r="EK268" i="10" s="1"/>
  <c r="EL268" i="10" s="1"/>
  <c r="EM268" i="10" s="1"/>
  <c r="EN268" i="10" s="1"/>
  <c r="EO268" i="10" s="1"/>
  <c r="EP268" i="10" s="1"/>
  <c r="EQ268" i="10" s="1"/>
  <c r="ER268" i="10" s="1"/>
  <c r="ES268" i="10" s="1"/>
  <c r="E268" i="10"/>
  <c r="DV266" i="10"/>
  <c r="E266" i="10"/>
  <c r="DU269" i="10"/>
  <c r="BR260" i="10"/>
  <c r="DE260" i="10"/>
  <c r="DR260" i="10"/>
  <c r="AO104" i="10"/>
  <c r="AZ104" i="10"/>
  <c r="AW104" i="10"/>
  <c r="AJ260" i="10"/>
  <c r="AS260" i="10"/>
  <c r="BA260" i="10"/>
  <c r="BC260" i="10"/>
  <c r="BE260" i="10"/>
  <c r="BK260" i="10"/>
  <c r="BO260" i="10"/>
  <c r="BS260" i="10"/>
  <c r="BV260" i="10"/>
  <c r="CA260" i="10"/>
  <c r="CC260" i="10"/>
  <c r="CG260" i="10"/>
  <c r="CM260" i="10"/>
  <c r="CR260" i="10"/>
  <c r="CU260" i="10"/>
  <c r="CW260" i="10"/>
  <c r="DB260" i="10"/>
  <c r="DH260" i="10"/>
  <c r="DK260" i="10"/>
  <c r="CK260" i="10"/>
  <c r="DF260" i="10"/>
  <c r="CD260" i="10"/>
  <c r="CT260" i="10"/>
  <c r="DG260" i="10"/>
  <c r="BP260" i="10"/>
  <c r="DQ260" i="10"/>
  <c r="DS260" i="10"/>
  <c r="AF260" i="10"/>
  <c r="AI260" i="10"/>
  <c r="AO260" i="10"/>
  <c r="AT260" i="10"/>
  <c r="AW260" i="10"/>
  <c r="BL260" i="10"/>
  <c r="BQ260" i="10"/>
  <c r="AH260" i="10"/>
  <c r="AL260" i="10"/>
  <c r="AU260" i="10"/>
  <c r="BU260" i="10"/>
  <c r="CQ260" i="10"/>
  <c r="AK260" i="10"/>
  <c r="AN260" i="10"/>
  <c r="AX260" i="10"/>
  <c r="BG260" i="10"/>
  <c r="CH260" i="10"/>
  <c r="DA260" i="10"/>
  <c r="DD260" i="10"/>
  <c r="DL260" i="10"/>
  <c r="DC260" i="10"/>
  <c r="AZ260" i="10"/>
  <c r="BM260" i="10"/>
  <c r="M38" i="11"/>
  <c r="M104" i="10"/>
  <c r="CW104" i="10"/>
  <c r="DQ104" i="10"/>
  <c r="BY260" i="10"/>
  <c r="CI260" i="10"/>
  <c r="CJ260" i="10"/>
  <c r="CN260" i="10"/>
  <c r="CV260" i="10"/>
  <c r="CZ260" i="10"/>
  <c r="DI260" i="10"/>
  <c r="DP260" i="10"/>
  <c r="AY260" i="10"/>
  <c r="BF260" i="10"/>
  <c r="BH260" i="10"/>
  <c r="AR260" i="10"/>
  <c r="CB260" i="10"/>
  <c r="CF260" i="10"/>
  <c r="CS260" i="10"/>
  <c r="BW260" i="10"/>
  <c r="J105" i="10"/>
  <c r="AP113" i="10"/>
  <c r="DV97" i="10"/>
  <c r="DV102" i="10" s="1"/>
  <c r="X269" i="10"/>
  <c r="AQ269" i="10"/>
  <c r="AZ113" i="10"/>
  <c r="AJ269" i="10"/>
  <c r="BA269" i="10"/>
  <c r="BV269" i="10"/>
  <c r="CG269" i="10"/>
  <c r="CM269" i="10"/>
  <c r="CU269" i="10"/>
  <c r="CW269" i="10"/>
  <c r="DB269" i="10"/>
  <c r="DF269" i="10"/>
  <c r="DQ269" i="10"/>
  <c r="DS269" i="10"/>
  <c r="DL269" i="10"/>
  <c r="M113" i="10"/>
  <c r="CW113" i="10"/>
  <c r="DQ113" i="10"/>
  <c r="CN269" i="10"/>
  <c r="CZ269" i="10"/>
  <c r="AY269" i="10"/>
  <c r="BH269" i="10"/>
  <c r="CB269" i="10"/>
  <c r="N269" i="10"/>
  <c r="Z269" i="10"/>
  <c r="AT269" i="10"/>
  <c r="AW269" i="10"/>
  <c r="BQ269" i="10"/>
  <c r="AU269" i="10"/>
  <c r="CQ269" i="10"/>
  <c r="P269" i="10"/>
  <c r="AX269" i="10"/>
  <c r="BG269" i="10"/>
  <c r="CH269" i="10"/>
  <c r="BM269" i="10"/>
  <c r="CS269" i="10"/>
  <c r="F97" i="10"/>
  <c r="F110" i="10"/>
  <c r="F112" i="10"/>
  <c r="Y114" i="10" l="1"/>
  <c r="BS114" i="10"/>
  <c r="AF114" i="10"/>
  <c r="CD114" i="10"/>
  <c r="BN114" i="10"/>
  <c r="CE114" i="10"/>
  <c r="CA114" i="10"/>
  <c r="AI114" i="10"/>
  <c r="P114" i="10"/>
  <c r="DN114" i="10"/>
  <c r="O114" i="10"/>
  <c r="BX114" i="10"/>
  <c r="BJ114" i="10"/>
  <c r="Z114" i="10"/>
  <c r="X114" i="10"/>
  <c r="H113" i="12"/>
  <c r="BM114" i="10"/>
  <c r="M32" i="11"/>
  <c r="AC114" i="10"/>
  <c r="E113" i="12"/>
  <c r="T114" i="10"/>
  <c r="AJ114" i="10"/>
  <c r="DH114" i="10"/>
  <c r="DU114" i="10"/>
  <c r="AE114" i="10"/>
  <c r="AD114" i="10"/>
  <c r="L114" i="10"/>
  <c r="K114" i="10"/>
  <c r="G113" i="10"/>
  <c r="H114" i="10" s="1"/>
  <c r="H116" i="10" s="1"/>
  <c r="H120" i="10" s="1"/>
  <c r="AT113" i="10"/>
  <c r="AN114" i="10"/>
  <c r="AM114" i="10"/>
  <c r="L113" i="12"/>
  <c r="DI114" i="10"/>
  <c r="CM113" i="10"/>
  <c r="AB32" i="11"/>
  <c r="U114" i="10"/>
  <c r="CR114" i="10"/>
  <c r="H32" i="11"/>
  <c r="BH114" i="10"/>
  <c r="BG114" i="10"/>
  <c r="BE114" i="10"/>
  <c r="BF114" i="10"/>
  <c r="W32" i="11"/>
  <c r="M113" i="12"/>
  <c r="DU119" i="10"/>
  <c r="E119" i="10" s="1"/>
  <c r="C113" i="12"/>
  <c r="CJ270" i="10"/>
  <c r="F113" i="12"/>
  <c r="AO114" i="10"/>
  <c r="DW110" i="10"/>
  <c r="DV113" i="10"/>
  <c r="DV114" i="10" s="1"/>
  <c r="DV258" i="10"/>
  <c r="N43" i="12"/>
  <c r="Q114" i="10"/>
  <c r="D113" i="12"/>
  <c r="J114" i="10"/>
  <c r="I114" i="10"/>
  <c r="D15" i="11"/>
  <c r="O32" i="11"/>
  <c r="AK114" i="10"/>
  <c r="AL114" i="10"/>
  <c r="DP114" i="10"/>
  <c r="DO114" i="10"/>
  <c r="AB114" i="10"/>
  <c r="AA114" i="10"/>
  <c r="DB114" i="10"/>
  <c r="DA114" i="10"/>
  <c r="W114" i="10"/>
  <c r="V114" i="10"/>
  <c r="BY114" i="10"/>
  <c r="I113" i="12"/>
  <c r="BZ114" i="10"/>
  <c r="I106" i="10"/>
  <c r="Y32" i="11"/>
  <c r="S32" i="11"/>
  <c r="U32" i="11"/>
  <c r="BL270" i="10"/>
  <c r="BG270" i="10"/>
  <c r="BF270" i="10"/>
  <c r="AS270" i="10"/>
  <c r="DE270" i="10"/>
  <c r="DD270" i="10"/>
  <c r="CK270" i="10"/>
  <c r="J64" i="12"/>
  <c r="BK270" i="10"/>
  <c r="AO270" i="10"/>
  <c r="CF114" i="10"/>
  <c r="CG114" i="10"/>
  <c r="AG113" i="10"/>
  <c r="CB113" i="10"/>
  <c r="BP270" i="10"/>
  <c r="BV114" i="10"/>
  <c r="BW114" i="10"/>
  <c r="O102" i="12"/>
  <c r="EI104" i="10"/>
  <c r="DS114" i="10"/>
  <c r="DT114" i="10"/>
  <c r="CT114" i="10"/>
  <c r="CS114" i="10"/>
  <c r="AL270" i="10"/>
  <c r="BQ113" i="10"/>
  <c r="BX270" i="10"/>
  <c r="Y270" i="10"/>
  <c r="DL113" i="10"/>
  <c r="CV114" i="10"/>
  <c r="CU114" i="10"/>
  <c r="AY114" i="10"/>
  <c r="AX114" i="10"/>
  <c r="CQ114" i="10"/>
  <c r="CP114" i="10"/>
  <c r="AT104" i="10"/>
  <c r="G102" i="12"/>
  <c r="G163" i="12" s="1"/>
  <c r="AG104" i="10"/>
  <c r="F102" i="12"/>
  <c r="F163" i="12" s="1"/>
  <c r="CB104" i="10"/>
  <c r="J102" i="12"/>
  <c r="J163" i="12" s="1"/>
  <c r="I102" i="12"/>
  <c r="I163" i="12" s="1"/>
  <c r="BQ104" i="10"/>
  <c r="DL104" i="10"/>
  <c r="M102" i="12"/>
  <c r="M163" i="12" s="1"/>
  <c r="BS270" i="10"/>
  <c r="Q32" i="11"/>
  <c r="C32" i="11" s="1"/>
  <c r="D64" i="12"/>
  <c r="AI270" i="10"/>
  <c r="DN270" i="10"/>
  <c r="CD270" i="10"/>
  <c r="AF270" i="10"/>
  <c r="BJ270" i="10"/>
  <c r="CP270" i="10"/>
  <c r="DI270" i="10"/>
  <c r="CE270" i="10"/>
  <c r="V270" i="10"/>
  <c r="V32" i="11"/>
  <c r="W270" i="10"/>
  <c r="I270" i="10"/>
  <c r="I32" i="11"/>
  <c r="AW270" i="10"/>
  <c r="AD269" i="10"/>
  <c r="X32" i="11" s="1"/>
  <c r="R269" i="10"/>
  <c r="L32" i="11" s="1"/>
  <c r="DK114" i="10"/>
  <c r="DJ114" i="10"/>
  <c r="AP269" i="10"/>
  <c r="CL114" i="10"/>
  <c r="BP114" i="10"/>
  <c r="BO114" i="10"/>
  <c r="CO114" i="10"/>
  <c r="CM104" i="10"/>
  <c r="K102" i="12"/>
  <c r="K163" i="12" s="1"/>
  <c r="BB110" i="10"/>
  <c r="BB112" i="10"/>
  <c r="BB97" i="10"/>
  <c r="E96" i="10"/>
  <c r="AT270" i="10"/>
  <c r="AP258" i="10"/>
  <c r="G43" i="12"/>
  <c r="M270" i="10"/>
  <c r="L270" i="10"/>
  <c r="AX270" i="10"/>
  <c r="AD258" i="10"/>
  <c r="X19" i="11" s="1"/>
  <c r="F43" i="12"/>
  <c r="BB269" i="10"/>
  <c r="DH270" i="10"/>
  <c r="T32" i="11"/>
  <c r="T270" i="10"/>
  <c r="U270" i="10"/>
  <c r="G32" i="11"/>
  <c r="H270" i="10"/>
  <c r="AA32" i="11"/>
  <c r="AB270" i="10"/>
  <c r="BE270" i="10"/>
  <c r="BD270" i="10"/>
  <c r="AA270" i="10"/>
  <c r="AG270" i="10"/>
  <c r="AH270" i="10"/>
  <c r="AN270" i="10"/>
  <c r="AM270" i="10"/>
  <c r="BU270" i="10"/>
  <c r="BT270" i="10"/>
  <c r="J32" i="11"/>
  <c r="J270" i="10"/>
  <c r="BZ269" i="10"/>
  <c r="CX269" i="10"/>
  <c r="CF270" i="10"/>
  <c r="DJ269" i="10"/>
  <c r="DO270" i="10"/>
  <c r="DP270" i="10"/>
  <c r="EH258" i="10"/>
  <c r="O43" i="12"/>
  <c r="DJ258" i="10"/>
  <c r="M43" i="12"/>
  <c r="EF260" i="10"/>
  <c r="T34" i="11"/>
  <c r="T42" i="11"/>
  <c r="K32" i="11"/>
  <c r="K270" i="10"/>
  <c r="CY104" i="10"/>
  <c r="L102" i="12"/>
  <c r="L163" i="12" s="1"/>
  <c r="BU114" i="10"/>
  <c r="BT114" i="10"/>
  <c r="CJ114" i="10"/>
  <c r="CK114" i="10"/>
  <c r="CH114" i="10"/>
  <c r="CI114" i="10"/>
  <c r="DE114" i="10"/>
  <c r="DF114" i="10"/>
  <c r="DC114" i="10"/>
  <c r="DD114" i="10"/>
  <c r="BN269" i="10"/>
  <c r="CG270" i="10"/>
  <c r="F113" i="10"/>
  <c r="CY113" i="10"/>
  <c r="BK114" i="10"/>
  <c r="BL114" i="10"/>
  <c r="AC32" i="11"/>
  <c r="AC270" i="10"/>
  <c r="E64" i="12"/>
  <c r="BY270" i="10"/>
  <c r="I64" i="12"/>
  <c r="BB258" i="10"/>
  <c r="H43" i="12"/>
  <c r="L144" i="10"/>
  <c r="L145" i="10" s="1"/>
  <c r="L140" i="10"/>
  <c r="H137" i="10"/>
  <c r="K105" i="10"/>
  <c r="L124" i="10"/>
  <c r="L128" i="10"/>
  <c r="L130" i="10"/>
  <c r="L132" i="10"/>
  <c r="L134" i="10"/>
  <c r="L280" i="10"/>
  <c r="L284" i="10"/>
  <c r="L286" i="10"/>
  <c r="L288" i="10"/>
  <c r="L290" i="10"/>
  <c r="DZ109" i="10"/>
  <c r="E18" i="11"/>
  <c r="C18" i="11"/>
  <c r="E13" i="11"/>
  <c r="C13" i="11"/>
  <c r="F15" i="11"/>
  <c r="D42" i="12"/>
  <c r="C42" i="12" s="1"/>
  <c r="E252" i="10"/>
  <c r="DY265" i="10"/>
  <c r="R258" i="10"/>
  <c r="L19" i="11" s="1"/>
  <c r="E43" i="12"/>
  <c r="BZ258" i="10"/>
  <c r="J43" i="12"/>
  <c r="CX258" i="10"/>
  <c r="L43" i="12"/>
  <c r="CL258" i="10"/>
  <c r="K43" i="12"/>
  <c r="AC34" i="11"/>
  <c r="AC42" i="11"/>
  <c r="G34" i="11"/>
  <c r="I34" i="11"/>
  <c r="I42" i="11"/>
  <c r="N34" i="11"/>
  <c r="N42" i="11"/>
  <c r="U34" i="11"/>
  <c r="U42" i="11"/>
  <c r="Z34" i="11"/>
  <c r="Z42" i="11"/>
  <c r="AA34" i="11"/>
  <c r="AA42" i="11"/>
  <c r="P34" i="11"/>
  <c r="P42" i="11"/>
  <c r="V34" i="11"/>
  <c r="V42" i="11"/>
  <c r="AB34" i="11"/>
  <c r="AB42" i="11"/>
  <c r="H34" i="11"/>
  <c r="H42" i="11"/>
  <c r="W34" i="11"/>
  <c r="W42" i="11"/>
  <c r="M34" i="11"/>
  <c r="M42" i="11"/>
  <c r="Q34" i="11"/>
  <c r="Q42" i="11"/>
  <c r="K34" i="11"/>
  <c r="K42" i="11"/>
  <c r="O34" i="11"/>
  <c r="O42" i="11"/>
  <c r="S34" i="11"/>
  <c r="S42" i="11"/>
  <c r="Y34" i="11"/>
  <c r="Y42" i="11"/>
  <c r="J34" i="11"/>
  <c r="J42" i="11"/>
  <c r="BN258" i="10"/>
  <c r="I43" i="12"/>
  <c r="R104" i="10"/>
  <c r="R38" i="11"/>
  <c r="D38" i="11" s="1"/>
  <c r="E102" i="12"/>
  <c r="E163" i="12" s="1"/>
  <c r="R114" i="10"/>
  <c r="S114" i="10"/>
  <c r="G104" i="10"/>
  <c r="G38" i="11"/>
  <c r="G42" i="11" s="1"/>
  <c r="DV269" i="10"/>
  <c r="DV270" i="10" s="1"/>
  <c r="DW266" i="10"/>
  <c r="DU275" i="10"/>
  <c r="E275" i="10" s="1"/>
  <c r="C64" i="12"/>
  <c r="DU270" i="10"/>
  <c r="M64" i="12"/>
  <c r="J106" i="10"/>
  <c r="AP114" i="10"/>
  <c r="AQ114" i="10"/>
  <c r="N102" i="12"/>
  <c r="DV104" i="10"/>
  <c r="X270" i="10"/>
  <c r="AR270" i="10"/>
  <c r="AZ114" i="10"/>
  <c r="BA114" i="10"/>
  <c r="AK270" i="10"/>
  <c r="AJ270" i="10"/>
  <c r="G64" i="12"/>
  <c r="BA270" i="10"/>
  <c r="BW270" i="10"/>
  <c r="BV270" i="10"/>
  <c r="CV270" i="10"/>
  <c r="CU270" i="10"/>
  <c r="K64" i="12"/>
  <c r="CW270" i="10"/>
  <c r="DC270" i="10"/>
  <c r="DB270" i="10"/>
  <c r="DG270" i="10"/>
  <c r="DF270" i="10"/>
  <c r="DR270" i="10"/>
  <c r="DQ270" i="10"/>
  <c r="DT270" i="10"/>
  <c r="DS270" i="10"/>
  <c r="DL270" i="10"/>
  <c r="DM270" i="10"/>
  <c r="M114" i="10"/>
  <c r="N114" i="10"/>
  <c r="K113" i="12"/>
  <c r="CW114" i="10"/>
  <c r="CX114" i="10"/>
  <c r="DQ114" i="10"/>
  <c r="DR114" i="10"/>
  <c r="DA270" i="10"/>
  <c r="CZ270" i="10"/>
  <c r="AZ270" i="10"/>
  <c r="AY270" i="10"/>
  <c r="BH270" i="10"/>
  <c r="BI270" i="10"/>
  <c r="CC270" i="10"/>
  <c r="CB270" i="10"/>
  <c r="N270" i="10"/>
  <c r="N32" i="11"/>
  <c r="O270" i="10"/>
  <c r="Z270" i="10"/>
  <c r="Z32" i="11"/>
  <c r="BR270" i="10"/>
  <c r="BQ270" i="10"/>
  <c r="AU270" i="10"/>
  <c r="AV270" i="10"/>
  <c r="CR270" i="10"/>
  <c r="CQ270" i="10"/>
  <c r="P270" i="10"/>
  <c r="P32" i="11"/>
  <c r="Q270" i="10"/>
  <c r="CI270" i="10"/>
  <c r="CH270" i="10"/>
  <c r="H64" i="12"/>
  <c r="BM270" i="10"/>
  <c r="CT270" i="10"/>
  <c r="CS270" i="10"/>
  <c r="F102" i="10"/>
  <c r="C40" i="12"/>
  <c r="CL269" i="10"/>
  <c r="F266" i="10"/>
  <c r="F268" i="10"/>
  <c r="F253" i="10"/>
  <c r="CN270" i="10"/>
  <c r="CO270" i="10"/>
  <c r="AT114" i="10" l="1"/>
  <c r="AU114" i="10"/>
  <c r="CN114" i="10"/>
  <c r="CM114" i="10"/>
  <c r="BR114" i="10"/>
  <c r="BQ114" i="10"/>
  <c r="I116" i="10"/>
  <c r="I120" i="10" s="1"/>
  <c r="I107" i="10"/>
  <c r="DV260" i="10"/>
  <c r="N48" i="12"/>
  <c r="N148" i="12" s="1"/>
  <c r="DW113" i="10"/>
  <c r="DW114" i="10" s="1"/>
  <c r="DX110" i="10"/>
  <c r="CC114" i="10"/>
  <c r="CB114" i="10"/>
  <c r="X42" i="11"/>
  <c r="X34" i="11"/>
  <c r="L34" i="11"/>
  <c r="L42" i="11"/>
  <c r="AH114" i="10"/>
  <c r="AG114" i="10"/>
  <c r="BB113" i="10"/>
  <c r="DM114" i="10"/>
  <c r="DL114" i="10"/>
  <c r="R32" i="11"/>
  <c r="R270" i="10"/>
  <c r="S270" i="10"/>
  <c r="AE270" i="10"/>
  <c r="AD270" i="10"/>
  <c r="AP270" i="10"/>
  <c r="AQ270" i="10"/>
  <c r="BB102" i="10"/>
  <c r="E97" i="10"/>
  <c r="F114" i="10"/>
  <c r="G114" i="10"/>
  <c r="G48" i="12"/>
  <c r="AP260" i="10"/>
  <c r="AD260" i="10"/>
  <c r="F48" i="12"/>
  <c r="BB270" i="10"/>
  <c r="BC270" i="10"/>
  <c r="CA270" i="10"/>
  <c r="BZ270" i="10"/>
  <c r="CY270" i="10"/>
  <c r="CX270" i="10"/>
  <c r="M48" i="12"/>
  <c r="DJ260" i="10"/>
  <c r="DK270" i="10"/>
  <c r="DJ270" i="10"/>
  <c r="EH260" i="10"/>
  <c r="O48" i="12"/>
  <c r="O148" i="12" s="1"/>
  <c r="D32" i="11"/>
  <c r="E32" i="11"/>
  <c r="BO270" i="10"/>
  <c r="BN270" i="10"/>
  <c r="H48" i="12"/>
  <c r="BB260" i="10"/>
  <c r="CY114" i="10"/>
  <c r="CZ114" i="10"/>
  <c r="F269" i="10"/>
  <c r="M144" i="10"/>
  <c r="M145" i="10" s="1"/>
  <c r="M140" i="10"/>
  <c r="H147" i="10"/>
  <c r="K106" i="10"/>
  <c r="L125" i="10"/>
  <c r="L105" i="10"/>
  <c r="M128" i="10"/>
  <c r="M130" i="10"/>
  <c r="M132" i="10"/>
  <c r="M134" i="10"/>
  <c r="L281" i="10"/>
  <c r="M284" i="10"/>
  <c r="M286" i="10"/>
  <c r="M288" i="10"/>
  <c r="M290" i="10"/>
  <c r="EA109" i="10"/>
  <c r="E15" i="11"/>
  <c r="C15" i="11"/>
  <c r="DZ265" i="10"/>
  <c r="E48" i="12"/>
  <c r="R19" i="11"/>
  <c r="R260" i="10"/>
  <c r="J48" i="12"/>
  <c r="BZ260" i="10"/>
  <c r="L48" i="12"/>
  <c r="CX260" i="10"/>
  <c r="K48" i="12"/>
  <c r="CL260" i="10"/>
  <c r="I48" i="12"/>
  <c r="BN260" i="10"/>
  <c r="G106" i="10"/>
  <c r="DW269" i="10"/>
  <c r="DX266" i="10"/>
  <c r="F38" i="11"/>
  <c r="C8" i="12"/>
  <c r="D102" i="12"/>
  <c r="F104" i="10"/>
  <c r="CM270" i="10"/>
  <c r="CL270" i="10"/>
  <c r="D43" i="12"/>
  <c r="C43" i="12" s="1"/>
  <c r="F258" i="10"/>
  <c r="E253" i="10"/>
  <c r="J116" i="10"/>
  <c r="J120" i="10" s="1"/>
  <c r="J107" i="10"/>
  <c r="DY110" i="10" l="1"/>
  <c r="DX113" i="10"/>
  <c r="DX114" i="10" s="1"/>
  <c r="BC114" i="10"/>
  <c r="BB114" i="10"/>
  <c r="E102" i="10"/>
  <c r="BB104" i="10"/>
  <c r="E104" i="10" s="1"/>
  <c r="H102" i="12"/>
  <c r="G66" i="12"/>
  <c r="G148" i="12"/>
  <c r="F66" i="12"/>
  <c r="F148" i="12"/>
  <c r="M66" i="12"/>
  <c r="M148" i="12"/>
  <c r="H66" i="12"/>
  <c r="F270" i="10"/>
  <c r="F32" i="11"/>
  <c r="G270" i="10"/>
  <c r="N144" i="10"/>
  <c r="N145" i="10" s="1"/>
  <c r="N140" i="10"/>
  <c r="H148" i="10"/>
  <c r="L126" i="10"/>
  <c r="L106" i="10"/>
  <c r="N128" i="10"/>
  <c r="N130" i="10"/>
  <c r="N132" i="10"/>
  <c r="N134" i="10"/>
  <c r="L282" i="10"/>
  <c r="N284" i="10"/>
  <c r="N286" i="10"/>
  <c r="N288" i="10"/>
  <c r="N290" i="10"/>
  <c r="EB109" i="10"/>
  <c r="EA265" i="10"/>
  <c r="E66" i="12"/>
  <c r="E148" i="12"/>
  <c r="R34" i="11"/>
  <c r="D19" i="11"/>
  <c r="R42" i="11"/>
  <c r="J66" i="12"/>
  <c r="J148" i="12"/>
  <c r="L66" i="12"/>
  <c r="L148" i="12"/>
  <c r="K66" i="12"/>
  <c r="K148" i="12"/>
  <c r="I66" i="12"/>
  <c r="I148" i="12"/>
  <c r="DX269" i="10"/>
  <c r="DX270" i="10" s="1"/>
  <c r="DY266" i="10"/>
  <c r="E38" i="11"/>
  <c r="C38" i="11"/>
  <c r="D163" i="12"/>
  <c r="F106" i="10"/>
  <c r="F107" i="10" s="1"/>
  <c r="D48" i="12"/>
  <c r="F19" i="11"/>
  <c r="D8" i="12"/>
  <c r="E8" i="12" s="1"/>
  <c r="F260" i="10"/>
  <c r="E258" i="10"/>
  <c r="K116" i="10"/>
  <c r="K120" i="10" s="1"/>
  <c r="K107" i="10"/>
  <c r="G116" i="10"/>
  <c r="G120" i="10" s="1"/>
  <c r="G107" i="10"/>
  <c r="DW270" i="10"/>
  <c r="DY113" i="10" l="1"/>
  <c r="DY114" i="10" s="1"/>
  <c r="DZ110" i="10"/>
  <c r="C9" i="12"/>
  <c r="C10" i="12"/>
  <c r="H163" i="12"/>
  <c r="C102" i="12"/>
  <c r="H148" i="12"/>
  <c r="O144" i="10"/>
  <c r="O145" i="10" s="1"/>
  <c r="O140" i="10"/>
  <c r="I137" i="10"/>
  <c r="M124" i="10"/>
  <c r="O128" i="10"/>
  <c r="O130" i="10"/>
  <c r="O132" i="10"/>
  <c r="O134" i="10"/>
  <c r="M280" i="10"/>
  <c r="O284" i="10"/>
  <c r="O286" i="10"/>
  <c r="O288" i="10"/>
  <c r="O290" i="10"/>
  <c r="EC109" i="10"/>
  <c r="EB265" i="10"/>
  <c r="D34" i="11"/>
  <c r="D42" i="11"/>
  <c r="DY269" i="10"/>
  <c r="DZ266" i="10"/>
  <c r="F116" i="10"/>
  <c r="F150" i="10"/>
  <c r="G150" i="10" s="1"/>
  <c r="H150" i="10" s="1"/>
  <c r="I150" i="10" s="1"/>
  <c r="J150" i="10" s="1"/>
  <c r="K150" i="10" s="1"/>
  <c r="F39" i="11"/>
  <c r="D66" i="12"/>
  <c r="C48" i="12"/>
  <c r="D148" i="12"/>
  <c r="F34" i="11"/>
  <c r="E19" i="11"/>
  <c r="C19" i="11"/>
  <c r="F42" i="11"/>
  <c r="F262" i="10"/>
  <c r="F263" i="10" s="1"/>
  <c r="E260" i="10"/>
  <c r="D10" i="12"/>
  <c r="D9" i="12"/>
  <c r="L116" i="10"/>
  <c r="L120" i="10" s="1"/>
  <c r="L107" i="10"/>
  <c r="DZ113" i="10" l="1"/>
  <c r="DZ114" i="10" s="1"/>
  <c r="EA110" i="10"/>
  <c r="E10" i="12"/>
  <c r="E9" i="12"/>
  <c r="L150" i="10"/>
  <c r="C148" i="12"/>
  <c r="P144" i="10"/>
  <c r="P145" i="10" s="1"/>
  <c r="P140" i="10"/>
  <c r="I147" i="10"/>
  <c r="M125" i="10"/>
  <c r="M105" i="10"/>
  <c r="P128" i="10"/>
  <c r="P130" i="10"/>
  <c r="P132" i="10"/>
  <c r="P134" i="10"/>
  <c r="M281" i="10"/>
  <c r="P284" i="10"/>
  <c r="P286" i="10"/>
  <c r="P288" i="10"/>
  <c r="P290" i="10"/>
  <c r="ED109" i="10"/>
  <c r="EC265" i="10"/>
  <c r="DY270" i="10"/>
  <c r="DZ269" i="10"/>
  <c r="DZ270" i="10" s="1"/>
  <c r="EA266" i="10"/>
  <c r="F141" i="10"/>
  <c r="F121" i="10"/>
  <c r="F120" i="10"/>
  <c r="E34" i="11"/>
  <c r="E42" i="11"/>
  <c r="C34" i="11"/>
  <c r="C42" i="11"/>
  <c r="F272" i="10"/>
  <c r="F306" i="10"/>
  <c r="F22" i="11"/>
  <c r="EB110" i="10" l="1"/>
  <c r="EA113" i="10"/>
  <c r="EA114" i="10" s="1"/>
  <c r="Q144" i="10"/>
  <c r="Q145" i="10" s="1"/>
  <c r="Q140" i="10"/>
  <c r="I148" i="10"/>
  <c r="M126" i="10"/>
  <c r="M106" i="10"/>
  <c r="M107" i="10" s="1"/>
  <c r="G39" i="11" s="1"/>
  <c r="Q128" i="10"/>
  <c r="Q130" i="10"/>
  <c r="Q132" i="10"/>
  <c r="Q134" i="10"/>
  <c r="M282" i="10"/>
  <c r="Q284" i="10"/>
  <c r="Q286" i="10"/>
  <c r="Q288" i="10"/>
  <c r="Q290" i="10"/>
  <c r="EE109" i="10"/>
  <c r="ED265" i="10"/>
  <c r="EA269" i="10"/>
  <c r="EB266" i="10"/>
  <c r="F149" i="10"/>
  <c r="G121" i="10"/>
  <c r="F162" i="10"/>
  <c r="F297" i="10"/>
  <c r="F277" i="10"/>
  <c r="F276" i="10"/>
  <c r="F23" i="11"/>
  <c r="F43" i="11"/>
  <c r="F300" i="10" l="1"/>
  <c r="F303" i="10" s="1"/>
  <c r="F299" i="10"/>
  <c r="EB113" i="10"/>
  <c r="EB114" i="10" s="1"/>
  <c r="EC110" i="10"/>
  <c r="R144" i="10"/>
  <c r="R145" i="10" s="1"/>
  <c r="R140" i="10"/>
  <c r="J137" i="10"/>
  <c r="N124" i="10"/>
  <c r="M150" i="10"/>
  <c r="M116" i="10"/>
  <c r="R128" i="10"/>
  <c r="R130" i="10"/>
  <c r="R132" i="10"/>
  <c r="R134" i="10"/>
  <c r="N280" i="10"/>
  <c r="R284" i="10"/>
  <c r="R286" i="10"/>
  <c r="R288" i="10"/>
  <c r="R290" i="10"/>
  <c r="EF109" i="10"/>
  <c r="EE265" i="10"/>
  <c r="EA270" i="10"/>
  <c r="EB269" i="10"/>
  <c r="EB270" i="10" s="1"/>
  <c r="EC266" i="10"/>
  <c r="F153" i="10"/>
  <c r="F154" i="10" s="1"/>
  <c r="G162" i="10"/>
  <c r="G163" i="10" s="1"/>
  <c r="F318" i="10"/>
  <c r="H121" i="10"/>
  <c r="I121" i="10" s="1"/>
  <c r="J121" i="10" s="1"/>
  <c r="K121" i="10" s="1"/>
  <c r="L121" i="10" s="1"/>
  <c r="F305" i="10" l="1"/>
  <c r="F309" i="10" s="1"/>
  <c r="F310" i="10" s="1"/>
  <c r="F302" i="10"/>
  <c r="F301" i="10"/>
  <c r="G296" i="10" s="1"/>
  <c r="G261" i="10" s="1"/>
  <c r="G262" i="10" s="1"/>
  <c r="ED110" i="10"/>
  <c r="EC113" i="10"/>
  <c r="EC114" i="10" s="1"/>
  <c r="S144" i="10"/>
  <c r="S145" i="10" s="1"/>
  <c r="S140" i="10"/>
  <c r="J147" i="10"/>
  <c r="N125" i="10"/>
  <c r="N105" i="10"/>
  <c r="M121" i="10"/>
  <c r="M120" i="10"/>
  <c r="S128" i="10"/>
  <c r="S130" i="10"/>
  <c r="S132" i="10"/>
  <c r="S134" i="10"/>
  <c r="N281" i="10"/>
  <c r="S284" i="10"/>
  <c r="S286" i="10"/>
  <c r="S288" i="10"/>
  <c r="S290" i="10"/>
  <c r="EG109" i="10"/>
  <c r="EF265" i="10"/>
  <c r="EC269" i="10"/>
  <c r="ED266" i="10"/>
  <c r="F156" i="10"/>
  <c r="F155" i="10"/>
  <c r="F164" i="10" s="1"/>
  <c r="F165" i="10" s="1"/>
  <c r="G141" i="10"/>
  <c r="F157" i="10"/>
  <c r="H162" i="10"/>
  <c r="H163" i="10" s="1"/>
  <c r="F304" i="10" l="1"/>
  <c r="G293" i="10" s="1"/>
  <c r="F25" i="11"/>
  <c r="G272" i="10"/>
  <c r="G263" i="10"/>
  <c r="G306" i="10" s="1"/>
  <c r="ED113" i="10"/>
  <c r="ED114" i="10" s="1"/>
  <c r="EE110" i="10"/>
  <c r="T144" i="10"/>
  <c r="T145" i="10" s="1"/>
  <c r="T140" i="10"/>
  <c r="J148" i="10"/>
  <c r="N126" i="10"/>
  <c r="N106" i="10"/>
  <c r="N107" i="10" s="1"/>
  <c r="H39" i="11" s="1"/>
  <c r="T128" i="10"/>
  <c r="T130" i="10"/>
  <c r="T132" i="10"/>
  <c r="T134" i="10"/>
  <c r="N282" i="10"/>
  <c r="T284" i="10"/>
  <c r="T286" i="10"/>
  <c r="T288" i="10"/>
  <c r="T290" i="10"/>
  <c r="EH109" i="10"/>
  <c r="EG265" i="10"/>
  <c r="EC270" i="10"/>
  <c r="ED269" i="10"/>
  <c r="EE266" i="10"/>
  <c r="G149" i="10"/>
  <c r="F161" i="10"/>
  <c r="I162" i="10"/>
  <c r="I163" i="10" s="1"/>
  <c r="F312" i="10"/>
  <c r="F313" i="10"/>
  <c r="F311" i="10"/>
  <c r="F320" i="10" s="1"/>
  <c r="G297" i="10" l="1"/>
  <c r="G277" i="10"/>
  <c r="G276" i="10"/>
  <c r="G318" i="10" s="1"/>
  <c r="G319" i="10" s="1"/>
  <c r="F321" i="10"/>
  <c r="EE113" i="10"/>
  <c r="EE114" i="10" s="1"/>
  <c r="EF110" i="10"/>
  <c r="U144" i="10"/>
  <c r="U145" i="10" s="1"/>
  <c r="U140" i="10"/>
  <c r="K137" i="10"/>
  <c r="O124" i="10"/>
  <c r="N150" i="10"/>
  <c r="N116" i="10"/>
  <c r="U128" i="10"/>
  <c r="U130" i="10"/>
  <c r="U132" i="10"/>
  <c r="U134" i="10"/>
  <c r="O280" i="10"/>
  <c r="U284" i="10"/>
  <c r="U286" i="10"/>
  <c r="U288" i="10"/>
  <c r="U290" i="10"/>
  <c r="EI109" i="10"/>
  <c r="EH265" i="10"/>
  <c r="EE269" i="10"/>
  <c r="EE270" i="10" s="1"/>
  <c r="EF266" i="10"/>
  <c r="G153" i="10"/>
  <c r="G154" i="10" s="1"/>
  <c r="J162" i="10"/>
  <c r="J163" i="10" s="1"/>
  <c r="F317" i="10"/>
  <c r="ED270" i="10"/>
  <c r="G299" i="10" l="1"/>
  <c r="G302" i="10" s="1"/>
  <c r="G300" i="10"/>
  <c r="G303" i="10" s="1"/>
  <c r="EF113" i="10"/>
  <c r="EF114" i="10" s="1"/>
  <c r="EG110" i="10"/>
  <c r="V144" i="10"/>
  <c r="V145" i="10" s="1"/>
  <c r="V140" i="10"/>
  <c r="K147" i="10"/>
  <c r="O125" i="10"/>
  <c r="O105" i="10"/>
  <c r="N121" i="10"/>
  <c r="N120" i="10"/>
  <c r="V128" i="10"/>
  <c r="V130" i="10"/>
  <c r="V132" i="10"/>
  <c r="V134" i="10"/>
  <c r="O281" i="10"/>
  <c r="V284" i="10"/>
  <c r="V286" i="10"/>
  <c r="V288" i="10"/>
  <c r="V290" i="10"/>
  <c r="EJ109" i="10"/>
  <c r="EI265" i="10"/>
  <c r="EF269" i="10"/>
  <c r="EG266" i="10"/>
  <c r="G156" i="10"/>
  <c r="G157" i="10"/>
  <c r="G155" i="10"/>
  <c r="G164" i="10" s="1"/>
  <c r="G165" i="10" s="1"/>
  <c r="H141" i="10"/>
  <c r="K162" i="10"/>
  <c r="K163" i="10" s="1"/>
  <c r="G301" i="10" l="1"/>
  <c r="G305" i="10"/>
  <c r="G309" i="10" s="1"/>
  <c r="G310" i="10" s="1"/>
  <c r="G304" i="10"/>
  <c r="G25" i="11"/>
  <c r="EG113" i="10"/>
  <c r="EH110" i="10"/>
  <c r="W144" i="10"/>
  <c r="W145" i="10" s="1"/>
  <c r="W140" i="10"/>
  <c r="K148" i="10"/>
  <c r="O126" i="10"/>
  <c r="O106" i="10"/>
  <c r="O107" i="10" s="1"/>
  <c r="I39" i="11" s="1"/>
  <c r="W128" i="10"/>
  <c r="W130" i="10"/>
  <c r="W132" i="10"/>
  <c r="W134" i="10"/>
  <c r="O282" i="10"/>
  <c r="W284" i="10"/>
  <c r="W286" i="10"/>
  <c r="W288" i="10"/>
  <c r="W290" i="10"/>
  <c r="EK109" i="10"/>
  <c r="EJ265" i="10"/>
  <c r="EF270" i="10"/>
  <c r="EG269" i="10"/>
  <c r="EH266" i="10"/>
  <c r="G161" i="10"/>
  <c r="H149" i="10"/>
  <c r="L162" i="10"/>
  <c r="L163" i="10" s="1"/>
  <c r="G31" i="11" l="1"/>
  <c r="H296" i="10"/>
  <c r="H261" i="10" s="1"/>
  <c r="H262" i="10" s="1"/>
  <c r="G313" i="10"/>
  <c r="G317" i="10" s="1"/>
  <c r="G312" i="10"/>
  <c r="G311" i="10"/>
  <c r="G320" i="10" s="1"/>
  <c r="G321" i="10" s="1"/>
  <c r="H293" i="10"/>
  <c r="N113" i="12"/>
  <c r="EG114" i="10"/>
  <c r="EH113" i="10"/>
  <c r="EH114" i="10" s="1"/>
  <c r="EI110" i="10"/>
  <c r="X144" i="10"/>
  <c r="X145" i="10" s="1"/>
  <c r="X140" i="10"/>
  <c r="L137" i="10"/>
  <c r="P124" i="10"/>
  <c r="O150" i="10"/>
  <c r="O116" i="10"/>
  <c r="X128" i="10"/>
  <c r="X130" i="10"/>
  <c r="X132" i="10"/>
  <c r="X134" i="10"/>
  <c r="P280" i="10"/>
  <c r="X284" i="10"/>
  <c r="X286" i="10"/>
  <c r="X288" i="10"/>
  <c r="X290" i="10"/>
  <c r="EL109" i="10"/>
  <c r="EK265" i="10"/>
  <c r="EG270" i="10"/>
  <c r="N64" i="12"/>
  <c r="EH269" i="10"/>
  <c r="EI266" i="10"/>
  <c r="H153" i="10"/>
  <c r="H154" i="10" s="1"/>
  <c r="M162" i="10"/>
  <c r="M163" i="10" s="1"/>
  <c r="H272" i="10" l="1"/>
  <c r="H263" i="10"/>
  <c r="H306" i="10" s="1"/>
  <c r="EJ110" i="10"/>
  <c r="EI113" i="10"/>
  <c r="EI114" i="10" s="1"/>
  <c r="Y144" i="10"/>
  <c r="Y145" i="10" s="1"/>
  <c r="Y140" i="10"/>
  <c r="L147" i="10"/>
  <c r="P125" i="10"/>
  <c r="P105" i="10"/>
  <c r="O121" i="10"/>
  <c r="O120" i="10"/>
  <c r="Y128" i="10"/>
  <c r="Y130" i="10"/>
  <c r="Y132" i="10"/>
  <c r="Y134" i="10"/>
  <c r="P281" i="10"/>
  <c r="Y284" i="10"/>
  <c r="Y286" i="10"/>
  <c r="Y288" i="10"/>
  <c r="Y290" i="10"/>
  <c r="EM109" i="10"/>
  <c r="EL265" i="10"/>
  <c r="EH270" i="10"/>
  <c r="EI269" i="10"/>
  <c r="EJ266" i="10"/>
  <c r="H156" i="10"/>
  <c r="H155" i="10"/>
  <c r="H164" i="10" s="1"/>
  <c r="H165" i="10" s="1"/>
  <c r="I141" i="10"/>
  <c r="H157" i="10"/>
  <c r="N162" i="10"/>
  <c r="N163" i="10" s="1"/>
  <c r="H297" i="10" l="1"/>
  <c r="H277" i="10"/>
  <c r="H276" i="10"/>
  <c r="H318" i="10" s="1"/>
  <c r="H319" i="10" s="1"/>
  <c r="EJ113" i="10"/>
  <c r="EJ114" i="10" s="1"/>
  <c r="EK110" i="10"/>
  <c r="Z144" i="10"/>
  <c r="Z145" i="10" s="1"/>
  <c r="Z140" i="10"/>
  <c r="L148" i="10"/>
  <c r="P126" i="10"/>
  <c r="P106" i="10"/>
  <c r="P107" i="10" s="1"/>
  <c r="J39" i="11" s="1"/>
  <c r="Z128" i="10"/>
  <c r="Z130" i="10"/>
  <c r="Z132" i="10"/>
  <c r="Z134" i="10"/>
  <c r="P282" i="10"/>
  <c r="Z284" i="10"/>
  <c r="Z286" i="10"/>
  <c r="Z288" i="10"/>
  <c r="Z290" i="10"/>
  <c r="EN109" i="10"/>
  <c r="EM265" i="10"/>
  <c r="EJ269" i="10"/>
  <c r="EK266" i="10"/>
  <c r="I149" i="10"/>
  <c r="H161" i="10"/>
  <c r="O162" i="10"/>
  <c r="O163" i="10" s="1"/>
  <c r="EI270" i="10"/>
  <c r="H300" i="10" l="1"/>
  <c r="H299" i="10"/>
  <c r="EL110" i="10"/>
  <c r="EK113" i="10"/>
  <c r="EK114" i="10" s="1"/>
  <c r="AA144" i="10"/>
  <c r="AA145" i="10" s="1"/>
  <c r="AA140" i="10"/>
  <c r="M137" i="10"/>
  <c r="Q124" i="10"/>
  <c r="P150" i="10"/>
  <c r="P116" i="10"/>
  <c r="AA128" i="10"/>
  <c r="AA130" i="10"/>
  <c r="AA132" i="10"/>
  <c r="AA134" i="10"/>
  <c r="Q280" i="10"/>
  <c r="AA284" i="10"/>
  <c r="AA286" i="10"/>
  <c r="AA288" i="10"/>
  <c r="AA290" i="10"/>
  <c r="EO109" i="10"/>
  <c r="EN265" i="10"/>
  <c r="EK269" i="10"/>
  <c r="EK270" i="10" s="1"/>
  <c r="EL266" i="10"/>
  <c r="I153" i="10"/>
  <c r="I154" i="10" s="1"/>
  <c r="EJ270" i="10"/>
  <c r="H305" i="10" l="1"/>
  <c r="H309" i="10" s="1"/>
  <c r="H310" i="10" s="1"/>
  <c r="H302" i="10"/>
  <c r="H25" i="11" s="1"/>
  <c r="H303" i="10"/>
  <c r="H301" i="10"/>
  <c r="EL113" i="10"/>
  <c r="EL114" i="10" s="1"/>
  <c r="EM110" i="10"/>
  <c r="AB144" i="10"/>
  <c r="AB145" i="10" s="1"/>
  <c r="AB140" i="10"/>
  <c r="M147" i="10"/>
  <c r="Q125" i="10"/>
  <c r="Q105" i="10"/>
  <c r="P121" i="10"/>
  <c r="P120" i="10"/>
  <c r="AB128" i="10"/>
  <c r="AB130" i="10"/>
  <c r="AB132" i="10"/>
  <c r="AB134" i="10"/>
  <c r="Q281" i="10"/>
  <c r="AB284" i="10"/>
  <c r="AB286" i="10"/>
  <c r="AB288" i="10"/>
  <c r="AB290" i="10"/>
  <c r="EP109" i="10"/>
  <c r="EO265" i="10"/>
  <c r="EL269" i="10"/>
  <c r="EM266" i="10"/>
  <c r="I156" i="10"/>
  <c r="I157" i="10"/>
  <c r="J141" i="10"/>
  <c r="I155" i="10"/>
  <c r="I164" i="10" s="1"/>
  <c r="I165" i="10" s="1"/>
  <c r="H304" i="10" l="1"/>
  <c r="I293" i="10" s="1"/>
  <c r="I296" i="10"/>
  <c r="I261" i="10" s="1"/>
  <c r="I262" i="10" s="1"/>
  <c r="H31" i="11"/>
  <c r="H313" i="10"/>
  <c r="H317" i="10" s="1"/>
  <c r="H311" i="10"/>
  <c r="H320" i="10" s="1"/>
  <c r="H312" i="10"/>
  <c r="EM113" i="10"/>
  <c r="EM114" i="10" s="1"/>
  <c r="EN110" i="10"/>
  <c r="AC144" i="10"/>
  <c r="AC145" i="10" s="1"/>
  <c r="AC140" i="10"/>
  <c r="M148" i="10"/>
  <c r="Q126" i="10"/>
  <c r="Q106" i="10"/>
  <c r="Q107" i="10" s="1"/>
  <c r="K39" i="11" s="1"/>
  <c r="P162" i="10"/>
  <c r="AC128" i="10"/>
  <c r="AC130" i="10"/>
  <c r="AC132" i="10"/>
  <c r="AC134" i="10"/>
  <c r="Q282" i="10"/>
  <c r="AC284" i="10"/>
  <c r="AC286" i="10"/>
  <c r="AC288" i="10"/>
  <c r="AC290" i="10"/>
  <c r="EQ109" i="10"/>
  <c r="EP265" i="10"/>
  <c r="EL270" i="10"/>
  <c r="EM269" i="10"/>
  <c r="EN266" i="10"/>
  <c r="I161" i="10"/>
  <c r="J149" i="10"/>
  <c r="H321" i="10" l="1"/>
  <c r="I272" i="10"/>
  <c r="I263" i="10"/>
  <c r="I306" i="10" s="1"/>
  <c r="EN113" i="10"/>
  <c r="EN114" i="10" s="1"/>
  <c r="EO110" i="10"/>
  <c r="AD144" i="10"/>
  <c r="AD145" i="10" s="1"/>
  <c r="AD140" i="10"/>
  <c r="N137" i="10"/>
  <c r="R124" i="10"/>
  <c r="Q150" i="10"/>
  <c r="R151" i="10" s="1"/>
  <c r="S151" i="10" s="1"/>
  <c r="T151" i="10" s="1"/>
  <c r="U151" i="10" s="1"/>
  <c r="Q116" i="10"/>
  <c r="P163" i="10"/>
  <c r="AD128" i="10"/>
  <c r="AD130" i="10"/>
  <c r="AD132" i="10"/>
  <c r="AD134" i="10"/>
  <c r="R280" i="10"/>
  <c r="AD284" i="10"/>
  <c r="AD285" i="10" s="1"/>
  <c r="AD288" i="10"/>
  <c r="AD290" i="10"/>
  <c r="ER109" i="10"/>
  <c r="EQ265" i="10"/>
  <c r="EN269" i="10"/>
  <c r="EO266" i="10"/>
  <c r="J153" i="10"/>
  <c r="J154" i="10" s="1"/>
  <c r="EM270" i="10"/>
  <c r="AD286" i="10" l="1"/>
  <c r="I276" i="10"/>
  <c r="I318" i="10" s="1"/>
  <c r="I277" i="10"/>
  <c r="I297" i="10"/>
  <c r="EP110" i="10"/>
  <c r="EO113" i="10"/>
  <c r="EO114" i="10" s="1"/>
  <c r="AE144" i="10"/>
  <c r="AE145" i="10" s="1"/>
  <c r="AE140" i="10"/>
  <c r="N147" i="10"/>
  <c r="R125" i="10"/>
  <c r="R105" i="10"/>
  <c r="V151" i="10"/>
  <c r="W151" i="10" s="1"/>
  <c r="X151" i="10" s="1"/>
  <c r="Y151" i="10" s="1"/>
  <c r="Z151" i="10" s="1"/>
  <c r="AA151" i="10" s="1"/>
  <c r="AB151" i="10" s="1"/>
  <c r="AC151" i="10" s="1"/>
  <c r="U152" i="10"/>
  <c r="Q121" i="10"/>
  <c r="Q120" i="10"/>
  <c r="AE128" i="10"/>
  <c r="AE130" i="10"/>
  <c r="AE132" i="10"/>
  <c r="AE134" i="10"/>
  <c r="R281" i="10"/>
  <c r="AE288" i="10"/>
  <c r="AE290" i="10"/>
  <c r="ES109" i="10"/>
  <c r="ER265" i="10"/>
  <c r="EO269" i="10"/>
  <c r="EO270" i="10" s="1"/>
  <c r="EP266" i="10"/>
  <c r="J156" i="10"/>
  <c r="K141" i="10"/>
  <c r="J157" i="10"/>
  <c r="J155" i="10"/>
  <c r="J164" i="10" s="1"/>
  <c r="J165" i="10" s="1"/>
  <c r="EN270" i="10"/>
  <c r="AE284" i="10" l="1"/>
  <c r="AE285" i="10" s="1"/>
  <c r="AE286" i="10" s="1"/>
  <c r="EP113" i="10"/>
  <c r="EP114" i="10" s="1"/>
  <c r="EQ110" i="10"/>
  <c r="I319" i="10"/>
  <c r="I299" i="10"/>
  <c r="I300" i="10"/>
  <c r="AF144" i="10"/>
  <c r="AF145" i="10" s="1"/>
  <c r="AF140" i="10"/>
  <c r="N148" i="10"/>
  <c r="R126" i="10"/>
  <c r="R106" i="10"/>
  <c r="R107" i="10" s="1"/>
  <c r="L39" i="11" s="1"/>
  <c r="Q162" i="10"/>
  <c r="AF128" i="10"/>
  <c r="AF130" i="10"/>
  <c r="AF132" i="10"/>
  <c r="AF134" i="10"/>
  <c r="R282" i="10"/>
  <c r="AF288" i="10"/>
  <c r="AF290" i="10"/>
  <c r="ES265" i="10"/>
  <c r="EP269" i="10"/>
  <c r="EQ266" i="10"/>
  <c r="K149" i="10"/>
  <c r="J161" i="10"/>
  <c r="AF284" i="10" l="1"/>
  <c r="AF285" i="10" s="1"/>
  <c r="AF286" i="10" s="1"/>
  <c r="I305" i="10"/>
  <c r="I309" i="10" s="1"/>
  <c r="I310" i="10" s="1"/>
  <c r="EQ113" i="10"/>
  <c r="EQ114" i="10" s="1"/>
  <c r="ER110" i="10"/>
  <c r="I302" i="10"/>
  <c r="I303" i="10"/>
  <c r="I301" i="10"/>
  <c r="AG144" i="10"/>
  <c r="AG145" i="10" s="1"/>
  <c r="AG140" i="10"/>
  <c r="O137" i="10"/>
  <c r="S124" i="10"/>
  <c r="R116" i="10"/>
  <c r="R150" i="10"/>
  <c r="Q163" i="10"/>
  <c r="AG128" i="10"/>
  <c r="AG130" i="10"/>
  <c r="AG132" i="10"/>
  <c r="AG134" i="10"/>
  <c r="S280" i="10"/>
  <c r="AG288" i="10"/>
  <c r="AG290" i="10"/>
  <c r="EP270" i="10"/>
  <c r="EQ269" i="10"/>
  <c r="ER266" i="10"/>
  <c r="K153" i="10"/>
  <c r="K154" i="10" s="1"/>
  <c r="ER113" i="10" l="1"/>
  <c r="ES110" i="10"/>
  <c r="ES113" i="10" s="1"/>
  <c r="AG284" i="10"/>
  <c r="AG285" i="10" s="1"/>
  <c r="AG286" i="10" s="1"/>
  <c r="I311" i="10"/>
  <c r="I320" i="10" s="1"/>
  <c r="I313" i="10"/>
  <c r="I317" i="10" s="1"/>
  <c r="I312" i="10"/>
  <c r="I304" i="10"/>
  <c r="I25" i="11"/>
  <c r="J296" i="10"/>
  <c r="J261" i="10" s="1"/>
  <c r="AH144" i="10"/>
  <c r="AH145" i="10" s="1"/>
  <c r="AH140" i="10"/>
  <c r="O147" i="10"/>
  <c r="S125" i="10"/>
  <c r="S105" i="10"/>
  <c r="R121" i="10"/>
  <c r="R120" i="10"/>
  <c r="AH128" i="10"/>
  <c r="AH130" i="10"/>
  <c r="AH132" i="10"/>
  <c r="AH134" i="10"/>
  <c r="S281" i="10"/>
  <c r="AH288" i="10"/>
  <c r="AH290" i="10"/>
  <c r="ER269" i="10"/>
  <c r="ER270" i="10" s="1"/>
  <c r="ES266" i="10"/>
  <c r="ES269" i="10" s="1"/>
  <c r="K156" i="10"/>
  <c r="K155" i="10"/>
  <c r="K164" i="10" s="1"/>
  <c r="K165" i="10" s="1"/>
  <c r="L141" i="10"/>
  <c r="K157" i="10"/>
  <c r="EQ270" i="10"/>
  <c r="O113" i="12" l="1"/>
  <c r="ES114" i="10"/>
  <c r="E113" i="10"/>
  <c r="ER114" i="10"/>
  <c r="AH284" i="10"/>
  <c r="AH285" i="10" s="1"/>
  <c r="AH286" i="10" s="1"/>
  <c r="I321" i="10"/>
  <c r="J293" i="10"/>
  <c r="J262" i="10"/>
  <c r="E269" i="10"/>
  <c r="AI144" i="10"/>
  <c r="AI145" i="10" s="1"/>
  <c r="AI140" i="10"/>
  <c r="O148" i="10"/>
  <c r="S126" i="10"/>
  <c r="S106" i="10"/>
  <c r="S107" i="10" s="1"/>
  <c r="M39" i="11" s="1"/>
  <c r="R162" i="10"/>
  <c r="AI128" i="10"/>
  <c r="AI130" i="10"/>
  <c r="AI132" i="10"/>
  <c r="AI134" i="10"/>
  <c r="S282" i="10"/>
  <c r="AI288" i="10"/>
  <c r="AI290" i="10"/>
  <c r="ES270" i="10"/>
  <c r="E270" i="10" s="1"/>
  <c r="O64" i="12"/>
  <c r="L149" i="10"/>
  <c r="K161" i="10"/>
  <c r="E114" i="10" l="1"/>
  <c r="AI284" i="10"/>
  <c r="AI285" i="10" s="1"/>
  <c r="AI286" i="10" s="1"/>
  <c r="J272" i="10"/>
  <c r="J263" i="10"/>
  <c r="J306" i="10" s="1"/>
  <c r="AJ144" i="10"/>
  <c r="AJ145" i="10" s="1"/>
  <c r="AJ140" i="10"/>
  <c r="P137" i="10"/>
  <c r="T124" i="10"/>
  <c r="S150" i="10"/>
  <c r="S116" i="10"/>
  <c r="R163" i="10"/>
  <c r="AJ128" i="10"/>
  <c r="AJ130" i="10"/>
  <c r="AJ132" i="10"/>
  <c r="AJ134" i="10"/>
  <c r="T280" i="10"/>
  <c r="AJ288" i="10"/>
  <c r="AJ290" i="10"/>
  <c r="L153" i="10"/>
  <c r="L154" i="10" s="1"/>
  <c r="F40" i="11" s="1"/>
  <c r="AJ284" i="10" l="1"/>
  <c r="AJ285" i="10" s="1"/>
  <c r="AJ286" i="10" s="1"/>
  <c r="J276" i="10"/>
  <c r="J318" i="10" s="1"/>
  <c r="J277" i="10"/>
  <c r="J297" i="10"/>
  <c r="AK144" i="10"/>
  <c r="AK145" i="10" s="1"/>
  <c r="AK140" i="10"/>
  <c r="P147" i="10"/>
  <c r="T125" i="10"/>
  <c r="T105" i="10"/>
  <c r="S121" i="10"/>
  <c r="S120" i="10"/>
  <c r="AK128" i="10"/>
  <c r="AK130" i="10"/>
  <c r="AK132" i="10"/>
  <c r="AK134" i="10"/>
  <c r="T281" i="10"/>
  <c r="AK288" i="10"/>
  <c r="AK290" i="10"/>
  <c r="L156" i="10"/>
  <c r="L155" i="10"/>
  <c r="L164" i="10" s="1"/>
  <c r="L157" i="10"/>
  <c r="M141" i="10"/>
  <c r="AK284" i="10" l="1"/>
  <c r="AK285" i="10" s="1"/>
  <c r="AK286" i="10" s="1"/>
  <c r="J319" i="10"/>
  <c r="J299" i="10"/>
  <c r="J300" i="10"/>
  <c r="F28" i="11"/>
  <c r="AL144" i="10"/>
  <c r="AL145" i="10" s="1"/>
  <c r="AL140" i="10"/>
  <c r="P148" i="10"/>
  <c r="T126" i="10"/>
  <c r="T106" i="10"/>
  <c r="T107" i="10" s="1"/>
  <c r="N39" i="11" s="1"/>
  <c r="S162" i="10"/>
  <c r="AL128" i="10"/>
  <c r="AL130" i="10"/>
  <c r="AL132" i="10"/>
  <c r="AL134" i="10"/>
  <c r="T282" i="10"/>
  <c r="AL288" i="10"/>
  <c r="AL290" i="10"/>
  <c r="L161" i="10"/>
  <c r="M149" i="10"/>
  <c r="L165" i="10"/>
  <c r="AL284" i="10" l="1"/>
  <c r="AL285" i="10" s="1"/>
  <c r="AL286" i="10" s="1"/>
  <c r="J305" i="10"/>
  <c r="J309" i="10" s="1"/>
  <c r="J310" i="10" s="1"/>
  <c r="J302" i="10"/>
  <c r="J303" i="10"/>
  <c r="J301" i="10"/>
  <c r="F29" i="11"/>
  <c r="F44" i="11" s="1"/>
  <c r="AM144" i="10"/>
  <c r="AM145" i="10" s="1"/>
  <c r="AM140" i="10"/>
  <c r="Q137" i="10"/>
  <c r="U124" i="10"/>
  <c r="T150" i="10"/>
  <c r="T116" i="10"/>
  <c r="S163" i="10"/>
  <c r="AM128" i="10"/>
  <c r="AM130" i="10"/>
  <c r="AM132" i="10"/>
  <c r="AM134" i="10"/>
  <c r="U280" i="10"/>
  <c r="AM288" i="10"/>
  <c r="AM290" i="10"/>
  <c r="M153" i="10"/>
  <c r="M154" i="10" s="1"/>
  <c r="G40" i="11" s="1"/>
  <c r="AM284" i="10" l="1"/>
  <c r="AM285" i="10" s="1"/>
  <c r="AM286" i="10" s="1"/>
  <c r="J313" i="10"/>
  <c r="J317" i="10" s="1"/>
  <c r="J311" i="10"/>
  <c r="J320" i="10" s="1"/>
  <c r="J312" i="10"/>
  <c r="J304" i="10"/>
  <c r="J25" i="11"/>
  <c r="J31" i="11"/>
  <c r="K296" i="10"/>
  <c r="K261" i="10" s="1"/>
  <c r="AN144" i="10"/>
  <c r="AN145" i="10" s="1"/>
  <c r="AN140" i="10"/>
  <c r="Q147" i="10"/>
  <c r="U125" i="10"/>
  <c r="U105" i="10"/>
  <c r="T121" i="10"/>
  <c r="T120" i="10"/>
  <c r="AN128" i="10"/>
  <c r="AN130" i="10"/>
  <c r="AN132" i="10"/>
  <c r="AN134" i="10"/>
  <c r="U281" i="10"/>
  <c r="AN288" i="10"/>
  <c r="AN290" i="10"/>
  <c r="M156" i="10"/>
  <c r="M155" i="10"/>
  <c r="M164" i="10" s="1"/>
  <c r="M165" i="10" s="1"/>
  <c r="M157" i="10"/>
  <c r="N141" i="10"/>
  <c r="AN284" i="10" l="1"/>
  <c r="AN285" i="10" s="1"/>
  <c r="AN286" i="10" s="1"/>
  <c r="J321" i="10"/>
  <c r="K293" i="10"/>
  <c r="K262" i="10"/>
  <c r="G28" i="11"/>
  <c r="AO144" i="10"/>
  <c r="AO145" i="10" s="1"/>
  <c r="AO140" i="10"/>
  <c r="Q148" i="10"/>
  <c r="U126" i="10"/>
  <c r="U106" i="10"/>
  <c r="U107" i="10" s="1"/>
  <c r="O39" i="11" s="1"/>
  <c r="T162" i="10"/>
  <c r="AO128" i="10"/>
  <c r="AO130" i="10"/>
  <c r="AO132" i="10"/>
  <c r="AO134" i="10"/>
  <c r="U282" i="10"/>
  <c r="AO288" i="10"/>
  <c r="AO290" i="10"/>
  <c r="M161" i="10"/>
  <c r="N149" i="10"/>
  <c r="AO284" i="10" l="1"/>
  <c r="AO285" i="10"/>
  <c r="K272" i="10"/>
  <c r="K263" i="10"/>
  <c r="K306" i="10" s="1"/>
  <c r="G29" i="11"/>
  <c r="G44" i="11" s="1"/>
  <c r="AP144" i="10"/>
  <c r="AP145" i="10" s="1"/>
  <c r="AP140" i="10"/>
  <c r="R137" i="10"/>
  <c r="D112" i="12"/>
  <c r="V124" i="10"/>
  <c r="U150" i="10"/>
  <c r="U116" i="10"/>
  <c r="T163" i="10"/>
  <c r="AP128" i="10"/>
  <c r="AP130" i="10"/>
  <c r="AP132" i="10"/>
  <c r="AP134" i="10"/>
  <c r="V280" i="10"/>
  <c r="AP288" i="10"/>
  <c r="AP290" i="10"/>
  <c r="N153" i="10"/>
  <c r="N154" i="10" s="1"/>
  <c r="H40" i="11" s="1"/>
  <c r="E285" i="10" l="1"/>
  <c r="AO286" i="10"/>
  <c r="K276" i="10"/>
  <c r="K318" i="10" s="1"/>
  <c r="K277" i="10"/>
  <c r="K297" i="10"/>
  <c r="AQ144" i="10"/>
  <c r="AQ145" i="10" s="1"/>
  <c r="AQ140" i="10"/>
  <c r="R147" i="10"/>
  <c r="V125" i="10"/>
  <c r="V105" i="10"/>
  <c r="U121" i="10"/>
  <c r="U120" i="10"/>
  <c r="AQ128" i="10"/>
  <c r="AQ130" i="10"/>
  <c r="AQ132" i="10"/>
  <c r="AQ134" i="10"/>
  <c r="V281" i="10"/>
  <c r="AQ288" i="10"/>
  <c r="AQ290" i="10"/>
  <c r="N156" i="10"/>
  <c r="O141" i="10"/>
  <c r="N155" i="10"/>
  <c r="N164" i="10" s="1"/>
  <c r="N165" i="10" s="1"/>
  <c r="N157" i="10"/>
  <c r="AP286" i="10" l="1"/>
  <c r="AP284" i="10"/>
  <c r="K319" i="10"/>
  <c r="K299" i="10"/>
  <c r="K300" i="10"/>
  <c r="H28" i="11"/>
  <c r="AR144" i="10"/>
  <c r="AR145" i="10" s="1"/>
  <c r="AR140" i="10"/>
  <c r="R148" i="10"/>
  <c r="V126" i="10"/>
  <c r="V106" i="10"/>
  <c r="V107" i="10" s="1"/>
  <c r="P39" i="11" s="1"/>
  <c r="U162" i="10"/>
  <c r="AR128" i="10"/>
  <c r="AR130" i="10"/>
  <c r="AR132" i="10"/>
  <c r="AR134" i="10"/>
  <c r="V282" i="10"/>
  <c r="AR288" i="10"/>
  <c r="AR290" i="10"/>
  <c r="O149" i="10"/>
  <c r="N161" i="10"/>
  <c r="AQ286" i="10" l="1"/>
  <c r="AQ284" i="10"/>
  <c r="K305" i="10"/>
  <c r="K309" i="10" s="1"/>
  <c r="K310" i="10" s="1"/>
  <c r="K313" i="10" s="1"/>
  <c r="K317" i="10" s="1"/>
  <c r="K302" i="10"/>
  <c r="K303" i="10"/>
  <c r="K301" i="10"/>
  <c r="H29" i="11"/>
  <c r="H44" i="11" s="1"/>
  <c r="AS144" i="10"/>
  <c r="AS145" i="10" s="1"/>
  <c r="AS140" i="10"/>
  <c r="S137" i="10"/>
  <c r="W124" i="10"/>
  <c r="V116" i="10"/>
  <c r="V150" i="10"/>
  <c r="U163" i="10"/>
  <c r="AS128" i="10"/>
  <c r="AS130" i="10"/>
  <c r="AS132" i="10"/>
  <c r="AS134" i="10"/>
  <c r="W280" i="10"/>
  <c r="AS288" i="10"/>
  <c r="AS290" i="10"/>
  <c r="O153" i="10"/>
  <c r="O154" i="10" s="1"/>
  <c r="I40" i="11" s="1"/>
  <c r="AR284" i="10" l="1"/>
  <c r="AR286" i="10"/>
  <c r="K311" i="10"/>
  <c r="K320" i="10" s="1"/>
  <c r="K312" i="10"/>
  <c r="K304" i="10"/>
  <c r="K25" i="11"/>
  <c r="K31" i="11"/>
  <c r="L296" i="10"/>
  <c r="L261" i="10" s="1"/>
  <c r="AT144" i="10"/>
  <c r="AT145" i="10" s="1"/>
  <c r="AT140" i="10"/>
  <c r="S147" i="10"/>
  <c r="W125" i="10"/>
  <c r="W105" i="10"/>
  <c r="V121" i="10"/>
  <c r="V120" i="10"/>
  <c r="AT128" i="10"/>
  <c r="AT130" i="10"/>
  <c r="AT132" i="10"/>
  <c r="AT134" i="10"/>
  <c r="W281" i="10"/>
  <c r="AT288" i="10"/>
  <c r="AT290" i="10"/>
  <c r="O156" i="10"/>
  <c r="O157" i="10"/>
  <c r="P141" i="10"/>
  <c r="O155" i="10"/>
  <c r="O164" i="10" s="1"/>
  <c r="O165" i="10" s="1"/>
  <c r="AS286" i="10" l="1"/>
  <c r="AS284" i="10"/>
  <c r="K321" i="10"/>
  <c r="C11" i="13"/>
  <c r="E11" i="13" s="1"/>
  <c r="L293" i="10"/>
  <c r="L262" i="10"/>
  <c r="F21" i="11"/>
  <c r="I28" i="11"/>
  <c r="AU144" i="10"/>
  <c r="AU145" i="10" s="1"/>
  <c r="AU140" i="10"/>
  <c r="S148" i="10"/>
  <c r="W126" i="10"/>
  <c r="W106" i="10"/>
  <c r="W107" i="10" s="1"/>
  <c r="Q39" i="11" s="1"/>
  <c r="C39" i="11" s="1"/>
  <c r="V162" i="10"/>
  <c r="AU128" i="10"/>
  <c r="AU130" i="10"/>
  <c r="AU132" i="10"/>
  <c r="AU134" i="10"/>
  <c r="W282" i="10"/>
  <c r="AU288" i="10"/>
  <c r="AU290" i="10"/>
  <c r="O161" i="10"/>
  <c r="P149" i="10"/>
  <c r="AT284" i="10" l="1"/>
  <c r="AT286" i="10"/>
  <c r="L272" i="10"/>
  <c r="L263" i="10"/>
  <c r="L306" i="10" s="1"/>
  <c r="I29" i="11"/>
  <c r="I44" i="11" s="1"/>
  <c r="AV144" i="10"/>
  <c r="AV145" i="10" s="1"/>
  <c r="AV140" i="10"/>
  <c r="T137" i="10"/>
  <c r="X124" i="10"/>
  <c r="W150" i="10"/>
  <c r="W116" i="10"/>
  <c r="V163" i="10"/>
  <c r="AV128" i="10"/>
  <c r="AV130" i="10"/>
  <c r="AV132" i="10"/>
  <c r="AV134" i="10"/>
  <c r="X280" i="10"/>
  <c r="AV288" i="10"/>
  <c r="AV290" i="10"/>
  <c r="P153" i="10"/>
  <c r="P154" i="10" s="1"/>
  <c r="J40" i="11" s="1"/>
  <c r="AU286" i="10" l="1"/>
  <c r="AU284" i="10"/>
  <c r="L276" i="10"/>
  <c r="L318" i="10" s="1"/>
  <c r="L277" i="10"/>
  <c r="L297" i="10"/>
  <c r="AW144" i="10"/>
  <c r="AW145" i="10" s="1"/>
  <c r="AW140" i="10"/>
  <c r="T147" i="10"/>
  <c r="X125" i="10"/>
  <c r="X105" i="10"/>
  <c r="W121" i="10"/>
  <c r="W120" i="10"/>
  <c r="AW128" i="10"/>
  <c r="AW130" i="10"/>
  <c r="AW132" i="10"/>
  <c r="AW134" i="10"/>
  <c r="X281" i="10"/>
  <c r="AW288" i="10"/>
  <c r="AW290" i="10"/>
  <c r="P156" i="10"/>
  <c r="P157" i="10"/>
  <c r="Q141" i="10"/>
  <c r="P155" i="10"/>
  <c r="P164" i="10" s="1"/>
  <c r="P165" i="10" s="1"/>
  <c r="AV286" i="10" l="1"/>
  <c r="AV284" i="10"/>
  <c r="L319" i="10"/>
  <c r="L299" i="10"/>
  <c r="L300" i="10"/>
  <c r="J28" i="11"/>
  <c r="AX144" i="10"/>
  <c r="AX145" i="10" s="1"/>
  <c r="AX140" i="10"/>
  <c r="T148" i="10"/>
  <c r="X126" i="10"/>
  <c r="X106" i="10"/>
  <c r="X107" i="10" s="1"/>
  <c r="R39" i="11" s="1"/>
  <c r="W162" i="10"/>
  <c r="AX128" i="10"/>
  <c r="AX130" i="10"/>
  <c r="AX132" i="10"/>
  <c r="AX134" i="10"/>
  <c r="X282" i="10"/>
  <c r="AX288" i="10"/>
  <c r="AX290" i="10"/>
  <c r="P161" i="10"/>
  <c r="Q149" i="10"/>
  <c r="AW286" i="10" l="1"/>
  <c r="AW284" i="10"/>
  <c r="L305" i="10"/>
  <c r="L309" i="10" s="1"/>
  <c r="L310" i="10" s="1"/>
  <c r="L302" i="10"/>
  <c r="L303" i="10"/>
  <c r="F26" i="11" s="1"/>
  <c r="L301" i="10"/>
  <c r="J29" i="11"/>
  <c r="J44" i="11" s="1"/>
  <c r="AY144" i="10"/>
  <c r="AY145" i="10" s="1"/>
  <c r="AY140" i="10"/>
  <c r="U137" i="10"/>
  <c r="Y124" i="10"/>
  <c r="X150" i="10"/>
  <c r="X116" i="10"/>
  <c r="W163" i="10"/>
  <c r="AY128" i="10"/>
  <c r="AY130" i="10"/>
  <c r="AY132" i="10"/>
  <c r="AY134" i="10"/>
  <c r="Y280" i="10"/>
  <c r="AY288" i="10"/>
  <c r="AY290" i="10"/>
  <c r="Q153" i="10"/>
  <c r="Q154" i="10" s="1"/>
  <c r="K40" i="11" s="1"/>
  <c r="AX284" i="10" l="1"/>
  <c r="AX286" i="10"/>
  <c r="L304" i="10"/>
  <c r="L25" i="11"/>
  <c r="L31" i="11"/>
  <c r="M296" i="10"/>
  <c r="M261" i="10" s="1"/>
  <c r="F31" i="11"/>
  <c r="L312" i="10"/>
  <c r="F33" i="11" s="1"/>
  <c r="L311" i="10"/>
  <c r="L320" i="10" s="1"/>
  <c r="L313" i="10"/>
  <c r="L317" i="10" s="1"/>
  <c r="AZ144" i="10"/>
  <c r="AZ145" i="10" s="1"/>
  <c r="AZ140" i="10"/>
  <c r="U147" i="10"/>
  <c r="Y125" i="10"/>
  <c r="Y105" i="10"/>
  <c r="X121" i="10"/>
  <c r="X120" i="10"/>
  <c r="AZ128" i="10"/>
  <c r="AZ130" i="10"/>
  <c r="AZ132" i="10"/>
  <c r="AZ134" i="10"/>
  <c r="Y281" i="10"/>
  <c r="AZ288" i="10"/>
  <c r="AZ290" i="10"/>
  <c r="Q156" i="10"/>
  <c r="R141" i="10"/>
  <c r="Q157" i="10"/>
  <c r="Q155" i="10"/>
  <c r="Q164" i="10" s="1"/>
  <c r="Q165" i="10" s="1"/>
  <c r="D111" i="12"/>
  <c r="AY284" i="10" l="1"/>
  <c r="AY286" i="10"/>
  <c r="L321" i="10"/>
  <c r="F30" i="11"/>
  <c r="M293" i="10"/>
  <c r="M262" i="10"/>
  <c r="G21" i="11"/>
  <c r="K28" i="11"/>
  <c r="BA144" i="10"/>
  <c r="BA145" i="10" s="1"/>
  <c r="BA140" i="10"/>
  <c r="U148" i="10"/>
  <c r="Y126" i="10"/>
  <c r="Y106" i="10"/>
  <c r="Y107" i="10" s="1"/>
  <c r="S39" i="11" s="1"/>
  <c r="X162" i="10"/>
  <c r="BA128" i="10"/>
  <c r="BA130" i="10"/>
  <c r="BA132" i="10"/>
  <c r="BA134" i="10"/>
  <c r="Y282" i="10"/>
  <c r="BA288" i="10"/>
  <c r="BA290" i="10"/>
  <c r="R149" i="10"/>
  <c r="Q161" i="10"/>
  <c r="AZ286" i="10" l="1"/>
  <c r="AZ284" i="10"/>
  <c r="M272" i="10"/>
  <c r="M263" i="10"/>
  <c r="K29" i="11"/>
  <c r="K44" i="11" s="1"/>
  <c r="BB144" i="10"/>
  <c r="BB145" i="10" s="1"/>
  <c r="BB140" i="10"/>
  <c r="V137" i="10"/>
  <c r="Z124" i="10"/>
  <c r="Y150" i="10"/>
  <c r="Y116" i="10"/>
  <c r="X163" i="10"/>
  <c r="BB128" i="10"/>
  <c r="BB130" i="10"/>
  <c r="BB132" i="10"/>
  <c r="BB134" i="10"/>
  <c r="Z280" i="10"/>
  <c r="BB288" i="10"/>
  <c r="BB290" i="10"/>
  <c r="R153" i="10"/>
  <c r="R154" i="10" s="1"/>
  <c r="L40" i="11" s="1"/>
  <c r="BA284" i="10" l="1"/>
  <c r="BA286" i="10"/>
  <c r="M297" i="10"/>
  <c r="M277" i="10"/>
  <c r="M276" i="10"/>
  <c r="M318" i="10" s="1"/>
  <c r="G23" i="11"/>
  <c r="M306" i="10"/>
  <c r="G22" i="11"/>
  <c r="BC144" i="10"/>
  <c r="BC145" i="10" s="1"/>
  <c r="BC140" i="10"/>
  <c r="V147" i="10"/>
  <c r="Z125" i="10"/>
  <c r="Z105" i="10"/>
  <c r="Y121" i="10"/>
  <c r="Y120" i="10"/>
  <c r="BC128" i="10"/>
  <c r="BC130" i="10"/>
  <c r="BC132" i="10"/>
  <c r="BC134" i="10"/>
  <c r="Z281" i="10"/>
  <c r="BC288" i="10"/>
  <c r="BC290" i="10"/>
  <c r="R156" i="10"/>
  <c r="S141" i="10"/>
  <c r="R155" i="10"/>
  <c r="R164" i="10" s="1"/>
  <c r="R165" i="10" s="1"/>
  <c r="R157" i="10"/>
  <c r="BB284" i="10" l="1"/>
  <c r="BB286" i="10"/>
  <c r="M300" i="10"/>
  <c r="M299" i="10"/>
  <c r="M319" i="10"/>
  <c r="G43" i="11"/>
  <c r="L28" i="11"/>
  <c r="BD144" i="10"/>
  <c r="BD145" i="10" s="1"/>
  <c r="BD140" i="10"/>
  <c r="V148" i="10"/>
  <c r="Z126" i="10"/>
  <c r="Z106" i="10"/>
  <c r="Z107" i="10" s="1"/>
  <c r="T39" i="11" s="1"/>
  <c r="Y162" i="10"/>
  <c r="BD128" i="10"/>
  <c r="BD130" i="10"/>
  <c r="BD132" i="10"/>
  <c r="BD134" i="10"/>
  <c r="Z282" i="10"/>
  <c r="BD288" i="10"/>
  <c r="BD290" i="10"/>
  <c r="S149" i="10"/>
  <c r="R161" i="10"/>
  <c r="BC286" i="10" l="1"/>
  <c r="BC284" i="10"/>
  <c r="M305" i="10"/>
  <c r="M309" i="10" s="1"/>
  <c r="M310" i="10" s="1"/>
  <c r="M303" i="10"/>
  <c r="G26" i="11" s="1"/>
  <c r="M301" i="10"/>
  <c r="M302" i="10"/>
  <c r="L29" i="11"/>
  <c r="L44" i="11" s="1"/>
  <c r="BE144" i="10"/>
  <c r="BE145" i="10" s="1"/>
  <c r="BE140" i="10"/>
  <c r="W137" i="10"/>
  <c r="AA124" i="10"/>
  <c r="Z150" i="10"/>
  <c r="Z116" i="10"/>
  <c r="Y163" i="10"/>
  <c r="BE128" i="10"/>
  <c r="BE130" i="10"/>
  <c r="BE132" i="10"/>
  <c r="BE134" i="10"/>
  <c r="AA280" i="10"/>
  <c r="BE288" i="10"/>
  <c r="BE290" i="10"/>
  <c r="S153" i="10"/>
  <c r="S154" i="10" s="1"/>
  <c r="M40" i="11" s="1"/>
  <c r="BD284" i="10" l="1"/>
  <c r="BD286" i="10"/>
  <c r="M311" i="10"/>
  <c r="M320" i="10" s="1"/>
  <c r="M313" i="10"/>
  <c r="M317" i="10" s="1"/>
  <c r="M312" i="10"/>
  <c r="G33" i="11" s="1"/>
  <c r="N296" i="10"/>
  <c r="N261" i="10" s="1"/>
  <c r="M304" i="10"/>
  <c r="M25" i="11"/>
  <c r="BF144" i="10"/>
  <c r="BF145" i="10" s="1"/>
  <c r="BF140" i="10"/>
  <c r="W147" i="10"/>
  <c r="AA125" i="10"/>
  <c r="AA105" i="10"/>
  <c r="Z121" i="10"/>
  <c r="Z120" i="10"/>
  <c r="BF128" i="10"/>
  <c r="BF130" i="10"/>
  <c r="BF132" i="10"/>
  <c r="BF134" i="10"/>
  <c r="AA281" i="10"/>
  <c r="BF288" i="10"/>
  <c r="BF290" i="10"/>
  <c r="S156" i="10"/>
  <c r="T141" i="10"/>
  <c r="S155" i="10"/>
  <c r="S164" i="10" s="1"/>
  <c r="S165" i="10" s="1"/>
  <c r="S157" i="10"/>
  <c r="BE286" i="10" l="1"/>
  <c r="BE284" i="10"/>
  <c r="N262" i="10"/>
  <c r="H21" i="11"/>
  <c r="G30" i="11"/>
  <c r="N293" i="10"/>
  <c r="M321" i="10"/>
  <c r="M28" i="11"/>
  <c r="BG144" i="10"/>
  <c r="BG145" i="10" s="1"/>
  <c r="BG140" i="10"/>
  <c r="W148" i="10"/>
  <c r="AA126" i="10"/>
  <c r="AA106" i="10"/>
  <c r="AA107" i="10" s="1"/>
  <c r="U39" i="11" s="1"/>
  <c r="Z162" i="10"/>
  <c r="BG128" i="10"/>
  <c r="BG130" i="10"/>
  <c r="BG132" i="10"/>
  <c r="BG134" i="10"/>
  <c r="AA282" i="10"/>
  <c r="BG288" i="10"/>
  <c r="BG290" i="10"/>
  <c r="T149" i="10"/>
  <c r="S161" i="10"/>
  <c r="BF286" i="10" l="1"/>
  <c r="BF284" i="10"/>
  <c r="N272" i="10"/>
  <c r="N263" i="10"/>
  <c r="M29" i="11"/>
  <c r="M44" i="11" s="1"/>
  <c r="BH144" i="10"/>
  <c r="BH145" i="10" s="1"/>
  <c r="BH140" i="10"/>
  <c r="X137" i="10"/>
  <c r="AB124" i="10"/>
  <c r="AA150" i="10"/>
  <c r="AA116" i="10"/>
  <c r="Z163" i="10"/>
  <c r="BH128" i="10"/>
  <c r="BH130" i="10"/>
  <c r="BH132" i="10"/>
  <c r="BH134" i="10"/>
  <c r="AB280" i="10"/>
  <c r="BH288" i="10"/>
  <c r="BH290" i="10"/>
  <c r="T153" i="10"/>
  <c r="T154" i="10" s="1"/>
  <c r="N40" i="11" s="1"/>
  <c r="BG286" i="10" l="1"/>
  <c r="BG284" i="10"/>
  <c r="N297" i="10"/>
  <c r="N277" i="10"/>
  <c r="N276" i="10"/>
  <c r="N318" i="10" s="1"/>
  <c r="H23" i="11"/>
  <c r="N306" i="10"/>
  <c r="H22" i="11"/>
  <c r="BI144" i="10"/>
  <c r="BI145" i="10" s="1"/>
  <c r="BI140" i="10"/>
  <c r="X147" i="10"/>
  <c r="AB125" i="10"/>
  <c r="AB105" i="10"/>
  <c r="AA121" i="10"/>
  <c r="AA120" i="10"/>
  <c r="BI128" i="10"/>
  <c r="BI130" i="10"/>
  <c r="BI132" i="10"/>
  <c r="BI134" i="10"/>
  <c r="AB281" i="10"/>
  <c r="BI288" i="10"/>
  <c r="BI290" i="10"/>
  <c r="T156" i="10"/>
  <c r="T155" i="10"/>
  <c r="T164" i="10" s="1"/>
  <c r="T165" i="10" s="1"/>
  <c r="T157" i="10"/>
  <c r="U141" i="10"/>
  <c r="BH286" i="10" l="1"/>
  <c r="BH284" i="10"/>
  <c r="N300" i="10"/>
  <c r="N299" i="10"/>
  <c r="N319" i="10"/>
  <c r="H43" i="11"/>
  <c r="BJ144" i="10"/>
  <c r="BJ145" i="10" s="1"/>
  <c r="BJ140" i="10"/>
  <c r="X148" i="10"/>
  <c r="AB126" i="10"/>
  <c r="AB106" i="10"/>
  <c r="AB107" i="10" s="1"/>
  <c r="V39" i="11" s="1"/>
  <c r="AA162" i="10"/>
  <c r="BJ128" i="10"/>
  <c r="BJ130" i="10"/>
  <c r="BJ132" i="10"/>
  <c r="BJ134" i="10"/>
  <c r="AB282" i="10"/>
  <c r="BJ288" i="10"/>
  <c r="BJ290" i="10"/>
  <c r="T161" i="10"/>
  <c r="U149" i="10"/>
  <c r="BI286" i="10" l="1"/>
  <c r="BI284" i="10"/>
  <c r="N305" i="10"/>
  <c r="N309" i="10" s="1"/>
  <c r="N303" i="10"/>
  <c r="H26" i="11" s="1"/>
  <c r="N301" i="10"/>
  <c r="N302" i="10"/>
  <c r="BK144" i="10"/>
  <c r="BK145" i="10" s="1"/>
  <c r="BK140" i="10"/>
  <c r="Y137" i="10"/>
  <c r="AC124" i="10"/>
  <c r="AB150" i="10"/>
  <c r="AB116" i="10"/>
  <c r="AA163" i="10"/>
  <c r="BK128" i="10"/>
  <c r="BK130" i="10"/>
  <c r="BK132" i="10"/>
  <c r="BK134" i="10"/>
  <c r="AC280" i="10"/>
  <c r="BK288" i="10"/>
  <c r="BK290" i="10"/>
  <c r="U153" i="10"/>
  <c r="U154" i="10" s="1"/>
  <c r="O40" i="11" s="1"/>
  <c r="BJ286" i="10" l="1"/>
  <c r="BJ284" i="10"/>
  <c r="O296" i="10"/>
  <c r="O261" i="10" s="1"/>
  <c r="N304" i="10"/>
  <c r="N25" i="11"/>
  <c r="N28" i="11"/>
  <c r="N310" i="10"/>
  <c r="BL144" i="10"/>
  <c r="BL145" i="10" s="1"/>
  <c r="BL140" i="10"/>
  <c r="Y147" i="10"/>
  <c r="AC125" i="10"/>
  <c r="AC105" i="10"/>
  <c r="AB121" i="10"/>
  <c r="AB120" i="10"/>
  <c r="BL128" i="10"/>
  <c r="BL130" i="10"/>
  <c r="BL132" i="10"/>
  <c r="BL134" i="10"/>
  <c r="AC281" i="10"/>
  <c r="BL288" i="10"/>
  <c r="BL290" i="10"/>
  <c r="U156" i="10"/>
  <c r="U157" i="10"/>
  <c r="V141" i="10"/>
  <c r="U155" i="10"/>
  <c r="U164" i="10" s="1"/>
  <c r="U165" i="10" s="1"/>
  <c r="BK284" i="10" l="1"/>
  <c r="BK286" i="10"/>
  <c r="O262" i="10"/>
  <c r="I21" i="11"/>
  <c r="H30" i="11"/>
  <c r="O293" i="10"/>
  <c r="N313" i="10"/>
  <c r="N317" i="10" s="1"/>
  <c r="N312" i="10"/>
  <c r="H33" i="11" s="1"/>
  <c r="N311" i="10"/>
  <c r="N320" i="10" s="1"/>
  <c r="N321" i="10" s="1"/>
  <c r="N29" i="11"/>
  <c r="N44" i="11" s="1"/>
  <c r="BM144" i="10"/>
  <c r="BM145" i="10" s="1"/>
  <c r="BM140" i="10"/>
  <c r="Y148" i="10"/>
  <c r="AC126" i="10"/>
  <c r="AC106" i="10"/>
  <c r="AC107" i="10" s="1"/>
  <c r="W39" i="11" s="1"/>
  <c r="AB162" i="10"/>
  <c r="BM128" i="10"/>
  <c r="BM130" i="10"/>
  <c r="BM132" i="10"/>
  <c r="BM134" i="10"/>
  <c r="AC282" i="10"/>
  <c r="BM288" i="10"/>
  <c r="BM290" i="10"/>
  <c r="U161" i="10"/>
  <c r="V149" i="10"/>
  <c r="BL286" i="10" l="1"/>
  <c r="BL284" i="10"/>
  <c r="O272" i="10"/>
  <c r="O263" i="10"/>
  <c r="BN144" i="10"/>
  <c r="BN145" i="10" s="1"/>
  <c r="BN140" i="10"/>
  <c r="Z137" i="10"/>
  <c r="AD124" i="10"/>
  <c r="AC116" i="10"/>
  <c r="AC150" i="10"/>
  <c r="AD151" i="10" s="1"/>
  <c r="AE151" i="10" s="1"/>
  <c r="AF151" i="10" s="1"/>
  <c r="AG151" i="10" s="1"/>
  <c r="AB163" i="10"/>
  <c r="BN128" i="10"/>
  <c r="BN130" i="10"/>
  <c r="BN132" i="10"/>
  <c r="BN134" i="10"/>
  <c r="AD280" i="10"/>
  <c r="BN288" i="10"/>
  <c r="BN290" i="10"/>
  <c r="V153" i="10"/>
  <c r="V154" i="10" s="1"/>
  <c r="P40" i="11" s="1"/>
  <c r="BM286" i="10" l="1"/>
  <c r="BM284" i="10"/>
  <c r="O297" i="10"/>
  <c r="O277" i="10"/>
  <c r="O276" i="10"/>
  <c r="O318" i="10" s="1"/>
  <c r="O319" i="10" s="1"/>
  <c r="I23" i="11"/>
  <c r="O306" i="10"/>
  <c r="I22" i="11"/>
  <c r="BO144" i="10"/>
  <c r="BO145" i="10" s="1"/>
  <c r="BO140" i="10"/>
  <c r="Z147" i="10"/>
  <c r="AD125" i="10"/>
  <c r="AD105" i="10"/>
  <c r="AC121" i="10"/>
  <c r="AC120" i="10"/>
  <c r="AG152" i="10"/>
  <c r="AH151" i="10"/>
  <c r="AI151" i="10" s="1"/>
  <c r="AJ151" i="10" s="1"/>
  <c r="AK151" i="10" s="1"/>
  <c r="AL151" i="10" s="1"/>
  <c r="AM151" i="10" s="1"/>
  <c r="AN151" i="10" s="1"/>
  <c r="AO151" i="10" s="1"/>
  <c r="BO128" i="10"/>
  <c r="BO130" i="10"/>
  <c r="BO132" i="10"/>
  <c r="BO134" i="10"/>
  <c r="AD281" i="10"/>
  <c r="BO288" i="10"/>
  <c r="BO290" i="10"/>
  <c r="V156" i="10"/>
  <c r="V157" i="10"/>
  <c r="W141" i="10"/>
  <c r="V155" i="10"/>
  <c r="V164" i="10" s="1"/>
  <c r="V165" i="10" s="1"/>
  <c r="BN286" i="10" l="1"/>
  <c r="BN284" i="10"/>
  <c r="O300" i="10"/>
  <c r="O299" i="10"/>
  <c r="I43" i="11"/>
  <c r="BP144" i="10"/>
  <c r="BP145" i="10" s="1"/>
  <c r="BP140" i="10"/>
  <c r="Z148" i="10"/>
  <c r="AD126" i="10"/>
  <c r="AD106" i="10"/>
  <c r="AD107" i="10" s="1"/>
  <c r="X39" i="11" s="1"/>
  <c r="AC162" i="10"/>
  <c r="BP128" i="10"/>
  <c r="BP130" i="10"/>
  <c r="BP132" i="10"/>
  <c r="BP134" i="10"/>
  <c r="AD282" i="10"/>
  <c r="BP288" i="10"/>
  <c r="BP290" i="10"/>
  <c r="V161" i="10"/>
  <c r="W149" i="10"/>
  <c r="O305" i="10" l="1"/>
  <c r="O309" i="10" s="1"/>
  <c r="BO286" i="10"/>
  <c r="BO284" i="10"/>
  <c r="O303" i="10"/>
  <c r="I26" i="11" s="1"/>
  <c r="O301" i="10"/>
  <c r="O302" i="10"/>
  <c r="BQ144" i="10"/>
  <c r="BQ145" i="10" s="1"/>
  <c r="BQ140" i="10"/>
  <c r="AA137" i="10"/>
  <c r="AE124" i="10"/>
  <c r="AD150" i="10"/>
  <c r="AD116" i="10"/>
  <c r="AC163" i="10"/>
  <c r="BQ128" i="10"/>
  <c r="BQ130" i="10"/>
  <c r="BQ132" i="10"/>
  <c r="BQ134" i="10"/>
  <c r="AE280" i="10"/>
  <c r="BQ288" i="10"/>
  <c r="BQ290" i="10"/>
  <c r="W153" i="10"/>
  <c r="W154" i="10" s="1"/>
  <c r="Q40" i="11" s="1"/>
  <c r="C40" i="11" s="1"/>
  <c r="BP286" i="10" l="1"/>
  <c r="BP284" i="10"/>
  <c r="P296" i="10"/>
  <c r="P261" i="10" s="1"/>
  <c r="I31" i="11"/>
  <c r="O304" i="10"/>
  <c r="O25" i="11"/>
  <c r="O28" i="11"/>
  <c r="O310" i="10"/>
  <c r="BR144" i="10"/>
  <c r="BR145" i="10" s="1"/>
  <c r="BR140" i="10"/>
  <c r="AA147" i="10"/>
  <c r="AE125" i="10"/>
  <c r="AE105" i="10"/>
  <c r="AD121" i="10"/>
  <c r="AD120" i="10"/>
  <c r="BR128" i="10"/>
  <c r="BR130" i="10"/>
  <c r="BR132" i="10"/>
  <c r="BR134" i="10"/>
  <c r="AE281" i="10"/>
  <c r="BR288" i="10"/>
  <c r="BR290" i="10"/>
  <c r="W156" i="10"/>
  <c r="W155" i="10"/>
  <c r="W164" i="10" s="1"/>
  <c r="W165" i="10" s="1"/>
  <c r="W157" i="10"/>
  <c r="X141" i="10"/>
  <c r="BQ286" i="10" l="1"/>
  <c r="BQ284" i="10"/>
  <c r="P262" i="10"/>
  <c r="J21" i="11"/>
  <c r="I30" i="11"/>
  <c r="P293" i="10"/>
  <c r="O313" i="10"/>
  <c r="O317" i="10" s="1"/>
  <c r="O312" i="10"/>
  <c r="I33" i="11" s="1"/>
  <c r="O311" i="10"/>
  <c r="O320" i="10" s="1"/>
  <c r="O321" i="10" s="1"/>
  <c r="O29" i="11"/>
  <c r="O44" i="11" s="1"/>
  <c r="BS144" i="10"/>
  <c r="BS145" i="10" s="1"/>
  <c r="BS140" i="10"/>
  <c r="AA148" i="10"/>
  <c r="AE126" i="10"/>
  <c r="AE106" i="10"/>
  <c r="AE107" i="10" s="1"/>
  <c r="Y39" i="11" s="1"/>
  <c r="AD162" i="10"/>
  <c r="BS128" i="10"/>
  <c r="BS130" i="10"/>
  <c r="BS132" i="10"/>
  <c r="BS134" i="10"/>
  <c r="AE282" i="10"/>
  <c r="BS288" i="10"/>
  <c r="BS290" i="10"/>
  <c r="W161" i="10"/>
  <c r="X149" i="10"/>
  <c r="BR286" i="10" l="1"/>
  <c r="BR284" i="10"/>
  <c r="P272" i="10"/>
  <c r="P263" i="10"/>
  <c r="BT144" i="10"/>
  <c r="BT145" i="10" s="1"/>
  <c r="BT140" i="10"/>
  <c r="AB137" i="10"/>
  <c r="AF124" i="10"/>
  <c r="AE150" i="10"/>
  <c r="AE116" i="10"/>
  <c r="AD163" i="10"/>
  <c r="BT128" i="10"/>
  <c r="BT130" i="10"/>
  <c r="BT132" i="10"/>
  <c r="BT134" i="10"/>
  <c r="AF280" i="10"/>
  <c r="BT288" i="10"/>
  <c r="BT290" i="10"/>
  <c r="X153" i="10"/>
  <c r="X154" i="10" s="1"/>
  <c r="R40" i="11" s="1"/>
  <c r="BS286" i="10" l="1"/>
  <c r="BS284" i="10"/>
  <c r="P297" i="10"/>
  <c r="P277" i="10"/>
  <c r="P276" i="10"/>
  <c r="P318" i="10" s="1"/>
  <c r="J23" i="11"/>
  <c r="P306" i="10"/>
  <c r="J22" i="11"/>
  <c r="BU144" i="10"/>
  <c r="BU145" i="10" s="1"/>
  <c r="BU140" i="10"/>
  <c r="AB147" i="10"/>
  <c r="AF125" i="10"/>
  <c r="AF105" i="10"/>
  <c r="AE121" i="10"/>
  <c r="AE120" i="10"/>
  <c r="BU128" i="10"/>
  <c r="BU130" i="10"/>
  <c r="BU132" i="10"/>
  <c r="BU134" i="10"/>
  <c r="AF281" i="10"/>
  <c r="BU288" i="10"/>
  <c r="BU290" i="10"/>
  <c r="X156" i="10"/>
  <c r="X155" i="10"/>
  <c r="X164" i="10" s="1"/>
  <c r="X165" i="10" s="1"/>
  <c r="Y141" i="10"/>
  <c r="X157" i="10"/>
  <c r="BT286" i="10" l="1"/>
  <c r="BT284" i="10"/>
  <c r="P300" i="10"/>
  <c r="P299" i="10"/>
  <c r="P319" i="10"/>
  <c r="J43" i="11"/>
  <c r="BV144" i="10"/>
  <c r="BV145" i="10" s="1"/>
  <c r="BV140" i="10"/>
  <c r="AB148" i="10"/>
  <c r="AF126" i="10"/>
  <c r="AF106" i="10"/>
  <c r="AF107" i="10" s="1"/>
  <c r="Z39" i="11" s="1"/>
  <c r="AE162" i="10"/>
  <c r="BV128" i="10"/>
  <c r="BV130" i="10"/>
  <c r="BV132" i="10"/>
  <c r="BV134" i="10"/>
  <c r="AF282" i="10"/>
  <c r="BV288" i="10"/>
  <c r="BV290" i="10"/>
  <c r="Y149" i="10"/>
  <c r="X161" i="10"/>
  <c r="P305" i="10" l="1"/>
  <c r="P309" i="10" s="1"/>
  <c r="BU286" i="10"/>
  <c r="BU284" i="10"/>
  <c r="P303" i="10"/>
  <c r="J26" i="11" s="1"/>
  <c r="P301" i="10"/>
  <c r="P302" i="10"/>
  <c r="BW144" i="10"/>
  <c r="BW145" i="10" s="1"/>
  <c r="BW140" i="10"/>
  <c r="AC137" i="10"/>
  <c r="AG124" i="10"/>
  <c r="AF150" i="10"/>
  <c r="AF116" i="10"/>
  <c r="AE163" i="10"/>
  <c r="BW128" i="10"/>
  <c r="BW130" i="10"/>
  <c r="BW132" i="10"/>
  <c r="BW134" i="10"/>
  <c r="AG280" i="10"/>
  <c r="BW288" i="10"/>
  <c r="BW290" i="10"/>
  <c r="Y153" i="10"/>
  <c r="Y154" i="10" s="1"/>
  <c r="S40" i="11" s="1"/>
  <c r="BV286" i="10" l="1"/>
  <c r="BV284" i="10"/>
  <c r="Q296" i="10"/>
  <c r="Q261" i="10" s="1"/>
  <c r="P304" i="10"/>
  <c r="P25" i="11"/>
  <c r="P28" i="11"/>
  <c r="P310" i="10"/>
  <c r="BX144" i="10"/>
  <c r="BX145" i="10" s="1"/>
  <c r="BX140" i="10"/>
  <c r="AC147" i="10"/>
  <c r="AG125" i="10"/>
  <c r="AG105" i="10"/>
  <c r="AF121" i="10"/>
  <c r="AF120" i="10"/>
  <c r="BX128" i="10"/>
  <c r="BX130" i="10"/>
  <c r="BX132" i="10"/>
  <c r="BX134" i="10"/>
  <c r="AG281" i="10"/>
  <c r="BX288" i="10"/>
  <c r="BX290" i="10"/>
  <c r="Y156" i="10"/>
  <c r="Y157" i="10"/>
  <c r="Z141" i="10"/>
  <c r="Y155" i="10"/>
  <c r="Y164" i="10" s="1"/>
  <c r="Y165" i="10" s="1"/>
  <c r="BW286" i="10" l="1"/>
  <c r="BW284" i="10"/>
  <c r="Q262" i="10"/>
  <c r="K21" i="11"/>
  <c r="J30" i="11"/>
  <c r="Q293" i="10"/>
  <c r="P313" i="10"/>
  <c r="P317" i="10" s="1"/>
  <c r="P312" i="10"/>
  <c r="J33" i="11" s="1"/>
  <c r="P311" i="10"/>
  <c r="P320" i="10" s="1"/>
  <c r="P321" i="10" s="1"/>
  <c r="P29" i="11"/>
  <c r="P44" i="11" s="1"/>
  <c r="BY144" i="10"/>
  <c r="BY145" i="10" s="1"/>
  <c r="BY140" i="10"/>
  <c r="AC148" i="10"/>
  <c r="AG126" i="10"/>
  <c r="AG106" i="10"/>
  <c r="AG107" i="10" s="1"/>
  <c r="AA39" i="11" s="1"/>
  <c r="AF162" i="10"/>
  <c r="BY128" i="10"/>
  <c r="BY130" i="10"/>
  <c r="BY132" i="10"/>
  <c r="BY134" i="10"/>
  <c r="AG282" i="10"/>
  <c r="BY288" i="10"/>
  <c r="BY290" i="10"/>
  <c r="Y161" i="10"/>
  <c r="Z149" i="10"/>
  <c r="BX286" i="10" l="1"/>
  <c r="BX284" i="10"/>
  <c r="Q272" i="10"/>
  <c r="Q263" i="10"/>
  <c r="BZ144" i="10"/>
  <c r="BZ145" i="10" s="1"/>
  <c r="BZ140" i="10"/>
  <c r="AD137" i="10"/>
  <c r="E112" i="12"/>
  <c r="AH124" i="10"/>
  <c r="AG150" i="10"/>
  <c r="AG116" i="10"/>
  <c r="AF163" i="10"/>
  <c r="BZ128" i="10"/>
  <c r="BZ130" i="10"/>
  <c r="BZ132" i="10"/>
  <c r="BZ134" i="10"/>
  <c r="AH280" i="10"/>
  <c r="BZ288" i="10"/>
  <c r="BZ290" i="10"/>
  <c r="Z153" i="10"/>
  <c r="Z154" i="10" s="1"/>
  <c r="T40" i="11" s="1"/>
  <c r="BY286" i="10" l="1"/>
  <c r="BY284" i="10"/>
  <c r="Q297" i="10"/>
  <c r="Q277" i="10"/>
  <c r="Q276" i="10"/>
  <c r="Q318" i="10" s="1"/>
  <c r="K23" i="11"/>
  <c r="Q306" i="10"/>
  <c r="R307" i="10" s="1"/>
  <c r="S307" i="10" s="1"/>
  <c r="T307" i="10" s="1"/>
  <c r="U307" i="10" s="1"/>
  <c r="K22" i="11"/>
  <c r="CA144" i="10"/>
  <c r="CA145" i="10" s="1"/>
  <c r="CA140" i="10"/>
  <c r="AD147" i="10"/>
  <c r="AH125" i="10"/>
  <c r="AH105" i="10"/>
  <c r="AG121" i="10"/>
  <c r="AG120" i="10"/>
  <c r="CA128" i="10"/>
  <c r="CA130" i="10"/>
  <c r="CA132" i="10"/>
  <c r="CA134" i="10"/>
  <c r="AH281" i="10"/>
  <c r="CA288" i="10"/>
  <c r="CA290" i="10"/>
  <c r="Z156" i="10"/>
  <c r="Z157" i="10"/>
  <c r="AA141" i="10"/>
  <c r="Z155" i="10"/>
  <c r="Z164" i="10" s="1"/>
  <c r="Z165" i="10" s="1"/>
  <c r="BZ286" i="10" l="1"/>
  <c r="BZ284" i="10"/>
  <c r="Q300" i="10"/>
  <c r="Q299" i="10"/>
  <c r="Q319" i="10"/>
  <c r="U308" i="10"/>
  <c r="V307" i="10"/>
  <c r="W307" i="10" s="1"/>
  <c r="X307" i="10" s="1"/>
  <c r="Y307" i="10" s="1"/>
  <c r="Z307" i="10" s="1"/>
  <c r="AA307" i="10" s="1"/>
  <c r="AB307" i="10" s="1"/>
  <c r="AC307" i="10" s="1"/>
  <c r="K43" i="11"/>
  <c r="CB144" i="10"/>
  <c r="CB145" i="10" s="1"/>
  <c r="CB140" i="10"/>
  <c r="AD148" i="10"/>
  <c r="AH126" i="10"/>
  <c r="AH106" i="10"/>
  <c r="AH107" i="10" s="1"/>
  <c r="AB39" i="11" s="1"/>
  <c r="AG162" i="10"/>
  <c r="CB128" i="10"/>
  <c r="CB130" i="10"/>
  <c r="CB132" i="10"/>
  <c r="CB134" i="10"/>
  <c r="AH282" i="10"/>
  <c r="CB288" i="10"/>
  <c r="CB290" i="10"/>
  <c r="Z161" i="10"/>
  <c r="AA149" i="10"/>
  <c r="CA286" i="10" l="1"/>
  <c r="CA284" i="10"/>
  <c r="Q305" i="10"/>
  <c r="Q309" i="10" s="1"/>
  <c r="Q303" i="10"/>
  <c r="K26" i="11" s="1"/>
  <c r="Q301" i="10"/>
  <c r="Q302" i="10"/>
  <c r="CC144" i="10"/>
  <c r="CC145" i="10" s="1"/>
  <c r="CC140" i="10"/>
  <c r="AE137" i="10"/>
  <c r="AI124" i="10"/>
  <c r="AH150" i="10"/>
  <c r="AH116" i="10"/>
  <c r="AG163" i="10"/>
  <c r="CC128" i="10"/>
  <c r="CC130" i="10"/>
  <c r="CC132" i="10"/>
  <c r="CC134" i="10"/>
  <c r="AI280" i="10"/>
  <c r="CC288" i="10"/>
  <c r="CC290" i="10"/>
  <c r="AA153" i="10"/>
  <c r="AA154" i="10" s="1"/>
  <c r="U40" i="11" s="1"/>
  <c r="CB286" i="10" l="1"/>
  <c r="CB284" i="10"/>
  <c r="R296" i="10"/>
  <c r="R261" i="10" s="1"/>
  <c r="D63" i="12"/>
  <c r="Q304" i="10"/>
  <c r="Q25" i="11"/>
  <c r="Q28" i="11"/>
  <c r="C28" i="11" s="1"/>
  <c r="Q310" i="10"/>
  <c r="CD144" i="10"/>
  <c r="CD145" i="10" s="1"/>
  <c r="CD140" i="10"/>
  <c r="AE147" i="10"/>
  <c r="AI125" i="10"/>
  <c r="AI105" i="10"/>
  <c r="AH121" i="10"/>
  <c r="AH120" i="10"/>
  <c r="CD128" i="10"/>
  <c r="CD130" i="10"/>
  <c r="CD132" i="10"/>
  <c r="CD134" i="10"/>
  <c r="AI281" i="10"/>
  <c r="CD288" i="10"/>
  <c r="CD290" i="10"/>
  <c r="AA156" i="10"/>
  <c r="AA157" i="10"/>
  <c r="AA155" i="10"/>
  <c r="AA164" i="10" s="1"/>
  <c r="AA165" i="10" s="1"/>
  <c r="AB141" i="10"/>
  <c r="CC284" i="10" l="1"/>
  <c r="CC286" i="10"/>
  <c r="R262" i="10"/>
  <c r="L21" i="11"/>
  <c r="K30" i="11"/>
  <c r="D62" i="12"/>
  <c r="R293" i="10"/>
  <c r="C25" i="11"/>
  <c r="Q313" i="10"/>
  <c r="Q317" i="10" s="1"/>
  <c r="Q311" i="10"/>
  <c r="Q320" i="10" s="1"/>
  <c r="Q321" i="10" s="1"/>
  <c r="D61" i="12"/>
  <c r="D152" i="12" s="1"/>
  <c r="Q312" i="10"/>
  <c r="K33" i="11" s="1"/>
  <c r="Q29" i="11"/>
  <c r="CE144" i="10"/>
  <c r="CE145" i="10" s="1"/>
  <c r="CE140" i="10"/>
  <c r="AE148" i="10"/>
  <c r="AI126" i="10"/>
  <c r="AI106" i="10"/>
  <c r="AI107" i="10" s="1"/>
  <c r="AC39" i="11" s="1"/>
  <c r="AH162" i="10"/>
  <c r="CE128" i="10"/>
  <c r="CE130" i="10"/>
  <c r="CE132" i="10"/>
  <c r="CE134" i="10"/>
  <c r="AI282" i="10"/>
  <c r="CE288" i="10"/>
  <c r="CE290" i="10"/>
  <c r="AA161" i="10"/>
  <c r="AB149" i="10"/>
  <c r="CD286" i="10" l="1"/>
  <c r="CD284" i="10"/>
  <c r="R272" i="10"/>
  <c r="R263" i="10"/>
  <c r="Q44" i="11"/>
  <c r="C29" i="11"/>
  <c r="C44" i="11" s="1"/>
  <c r="D39" i="11"/>
  <c r="E39" i="11"/>
  <c r="CF144" i="10"/>
  <c r="CF145" i="10" s="1"/>
  <c r="CF140" i="10"/>
  <c r="AF137" i="10"/>
  <c r="AJ124" i="10"/>
  <c r="AI150" i="10"/>
  <c r="AI116" i="10"/>
  <c r="AH163" i="10"/>
  <c r="CF128" i="10"/>
  <c r="CF130" i="10"/>
  <c r="CF132" i="10"/>
  <c r="CF134" i="10"/>
  <c r="AJ280" i="10"/>
  <c r="CF288" i="10"/>
  <c r="CF290" i="10"/>
  <c r="AB153" i="10"/>
  <c r="AB154" i="10" s="1"/>
  <c r="V40" i="11" s="1"/>
  <c r="CE286" i="10" l="1"/>
  <c r="CE284" i="10"/>
  <c r="R297" i="10"/>
  <c r="R277" i="10"/>
  <c r="R276" i="10"/>
  <c r="R318" i="10" s="1"/>
  <c r="L23" i="11"/>
  <c r="R306" i="10"/>
  <c r="L22" i="11"/>
  <c r="CG144" i="10"/>
  <c r="CG145" i="10" s="1"/>
  <c r="CG140" i="10"/>
  <c r="AF147" i="10"/>
  <c r="AJ125" i="10"/>
  <c r="AJ105" i="10"/>
  <c r="AI121" i="10"/>
  <c r="AI120" i="10"/>
  <c r="CG128" i="10"/>
  <c r="CG130" i="10"/>
  <c r="CG132" i="10"/>
  <c r="CG134" i="10"/>
  <c r="AJ281" i="10"/>
  <c r="CG288" i="10"/>
  <c r="CG290" i="10"/>
  <c r="AB156" i="10"/>
  <c r="AB157" i="10"/>
  <c r="AC141" i="10"/>
  <c r="AB155" i="10"/>
  <c r="AB164" i="10" s="1"/>
  <c r="AB165" i="10" s="1"/>
  <c r="CF284" i="10" l="1"/>
  <c r="CF286" i="10"/>
  <c r="R300" i="10"/>
  <c r="R299" i="10"/>
  <c r="R319" i="10"/>
  <c r="L43" i="11"/>
  <c r="CH144" i="10"/>
  <c r="CH145" i="10" s="1"/>
  <c r="CH140" i="10"/>
  <c r="AF148" i="10"/>
  <c r="AJ126" i="10"/>
  <c r="AJ106" i="10"/>
  <c r="AJ107" i="10" s="1"/>
  <c r="AI162" i="10"/>
  <c r="CH128" i="10"/>
  <c r="CH130" i="10"/>
  <c r="CH132" i="10"/>
  <c r="CH134" i="10"/>
  <c r="AJ282" i="10"/>
  <c r="CH288" i="10"/>
  <c r="CH290" i="10"/>
  <c r="AB161" i="10"/>
  <c r="AC149" i="10"/>
  <c r="CG286" i="10" l="1"/>
  <c r="CG284" i="10"/>
  <c r="R305" i="10"/>
  <c r="R309" i="10" s="1"/>
  <c r="R303" i="10"/>
  <c r="L26" i="11" s="1"/>
  <c r="R301" i="10"/>
  <c r="R302" i="10"/>
  <c r="CI144" i="10"/>
  <c r="CI145" i="10" s="1"/>
  <c r="CI140" i="10"/>
  <c r="AG137" i="10"/>
  <c r="AK124" i="10"/>
  <c r="AJ150" i="10"/>
  <c r="AJ116" i="10"/>
  <c r="AI163" i="10"/>
  <c r="CI128" i="10"/>
  <c r="CI130" i="10"/>
  <c r="CI132" i="10"/>
  <c r="CI134" i="10"/>
  <c r="AK280" i="10"/>
  <c r="CI288" i="10"/>
  <c r="CI290" i="10"/>
  <c r="AC153" i="10"/>
  <c r="AC154" i="10" s="1"/>
  <c r="W40" i="11" s="1"/>
  <c r="CH286" i="10" l="1"/>
  <c r="CH284" i="10"/>
  <c r="S296" i="10"/>
  <c r="S261" i="10" s="1"/>
  <c r="R304" i="10"/>
  <c r="R25" i="11"/>
  <c r="R28" i="11"/>
  <c r="R310" i="10"/>
  <c r="CJ144" i="10"/>
  <c r="CJ145" i="10" s="1"/>
  <c r="CJ140" i="10"/>
  <c r="AG147" i="10"/>
  <c r="AK125" i="10"/>
  <c r="AK105" i="10"/>
  <c r="AJ121" i="10"/>
  <c r="AJ120" i="10"/>
  <c r="CJ128" i="10"/>
  <c r="CJ130" i="10"/>
  <c r="CJ132" i="10"/>
  <c r="CJ134" i="10"/>
  <c r="AK281" i="10"/>
  <c r="CJ288" i="10"/>
  <c r="CJ290" i="10"/>
  <c r="AC156" i="10"/>
  <c r="AD141" i="10"/>
  <c r="AC157" i="10"/>
  <c r="E111" i="12"/>
  <c r="AC155" i="10"/>
  <c r="AC164" i="10" s="1"/>
  <c r="AC165" i="10" s="1"/>
  <c r="CI286" i="10" l="1"/>
  <c r="CI284" i="10"/>
  <c r="S262" i="10"/>
  <c r="M21" i="11"/>
  <c r="L30" i="11"/>
  <c r="S293" i="10"/>
  <c r="R311" i="10"/>
  <c r="R320" i="10" s="1"/>
  <c r="R321" i="10" s="1"/>
  <c r="R313" i="10"/>
  <c r="R317" i="10" s="1"/>
  <c r="R312" i="10"/>
  <c r="L33" i="11" s="1"/>
  <c r="R29" i="11"/>
  <c r="R44" i="11" s="1"/>
  <c r="CK144" i="10"/>
  <c r="CK145" i="10" s="1"/>
  <c r="CK140" i="10"/>
  <c r="AG148" i="10"/>
  <c r="AK126" i="10"/>
  <c r="AK106" i="10"/>
  <c r="AK107" i="10" s="1"/>
  <c r="AJ162" i="10"/>
  <c r="CK128" i="10"/>
  <c r="CK130" i="10"/>
  <c r="CK132" i="10"/>
  <c r="CK134" i="10"/>
  <c r="AK282" i="10"/>
  <c r="CK288" i="10"/>
  <c r="CK290" i="10"/>
  <c r="AD149" i="10"/>
  <c r="AC161" i="10"/>
  <c r="CJ286" i="10" l="1"/>
  <c r="CJ284" i="10"/>
  <c r="S272" i="10"/>
  <c r="S263" i="10"/>
  <c r="CL144" i="10"/>
  <c r="CL145" i="10" s="1"/>
  <c r="CL140" i="10"/>
  <c r="AH137" i="10"/>
  <c r="AL124" i="10"/>
  <c r="AK150" i="10"/>
  <c r="AK116" i="10"/>
  <c r="AJ163" i="10"/>
  <c r="CL128" i="10"/>
  <c r="CL130" i="10"/>
  <c r="CL132" i="10"/>
  <c r="CL134" i="10"/>
  <c r="AL280" i="10"/>
  <c r="CL288" i="10"/>
  <c r="CL290" i="10"/>
  <c r="AD153" i="10"/>
  <c r="AD154" i="10" s="1"/>
  <c r="X40" i="11" s="1"/>
  <c r="CK284" i="10" l="1"/>
  <c r="CK286" i="10"/>
  <c r="S297" i="10"/>
  <c r="S277" i="10"/>
  <c r="S276" i="10"/>
  <c r="S318" i="10" s="1"/>
  <c r="M23" i="11"/>
  <c r="S306" i="10"/>
  <c r="M22" i="11"/>
  <c r="CM144" i="10"/>
  <c r="CM145" i="10" s="1"/>
  <c r="CM140" i="10"/>
  <c r="AH147" i="10"/>
  <c r="AL125" i="10"/>
  <c r="AL105" i="10"/>
  <c r="AK121" i="10"/>
  <c r="AK120" i="10"/>
  <c r="CM128" i="10"/>
  <c r="CM130" i="10"/>
  <c r="CM132" i="10"/>
  <c r="CM134" i="10"/>
  <c r="AL281" i="10"/>
  <c r="CM288" i="10"/>
  <c r="CM290" i="10"/>
  <c r="AD156" i="10"/>
  <c r="AD155" i="10"/>
  <c r="AD164" i="10" s="1"/>
  <c r="AD165" i="10" s="1"/>
  <c r="AD157" i="10"/>
  <c r="AE141" i="10"/>
  <c r="CL286" i="10" l="1"/>
  <c r="CL284" i="10"/>
  <c r="S299" i="10"/>
  <c r="S300" i="10"/>
  <c r="S319" i="10"/>
  <c r="M43" i="11"/>
  <c r="CN144" i="10"/>
  <c r="CN145" i="10" s="1"/>
  <c r="CN140" i="10"/>
  <c r="AH148" i="10"/>
  <c r="AL126" i="10"/>
  <c r="AL106" i="10"/>
  <c r="AL107" i="10" s="1"/>
  <c r="AK162" i="10"/>
  <c r="CN128" i="10"/>
  <c r="CN130" i="10"/>
  <c r="CN132" i="10"/>
  <c r="CN134" i="10"/>
  <c r="AL282" i="10"/>
  <c r="CN288" i="10"/>
  <c r="CN290" i="10"/>
  <c r="AD161" i="10"/>
  <c r="AE149" i="10"/>
  <c r="CM284" i="10" l="1"/>
  <c r="CM286" i="10"/>
  <c r="S305" i="10"/>
  <c r="S309" i="10" s="1"/>
  <c r="S302" i="10"/>
  <c r="S303" i="10"/>
  <c r="M26" i="11" s="1"/>
  <c r="S301" i="10"/>
  <c r="CO144" i="10"/>
  <c r="CO145" i="10" s="1"/>
  <c r="CO140" i="10"/>
  <c r="AI137" i="10"/>
  <c r="AM124" i="10"/>
  <c r="AL150" i="10"/>
  <c r="AL116" i="10"/>
  <c r="AK163" i="10"/>
  <c r="CO128" i="10"/>
  <c r="CO130" i="10"/>
  <c r="CO132" i="10"/>
  <c r="CO134" i="10"/>
  <c r="AM280" i="10"/>
  <c r="CO288" i="10"/>
  <c r="CO290" i="10"/>
  <c r="AE153" i="10"/>
  <c r="AE154" i="10" s="1"/>
  <c r="Y40" i="11" s="1"/>
  <c r="CN286" i="10" l="1"/>
  <c r="CN284" i="10"/>
  <c r="S304" i="10"/>
  <c r="S25" i="11"/>
  <c r="M31" i="11"/>
  <c r="T296" i="10"/>
  <c r="T261" i="10" s="1"/>
  <c r="S28" i="11"/>
  <c r="S310" i="10"/>
  <c r="CP144" i="10"/>
  <c r="CP145" i="10" s="1"/>
  <c r="CP140" i="10"/>
  <c r="AI147" i="10"/>
  <c r="AM125" i="10"/>
  <c r="AM105" i="10"/>
  <c r="AL121" i="10"/>
  <c r="AL120" i="10"/>
  <c r="CP128" i="10"/>
  <c r="CP130" i="10"/>
  <c r="CP132" i="10"/>
  <c r="CP134" i="10"/>
  <c r="AM281" i="10"/>
  <c r="CP288" i="10"/>
  <c r="CP290" i="10"/>
  <c r="AE156" i="10"/>
  <c r="AE157" i="10"/>
  <c r="AE155" i="10"/>
  <c r="AE164" i="10" s="1"/>
  <c r="AE165" i="10" s="1"/>
  <c r="AF141" i="10"/>
  <c r="CO286" i="10" l="1"/>
  <c r="CO284" i="10"/>
  <c r="M30" i="11"/>
  <c r="T293" i="10"/>
  <c r="T262" i="10"/>
  <c r="N21" i="11"/>
  <c r="S312" i="10"/>
  <c r="M33" i="11" s="1"/>
  <c r="S313" i="10"/>
  <c r="S317" i="10" s="1"/>
  <c r="S311" i="10"/>
  <c r="S320" i="10" s="1"/>
  <c r="S321" i="10" s="1"/>
  <c r="S29" i="11"/>
  <c r="S44" i="11" s="1"/>
  <c r="CQ144" i="10"/>
  <c r="CQ145" i="10" s="1"/>
  <c r="CQ140" i="10"/>
  <c r="AI148" i="10"/>
  <c r="AM126" i="10"/>
  <c r="AM106" i="10"/>
  <c r="AM107" i="10" s="1"/>
  <c r="AL162" i="10"/>
  <c r="CQ128" i="10"/>
  <c r="CQ130" i="10"/>
  <c r="CQ132" i="10"/>
  <c r="CQ134" i="10"/>
  <c r="AM282" i="10"/>
  <c r="CQ288" i="10"/>
  <c r="CQ290" i="10"/>
  <c r="AE161" i="10"/>
  <c r="AF149" i="10"/>
  <c r="CP284" i="10" l="1"/>
  <c r="CP286" i="10"/>
  <c r="T272" i="10"/>
  <c r="T263" i="10"/>
  <c r="CR144" i="10"/>
  <c r="CR145" i="10" s="1"/>
  <c r="CR140" i="10"/>
  <c r="AJ137" i="10"/>
  <c r="AN124" i="10"/>
  <c r="AM150" i="10"/>
  <c r="AM116" i="10"/>
  <c r="AL163" i="10"/>
  <c r="CR128" i="10"/>
  <c r="CR130" i="10"/>
  <c r="CR132" i="10"/>
  <c r="CR134" i="10"/>
  <c r="AN280" i="10"/>
  <c r="CR288" i="10"/>
  <c r="CR290" i="10"/>
  <c r="AF153" i="10"/>
  <c r="AF154" i="10" s="1"/>
  <c r="Z40" i="11" s="1"/>
  <c r="CQ286" i="10" l="1"/>
  <c r="CQ284" i="10"/>
  <c r="T297" i="10"/>
  <c r="T277" i="10"/>
  <c r="T276" i="10"/>
  <c r="T318" i="10" s="1"/>
  <c r="N23" i="11"/>
  <c r="T306" i="10"/>
  <c r="N22" i="11"/>
  <c r="CS144" i="10"/>
  <c r="CS145" i="10" s="1"/>
  <c r="CS140" i="10"/>
  <c r="AJ147" i="10"/>
  <c r="AN125" i="10"/>
  <c r="AN105" i="10"/>
  <c r="AM121" i="10"/>
  <c r="AM120" i="10"/>
  <c r="CS128" i="10"/>
  <c r="CS130" i="10"/>
  <c r="CS132" i="10"/>
  <c r="CS134" i="10"/>
  <c r="AN281" i="10"/>
  <c r="CS288" i="10"/>
  <c r="CS290" i="10"/>
  <c r="AF156" i="10"/>
  <c r="AF155" i="10"/>
  <c r="AF164" i="10" s="1"/>
  <c r="AF165" i="10" s="1"/>
  <c r="AF157" i="10"/>
  <c r="AG141" i="10"/>
  <c r="CR286" i="10" l="1"/>
  <c r="CR284" i="10"/>
  <c r="T300" i="10"/>
  <c r="T299" i="10"/>
  <c r="T319" i="10"/>
  <c r="N43" i="11"/>
  <c r="CT144" i="10"/>
  <c r="CT145" i="10" s="1"/>
  <c r="CT140" i="10"/>
  <c r="AJ148" i="10"/>
  <c r="AN126" i="10"/>
  <c r="AN106" i="10"/>
  <c r="AN107" i="10" s="1"/>
  <c r="AM162" i="10"/>
  <c r="CT128" i="10"/>
  <c r="CT130" i="10"/>
  <c r="CT132" i="10"/>
  <c r="CT134" i="10"/>
  <c r="AN282" i="10"/>
  <c r="CT288" i="10"/>
  <c r="CT290" i="10"/>
  <c r="AF161" i="10"/>
  <c r="AG149" i="10"/>
  <c r="CS284" i="10" l="1"/>
  <c r="CS286" i="10"/>
  <c r="T305" i="10"/>
  <c r="T309" i="10" s="1"/>
  <c r="T303" i="10"/>
  <c r="N26" i="11" s="1"/>
  <c r="T301" i="10"/>
  <c r="T302" i="10"/>
  <c r="CU144" i="10"/>
  <c r="CU145" i="10" s="1"/>
  <c r="CU140" i="10"/>
  <c r="AK137" i="10"/>
  <c r="AO124" i="10"/>
  <c r="AN150" i="10"/>
  <c r="AN116" i="10"/>
  <c r="AM163" i="10"/>
  <c r="CU128" i="10"/>
  <c r="CU130" i="10"/>
  <c r="CU132" i="10"/>
  <c r="CU134" i="10"/>
  <c r="AO280" i="10"/>
  <c r="CU288" i="10"/>
  <c r="CU290" i="10"/>
  <c r="AG153" i="10"/>
  <c r="AG154" i="10" s="1"/>
  <c r="AA40" i="11" s="1"/>
  <c r="CT286" i="10" l="1"/>
  <c r="CT284" i="10"/>
  <c r="U296" i="10"/>
  <c r="U261" i="10" s="1"/>
  <c r="N31" i="11"/>
  <c r="T304" i="10"/>
  <c r="T25" i="11"/>
  <c r="T28" i="11"/>
  <c r="T310" i="10"/>
  <c r="CV144" i="10"/>
  <c r="CV145" i="10" s="1"/>
  <c r="CV140" i="10"/>
  <c r="AK147" i="10"/>
  <c r="AO125" i="10"/>
  <c r="AO105" i="10"/>
  <c r="AN121" i="10"/>
  <c r="AN120" i="10"/>
  <c r="CV128" i="10"/>
  <c r="CV130" i="10"/>
  <c r="CV132" i="10"/>
  <c r="CV134" i="10"/>
  <c r="AO281" i="10"/>
  <c r="CV288" i="10"/>
  <c r="CV290" i="10"/>
  <c r="AG156" i="10"/>
  <c r="AG155" i="10"/>
  <c r="AG164" i="10" s="1"/>
  <c r="AH141" i="10"/>
  <c r="AG157" i="10"/>
  <c r="CU286" i="10" l="1"/>
  <c r="CU284" i="10"/>
  <c r="U262" i="10"/>
  <c r="O21" i="11"/>
  <c r="N30" i="11"/>
  <c r="U293" i="10"/>
  <c r="T312" i="10"/>
  <c r="N33" i="11" s="1"/>
  <c r="T311" i="10"/>
  <c r="T320" i="10" s="1"/>
  <c r="T321" i="10" s="1"/>
  <c r="T313" i="10"/>
  <c r="T317" i="10" s="1"/>
  <c r="T29" i="11"/>
  <c r="T44" i="11" s="1"/>
  <c r="CW144" i="10"/>
  <c r="CW145" i="10" s="1"/>
  <c r="CW140" i="10"/>
  <c r="AK148" i="10"/>
  <c r="AO126" i="10"/>
  <c r="AO106" i="10"/>
  <c r="AO107" i="10" s="1"/>
  <c r="AN162" i="10"/>
  <c r="CW128" i="10"/>
  <c r="CW130" i="10"/>
  <c r="CW132" i="10"/>
  <c r="CW134" i="10"/>
  <c r="AO282" i="10"/>
  <c r="CW288" i="10"/>
  <c r="CW290" i="10"/>
  <c r="AH149" i="10"/>
  <c r="AG161" i="10"/>
  <c r="AG165" i="10"/>
  <c r="CV284" i="10" l="1"/>
  <c r="CV286" i="10"/>
  <c r="U272" i="10"/>
  <c r="U263" i="10"/>
  <c r="CX144" i="10"/>
  <c r="CX145" i="10" s="1"/>
  <c r="CX140" i="10"/>
  <c r="AL137" i="10"/>
  <c r="AP124" i="10"/>
  <c r="AO150" i="10"/>
  <c r="AP151" i="10" s="1"/>
  <c r="AQ151" i="10" s="1"/>
  <c r="AR151" i="10" s="1"/>
  <c r="AS151" i="10" s="1"/>
  <c r="AO116" i="10"/>
  <c r="AN163" i="10"/>
  <c r="CX128" i="10"/>
  <c r="CX130" i="10"/>
  <c r="CX132" i="10"/>
  <c r="CX134" i="10"/>
  <c r="AP280" i="10"/>
  <c r="CX288" i="10"/>
  <c r="CX290" i="10"/>
  <c r="AH153" i="10"/>
  <c r="AH154" i="10" s="1"/>
  <c r="AB40" i="11" s="1"/>
  <c r="CW286" i="10" l="1"/>
  <c r="CW284" i="10"/>
  <c r="U297" i="10"/>
  <c r="U277" i="10"/>
  <c r="U276" i="10"/>
  <c r="U318" i="10" s="1"/>
  <c r="O23" i="11"/>
  <c r="U306" i="10"/>
  <c r="O22" i="11"/>
  <c r="CY144" i="10"/>
  <c r="CY145" i="10" s="1"/>
  <c r="CY140" i="10"/>
  <c r="AL147" i="10"/>
  <c r="AP125" i="10"/>
  <c r="AP105" i="10"/>
  <c r="AT151" i="10"/>
  <c r="AU151" i="10" s="1"/>
  <c r="AV151" i="10" s="1"/>
  <c r="AW151" i="10" s="1"/>
  <c r="AX151" i="10" s="1"/>
  <c r="AY151" i="10" s="1"/>
  <c r="AZ151" i="10" s="1"/>
  <c r="BA151" i="10" s="1"/>
  <c r="AS152" i="10"/>
  <c r="AO121" i="10"/>
  <c r="AO120" i="10"/>
  <c r="CY128" i="10"/>
  <c r="CY130" i="10"/>
  <c r="CY132" i="10"/>
  <c r="CY134" i="10"/>
  <c r="AP281" i="10"/>
  <c r="CY288" i="10"/>
  <c r="CY290" i="10"/>
  <c r="AH156" i="10"/>
  <c r="AI141" i="10"/>
  <c r="AH155" i="10"/>
  <c r="AH164" i="10" s="1"/>
  <c r="AH165" i="10" s="1"/>
  <c r="AH157" i="10"/>
  <c r="CX286" i="10" l="1"/>
  <c r="CX284" i="10"/>
  <c r="U300" i="10"/>
  <c r="U299" i="10"/>
  <c r="U319" i="10"/>
  <c r="O43" i="11"/>
  <c r="CZ144" i="10"/>
  <c r="CZ145" i="10" s="1"/>
  <c r="CZ140" i="10"/>
  <c r="AL148" i="10"/>
  <c r="AP126" i="10"/>
  <c r="AP106" i="10"/>
  <c r="AP107" i="10" s="1"/>
  <c r="AO162" i="10"/>
  <c r="CZ128" i="10"/>
  <c r="CZ130" i="10"/>
  <c r="CZ132" i="10"/>
  <c r="CZ134" i="10"/>
  <c r="AP282" i="10"/>
  <c r="CZ288" i="10"/>
  <c r="CZ290" i="10"/>
  <c r="AI149" i="10"/>
  <c r="AH161" i="10"/>
  <c r="CY286" i="10" l="1"/>
  <c r="CY284" i="10"/>
  <c r="U305" i="10"/>
  <c r="U309" i="10" s="1"/>
  <c r="U303" i="10"/>
  <c r="O26" i="11" s="1"/>
  <c r="U301" i="10"/>
  <c r="U302" i="10"/>
  <c r="DA144" i="10"/>
  <c r="DA145" i="10" s="1"/>
  <c r="DA140" i="10"/>
  <c r="AM137" i="10"/>
  <c r="AQ124" i="10"/>
  <c r="AP150" i="10"/>
  <c r="AP116" i="10"/>
  <c r="AO163" i="10"/>
  <c r="DA128" i="10"/>
  <c r="DA130" i="10"/>
  <c r="DA132" i="10"/>
  <c r="DA134" i="10"/>
  <c r="AQ280" i="10"/>
  <c r="DA288" i="10"/>
  <c r="DA290" i="10"/>
  <c r="AI153" i="10"/>
  <c r="AI154" i="10" s="1"/>
  <c r="AC40" i="11" s="1"/>
  <c r="CZ286" i="10" l="1"/>
  <c r="CZ284" i="10"/>
  <c r="U31" i="11"/>
  <c r="V296" i="10"/>
  <c r="V261" i="10" s="1"/>
  <c r="O31" i="11"/>
  <c r="U304" i="10"/>
  <c r="U25" i="11"/>
  <c r="U28" i="11"/>
  <c r="U310" i="10"/>
  <c r="D40" i="11"/>
  <c r="E40" i="11"/>
  <c r="DB144" i="10"/>
  <c r="DB145" i="10" s="1"/>
  <c r="DB140" i="10"/>
  <c r="AM147" i="10"/>
  <c r="AQ125" i="10"/>
  <c r="AQ105" i="10"/>
  <c r="AP121" i="10"/>
  <c r="AP120" i="10"/>
  <c r="DB128" i="10"/>
  <c r="DB130" i="10"/>
  <c r="DB132" i="10"/>
  <c r="DB134" i="10"/>
  <c r="AQ281" i="10"/>
  <c r="DB288" i="10"/>
  <c r="DB290" i="10"/>
  <c r="AI156" i="10"/>
  <c r="AI155" i="10"/>
  <c r="AI164" i="10" s="1"/>
  <c r="AI165" i="10" s="1"/>
  <c r="AI157" i="10"/>
  <c r="AJ141" i="10"/>
  <c r="DA286" i="10" l="1"/>
  <c r="DA284" i="10"/>
  <c r="V262" i="10"/>
  <c r="P21" i="11"/>
  <c r="O30" i="11"/>
  <c r="V293" i="10"/>
  <c r="U313" i="10"/>
  <c r="U317" i="10" s="1"/>
  <c r="U311" i="10"/>
  <c r="U320" i="10" s="1"/>
  <c r="U321" i="10" s="1"/>
  <c r="U312" i="10"/>
  <c r="O33" i="11" s="1"/>
  <c r="U29" i="11"/>
  <c r="U44" i="11" s="1"/>
  <c r="DC144" i="10"/>
  <c r="DC145" i="10" s="1"/>
  <c r="DC140" i="10"/>
  <c r="AM148" i="10"/>
  <c r="AQ126" i="10"/>
  <c r="AQ106" i="10"/>
  <c r="AQ107" i="10" s="1"/>
  <c r="AP162" i="10"/>
  <c r="DC128" i="10"/>
  <c r="DC130" i="10"/>
  <c r="DC132" i="10"/>
  <c r="DC134" i="10"/>
  <c r="AQ282" i="10"/>
  <c r="DC288" i="10"/>
  <c r="DC290" i="10"/>
  <c r="AI161" i="10"/>
  <c r="AJ149" i="10"/>
  <c r="DB286" i="10" l="1"/>
  <c r="DB284" i="10"/>
  <c r="V272" i="10"/>
  <c r="V263" i="10"/>
  <c r="DD144" i="10"/>
  <c r="DD145" i="10" s="1"/>
  <c r="DD140" i="10"/>
  <c r="AN137" i="10"/>
  <c r="AR124" i="10"/>
  <c r="AQ150" i="10"/>
  <c r="AQ116" i="10"/>
  <c r="AP163" i="10"/>
  <c r="DD128" i="10"/>
  <c r="DD130" i="10"/>
  <c r="DD132" i="10"/>
  <c r="DD134" i="10"/>
  <c r="AR280" i="10"/>
  <c r="DD288" i="10"/>
  <c r="DD290" i="10"/>
  <c r="AJ153" i="10"/>
  <c r="AJ154" i="10" s="1"/>
  <c r="DC284" i="10" l="1"/>
  <c r="DC286" i="10"/>
  <c r="V297" i="10"/>
  <c r="V277" i="10"/>
  <c r="V276" i="10"/>
  <c r="V318" i="10" s="1"/>
  <c r="P23" i="11"/>
  <c r="V306" i="10"/>
  <c r="P22" i="11"/>
  <c r="DE144" i="10"/>
  <c r="DE145" i="10" s="1"/>
  <c r="DE140" i="10"/>
  <c r="AN147" i="10"/>
  <c r="AR125" i="10"/>
  <c r="AR105" i="10"/>
  <c r="AQ121" i="10"/>
  <c r="AQ120" i="10"/>
  <c r="DE128" i="10"/>
  <c r="DE130" i="10"/>
  <c r="DE132" i="10"/>
  <c r="DE134" i="10"/>
  <c r="AR281" i="10"/>
  <c r="DE288" i="10"/>
  <c r="DE290" i="10"/>
  <c r="AJ156" i="10"/>
  <c r="AJ155" i="10"/>
  <c r="AJ164" i="10" s="1"/>
  <c r="AJ165" i="10" s="1"/>
  <c r="AK141" i="10"/>
  <c r="AJ157" i="10"/>
  <c r="DD286" i="10" l="1"/>
  <c r="DD284" i="10"/>
  <c r="V300" i="10"/>
  <c r="V299" i="10"/>
  <c r="V319" i="10"/>
  <c r="P43" i="11"/>
  <c r="DF144" i="10"/>
  <c r="DF145" i="10" s="1"/>
  <c r="DF140" i="10"/>
  <c r="AN148" i="10"/>
  <c r="AR126" i="10"/>
  <c r="AR106" i="10"/>
  <c r="AR107" i="10" s="1"/>
  <c r="AQ162" i="10"/>
  <c r="DF128" i="10"/>
  <c r="DF130" i="10"/>
  <c r="DF132" i="10"/>
  <c r="DF134" i="10"/>
  <c r="AR282" i="10"/>
  <c r="DF288" i="10"/>
  <c r="DF290" i="10"/>
  <c r="AK149" i="10"/>
  <c r="AJ161" i="10"/>
  <c r="DE284" i="10" l="1"/>
  <c r="DE286" i="10"/>
  <c r="V305" i="10"/>
  <c r="V309" i="10" s="1"/>
  <c r="V303" i="10"/>
  <c r="P26" i="11" s="1"/>
  <c r="V301" i="10"/>
  <c r="V302" i="10"/>
  <c r="DG144" i="10"/>
  <c r="DG145" i="10" s="1"/>
  <c r="DG140" i="10"/>
  <c r="AO137" i="10"/>
  <c r="AS124" i="10"/>
  <c r="AR150" i="10"/>
  <c r="AR116" i="10"/>
  <c r="AQ163" i="10"/>
  <c r="DG128" i="10"/>
  <c r="DG130" i="10"/>
  <c r="DG132" i="10"/>
  <c r="DG134" i="10"/>
  <c r="AS280" i="10"/>
  <c r="DG288" i="10"/>
  <c r="DG290" i="10"/>
  <c r="AK153" i="10"/>
  <c r="AK154" i="10" s="1"/>
  <c r="DF286" i="10" l="1"/>
  <c r="DF284" i="10"/>
  <c r="V31" i="11"/>
  <c r="W296" i="10"/>
  <c r="W261" i="10" s="1"/>
  <c r="P31" i="11"/>
  <c r="V304" i="10"/>
  <c r="V25" i="11"/>
  <c r="V28" i="11"/>
  <c r="V310" i="10"/>
  <c r="DH144" i="10"/>
  <c r="DH145" i="10" s="1"/>
  <c r="DH140" i="10"/>
  <c r="AO147" i="10"/>
  <c r="AS125" i="10"/>
  <c r="AS105" i="10"/>
  <c r="AR121" i="10"/>
  <c r="AR120" i="10"/>
  <c r="DH128" i="10"/>
  <c r="DH130" i="10"/>
  <c r="DH132" i="10"/>
  <c r="DH134" i="10"/>
  <c r="AS281" i="10"/>
  <c r="DH288" i="10"/>
  <c r="DH290" i="10"/>
  <c r="AK156" i="10"/>
  <c r="AK155" i="10"/>
  <c r="AK164" i="10" s="1"/>
  <c r="AK165" i="10" s="1"/>
  <c r="AK157" i="10"/>
  <c r="AL141" i="10"/>
  <c r="DG286" i="10" l="1"/>
  <c r="DG284" i="10"/>
  <c r="W262" i="10"/>
  <c r="Q21" i="11"/>
  <c r="P30" i="11"/>
  <c r="W293" i="10"/>
  <c r="V312" i="10"/>
  <c r="P33" i="11" s="1"/>
  <c r="V313" i="10"/>
  <c r="V317" i="10" s="1"/>
  <c r="V311" i="10"/>
  <c r="V320" i="10" s="1"/>
  <c r="V321" i="10" s="1"/>
  <c r="V29" i="11"/>
  <c r="V44" i="11" s="1"/>
  <c r="DI144" i="10"/>
  <c r="DI145" i="10" s="1"/>
  <c r="DI140" i="10"/>
  <c r="AO148" i="10"/>
  <c r="AS126" i="10"/>
  <c r="AS106" i="10"/>
  <c r="AS107" i="10" s="1"/>
  <c r="AR162" i="10"/>
  <c r="DI128" i="10"/>
  <c r="DI130" i="10"/>
  <c r="DI132" i="10"/>
  <c r="DI134" i="10"/>
  <c r="AS282" i="10"/>
  <c r="DI288" i="10"/>
  <c r="DI290" i="10"/>
  <c r="AK161" i="10"/>
  <c r="AL149" i="10"/>
  <c r="DH286" i="10" l="1"/>
  <c r="DH284" i="10"/>
  <c r="W272" i="10"/>
  <c r="W263" i="10"/>
  <c r="C21" i="11"/>
  <c r="DJ144" i="10"/>
  <c r="DJ145" i="10" s="1"/>
  <c r="DJ140" i="10"/>
  <c r="AP137" i="10"/>
  <c r="F112" i="12"/>
  <c r="AT124" i="10"/>
  <c r="AS150" i="10"/>
  <c r="AS116" i="10"/>
  <c r="AR163" i="10"/>
  <c r="DJ128" i="10"/>
  <c r="DJ130" i="10"/>
  <c r="DJ132" i="10"/>
  <c r="DJ134" i="10"/>
  <c r="AT280" i="10"/>
  <c r="DJ288" i="10"/>
  <c r="DJ290" i="10"/>
  <c r="AL153" i="10"/>
  <c r="AL154" i="10" s="1"/>
  <c r="DI284" i="10" l="1"/>
  <c r="DI286" i="10"/>
  <c r="W297" i="10"/>
  <c r="W277" i="10"/>
  <c r="W276" i="10"/>
  <c r="W318" i="10" s="1"/>
  <c r="Q23" i="11"/>
  <c r="W306" i="10"/>
  <c r="Q22" i="11"/>
  <c r="DK144" i="10"/>
  <c r="DK145" i="10" s="1"/>
  <c r="DK140" i="10"/>
  <c r="AP147" i="10"/>
  <c r="AT125" i="10"/>
  <c r="AT105" i="10"/>
  <c r="AS121" i="10"/>
  <c r="AS120" i="10"/>
  <c r="DK128" i="10"/>
  <c r="DK130" i="10"/>
  <c r="DK132" i="10"/>
  <c r="DK134" i="10"/>
  <c r="AT281" i="10"/>
  <c r="DK288" i="10"/>
  <c r="DK290" i="10"/>
  <c r="AL156" i="10"/>
  <c r="AL157" i="10"/>
  <c r="AM141" i="10"/>
  <c r="AL155" i="10"/>
  <c r="AL164" i="10" s="1"/>
  <c r="AL165" i="10" s="1"/>
  <c r="DJ284" i="10" l="1"/>
  <c r="DJ286" i="10"/>
  <c r="W300" i="10"/>
  <c r="W299" i="10"/>
  <c r="W319" i="10"/>
  <c r="C23" i="11"/>
  <c r="C22" i="11"/>
  <c r="C43" i="11" s="1"/>
  <c r="Q43" i="11"/>
  <c r="DL144" i="10"/>
  <c r="DL145" i="10" s="1"/>
  <c r="DL140" i="10"/>
  <c r="AP148" i="10"/>
  <c r="AT126" i="10"/>
  <c r="AT106" i="10"/>
  <c r="AT107" i="10" s="1"/>
  <c r="AS162" i="10"/>
  <c r="DL128" i="10"/>
  <c r="DL130" i="10"/>
  <c r="DL132" i="10"/>
  <c r="DL134" i="10"/>
  <c r="AT282" i="10"/>
  <c r="DL288" i="10"/>
  <c r="DL290" i="10"/>
  <c r="AL161" i="10"/>
  <c r="AM149" i="10"/>
  <c r="DK286" i="10" l="1"/>
  <c r="DK284" i="10"/>
  <c r="W305" i="10"/>
  <c r="W309" i="10" s="1"/>
  <c r="W303" i="10"/>
  <c r="Q26" i="11" s="1"/>
  <c r="W301" i="10"/>
  <c r="W302" i="10"/>
  <c r="DM144" i="10"/>
  <c r="DM145" i="10" s="1"/>
  <c r="DM140" i="10"/>
  <c r="AQ137" i="10"/>
  <c r="AU124" i="10"/>
  <c r="AT150" i="10"/>
  <c r="AT116" i="10"/>
  <c r="AS163" i="10"/>
  <c r="DM128" i="10"/>
  <c r="DM130" i="10"/>
  <c r="DM132" i="10"/>
  <c r="DM134" i="10"/>
  <c r="AU280" i="10"/>
  <c r="DM288" i="10"/>
  <c r="DM290" i="10"/>
  <c r="AM153" i="10"/>
  <c r="AM154" i="10" s="1"/>
  <c r="DL286" i="10" l="1"/>
  <c r="DL284" i="10"/>
  <c r="C26" i="11"/>
  <c r="W31" i="11"/>
  <c r="X296" i="10"/>
  <c r="X261" i="10" s="1"/>
  <c r="Q31" i="11"/>
  <c r="C31" i="11" s="1"/>
  <c r="W304" i="10"/>
  <c r="W25" i="11"/>
  <c r="W28" i="11"/>
  <c r="W310" i="10"/>
  <c r="DN144" i="10"/>
  <c r="DN145" i="10" s="1"/>
  <c r="DN140" i="10"/>
  <c r="AQ147" i="10"/>
  <c r="AU125" i="10"/>
  <c r="AU105" i="10"/>
  <c r="AT121" i="10"/>
  <c r="AT120" i="10"/>
  <c r="DN128" i="10"/>
  <c r="DN130" i="10"/>
  <c r="DN132" i="10"/>
  <c r="DN134" i="10"/>
  <c r="AU281" i="10"/>
  <c r="DN288" i="10"/>
  <c r="DN290" i="10"/>
  <c r="AM156" i="10"/>
  <c r="AM155" i="10"/>
  <c r="AM164" i="10" s="1"/>
  <c r="AM165" i="10" s="1"/>
  <c r="AN141" i="10"/>
  <c r="AM157" i="10"/>
  <c r="DM286" i="10" l="1"/>
  <c r="DM284" i="10"/>
  <c r="X262" i="10"/>
  <c r="R21" i="11"/>
  <c r="Q30" i="11"/>
  <c r="C30" i="11" s="1"/>
  <c r="X293" i="10"/>
  <c r="W312" i="10"/>
  <c r="Q33" i="11" s="1"/>
  <c r="W313" i="10"/>
  <c r="W317" i="10" s="1"/>
  <c r="W311" i="10"/>
  <c r="W320" i="10" s="1"/>
  <c r="W321" i="10" s="1"/>
  <c r="W29" i="11"/>
  <c r="W44" i="11" s="1"/>
  <c r="DO144" i="10"/>
  <c r="DO145" i="10" s="1"/>
  <c r="DO140" i="10"/>
  <c r="AQ148" i="10"/>
  <c r="AU126" i="10"/>
  <c r="AU106" i="10"/>
  <c r="AU107" i="10" s="1"/>
  <c r="AT162" i="10"/>
  <c r="DO128" i="10"/>
  <c r="DO130" i="10"/>
  <c r="DO132" i="10"/>
  <c r="DO134" i="10"/>
  <c r="AU282" i="10"/>
  <c r="DO288" i="10"/>
  <c r="DO290" i="10"/>
  <c r="AN149" i="10"/>
  <c r="AM161" i="10"/>
  <c r="DN286" i="10" l="1"/>
  <c r="DN284" i="10"/>
  <c r="X272" i="10"/>
  <c r="X263" i="10"/>
  <c r="C33" i="11"/>
  <c r="DP144" i="10"/>
  <c r="DP145" i="10" s="1"/>
  <c r="DP140" i="10"/>
  <c r="AR137" i="10"/>
  <c r="AV124" i="10"/>
  <c r="AU150" i="10"/>
  <c r="AU116" i="10"/>
  <c r="AT163" i="10"/>
  <c r="DP128" i="10"/>
  <c r="DP130" i="10"/>
  <c r="DP132" i="10"/>
  <c r="DP134" i="10"/>
  <c r="AV280" i="10"/>
  <c r="DP288" i="10"/>
  <c r="DP290" i="10"/>
  <c r="AN153" i="10"/>
  <c r="AN154" i="10" s="1"/>
  <c r="DO286" i="10" l="1"/>
  <c r="DO284" i="10"/>
  <c r="X297" i="10"/>
  <c r="X277" i="10"/>
  <c r="X276" i="10"/>
  <c r="X318" i="10" s="1"/>
  <c r="R23" i="11"/>
  <c r="X306" i="10"/>
  <c r="R22" i="11"/>
  <c r="DQ144" i="10"/>
  <c r="DQ145" i="10" s="1"/>
  <c r="DQ140" i="10"/>
  <c r="AR147" i="10"/>
  <c r="AV125" i="10"/>
  <c r="AV105" i="10"/>
  <c r="AU121" i="10"/>
  <c r="AU120" i="10"/>
  <c r="DQ128" i="10"/>
  <c r="DQ130" i="10"/>
  <c r="DQ132" i="10"/>
  <c r="DQ134" i="10"/>
  <c r="AV281" i="10"/>
  <c r="DQ288" i="10"/>
  <c r="DQ290" i="10"/>
  <c r="AN156" i="10"/>
  <c r="AO141" i="10"/>
  <c r="AN155" i="10"/>
  <c r="AN164" i="10" s="1"/>
  <c r="AN157" i="10"/>
  <c r="DP286" i="10" l="1"/>
  <c r="DP284" i="10"/>
  <c r="X300" i="10"/>
  <c r="X299" i="10"/>
  <c r="X319" i="10"/>
  <c r="R43" i="11"/>
  <c r="DR144" i="10"/>
  <c r="DR145" i="10" s="1"/>
  <c r="DR140" i="10"/>
  <c r="AR148" i="10"/>
  <c r="AV126" i="10"/>
  <c r="AV106" i="10"/>
  <c r="AV107" i="10" s="1"/>
  <c r="AU162" i="10"/>
  <c r="DR128" i="10"/>
  <c r="DR130" i="10"/>
  <c r="DR132" i="10"/>
  <c r="DR134" i="10"/>
  <c r="AV282" i="10"/>
  <c r="DR288" i="10"/>
  <c r="DR290" i="10"/>
  <c r="AO149" i="10"/>
  <c r="AN161" i="10"/>
  <c r="AN165" i="10"/>
  <c r="DQ286" i="10" l="1"/>
  <c r="DQ284" i="10"/>
  <c r="X305" i="10"/>
  <c r="X309" i="10" s="1"/>
  <c r="X303" i="10"/>
  <c r="R26" i="11" s="1"/>
  <c r="X301" i="10"/>
  <c r="X302" i="10"/>
  <c r="DS144" i="10"/>
  <c r="DS145" i="10" s="1"/>
  <c r="DS140" i="10"/>
  <c r="AS137" i="10"/>
  <c r="AW124" i="10"/>
  <c r="AV150" i="10"/>
  <c r="AV116" i="10"/>
  <c r="AU163" i="10"/>
  <c r="DS128" i="10"/>
  <c r="DS130" i="10"/>
  <c r="DS132" i="10"/>
  <c r="DS134" i="10"/>
  <c r="AW280" i="10"/>
  <c r="DS288" i="10"/>
  <c r="DS290" i="10"/>
  <c r="AO153" i="10"/>
  <c r="AO154" i="10" s="1"/>
  <c r="DR286" i="10" l="1"/>
  <c r="DR284" i="10"/>
  <c r="X31" i="11"/>
  <c r="Y296" i="10"/>
  <c r="Y261" i="10" s="1"/>
  <c r="R31" i="11"/>
  <c r="X304" i="10"/>
  <c r="X25" i="11"/>
  <c r="X28" i="11"/>
  <c r="X310" i="10"/>
  <c r="DT144" i="10"/>
  <c r="DT145" i="10" s="1"/>
  <c r="DT140" i="10"/>
  <c r="AS147" i="10"/>
  <c r="AW125" i="10"/>
  <c r="AW105" i="10"/>
  <c r="AV121" i="10"/>
  <c r="AV120" i="10"/>
  <c r="DT128" i="10"/>
  <c r="DT130" i="10"/>
  <c r="DT132" i="10"/>
  <c r="DT134" i="10"/>
  <c r="AW281" i="10"/>
  <c r="DT288" i="10"/>
  <c r="DT290" i="10"/>
  <c r="AO156" i="10"/>
  <c r="AP141" i="10"/>
  <c r="AO157" i="10"/>
  <c r="F111" i="12"/>
  <c r="AO155" i="10"/>
  <c r="AO164" i="10" s="1"/>
  <c r="AO165" i="10" s="1"/>
  <c r="DS286" i="10" l="1"/>
  <c r="DS284" i="10"/>
  <c r="Y262" i="10"/>
  <c r="S21" i="11"/>
  <c r="R30" i="11"/>
  <c r="Y293" i="10"/>
  <c r="X313" i="10"/>
  <c r="X317" i="10" s="1"/>
  <c r="X312" i="10"/>
  <c r="R33" i="11" s="1"/>
  <c r="X311" i="10"/>
  <c r="X320" i="10" s="1"/>
  <c r="X321" i="10" s="1"/>
  <c r="X29" i="11"/>
  <c r="X44" i="11" s="1"/>
  <c r="DU144" i="10"/>
  <c r="DU145" i="10" s="1"/>
  <c r="DU140" i="10"/>
  <c r="AS148" i="10"/>
  <c r="AW126" i="10"/>
  <c r="AW106" i="10"/>
  <c r="AW107" i="10" s="1"/>
  <c r="AV162" i="10"/>
  <c r="DU128" i="10"/>
  <c r="DU130" i="10"/>
  <c r="DU132" i="10"/>
  <c r="DU134" i="10"/>
  <c r="AW282" i="10"/>
  <c r="DU288" i="10"/>
  <c r="DU290" i="10"/>
  <c r="AP149" i="10"/>
  <c r="AO161" i="10"/>
  <c r="DT284" i="10" l="1"/>
  <c r="DT286" i="10"/>
  <c r="Y272" i="10"/>
  <c r="Y263" i="10"/>
  <c r="DV144" i="10"/>
  <c r="DV145" i="10" s="1"/>
  <c r="DV140" i="10"/>
  <c r="AT137" i="10"/>
  <c r="AX124" i="10"/>
  <c r="AW150" i="10"/>
  <c r="AW116" i="10"/>
  <c r="AV163" i="10"/>
  <c r="DV128" i="10"/>
  <c r="E130" i="10"/>
  <c r="DV130" i="10"/>
  <c r="DV132" i="10"/>
  <c r="E134" i="10"/>
  <c r="DV134" i="10"/>
  <c r="AX280" i="10"/>
  <c r="DV288" i="10"/>
  <c r="E290" i="10"/>
  <c r="DV290" i="10"/>
  <c r="AP153" i="10"/>
  <c r="AP154" i="10" s="1"/>
  <c r="DU286" i="10" l="1"/>
  <c r="DU284" i="10"/>
  <c r="Y297" i="10"/>
  <c r="Y277" i="10"/>
  <c r="Y276" i="10"/>
  <c r="Y318" i="10" s="1"/>
  <c r="S23" i="11"/>
  <c r="Y306" i="10"/>
  <c r="S22" i="11"/>
  <c r="DW144" i="10"/>
  <c r="DW145" i="10" s="1"/>
  <c r="DW140" i="10"/>
  <c r="AT147" i="10"/>
  <c r="AX125" i="10"/>
  <c r="AX105" i="10"/>
  <c r="AW121" i="10"/>
  <c r="AW120" i="10"/>
  <c r="DW128" i="10"/>
  <c r="DW130" i="10"/>
  <c r="DW132" i="10"/>
  <c r="DW134" i="10"/>
  <c r="AX281" i="10"/>
  <c r="DW288" i="10"/>
  <c r="DW290" i="10"/>
  <c r="AP156" i="10"/>
  <c r="AP155" i="10"/>
  <c r="AP164" i="10" s="1"/>
  <c r="AP165" i="10" s="1"/>
  <c r="AQ141" i="10"/>
  <c r="AP157" i="10"/>
  <c r="DV286" i="10" l="1"/>
  <c r="E286" i="10"/>
  <c r="DV284" i="10"/>
  <c r="Y300" i="10"/>
  <c r="Y299" i="10"/>
  <c r="Y319" i="10"/>
  <c r="S43" i="11"/>
  <c r="DX144" i="10"/>
  <c r="DX145" i="10" s="1"/>
  <c r="DX140" i="10"/>
  <c r="AT148" i="10"/>
  <c r="AX126" i="10"/>
  <c r="AX106" i="10"/>
  <c r="AX107" i="10" s="1"/>
  <c r="AW162" i="10"/>
  <c r="DX128" i="10"/>
  <c r="DX130" i="10"/>
  <c r="DX132" i="10"/>
  <c r="DX134" i="10"/>
  <c r="AX282" i="10"/>
  <c r="DX288" i="10"/>
  <c r="DX290" i="10"/>
  <c r="AQ149" i="10"/>
  <c r="AP161" i="10"/>
  <c r="DW284" i="10" l="1"/>
  <c r="DW286" i="10"/>
  <c r="Y305" i="10"/>
  <c r="Y309" i="10" s="1"/>
  <c r="Y303" i="10"/>
  <c r="S26" i="11" s="1"/>
  <c r="Y301" i="10"/>
  <c r="Y302" i="10"/>
  <c r="DY144" i="10"/>
  <c r="DY145" i="10" s="1"/>
  <c r="DY140" i="10"/>
  <c r="AU137" i="10"/>
  <c r="AY124" i="10"/>
  <c r="AX150" i="10"/>
  <c r="AX116" i="10"/>
  <c r="AW163" i="10"/>
  <c r="DY128" i="10"/>
  <c r="DY130" i="10"/>
  <c r="DY132" i="10"/>
  <c r="DY134" i="10"/>
  <c r="AY280" i="10"/>
  <c r="DY288" i="10"/>
  <c r="DY290" i="10"/>
  <c r="AQ153" i="10"/>
  <c r="AQ154" i="10" s="1"/>
  <c r="DX286" i="10" l="1"/>
  <c r="DX284" i="10"/>
  <c r="Y31" i="11"/>
  <c r="Z296" i="10"/>
  <c r="Z261" i="10" s="1"/>
  <c r="S31" i="11"/>
  <c r="Y304" i="10"/>
  <c r="Y25" i="11"/>
  <c r="Y28" i="11"/>
  <c r="Y310" i="10"/>
  <c r="DZ144" i="10"/>
  <c r="DZ145" i="10" s="1"/>
  <c r="DZ140" i="10"/>
  <c r="AU147" i="10"/>
  <c r="AY125" i="10"/>
  <c r="AY105" i="10"/>
  <c r="AX121" i="10"/>
  <c r="AX120" i="10"/>
  <c r="DZ128" i="10"/>
  <c r="DZ130" i="10"/>
  <c r="DZ132" i="10"/>
  <c r="DZ134" i="10"/>
  <c r="AY281" i="10"/>
  <c r="DZ288" i="10"/>
  <c r="DZ290" i="10"/>
  <c r="AQ156" i="10"/>
  <c r="AQ157" i="10"/>
  <c r="AR141" i="10"/>
  <c r="AQ155" i="10"/>
  <c r="AQ164" i="10" s="1"/>
  <c r="AQ165" i="10" s="1"/>
  <c r="DY284" i="10" l="1"/>
  <c r="DY286" i="10"/>
  <c r="Z262" i="10"/>
  <c r="T21" i="11"/>
  <c r="S30" i="11"/>
  <c r="Z293" i="10"/>
  <c r="Y313" i="10"/>
  <c r="Y317" i="10" s="1"/>
  <c r="Y311" i="10"/>
  <c r="Y320" i="10" s="1"/>
  <c r="Y321" i="10" s="1"/>
  <c r="Y312" i="10"/>
  <c r="S33" i="11" s="1"/>
  <c r="Y29" i="11"/>
  <c r="Y44" i="11" s="1"/>
  <c r="EA144" i="10"/>
  <c r="EA145" i="10" s="1"/>
  <c r="EA140" i="10"/>
  <c r="AU148" i="10"/>
  <c r="AY126" i="10"/>
  <c r="AY106" i="10"/>
  <c r="AY107" i="10" s="1"/>
  <c r="AX162" i="10"/>
  <c r="EA128" i="10"/>
  <c r="EA130" i="10"/>
  <c r="EA132" i="10"/>
  <c r="EA134" i="10"/>
  <c r="AY282" i="10"/>
  <c r="EA288" i="10"/>
  <c r="EA290" i="10"/>
  <c r="AQ161" i="10"/>
  <c r="AR149" i="10"/>
  <c r="DZ286" i="10" l="1"/>
  <c r="DZ284" i="10"/>
  <c r="Z272" i="10"/>
  <c r="Z263" i="10"/>
  <c r="EB144" i="10"/>
  <c r="EB145" i="10" s="1"/>
  <c r="EB140" i="10"/>
  <c r="AV137" i="10"/>
  <c r="AZ124" i="10"/>
  <c r="AY150" i="10"/>
  <c r="AY116" i="10"/>
  <c r="AX163" i="10"/>
  <c r="EB128" i="10"/>
  <c r="EB130" i="10"/>
  <c r="EB132" i="10"/>
  <c r="EB134" i="10"/>
  <c r="AZ280" i="10"/>
  <c r="EB288" i="10"/>
  <c r="EB290" i="10"/>
  <c r="AR153" i="10"/>
  <c r="AR154" i="10" s="1"/>
  <c r="EA284" i="10" l="1"/>
  <c r="EA286" i="10"/>
  <c r="Z297" i="10"/>
  <c r="Z277" i="10"/>
  <c r="Z276" i="10"/>
  <c r="Z318" i="10" s="1"/>
  <c r="T23" i="11"/>
  <c r="Z306" i="10"/>
  <c r="T22" i="11"/>
  <c r="EC144" i="10"/>
  <c r="EC145" i="10" s="1"/>
  <c r="EC140" i="10"/>
  <c r="AV147" i="10"/>
  <c r="AZ125" i="10"/>
  <c r="AZ105" i="10"/>
  <c r="AY121" i="10"/>
  <c r="AY120" i="10"/>
  <c r="EC128" i="10"/>
  <c r="EC130" i="10"/>
  <c r="EC132" i="10"/>
  <c r="EC134" i="10"/>
  <c r="AZ281" i="10"/>
  <c r="EC288" i="10"/>
  <c r="EC290" i="10"/>
  <c r="AR156" i="10"/>
  <c r="AR157" i="10"/>
  <c r="AS141" i="10"/>
  <c r="AR155" i="10"/>
  <c r="AR164" i="10" s="1"/>
  <c r="AR165" i="10" s="1"/>
  <c r="EB286" i="10" l="1"/>
  <c r="EB284" i="10"/>
  <c r="Z300" i="10"/>
  <c r="Z299" i="10"/>
  <c r="Z319" i="10"/>
  <c r="T43" i="11"/>
  <c r="ED144" i="10"/>
  <c r="ED145" i="10" s="1"/>
  <c r="ED140" i="10"/>
  <c r="AV148" i="10"/>
  <c r="AZ126" i="10"/>
  <c r="AZ106" i="10"/>
  <c r="AZ107" i="10" s="1"/>
  <c r="AY162" i="10"/>
  <c r="ED128" i="10"/>
  <c r="ED130" i="10"/>
  <c r="ED132" i="10"/>
  <c r="ED134" i="10"/>
  <c r="AZ282" i="10"/>
  <c r="ED288" i="10"/>
  <c r="ED290" i="10"/>
  <c r="AR161" i="10"/>
  <c r="AS149" i="10"/>
  <c r="EC286" i="10" l="1"/>
  <c r="EC284" i="10"/>
  <c r="Z305" i="10"/>
  <c r="Z309" i="10" s="1"/>
  <c r="Z303" i="10"/>
  <c r="T26" i="11" s="1"/>
  <c r="Z301" i="10"/>
  <c r="Z302" i="10"/>
  <c r="EE144" i="10"/>
  <c r="EE145" i="10" s="1"/>
  <c r="EE140" i="10"/>
  <c r="AW137" i="10"/>
  <c r="BA124" i="10"/>
  <c r="AZ150" i="10"/>
  <c r="AZ116" i="10"/>
  <c r="AY163" i="10"/>
  <c r="EE128" i="10"/>
  <c r="EE130" i="10"/>
  <c r="EE132" i="10"/>
  <c r="EE134" i="10"/>
  <c r="BA280" i="10"/>
  <c r="EE288" i="10"/>
  <c r="EE290" i="10"/>
  <c r="AS153" i="10"/>
  <c r="AS154" i="10" s="1"/>
  <c r="ED286" i="10" l="1"/>
  <c r="ED284" i="10"/>
  <c r="Z28" i="11"/>
  <c r="Z310" i="10"/>
  <c r="Z31" i="11"/>
  <c r="AA296" i="10"/>
  <c r="AA261" i="10" s="1"/>
  <c r="T31" i="11"/>
  <c r="Z304" i="10"/>
  <c r="Z25" i="11"/>
  <c r="EF144" i="10"/>
  <c r="EF145" i="10" s="1"/>
  <c r="EF140" i="10"/>
  <c r="AW147" i="10"/>
  <c r="BA125" i="10"/>
  <c r="BA105" i="10"/>
  <c r="AZ121" i="10"/>
  <c r="AZ120" i="10"/>
  <c r="EF128" i="10"/>
  <c r="EF130" i="10"/>
  <c r="EF132" i="10"/>
  <c r="EF134" i="10"/>
  <c r="BA281" i="10"/>
  <c r="EF288" i="10"/>
  <c r="EF290" i="10"/>
  <c r="AS156" i="10"/>
  <c r="AT141" i="10"/>
  <c r="AS155" i="10"/>
  <c r="AS164" i="10" s="1"/>
  <c r="AS165" i="10" s="1"/>
  <c r="AS157" i="10"/>
  <c r="EE284" i="10" l="1"/>
  <c r="EE286" i="10"/>
  <c r="Z29" i="11"/>
  <c r="Z44" i="11" s="1"/>
  <c r="Z312" i="10"/>
  <c r="T33" i="11" s="1"/>
  <c r="Z311" i="10"/>
  <c r="Z320" i="10" s="1"/>
  <c r="Z321" i="10" s="1"/>
  <c r="Z313" i="10"/>
  <c r="Z317" i="10" s="1"/>
  <c r="AA262" i="10"/>
  <c r="U21" i="11"/>
  <c r="T30" i="11"/>
  <c r="AA293" i="10"/>
  <c r="EG144" i="10"/>
  <c r="EG145" i="10" s="1"/>
  <c r="EG140" i="10"/>
  <c r="AW148" i="10"/>
  <c r="BA126" i="10"/>
  <c r="BA106" i="10"/>
  <c r="BA107" i="10" s="1"/>
  <c r="AZ162" i="10"/>
  <c r="EG128" i="10"/>
  <c r="EG130" i="10"/>
  <c r="EG132" i="10"/>
  <c r="EG134" i="10"/>
  <c r="BA282" i="10"/>
  <c r="EG288" i="10"/>
  <c r="EG290" i="10"/>
  <c r="AT149" i="10"/>
  <c r="AS161" i="10"/>
  <c r="EF286" i="10" l="1"/>
  <c r="EF284" i="10"/>
  <c r="AA272" i="10"/>
  <c r="AA263" i="10"/>
  <c r="EH144" i="10"/>
  <c r="EH145" i="10" s="1"/>
  <c r="EH140" i="10"/>
  <c r="AX137" i="10"/>
  <c r="BB124" i="10"/>
  <c r="BA150" i="10"/>
  <c r="BB151" i="10" s="1"/>
  <c r="BC151" i="10" s="1"/>
  <c r="BD151" i="10" s="1"/>
  <c r="BE151" i="10" s="1"/>
  <c r="BA116" i="10"/>
  <c r="AZ163" i="10"/>
  <c r="EH128" i="10"/>
  <c r="EH130" i="10"/>
  <c r="EH132" i="10"/>
  <c r="EH134" i="10"/>
  <c r="BB280" i="10"/>
  <c r="EH288" i="10"/>
  <c r="EH290" i="10"/>
  <c r="AT153" i="10"/>
  <c r="AT154" i="10" s="1"/>
  <c r="EG286" i="10" l="1"/>
  <c r="EG284" i="10"/>
  <c r="AA297" i="10"/>
  <c r="AA277" i="10"/>
  <c r="AA276" i="10"/>
  <c r="AA318" i="10" s="1"/>
  <c r="U23" i="11"/>
  <c r="AA306" i="10"/>
  <c r="U22" i="11"/>
  <c r="EI144" i="10"/>
  <c r="EI145" i="10" s="1"/>
  <c r="EI140" i="10"/>
  <c r="AX147" i="10"/>
  <c r="BB125" i="10"/>
  <c r="BB105" i="10"/>
  <c r="BF151" i="10"/>
  <c r="BG151" i="10" s="1"/>
  <c r="BH151" i="10" s="1"/>
  <c r="BI151" i="10" s="1"/>
  <c r="BJ151" i="10" s="1"/>
  <c r="BK151" i="10" s="1"/>
  <c r="BL151" i="10" s="1"/>
  <c r="BM151" i="10" s="1"/>
  <c r="BE152" i="10"/>
  <c r="BA121" i="10"/>
  <c r="BA120" i="10"/>
  <c r="EI128" i="10"/>
  <c r="EI130" i="10"/>
  <c r="EI132" i="10"/>
  <c r="EI134" i="10"/>
  <c r="BB281" i="10"/>
  <c r="EI288" i="10"/>
  <c r="EI290" i="10"/>
  <c r="AT156" i="10"/>
  <c r="AT157" i="10"/>
  <c r="AT155" i="10"/>
  <c r="AT164" i="10" s="1"/>
  <c r="AT165" i="10" s="1"/>
  <c r="AU141" i="10"/>
  <c r="EH286" i="10" l="1"/>
  <c r="EH284" i="10"/>
  <c r="AA300" i="10"/>
  <c r="AA299" i="10"/>
  <c r="AA319" i="10"/>
  <c r="U43" i="11"/>
  <c r="EJ144" i="10"/>
  <c r="EJ145" i="10" s="1"/>
  <c r="EJ140" i="10"/>
  <c r="AX148" i="10"/>
  <c r="BB126" i="10"/>
  <c r="BB106" i="10"/>
  <c r="BB107" i="10" s="1"/>
  <c r="BA162" i="10"/>
  <c r="EJ128" i="10"/>
  <c r="EJ130" i="10"/>
  <c r="EJ132" i="10"/>
  <c r="EJ134" i="10"/>
  <c r="BB282" i="10"/>
  <c r="EJ288" i="10"/>
  <c r="EJ290" i="10"/>
  <c r="AT161" i="10"/>
  <c r="AU149" i="10"/>
  <c r="EI286" i="10" l="1"/>
  <c r="EI284" i="10"/>
  <c r="AA305" i="10"/>
  <c r="AA309" i="10" s="1"/>
  <c r="AA303" i="10"/>
  <c r="U26" i="11" s="1"/>
  <c r="AA301" i="10"/>
  <c r="AA302" i="10"/>
  <c r="EK144" i="10"/>
  <c r="EK145" i="10" s="1"/>
  <c r="EK140" i="10"/>
  <c r="AY137" i="10"/>
  <c r="BC124" i="10"/>
  <c r="BB150" i="10"/>
  <c r="BB116" i="10"/>
  <c r="BA163" i="10"/>
  <c r="EK128" i="10"/>
  <c r="EK130" i="10"/>
  <c r="EK132" i="10"/>
  <c r="EK134" i="10"/>
  <c r="BC280" i="10"/>
  <c r="EK288" i="10"/>
  <c r="EK290" i="10"/>
  <c r="AU153" i="10"/>
  <c r="AU154" i="10" s="1"/>
  <c r="EJ286" i="10" l="1"/>
  <c r="EJ284" i="10"/>
  <c r="AA31" i="11"/>
  <c r="AB296" i="10"/>
  <c r="AB261" i="10" s="1"/>
  <c r="AA304" i="10"/>
  <c r="AA25" i="11"/>
  <c r="AA28" i="11"/>
  <c r="AA310" i="10"/>
  <c r="EL144" i="10"/>
  <c r="EL145" i="10" s="1"/>
  <c r="EL140" i="10"/>
  <c r="AY147" i="10"/>
  <c r="BC125" i="10"/>
  <c r="BC105" i="10"/>
  <c r="BB121" i="10"/>
  <c r="BB120" i="10"/>
  <c r="EL128" i="10"/>
  <c r="EL130" i="10"/>
  <c r="EL132" i="10"/>
  <c r="EL134" i="10"/>
  <c r="BC281" i="10"/>
  <c r="EL288" i="10"/>
  <c r="EL290" i="10"/>
  <c r="AU156" i="10"/>
  <c r="AU155" i="10"/>
  <c r="AU164" i="10" s="1"/>
  <c r="AU165" i="10" s="1"/>
  <c r="AV141" i="10"/>
  <c r="AU157" i="10"/>
  <c r="EK284" i="10" l="1"/>
  <c r="EK286" i="10"/>
  <c r="AB262" i="10"/>
  <c r="V21" i="11"/>
  <c r="U30" i="11"/>
  <c r="AB293" i="10"/>
  <c r="AA311" i="10"/>
  <c r="AA320" i="10" s="1"/>
  <c r="AA321" i="10" s="1"/>
  <c r="AA312" i="10"/>
  <c r="U33" i="11" s="1"/>
  <c r="AA313" i="10"/>
  <c r="AA317" i="10" s="1"/>
  <c r="AA29" i="11"/>
  <c r="AA44" i="11" s="1"/>
  <c r="EM144" i="10"/>
  <c r="EM145" i="10" s="1"/>
  <c r="EM140" i="10"/>
  <c r="AY148" i="10"/>
  <c r="BC126" i="10"/>
  <c r="BC106" i="10"/>
  <c r="BC107" i="10" s="1"/>
  <c r="BB162" i="10"/>
  <c r="EM128" i="10"/>
  <c r="EM130" i="10"/>
  <c r="EM132" i="10"/>
  <c r="EM134" i="10"/>
  <c r="BC282" i="10"/>
  <c r="EM288" i="10"/>
  <c r="EM290" i="10"/>
  <c r="AV149" i="10"/>
  <c r="AU161" i="10"/>
  <c r="EL286" i="10" l="1"/>
  <c r="EL284" i="10"/>
  <c r="AB272" i="10"/>
  <c r="AB263" i="10"/>
  <c r="EN144" i="10"/>
  <c r="EN145" i="10" s="1"/>
  <c r="EN140" i="10"/>
  <c r="AZ137" i="10"/>
  <c r="BD124" i="10"/>
  <c r="BC150" i="10"/>
  <c r="BC116" i="10"/>
  <c r="BB163" i="10"/>
  <c r="EN128" i="10"/>
  <c r="EN130" i="10"/>
  <c r="EN132" i="10"/>
  <c r="EN134" i="10"/>
  <c r="BD280" i="10"/>
  <c r="EN288" i="10"/>
  <c r="EN290" i="10"/>
  <c r="AV153" i="10"/>
  <c r="AV154" i="10" s="1"/>
  <c r="EM286" i="10" l="1"/>
  <c r="EM284" i="10"/>
  <c r="AB297" i="10"/>
  <c r="AB277" i="10"/>
  <c r="AB276" i="10"/>
  <c r="AB318" i="10" s="1"/>
  <c r="V23" i="11"/>
  <c r="AB306" i="10"/>
  <c r="V22" i="11"/>
  <c r="EO144" i="10"/>
  <c r="EO145" i="10" s="1"/>
  <c r="EO140" i="10"/>
  <c r="AZ147" i="10"/>
  <c r="BD125" i="10"/>
  <c r="BD105" i="10"/>
  <c r="BC121" i="10"/>
  <c r="BC120" i="10"/>
  <c r="EO128" i="10"/>
  <c r="EO130" i="10"/>
  <c r="EO132" i="10"/>
  <c r="EO134" i="10"/>
  <c r="BD281" i="10"/>
  <c r="EO288" i="10"/>
  <c r="EO290" i="10"/>
  <c r="AV156" i="10"/>
  <c r="AV155" i="10"/>
  <c r="AV164" i="10" s="1"/>
  <c r="AV165" i="10" s="1"/>
  <c r="AV157" i="10"/>
  <c r="AW141" i="10"/>
  <c r="EN284" i="10" l="1"/>
  <c r="EN286" i="10"/>
  <c r="AB300" i="10"/>
  <c r="AB299" i="10"/>
  <c r="AB319" i="10"/>
  <c r="V43" i="11"/>
  <c r="EP144" i="10"/>
  <c r="EP145" i="10" s="1"/>
  <c r="EP140" i="10"/>
  <c r="AZ148" i="10"/>
  <c r="BD126" i="10"/>
  <c r="BD106" i="10"/>
  <c r="BD107" i="10" s="1"/>
  <c r="BC162" i="10"/>
  <c r="EP128" i="10"/>
  <c r="EP130" i="10"/>
  <c r="EP132" i="10"/>
  <c r="EP134" i="10"/>
  <c r="BD282" i="10"/>
  <c r="EP288" i="10"/>
  <c r="EP290" i="10"/>
  <c r="AV161" i="10"/>
  <c r="AW149" i="10"/>
  <c r="AB305" i="10" l="1"/>
  <c r="AB309" i="10" s="1"/>
  <c r="EO286" i="10"/>
  <c r="EO284" i="10"/>
  <c r="AB303" i="10"/>
  <c r="V26" i="11" s="1"/>
  <c r="AB301" i="10"/>
  <c r="AB302" i="10"/>
  <c r="EQ144" i="10"/>
  <c r="EQ145" i="10" s="1"/>
  <c r="EQ140" i="10"/>
  <c r="BA137" i="10"/>
  <c r="BE124" i="10"/>
  <c r="BD150" i="10"/>
  <c r="BD116" i="10"/>
  <c r="BC163" i="10"/>
  <c r="EQ128" i="10"/>
  <c r="EQ130" i="10"/>
  <c r="EQ132" i="10"/>
  <c r="EQ134" i="10"/>
  <c r="BE280" i="10"/>
  <c r="EQ288" i="10"/>
  <c r="EQ290" i="10"/>
  <c r="AW153" i="10"/>
  <c r="AW154" i="10" s="1"/>
  <c r="EP286" i="10" l="1"/>
  <c r="EP284" i="10"/>
  <c r="AB31" i="11"/>
  <c r="AC296" i="10"/>
  <c r="AC261" i="10" s="1"/>
  <c r="AB304" i="10"/>
  <c r="AB25" i="11"/>
  <c r="AB28" i="11"/>
  <c r="AB310" i="10"/>
  <c r="ER144" i="10"/>
  <c r="ER145" i="10" s="1"/>
  <c r="ER140" i="10"/>
  <c r="BA147" i="10"/>
  <c r="BE125" i="10"/>
  <c r="BE105" i="10"/>
  <c r="BD121" i="10"/>
  <c r="BD120" i="10"/>
  <c r="ER128" i="10"/>
  <c r="ER130" i="10"/>
  <c r="ER132" i="10"/>
  <c r="ER134" i="10"/>
  <c r="BE281" i="10"/>
  <c r="ER288" i="10"/>
  <c r="ER290" i="10"/>
  <c r="AW156" i="10"/>
  <c r="AW155" i="10"/>
  <c r="AW164" i="10" s="1"/>
  <c r="AW165" i="10" s="1"/>
  <c r="AW157" i="10"/>
  <c r="AX141" i="10"/>
  <c r="EQ286" i="10" l="1"/>
  <c r="EQ284" i="10"/>
  <c r="AC262" i="10"/>
  <c r="W21" i="11"/>
  <c r="V30" i="11"/>
  <c r="AC293" i="10"/>
  <c r="AB312" i="10"/>
  <c r="V33" i="11" s="1"/>
  <c r="AB313" i="10"/>
  <c r="AB317" i="10" s="1"/>
  <c r="AB311" i="10"/>
  <c r="AB320" i="10" s="1"/>
  <c r="AB321" i="10" s="1"/>
  <c r="AB29" i="11"/>
  <c r="AB44" i="11" s="1"/>
  <c r="ES144" i="10"/>
  <c r="ES140" i="10"/>
  <c r="E140" i="10" s="1"/>
  <c r="BA148" i="10"/>
  <c r="BE126" i="10"/>
  <c r="BE106" i="10"/>
  <c r="BE107" i="10" s="1"/>
  <c r="BD162" i="10"/>
  <c r="ES128" i="10"/>
  <c r="E128" i="10" s="1"/>
  <c r="ES130" i="10"/>
  <c r="ES132" i="10"/>
  <c r="E132" i="10" s="1"/>
  <c r="ES134" i="10"/>
  <c r="BE282" i="10"/>
  <c r="ES288" i="10"/>
  <c r="E288" i="10" s="1"/>
  <c r="ES290" i="10"/>
  <c r="AW161" i="10"/>
  <c r="AX149" i="10"/>
  <c r="ER286" i="10" l="1"/>
  <c r="ER284" i="10"/>
  <c r="AC272" i="10"/>
  <c r="AC263" i="10"/>
  <c r="BB137" i="10"/>
  <c r="G112" i="12"/>
  <c r="BF124" i="10"/>
  <c r="BE116" i="10"/>
  <c r="BE150" i="10"/>
  <c r="BD163" i="10"/>
  <c r="BF280" i="10"/>
  <c r="AX153" i="10"/>
  <c r="AX154" i="10" s="1"/>
  <c r="E144" i="10"/>
  <c r="ES145" i="10"/>
  <c r="E145" i="10" s="1"/>
  <c r="C18" i="12" s="1"/>
  <c r="ES286" i="10" l="1"/>
  <c r="ES284" i="10"/>
  <c r="E284" i="10" s="1"/>
  <c r="AC297" i="10"/>
  <c r="AC277" i="10"/>
  <c r="AC276" i="10"/>
  <c r="AC318" i="10" s="1"/>
  <c r="W23" i="11"/>
  <c r="AC306" i="10"/>
  <c r="AD307" i="10" s="1"/>
  <c r="AE307" i="10" s="1"/>
  <c r="AF307" i="10" s="1"/>
  <c r="AG307" i="10" s="1"/>
  <c r="W22" i="11"/>
  <c r="BB147" i="10"/>
  <c r="BF125" i="10"/>
  <c r="BF105" i="10"/>
  <c r="BE121" i="10"/>
  <c r="BE120" i="10"/>
  <c r="BF281" i="10"/>
  <c r="AX156" i="10"/>
  <c r="AX157" i="10"/>
  <c r="AY141" i="10"/>
  <c r="AX155" i="10"/>
  <c r="AX164" i="10" s="1"/>
  <c r="AX165" i="10" s="1"/>
  <c r="AC300" i="10" l="1"/>
  <c r="AC299" i="10"/>
  <c r="AC319" i="10"/>
  <c r="AH307" i="10"/>
  <c r="AI307" i="10" s="1"/>
  <c r="AJ307" i="10" s="1"/>
  <c r="AK307" i="10" s="1"/>
  <c r="AL307" i="10" s="1"/>
  <c r="AM307" i="10" s="1"/>
  <c r="AN307" i="10" s="1"/>
  <c r="AO307" i="10" s="1"/>
  <c r="AG308" i="10"/>
  <c r="W43" i="11"/>
  <c r="BB148" i="10"/>
  <c r="BF126" i="10"/>
  <c r="BF106" i="10"/>
  <c r="BF107" i="10" s="1"/>
  <c r="BE162" i="10"/>
  <c r="BF282" i="10"/>
  <c r="AX161" i="10"/>
  <c r="AY149" i="10"/>
  <c r="AC305" i="10" l="1"/>
  <c r="AC309" i="10" s="1"/>
  <c r="AC303" i="10"/>
  <c r="W26" i="11" s="1"/>
  <c r="AC301" i="10"/>
  <c r="AC302" i="10"/>
  <c r="BC137" i="10"/>
  <c r="BG124" i="10"/>
  <c r="BF150" i="10"/>
  <c r="BF116" i="10"/>
  <c r="BE163" i="10"/>
  <c r="BG280" i="10"/>
  <c r="AY153" i="10"/>
  <c r="AY154" i="10" s="1"/>
  <c r="E63" i="12" l="1"/>
  <c r="AD296" i="10"/>
  <c r="AD261" i="10" s="1"/>
  <c r="AC304" i="10"/>
  <c r="AC25" i="11"/>
  <c r="AC28" i="11"/>
  <c r="AC310" i="10"/>
  <c r="BC147" i="10"/>
  <c r="BG125" i="10"/>
  <c r="BG105" i="10"/>
  <c r="BF121" i="10"/>
  <c r="BF120" i="10"/>
  <c r="BG281" i="10"/>
  <c r="AY156" i="10"/>
  <c r="AY155" i="10"/>
  <c r="AY164" i="10" s="1"/>
  <c r="AY157" i="10"/>
  <c r="AZ141" i="10"/>
  <c r="AD262" i="10" l="1"/>
  <c r="X21" i="11"/>
  <c r="W30" i="11"/>
  <c r="E62" i="12"/>
  <c r="AD293" i="10"/>
  <c r="E25" i="11"/>
  <c r="D25" i="11"/>
  <c r="D28" i="11"/>
  <c r="E28" i="11"/>
  <c r="AC312" i="10"/>
  <c r="W33" i="11" s="1"/>
  <c r="AC313" i="10"/>
  <c r="AC317" i="10" s="1"/>
  <c r="AC311" i="10"/>
  <c r="AC320" i="10" s="1"/>
  <c r="AC321" i="10" s="1"/>
  <c r="E61" i="12"/>
  <c r="E152" i="12" s="1"/>
  <c r="AC29" i="11"/>
  <c r="BC148" i="10"/>
  <c r="BG126" i="10"/>
  <c r="BG106" i="10"/>
  <c r="BG107" i="10" s="1"/>
  <c r="BF162" i="10"/>
  <c r="BG282" i="10"/>
  <c r="AY161" i="10"/>
  <c r="AZ149" i="10"/>
  <c r="AY165" i="10"/>
  <c r="AD272" i="10" l="1"/>
  <c r="AD263" i="10"/>
  <c r="AC44" i="11"/>
  <c r="E29" i="11"/>
  <c r="E44" i="11" s="1"/>
  <c r="D29" i="11"/>
  <c r="D44" i="11" s="1"/>
  <c r="BD137" i="10"/>
  <c r="BH124" i="10"/>
  <c r="BG116" i="10"/>
  <c r="BG150" i="10"/>
  <c r="BF163" i="10"/>
  <c r="BH280" i="10"/>
  <c r="AZ153" i="10"/>
  <c r="AZ154" i="10" s="1"/>
  <c r="AD297" i="10" l="1"/>
  <c r="AD277" i="10"/>
  <c r="AD276" i="10"/>
  <c r="AD318" i="10" s="1"/>
  <c r="X23" i="11"/>
  <c r="AD306" i="10"/>
  <c r="X22" i="11"/>
  <c r="BD147" i="10"/>
  <c r="BH125" i="10"/>
  <c r="BH105" i="10"/>
  <c r="BG121" i="10"/>
  <c r="BG120" i="10"/>
  <c r="BH281" i="10"/>
  <c r="AZ156" i="10"/>
  <c r="AZ157" i="10"/>
  <c r="AZ155" i="10"/>
  <c r="AZ164" i="10" s="1"/>
  <c r="AZ165" i="10" s="1"/>
  <c r="BA141" i="10"/>
  <c r="AD300" i="10" l="1"/>
  <c r="AD299" i="10"/>
  <c r="AD319" i="10"/>
  <c r="X43" i="11"/>
  <c r="BD148" i="10"/>
  <c r="BH126" i="10"/>
  <c r="BH106" i="10"/>
  <c r="BH107" i="10" s="1"/>
  <c r="BG162" i="10"/>
  <c r="BH282" i="10"/>
  <c r="AZ161" i="10"/>
  <c r="BA149" i="10"/>
  <c r="AD305" i="10" l="1"/>
  <c r="AD309" i="10" s="1"/>
  <c r="AD310" i="10" s="1"/>
  <c r="AD303" i="10"/>
  <c r="X26" i="11" s="1"/>
  <c r="AD301" i="10"/>
  <c r="AD302" i="10"/>
  <c r="BE137" i="10"/>
  <c r="BI124" i="10"/>
  <c r="BH150" i="10"/>
  <c r="BH116" i="10"/>
  <c r="BG163" i="10"/>
  <c r="BI280" i="10"/>
  <c r="BA153" i="10"/>
  <c r="BA154" i="10" s="1"/>
  <c r="AD311" i="10" l="1"/>
  <c r="AD320" i="10" s="1"/>
  <c r="AD313" i="10"/>
  <c r="AD317" i="10" s="1"/>
  <c r="AD312" i="10"/>
  <c r="X33" i="11" s="1"/>
  <c r="AE296" i="10"/>
  <c r="AE261" i="10" s="1"/>
  <c r="AD304" i="10"/>
  <c r="BE147" i="10"/>
  <c r="BI125" i="10"/>
  <c r="BI105" i="10"/>
  <c r="BH121" i="10"/>
  <c r="BH120" i="10"/>
  <c r="BI281" i="10"/>
  <c r="BA156" i="10"/>
  <c r="BA157" i="10"/>
  <c r="BB141" i="10"/>
  <c r="BA155" i="10"/>
  <c r="BA164" i="10" s="1"/>
  <c r="BA165" i="10" s="1"/>
  <c r="G111" i="12"/>
  <c r="AE262" i="10" l="1"/>
  <c r="Y21" i="11"/>
  <c r="X30" i="11"/>
  <c r="AE293" i="10"/>
  <c r="AD321" i="10"/>
  <c r="BE148" i="10"/>
  <c r="BI126" i="10"/>
  <c r="BI106" i="10"/>
  <c r="BI107" i="10" s="1"/>
  <c r="BH162" i="10"/>
  <c r="BI282" i="10"/>
  <c r="BA161" i="10"/>
  <c r="BB149" i="10"/>
  <c r="AE272" i="10" l="1"/>
  <c r="AE263" i="10"/>
  <c r="BF137" i="10"/>
  <c r="BJ124" i="10"/>
  <c r="BI150" i="10"/>
  <c r="BI116" i="10"/>
  <c r="BH163" i="10"/>
  <c r="BJ280" i="10"/>
  <c r="BB153" i="10"/>
  <c r="BB154" i="10" s="1"/>
  <c r="AE297" i="10" l="1"/>
  <c r="AE277" i="10"/>
  <c r="AE276" i="10"/>
  <c r="AE318" i="10" s="1"/>
  <c r="Y23" i="11"/>
  <c r="AE306" i="10"/>
  <c r="Y22" i="11"/>
  <c r="BF147" i="10"/>
  <c r="BJ125" i="10"/>
  <c r="BJ105" i="10"/>
  <c r="BI121" i="10"/>
  <c r="BI120" i="10"/>
  <c r="BJ281" i="10"/>
  <c r="BB156" i="10"/>
  <c r="BB157" i="10"/>
  <c r="BB155" i="10"/>
  <c r="BB164" i="10" s="1"/>
  <c r="BC141" i="10"/>
  <c r="AE300" i="10" l="1"/>
  <c r="AE299" i="10"/>
  <c r="AE319" i="10"/>
  <c r="Y43" i="11"/>
  <c r="BF148" i="10"/>
  <c r="BJ126" i="10"/>
  <c r="BJ106" i="10"/>
  <c r="BJ107" i="10" s="1"/>
  <c r="BI162" i="10"/>
  <c r="BJ282" i="10"/>
  <c r="BB161" i="10"/>
  <c r="BC149" i="10"/>
  <c r="BB165" i="10"/>
  <c r="AE305" i="10" l="1"/>
  <c r="AE309" i="10" s="1"/>
  <c r="AE310" i="10" s="1"/>
  <c r="AE303" i="10"/>
  <c r="Y26" i="11" s="1"/>
  <c r="AE301" i="10"/>
  <c r="AE302" i="10"/>
  <c r="BG137" i="10"/>
  <c r="BK124" i="10"/>
  <c r="BJ150" i="10"/>
  <c r="BJ116" i="10"/>
  <c r="BI163" i="10"/>
  <c r="BK280" i="10"/>
  <c r="BC153" i="10"/>
  <c r="BC154" i="10" s="1"/>
  <c r="AE313" i="10" l="1"/>
  <c r="AE317" i="10" s="1"/>
  <c r="AE311" i="10"/>
  <c r="AE320" i="10" s="1"/>
  <c r="AE312" i="10"/>
  <c r="Y33" i="11" s="1"/>
  <c r="AF296" i="10"/>
  <c r="AF261" i="10" s="1"/>
  <c r="AE304" i="10"/>
  <c r="BG147" i="10"/>
  <c r="BK125" i="10"/>
  <c r="BK105" i="10"/>
  <c r="BJ121" i="10"/>
  <c r="BJ120" i="10"/>
  <c r="BK281" i="10"/>
  <c r="BC156" i="10"/>
  <c r="BC157" i="10"/>
  <c r="BD141" i="10"/>
  <c r="BC155" i="10"/>
  <c r="BC164" i="10" s="1"/>
  <c r="AF262" i="10" l="1"/>
  <c r="Z21" i="11"/>
  <c r="Y30" i="11"/>
  <c r="AF293" i="10"/>
  <c r="AE321" i="10"/>
  <c r="BG148" i="10"/>
  <c r="BK126" i="10"/>
  <c r="BK106" i="10"/>
  <c r="BK107" i="10" s="1"/>
  <c r="BJ162" i="10"/>
  <c r="BK282" i="10"/>
  <c r="BC161" i="10"/>
  <c r="BD149" i="10"/>
  <c r="BC165" i="10"/>
  <c r="AF272" i="10" l="1"/>
  <c r="AF263" i="10"/>
  <c r="BH137" i="10"/>
  <c r="BL124" i="10"/>
  <c r="BK150" i="10"/>
  <c r="BK116" i="10"/>
  <c r="BJ163" i="10"/>
  <c r="BL280" i="10"/>
  <c r="BD153" i="10"/>
  <c r="BD154" i="10" s="1"/>
  <c r="AF297" i="10" l="1"/>
  <c r="AF277" i="10"/>
  <c r="AF276" i="10"/>
  <c r="AF318" i="10" s="1"/>
  <c r="Z23" i="11"/>
  <c r="AF306" i="10"/>
  <c r="Z22" i="11"/>
  <c r="BH147" i="10"/>
  <c r="BL125" i="10"/>
  <c r="BL105" i="10"/>
  <c r="BK121" i="10"/>
  <c r="BK120" i="10"/>
  <c r="BL281" i="10"/>
  <c r="BD156" i="10"/>
  <c r="BE141" i="10"/>
  <c r="BD157" i="10"/>
  <c r="BD155" i="10"/>
  <c r="BD164" i="10" s="1"/>
  <c r="AF300" i="10" l="1"/>
  <c r="AF299" i="10"/>
  <c r="AF319" i="10"/>
  <c r="Z43" i="11"/>
  <c r="BH148" i="10"/>
  <c r="BL126" i="10"/>
  <c r="BL106" i="10"/>
  <c r="BL107" i="10" s="1"/>
  <c r="BK162" i="10"/>
  <c r="BL282" i="10"/>
  <c r="BE149" i="10"/>
  <c r="BD161" i="10"/>
  <c r="BD165" i="10"/>
  <c r="AF305" i="10" l="1"/>
  <c r="AF309" i="10" s="1"/>
  <c r="AF310" i="10" s="1"/>
  <c r="AF303" i="10"/>
  <c r="Z26" i="11" s="1"/>
  <c r="AF301" i="10"/>
  <c r="AF302" i="10"/>
  <c r="BI137" i="10"/>
  <c r="BM124" i="10"/>
  <c r="BM125" i="10"/>
  <c r="BL150" i="10"/>
  <c r="BL116" i="10"/>
  <c r="BK163" i="10"/>
  <c r="BM280" i="10"/>
  <c r="BM281" i="10" s="1"/>
  <c r="BE153" i="10"/>
  <c r="BE154" i="10" s="1"/>
  <c r="AF313" i="10" l="1"/>
  <c r="AF317" i="10" s="1"/>
  <c r="AF311" i="10"/>
  <c r="AF320" i="10" s="1"/>
  <c r="AF312" i="10"/>
  <c r="Z33" i="11" s="1"/>
  <c r="AG296" i="10"/>
  <c r="AG261" i="10" s="1"/>
  <c r="AF304" i="10"/>
  <c r="BM282" i="10"/>
  <c r="BI147" i="10"/>
  <c r="BM105" i="10"/>
  <c r="BL121" i="10"/>
  <c r="BL120" i="10"/>
  <c r="BE156" i="10"/>
  <c r="BE157" i="10"/>
  <c r="BE155" i="10"/>
  <c r="BE164" i="10" s="1"/>
  <c r="BF141" i="10"/>
  <c r="E125" i="10"/>
  <c r="BM126" i="10"/>
  <c r="AF321" i="10" l="1"/>
  <c r="AG262" i="10"/>
  <c r="AA21" i="11"/>
  <c r="Z30" i="11"/>
  <c r="AG293" i="10"/>
  <c r="BN280" i="10"/>
  <c r="BI148" i="10"/>
  <c r="BM106" i="10"/>
  <c r="BM107" i="10" s="1"/>
  <c r="BL162" i="10"/>
  <c r="BE161" i="10"/>
  <c r="BF149" i="10"/>
  <c r="BN126" i="10"/>
  <c r="BN124" i="10"/>
  <c r="BE165" i="10"/>
  <c r="AG272" i="10" l="1"/>
  <c r="AG263" i="10"/>
  <c r="BN281" i="10"/>
  <c r="BJ137" i="10"/>
  <c r="BM150" i="10"/>
  <c r="BN151" i="10" s="1"/>
  <c r="BO151" i="10" s="1"/>
  <c r="BP151" i="10" s="1"/>
  <c r="BQ151" i="10" s="1"/>
  <c r="BM116" i="10"/>
  <c r="BL163" i="10"/>
  <c r="BF153" i="10"/>
  <c r="BF154" i="10" s="1"/>
  <c r="BO124" i="10"/>
  <c r="BO105" i="10" s="1"/>
  <c r="BO126" i="10"/>
  <c r="BN105" i="10"/>
  <c r="AG297" i="10" l="1"/>
  <c r="AG277" i="10"/>
  <c r="AG276" i="10"/>
  <c r="AG318" i="10" s="1"/>
  <c r="AA23" i="11"/>
  <c r="AG306" i="10"/>
  <c r="AA22" i="11"/>
  <c r="BN282" i="10"/>
  <c r="BJ147" i="10"/>
  <c r="BQ152" i="10"/>
  <c r="BR151" i="10"/>
  <c r="BS151" i="10" s="1"/>
  <c r="BT151" i="10" s="1"/>
  <c r="BU151" i="10" s="1"/>
  <c r="BV151" i="10" s="1"/>
  <c r="BW151" i="10" s="1"/>
  <c r="BX151" i="10" s="1"/>
  <c r="BY151" i="10" s="1"/>
  <c r="BM121" i="10"/>
  <c r="BM120" i="10"/>
  <c r="BF156" i="10"/>
  <c r="BF157" i="10"/>
  <c r="BG141" i="10"/>
  <c r="BF155" i="10"/>
  <c r="BF164" i="10" s="1"/>
  <c r="BO106" i="10"/>
  <c r="BP124" i="10"/>
  <c r="BP126" i="10"/>
  <c r="BN106" i="10"/>
  <c r="BN107" i="10" s="1"/>
  <c r="AG300" i="10" l="1"/>
  <c r="AG299" i="10"/>
  <c r="AG319" i="10"/>
  <c r="AA43" i="11"/>
  <c r="BO280" i="10"/>
  <c r="BJ148" i="10"/>
  <c r="BM162" i="10"/>
  <c r="BF161" i="10"/>
  <c r="BG149" i="10"/>
  <c r="BP105" i="10"/>
  <c r="BQ124" i="10"/>
  <c r="BQ126" i="10"/>
  <c r="BN116" i="10"/>
  <c r="BN121" i="10" s="1"/>
  <c r="BN150" i="10"/>
  <c r="BF165" i="10"/>
  <c r="BO116" i="10"/>
  <c r="BO120" i="10" s="1"/>
  <c r="BO107" i="10"/>
  <c r="AG305" i="10" l="1"/>
  <c r="AG309" i="10" s="1"/>
  <c r="AG310" i="10" s="1"/>
  <c r="AG303" i="10"/>
  <c r="AA26" i="11" s="1"/>
  <c r="AG301" i="10"/>
  <c r="AG302" i="10"/>
  <c r="BO281" i="10"/>
  <c r="BO150" i="10"/>
  <c r="BK137" i="10"/>
  <c r="BM163" i="10"/>
  <c r="BG153" i="10"/>
  <c r="BG154" i="10" s="1"/>
  <c r="BP106" i="10"/>
  <c r="BP107" i="10" s="1"/>
  <c r="BR124" i="10"/>
  <c r="BR105" i="10" s="1"/>
  <c r="BR126" i="10"/>
  <c r="BN120" i="10"/>
  <c r="BN162" i="10" s="1"/>
  <c r="BN163" i="10" s="1"/>
  <c r="BO121" i="10"/>
  <c r="BQ105" i="10"/>
  <c r="AG311" i="10" l="1"/>
  <c r="AG320" i="10" s="1"/>
  <c r="AG313" i="10"/>
  <c r="AG317" i="10" s="1"/>
  <c r="AG312" i="10"/>
  <c r="AA33" i="11" s="1"/>
  <c r="AH296" i="10"/>
  <c r="AH261" i="10" s="1"/>
  <c r="AG304" i="10"/>
  <c r="BO282" i="10"/>
  <c r="BK147" i="10"/>
  <c r="BO162" i="10"/>
  <c r="BO163" i="10" s="1"/>
  <c r="BG156" i="10"/>
  <c r="BH141" i="10"/>
  <c r="BG155" i="10"/>
  <c r="BG164" i="10" s="1"/>
  <c r="BG165" i="10" s="1"/>
  <c r="BG157" i="10"/>
  <c r="BP150" i="10"/>
  <c r="BP116" i="10"/>
  <c r="BR106" i="10"/>
  <c r="BS124" i="10"/>
  <c r="BS126" i="10"/>
  <c r="BQ106" i="10"/>
  <c r="AH262" i="10" l="1"/>
  <c r="AB21" i="11"/>
  <c r="AA30" i="11"/>
  <c r="AH293" i="10"/>
  <c r="AG321" i="10"/>
  <c r="BP280" i="10"/>
  <c r="BK148" i="10"/>
  <c r="BH149" i="10"/>
  <c r="BG161" i="10"/>
  <c r="BP121" i="10"/>
  <c r="BP120" i="10"/>
  <c r="BP162" i="10" s="1"/>
  <c r="BP163" i="10" s="1"/>
  <c r="BS105" i="10"/>
  <c r="BT124" i="10"/>
  <c r="BT126" i="10"/>
  <c r="BR116" i="10"/>
  <c r="BR120" i="10" s="1"/>
  <c r="BR107" i="10"/>
  <c r="BQ116" i="10"/>
  <c r="BQ120" i="10" s="1"/>
  <c r="BQ107" i="10"/>
  <c r="AH272" i="10" l="1"/>
  <c r="AH263" i="10"/>
  <c r="BP281" i="10"/>
  <c r="BL137" i="10"/>
  <c r="BQ162" i="10"/>
  <c r="BQ163" i="10" s="1"/>
  <c r="BH153" i="10"/>
  <c r="BH154" i="10" s="1"/>
  <c r="BQ121" i="10"/>
  <c r="BS106" i="10"/>
  <c r="BS107" i="10" s="1"/>
  <c r="BU124" i="10"/>
  <c r="BU105" i="10" s="1"/>
  <c r="BU126" i="10"/>
  <c r="BQ150" i="10"/>
  <c r="BR150" i="10" s="1"/>
  <c r="BT105" i="10"/>
  <c r="AH297" i="10" l="1"/>
  <c r="AH277" i="10"/>
  <c r="AH276" i="10"/>
  <c r="AH318" i="10" s="1"/>
  <c r="AB23" i="11"/>
  <c r="AH306" i="10"/>
  <c r="AB22" i="11"/>
  <c r="BP282" i="10"/>
  <c r="BL147" i="10"/>
  <c r="BR162" i="10"/>
  <c r="BR163" i="10" s="1"/>
  <c r="BH156" i="10"/>
  <c r="BI141" i="10"/>
  <c r="BH155" i="10"/>
  <c r="BH164" i="10" s="1"/>
  <c r="BH165" i="10" s="1"/>
  <c r="BH157" i="10"/>
  <c r="BS116" i="10"/>
  <c r="BU106" i="10"/>
  <c r="BV124" i="10"/>
  <c r="BV126" i="10"/>
  <c r="BT106" i="10"/>
  <c r="BT107" i="10" s="1"/>
  <c r="BR121" i="10"/>
  <c r="BS150" i="10"/>
  <c r="AH300" i="10" l="1"/>
  <c r="AH299" i="10"/>
  <c r="AH319" i="10"/>
  <c r="AB43" i="11"/>
  <c r="BQ280" i="10"/>
  <c r="BL148" i="10"/>
  <c r="BI149" i="10"/>
  <c r="BH161" i="10"/>
  <c r="BS121" i="10"/>
  <c r="BS120" i="10"/>
  <c r="BS162" i="10" s="1"/>
  <c r="BS163" i="10" s="1"/>
  <c r="BV105" i="10"/>
  <c r="BW124" i="10"/>
  <c r="BW126" i="10"/>
  <c r="BT150" i="10"/>
  <c r="BU116" i="10"/>
  <c r="BU120" i="10" s="1"/>
  <c r="BU107" i="10"/>
  <c r="BT116" i="10"/>
  <c r="BT120" i="10" s="1"/>
  <c r="AH305" i="10" l="1"/>
  <c r="AH309" i="10" s="1"/>
  <c r="AH310" i="10" s="1"/>
  <c r="AH303" i="10"/>
  <c r="AB26" i="11" s="1"/>
  <c r="AH301" i="10"/>
  <c r="AH302" i="10"/>
  <c r="BQ281" i="10"/>
  <c r="BM137" i="10"/>
  <c r="BT162" i="10"/>
  <c r="BT163" i="10" s="1"/>
  <c r="BI153" i="10"/>
  <c r="BI154" i="10" s="1"/>
  <c r="BT121" i="10"/>
  <c r="BV106" i="10"/>
  <c r="BV107" i="10" s="1"/>
  <c r="BX124" i="10"/>
  <c r="BX105" i="10" s="1"/>
  <c r="BX126" i="10"/>
  <c r="BU150" i="10"/>
  <c r="BW105" i="10"/>
  <c r="AH311" i="10" l="1"/>
  <c r="AH320" i="10" s="1"/>
  <c r="AH312" i="10"/>
  <c r="AB33" i="11" s="1"/>
  <c r="AH313" i="10"/>
  <c r="AH317" i="10" s="1"/>
  <c r="AI296" i="10"/>
  <c r="AI261" i="10" s="1"/>
  <c r="AH304" i="10"/>
  <c r="BQ282" i="10"/>
  <c r="BM147" i="10"/>
  <c r="BU162" i="10"/>
  <c r="BU163" i="10" s="1"/>
  <c r="BI156" i="10"/>
  <c r="BJ141" i="10"/>
  <c r="BI155" i="10"/>
  <c r="BI164" i="10" s="1"/>
  <c r="BI165" i="10" s="1"/>
  <c r="BI157" i="10"/>
  <c r="BV116" i="10"/>
  <c r="BX106" i="10"/>
  <c r="BY124" i="10"/>
  <c r="BY126" i="10"/>
  <c r="BW106" i="10"/>
  <c r="BW107" i="10" s="1"/>
  <c r="BV150" i="10"/>
  <c r="BU121" i="10"/>
  <c r="AI262" i="10" l="1"/>
  <c r="AC21" i="11"/>
  <c r="AB30" i="11"/>
  <c r="AI293" i="10"/>
  <c r="AH321" i="10"/>
  <c r="BR280" i="10"/>
  <c r="BW150" i="10"/>
  <c r="BM148" i="10"/>
  <c r="BJ149" i="10"/>
  <c r="BI161" i="10"/>
  <c r="BV121" i="10"/>
  <c r="BV120" i="10"/>
  <c r="BV162" i="10" s="1"/>
  <c r="BV163" i="10" s="1"/>
  <c r="BY105" i="10"/>
  <c r="BZ124" i="10"/>
  <c r="BZ126" i="10"/>
  <c r="BX116" i="10"/>
  <c r="BX120" i="10" s="1"/>
  <c r="BX107" i="10"/>
  <c r="BW116" i="10"/>
  <c r="BW120" i="10" s="1"/>
  <c r="AI272" i="10" l="1"/>
  <c r="AI263" i="10"/>
  <c r="D21" i="11"/>
  <c r="E21" i="11"/>
  <c r="BR281" i="10"/>
  <c r="BN137" i="10"/>
  <c r="H112" i="12"/>
  <c r="BW162" i="10"/>
  <c r="BW163" i="10" s="1"/>
  <c r="BJ153" i="10"/>
  <c r="BJ154" i="10" s="1"/>
  <c r="BW121" i="10"/>
  <c r="BY106" i="10"/>
  <c r="BY107" i="10" s="1"/>
  <c r="CA124" i="10"/>
  <c r="CA105" i="10" s="1"/>
  <c r="CA126" i="10"/>
  <c r="BX150" i="10"/>
  <c r="BZ105" i="10"/>
  <c r="AI297" i="10" l="1"/>
  <c r="AI277" i="10"/>
  <c r="AI276" i="10"/>
  <c r="AI318" i="10" s="1"/>
  <c r="AC23" i="11"/>
  <c r="AI306" i="10"/>
  <c r="AC22" i="11"/>
  <c r="BR282" i="10"/>
  <c r="BN147" i="10"/>
  <c r="BX162" i="10"/>
  <c r="BX163" i="10" s="1"/>
  <c r="BJ156" i="10"/>
  <c r="BJ155" i="10"/>
  <c r="BJ164" i="10" s="1"/>
  <c r="BJ165" i="10" s="1"/>
  <c r="BK141" i="10"/>
  <c r="BJ157" i="10"/>
  <c r="BY116" i="10"/>
  <c r="CA106" i="10"/>
  <c r="CB124" i="10"/>
  <c r="CB126" i="10"/>
  <c r="BZ106" i="10"/>
  <c r="BZ107" i="10" s="1"/>
  <c r="BX121" i="10"/>
  <c r="BY150" i="10"/>
  <c r="BZ151" i="10" s="1"/>
  <c r="CA151" i="10" s="1"/>
  <c r="CB151" i="10" s="1"/>
  <c r="CC151" i="10" s="1"/>
  <c r="AI299" i="10" l="1"/>
  <c r="AI300" i="10"/>
  <c r="AI319" i="10"/>
  <c r="E23" i="11"/>
  <c r="D23" i="11"/>
  <c r="D22" i="11"/>
  <c r="D43" i="11" s="1"/>
  <c r="E22" i="11"/>
  <c r="E43" i="11" s="1"/>
  <c r="AC43" i="11"/>
  <c r="BS280" i="10"/>
  <c r="BN148" i="10"/>
  <c r="BK149" i="10"/>
  <c r="BJ161" i="10"/>
  <c r="BY121" i="10"/>
  <c r="BY120" i="10"/>
  <c r="BY162" i="10" s="1"/>
  <c r="BY163" i="10" s="1"/>
  <c r="CB105" i="10"/>
  <c r="CC124" i="10"/>
  <c r="CC126" i="10"/>
  <c r="BZ150" i="10"/>
  <c r="CC152" i="10"/>
  <c r="CD151" i="10"/>
  <c r="CE151" i="10" s="1"/>
  <c r="CF151" i="10" s="1"/>
  <c r="CG151" i="10" s="1"/>
  <c r="CH151" i="10" s="1"/>
  <c r="CI151" i="10" s="1"/>
  <c r="CJ151" i="10" s="1"/>
  <c r="CK151" i="10" s="1"/>
  <c r="CA116" i="10"/>
  <c r="CA120" i="10" s="1"/>
  <c r="CA107" i="10"/>
  <c r="BZ116" i="10"/>
  <c r="AI305" i="10" l="1"/>
  <c r="AI309" i="10" s="1"/>
  <c r="AI310" i="10" s="1"/>
  <c r="AI302" i="10"/>
  <c r="AI303" i="10"/>
  <c r="AC26" i="11" s="1"/>
  <c r="AI301" i="10"/>
  <c r="BS281" i="10"/>
  <c r="CA150" i="10"/>
  <c r="BO137" i="10"/>
  <c r="BK153" i="10"/>
  <c r="BK154" i="10" s="1"/>
  <c r="BZ121" i="10"/>
  <c r="CA121" i="10" s="1"/>
  <c r="CB106" i="10"/>
  <c r="CB107" i="10" s="1"/>
  <c r="CD124" i="10"/>
  <c r="CD105" i="10" s="1"/>
  <c r="CD126" i="10"/>
  <c r="BZ120" i="10"/>
  <c r="BZ162" i="10" s="1"/>
  <c r="BZ163" i="10" s="1"/>
  <c r="CC105" i="10"/>
  <c r="AI304" i="10" l="1"/>
  <c r="E26" i="11"/>
  <c r="D26" i="11"/>
  <c r="AJ296" i="10"/>
  <c r="AJ261" i="10" s="1"/>
  <c r="AJ262" i="10" s="1"/>
  <c r="AC31" i="11"/>
  <c r="AI313" i="10"/>
  <c r="AI317" i="10" s="1"/>
  <c r="AI311" i="10"/>
  <c r="AI320" i="10" s="1"/>
  <c r="AI312" i="10"/>
  <c r="AC33" i="11" s="1"/>
  <c r="BS282" i="10"/>
  <c r="BO147" i="10"/>
  <c r="CA162" i="10"/>
  <c r="CA163" i="10" s="1"/>
  <c r="BK156" i="10"/>
  <c r="BK155" i="10"/>
  <c r="BK164" i="10" s="1"/>
  <c r="BK157" i="10"/>
  <c r="BL141" i="10"/>
  <c r="CB150" i="10"/>
  <c r="CB116" i="10"/>
  <c r="CD106" i="10"/>
  <c r="CE124" i="10"/>
  <c r="CE126" i="10"/>
  <c r="CC106" i="10"/>
  <c r="CC107" i="10" s="1"/>
  <c r="AC30" i="11" l="1"/>
  <c r="AJ293" i="10"/>
  <c r="AJ272" i="10"/>
  <c r="AJ263" i="10"/>
  <c r="AJ306" i="10" s="1"/>
  <c r="E31" i="11"/>
  <c r="D31" i="11"/>
  <c r="D33" i="11"/>
  <c r="E33" i="11"/>
  <c r="F50" i="3" s="1"/>
  <c r="AI321" i="10"/>
  <c r="BT280" i="10"/>
  <c r="BO148" i="10"/>
  <c r="BK161" i="10"/>
  <c r="BL149" i="10"/>
  <c r="CB121" i="10"/>
  <c r="CB120" i="10"/>
  <c r="CB162" i="10" s="1"/>
  <c r="CB163" i="10" s="1"/>
  <c r="CE105" i="10"/>
  <c r="CF124" i="10"/>
  <c r="CF126" i="10"/>
  <c r="CC150" i="10"/>
  <c r="BK165" i="10"/>
  <c r="CD116" i="10"/>
  <c r="CD120" i="10" s="1"/>
  <c r="CD107" i="10"/>
  <c r="CC116" i="10"/>
  <c r="CC120" i="10" s="1"/>
  <c r="E30" i="11" l="1"/>
  <c r="D30" i="11"/>
  <c r="AJ297" i="10"/>
  <c r="AJ277" i="10"/>
  <c r="AJ276" i="10"/>
  <c r="AJ318" i="10" s="1"/>
  <c r="BT281" i="10"/>
  <c r="CD150" i="10"/>
  <c r="BP137" i="10"/>
  <c r="CC162" i="10"/>
  <c r="CC163" i="10" s="1"/>
  <c r="BL153" i="10"/>
  <c r="BL154" i="10" s="1"/>
  <c r="CC121" i="10"/>
  <c r="CD121" i="10" s="1"/>
  <c r="CE106" i="10"/>
  <c r="CE107" i="10" s="1"/>
  <c r="CG124" i="10"/>
  <c r="CG105" i="10" s="1"/>
  <c r="CG126" i="10"/>
  <c r="CF105" i="10"/>
  <c r="AJ300" i="10" l="1"/>
  <c r="AJ299" i="10"/>
  <c r="AJ319" i="10"/>
  <c r="BT282" i="10"/>
  <c r="BP147" i="10"/>
  <c r="CD162" i="10"/>
  <c r="CD163" i="10" s="1"/>
  <c r="BL156" i="10"/>
  <c r="BL155" i="10"/>
  <c r="BL164" i="10" s="1"/>
  <c r="BL157" i="10"/>
  <c r="BM141" i="10"/>
  <c r="CE116" i="10"/>
  <c r="CG106" i="10"/>
  <c r="CH124" i="10"/>
  <c r="CH126" i="10"/>
  <c r="CF106" i="10"/>
  <c r="CF107" i="10" s="1"/>
  <c r="CE150" i="10"/>
  <c r="AJ305" i="10" l="1"/>
  <c r="AJ309" i="10" s="1"/>
  <c r="AJ310" i="10" s="1"/>
  <c r="AJ303" i="10"/>
  <c r="AJ301" i="10"/>
  <c r="AJ302" i="10"/>
  <c r="BU280" i="10"/>
  <c r="CF150" i="10"/>
  <c r="BP148" i="10"/>
  <c r="BL161" i="10"/>
  <c r="BM149" i="10"/>
  <c r="CE121" i="10"/>
  <c r="CE120" i="10"/>
  <c r="CE162" i="10" s="1"/>
  <c r="CE163" i="10" s="1"/>
  <c r="CH105" i="10"/>
  <c r="CI124" i="10"/>
  <c r="CI126" i="10"/>
  <c r="BL165" i="10"/>
  <c r="CG116" i="10"/>
  <c r="CG120" i="10" s="1"/>
  <c r="CG107" i="10"/>
  <c r="CF116" i="10"/>
  <c r="CF120" i="10" s="1"/>
  <c r="AJ313" i="10" l="1"/>
  <c r="AJ317" i="10" s="1"/>
  <c r="AJ311" i="10"/>
  <c r="AJ320" i="10" s="1"/>
  <c r="AJ312" i="10"/>
  <c r="AK296" i="10"/>
  <c r="AK261" i="10" s="1"/>
  <c r="AK262" i="10" s="1"/>
  <c r="AJ304" i="10"/>
  <c r="BU281" i="10"/>
  <c r="BQ137" i="10"/>
  <c r="CF162" i="10"/>
  <c r="CF163" i="10" s="1"/>
  <c r="BM153" i="10"/>
  <c r="BM154" i="10" s="1"/>
  <c r="CF121" i="10"/>
  <c r="CG121" i="10" s="1"/>
  <c r="CH106" i="10"/>
  <c r="CH107" i="10" s="1"/>
  <c r="CJ124" i="10"/>
  <c r="CJ126" i="10"/>
  <c r="CG150" i="10"/>
  <c r="CI105" i="10"/>
  <c r="AK272" i="10" l="1"/>
  <c r="AK263" i="10"/>
  <c r="AK306" i="10" s="1"/>
  <c r="AJ321" i="10"/>
  <c r="AK293" i="10"/>
  <c r="BU282" i="10"/>
  <c r="BQ147" i="10"/>
  <c r="CG162" i="10"/>
  <c r="CG163" i="10" s="1"/>
  <c r="BM156" i="10"/>
  <c r="H111" i="12"/>
  <c r="BN141" i="10"/>
  <c r="BM155" i="10"/>
  <c r="BM164" i="10" s="1"/>
  <c r="BM165" i="10" s="1"/>
  <c r="BM157" i="10"/>
  <c r="CH116" i="10"/>
  <c r="CK124" i="10"/>
  <c r="CK105" i="10" s="1"/>
  <c r="CK126" i="10"/>
  <c r="CI106" i="10"/>
  <c r="CI107" i="10" s="1"/>
  <c r="CH150" i="10"/>
  <c r="CJ105" i="10"/>
  <c r="AK297" i="10" l="1"/>
  <c r="AK277" i="10"/>
  <c r="AK276" i="10"/>
  <c r="AK318" i="10" s="1"/>
  <c r="BV280" i="10"/>
  <c r="BQ148" i="10"/>
  <c r="BN149" i="10"/>
  <c r="BM161" i="10"/>
  <c r="CH121" i="10"/>
  <c r="CH120" i="10"/>
  <c r="CH162" i="10" s="1"/>
  <c r="CH163" i="10" s="1"/>
  <c r="CK106" i="10"/>
  <c r="CL124" i="10"/>
  <c r="CL126" i="10"/>
  <c r="CJ106" i="10"/>
  <c r="CI150" i="10"/>
  <c r="CI116" i="10"/>
  <c r="CI120" i="10" s="1"/>
  <c r="AK299" i="10" l="1"/>
  <c r="AK300" i="10"/>
  <c r="AK319" i="10"/>
  <c r="BV281" i="10"/>
  <c r="BR137" i="10"/>
  <c r="CI162" i="10"/>
  <c r="CI163" i="10" s="1"/>
  <c r="BN153" i="10"/>
  <c r="BN154" i="10" s="1"/>
  <c r="CI121" i="10"/>
  <c r="CL105" i="10"/>
  <c r="CM124" i="10"/>
  <c r="CM126" i="10"/>
  <c r="CK116" i="10"/>
  <c r="CK120" i="10" s="1"/>
  <c r="CK107" i="10"/>
  <c r="CJ116" i="10"/>
  <c r="CJ107" i="10"/>
  <c r="AK305" i="10" l="1"/>
  <c r="AK309" i="10" s="1"/>
  <c r="AK310" i="10" s="1"/>
  <c r="AK302" i="10"/>
  <c r="AK303" i="10"/>
  <c r="AK301" i="10"/>
  <c r="BV282" i="10"/>
  <c r="CJ121" i="10"/>
  <c r="CK121" i="10" s="1"/>
  <c r="BR147" i="10"/>
  <c r="BN156" i="10"/>
  <c r="BN157" i="10"/>
  <c r="BN155" i="10"/>
  <c r="BN164" i="10" s="1"/>
  <c r="BN165" i="10" s="1"/>
  <c r="BO141" i="10"/>
  <c r="CL106" i="10"/>
  <c r="CL107" i="10" s="1"/>
  <c r="CN124" i="10"/>
  <c r="CN126" i="10"/>
  <c r="CJ120" i="10"/>
  <c r="CJ162" i="10" s="1"/>
  <c r="CJ163" i="10" s="1"/>
  <c r="CJ150" i="10"/>
  <c r="CK150" i="10" s="1"/>
  <c r="CL151" i="10" s="1"/>
  <c r="CM151" i="10" s="1"/>
  <c r="CN151" i="10" s="1"/>
  <c r="CO151" i="10" s="1"/>
  <c r="CM105" i="10"/>
  <c r="AK311" i="10" l="1"/>
  <c r="AK320" i="10" s="1"/>
  <c r="AK313" i="10"/>
  <c r="AK317" i="10" s="1"/>
  <c r="AK312" i="10"/>
  <c r="AK304" i="10"/>
  <c r="AL296" i="10"/>
  <c r="AL261" i="10" s="1"/>
  <c r="AL262" i="10" s="1"/>
  <c r="BW280" i="10"/>
  <c r="BR148" i="10"/>
  <c r="CK162" i="10"/>
  <c r="CK163" i="10" s="1"/>
  <c r="BN161" i="10"/>
  <c r="BO149" i="10"/>
  <c r="CL150" i="10"/>
  <c r="CL116" i="10"/>
  <c r="CO124" i="10"/>
  <c r="CO105" i="10" s="1"/>
  <c r="CO126" i="10"/>
  <c r="CO152" i="10"/>
  <c r="CP151" i="10"/>
  <c r="CQ151" i="10" s="1"/>
  <c r="CR151" i="10" s="1"/>
  <c r="CS151" i="10" s="1"/>
  <c r="CT151" i="10" s="1"/>
  <c r="CU151" i="10" s="1"/>
  <c r="CV151" i="10" s="1"/>
  <c r="CW151" i="10" s="1"/>
  <c r="CM106" i="10"/>
  <c r="CN105" i="10"/>
  <c r="AK321" i="10" l="1"/>
  <c r="AL293" i="10"/>
  <c r="AL272" i="10"/>
  <c r="AL263" i="10"/>
  <c r="AL306" i="10" s="1"/>
  <c r="BW281" i="10"/>
  <c r="BS137" i="10"/>
  <c r="BO153" i="10"/>
  <c r="BO154" i="10" s="1"/>
  <c r="CL121" i="10"/>
  <c r="CL120" i="10"/>
  <c r="CL162" i="10" s="1"/>
  <c r="CL163" i="10" s="1"/>
  <c r="CO106" i="10"/>
  <c r="CP124" i="10"/>
  <c r="CP126" i="10"/>
  <c r="CN106" i="10"/>
  <c r="CM116" i="10"/>
  <c r="CM120" i="10" s="1"/>
  <c r="CM107" i="10"/>
  <c r="AL297" i="10" l="1"/>
  <c r="AL277" i="10"/>
  <c r="AL276" i="10"/>
  <c r="AL318" i="10" s="1"/>
  <c r="BW282" i="10"/>
  <c r="BS147" i="10"/>
  <c r="CM162" i="10"/>
  <c r="CM163" i="10" s="1"/>
  <c r="BO156" i="10"/>
  <c r="BP141" i="10"/>
  <c r="BO157" i="10"/>
  <c r="BO155" i="10"/>
  <c r="BO164" i="10" s="1"/>
  <c r="CM121" i="10"/>
  <c r="CP105" i="10"/>
  <c r="CQ124" i="10"/>
  <c r="CQ126" i="10"/>
  <c r="CM150" i="10"/>
  <c r="CO116" i="10"/>
  <c r="CO120" i="10" s="1"/>
  <c r="CO107" i="10"/>
  <c r="CN116" i="10"/>
  <c r="CN107" i="10"/>
  <c r="AL299" i="10" l="1"/>
  <c r="AL300" i="10"/>
  <c r="AL319" i="10"/>
  <c r="BX280" i="10"/>
  <c r="BS148" i="10"/>
  <c r="BP149" i="10"/>
  <c r="BO161" i="10"/>
  <c r="CP106" i="10"/>
  <c r="CP107" i="10" s="1"/>
  <c r="CR124" i="10"/>
  <c r="CR126" i="10"/>
  <c r="CN120" i="10"/>
  <c r="CN162" i="10" s="1"/>
  <c r="CN163" i="10" s="1"/>
  <c r="CN150" i="10"/>
  <c r="CO150" i="10" s="1"/>
  <c r="BO165" i="10"/>
  <c r="CN121" i="10"/>
  <c r="CO121" i="10" s="1"/>
  <c r="CQ105" i="10"/>
  <c r="AL305" i="10" l="1"/>
  <c r="AL309" i="10" s="1"/>
  <c r="AL310" i="10" s="1"/>
  <c r="AL302" i="10"/>
  <c r="AL303" i="10"/>
  <c r="AL301" i="10"/>
  <c r="BX281" i="10"/>
  <c r="CP150" i="10"/>
  <c r="BT137" i="10"/>
  <c r="CO162" i="10"/>
  <c r="CO163" i="10" s="1"/>
  <c r="BP153" i="10"/>
  <c r="BP154" i="10" s="1"/>
  <c r="CP116" i="10"/>
  <c r="CS124" i="10"/>
  <c r="CS126" i="10"/>
  <c r="CQ106" i="10"/>
  <c r="CQ107" i="10" s="1"/>
  <c r="CR105" i="10"/>
  <c r="AL311" i="10" l="1"/>
  <c r="AL320" i="10" s="1"/>
  <c r="AL313" i="10"/>
  <c r="AL317" i="10" s="1"/>
  <c r="AL312" i="10"/>
  <c r="AL304" i="10"/>
  <c r="AM296" i="10"/>
  <c r="AM261" i="10" s="1"/>
  <c r="AM262" i="10" s="1"/>
  <c r="BX282" i="10"/>
  <c r="BT147" i="10"/>
  <c r="BP156" i="10"/>
  <c r="BP157" i="10"/>
  <c r="BQ141" i="10"/>
  <c r="BP155" i="10"/>
  <c r="BP164" i="10" s="1"/>
  <c r="BP165" i="10" s="1"/>
  <c r="CP121" i="10"/>
  <c r="CP120" i="10"/>
  <c r="CP162" i="10" s="1"/>
  <c r="CP163" i="10" s="1"/>
  <c r="CT124" i="10"/>
  <c r="CT105" i="10" s="1"/>
  <c r="CT126" i="10"/>
  <c r="CR106" i="10"/>
  <c r="CS105" i="10"/>
  <c r="CQ116" i="10"/>
  <c r="CQ120" i="10" s="1"/>
  <c r="CQ150" i="10"/>
  <c r="AL321" i="10" l="1"/>
  <c r="AM293" i="10"/>
  <c r="AM272" i="10"/>
  <c r="AM263" i="10"/>
  <c r="AM306" i="10" s="1"/>
  <c r="BY280" i="10"/>
  <c r="CR116" i="10"/>
  <c r="CR120" i="10" s="1"/>
  <c r="CR107" i="10"/>
  <c r="CR150" i="10" s="1"/>
  <c r="BT148" i="10"/>
  <c r="CQ162" i="10"/>
  <c r="CQ163" i="10" s="1"/>
  <c r="BP161" i="10"/>
  <c r="BQ149" i="10"/>
  <c r="CQ121" i="10"/>
  <c r="CT106" i="10"/>
  <c r="CU124" i="10"/>
  <c r="CU126" i="10"/>
  <c r="CS106" i="10"/>
  <c r="CS107" i="10" s="1"/>
  <c r="AM297" i="10" l="1"/>
  <c r="AM277" i="10"/>
  <c r="AM276" i="10"/>
  <c r="AM318" i="10" s="1"/>
  <c r="BY281" i="10"/>
  <c r="CR121" i="10"/>
  <c r="BU137" i="10"/>
  <c r="CR162" i="10"/>
  <c r="CR163" i="10" s="1"/>
  <c r="BQ153" i="10"/>
  <c r="BQ154" i="10" s="1"/>
  <c r="CU105" i="10"/>
  <c r="CV124" i="10"/>
  <c r="CV126" i="10"/>
  <c r="CS116" i="10"/>
  <c r="CS150" i="10"/>
  <c r="CT116" i="10"/>
  <c r="CT120" i="10" s="1"/>
  <c r="CT107" i="10"/>
  <c r="AM299" i="10" l="1"/>
  <c r="AM300" i="10"/>
  <c r="AM319" i="10"/>
  <c r="BY282" i="10"/>
  <c r="CT150" i="10"/>
  <c r="BU147" i="10"/>
  <c r="BQ156" i="10"/>
  <c r="BQ157" i="10"/>
  <c r="BQ155" i="10"/>
  <c r="BQ164" i="10" s="1"/>
  <c r="BQ165" i="10" s="1"/>
  <c r="BR141" i="10"/>
  <c r="CU106" i="10"/>
  <c r="CU107" i="10" s="1"/>
  <c r="CW124" i="10"/>
  <c r="CW126" i="10"/>
  <c r="CS121" i="10"/>
  <c r="CS120" i="10"/>
  <c r="CS162" i="10" s="1"/>
  <c r="CS163" i="10" s="1"/>
  <c r="CV105" i="10"/>
  <c r="AM305" i="10" l="1"/>
  <c r="AM309" i="10" s="1"/>
  <c r="AM310" i="10" s="1"/>
  <c r="AM302" i="10"/>
  <c r="AM303" i="10"/>
  <c r="AM301" i="10"/>
  <c r="BZ280" i="10"/>
  <c r="BU148" i="10"/>
  <c r="CT162" i="10"/>
  <c r="CT163" i="10" s="1"/>
  <c r="BQ161" i="10"/>
  <c r="BR149" i="10"/>
  <c r="CU150" i="10"/>
  <c r="CU116" i="10"/>
  <c r="CX124" i="10"/>
  <c r="CX105" i="10" s="1"/>
  <c r="CX126" i="10"/>
  <c r="CT121" i="10"/>
  <c r="CV106" i="10"/>
  <c r="CW105" i="10"/>
  <c r="AM313" i="10" l="1"/>
  <c r="AM317" i="10" s="1"/>
  <c r="AM311" i="10"/>
  <c r="AM320" i="10" s="1"/>
  <c r="AM312" i="10"/>
  <c r="AM304" i="10"/>
  <c r="AN296" i="10"/>
  <c r="AN261" i="10" s="1"/>
  <c r="AN262" i="10" s="1"/>
  <c r="BZ281" i="10"/>
  <c r="BV137" i="10"/>
  <c r="BR153" i="10"/>
  <c r="BR154" i="10" s="1"/>
  <c r="CU120" i="10"/>
  <c r="CU162" i="10" s="1"/>
  <c r="CU163" i="10" s="1"/>
  <c r="CX106" i="10"/>
  <c r="CY124" i="10"/>
  <c r="CY126" i="10"/>
  <c r="CW106" i="10"/>
  <c r="CU121" i="10"/>
  <c r="CV116" i="10"/>
  <c r="CV107" i="10"/>
  <c r="AM321" i="10" l="1"/>
  <c r="AN293" i="10"/>
  <c r="AN272" i="10"/>
  <c r="AN263" i="10"/>
  <c r="AN306" i="10" s="1"/>
  <c r="BZ282" i="10"/>
  <c r="BV147" i="10"/>
  <c r="BR156" i="10"/>
  <c r="BR157" i="10"/>
  <c r="BR155" i="10"/>
  <c r="BR164" i="10" s="1"/>
  <c r="BS141" i="10"/>
  <c r="CY105" i="10"/>
  <c r="CZ124" i="10"/>
  <c r="CZ126" i="10"/>
  <c r="CV121" i="10"/>
  <c r="CV120" i="10"/>
  <c r="CV162" i="10" s="1"/>
  <c r="CV163" i="10" s="1"/>
  <c r="CV150" i="10"/>
  <c r="CX116" i="10"/>
  <c r="CX107" i="10"/>
  <c r="CW116" i="10"/>
  <c r="CW120" i="10" s="1"/>
  <c r="CW107" i="10"/>
  <c r="AN297" i="10" l="1"/>
  <c r="AN277" i="10"/>
  <c r="AN276" i="10"/>
  <c r="AN318" i="10" s="1"/>
  <c r="CA280" i="10"/>
  <c r="BV148" i="10"/>
  <c r="CW162" i="10"/>
  <c r="CW163" i="10" s="1"/>
  <c r="BR161" i="10"/>
  <c r="BS149" i="10"/>
  <c r="CY106" i="10"/>
  <c r="CY107" i="10" s="1"/>
  <c r="DA124" i="10"/>
  <c r="DA105" i="10" s="1"/>
  <c r="DA126" i="10"/>
  <c r="CW121" i="10"/>
  <c r="CX120" i="10"/>
  <c r="CX150" i="10"/>
  <c r="CW150" i="10"/>
  <c r="CX151" i="10" s="1"/>
  <c r="CY151" i="10" s="1"/>
  <c r="CZ151" i="10" s="1"/>
  <c r="DA151" i="10" s="1"/>
  <c r="BR165" i="10"/>
  <c r="CZ105" i="10"/>
  <c r="AN299" i="10" l="1"/>
  <c r="AN300" i="10"/>
  <c r="AN319" i="10"/>
  <c r="CA281" i="10"/>
  <c r="BW137" i="10"/>
  <c r="CX162" i="10"/>
  <c r="CX163" i="10" s="1"/>
  <c r="BS153" i="10"/>
  <c r="BS154" i="10" s="1"/>
  <c r="CY116" i="10"/>
  <c r="DA106" i="10"/>
  <c r="DB124" i="10"/>
  <c r="DB126" i="10"/>
  <c r="DA152" i="10"/>
  <c r="DB151" i="10"/>
  <c r="DC151" i="10" s="1"/>
  <c r="DD151" i="10" s="1"/>
  <c r="DE151" i="10" s="1"/>
  <c r="DF151" i="10" s="1"/>
  <c r="DG151" i="10" s="1"/>
  <c r="DH151" i="10" s="1"/>
  <c r="DI151" i="10" s="1"/>
  <c r="CZ106" i="10"/>
  <c r="CZ107" i="10" s="1"/>
  <c r="CY150" i="10"/>
  <c r="CX121" i="10"/>
  <c r="AN305" i="10" l="1"/>
  <c r="AN309" i="10" s="1"/>
  <c r="AN310" i="10" s="1"/>
  <c r="AN302" i="10"/>
  <c r="AN303" i="10"/>
  <c r="AN301" i="10"/>
  <c r="CA282" i="10"/>
  <c r="CZ150" i="10"/>
  <c r="BW147" i="10"/>
  <c r="BS156" i="10"/>
  <c r="BS155" i="10"/>
  <c r="BS164" i="10" s="1"/>
  <c r="BS157" i="10"/>
  <c r="BT141" i="10"/>
  <c r="CY121" i="10"/>
  <c r="CY120" i="10"/>
  <c r="CY162" i="10" s="1"/>
  <c r="CY163" i="10" s="1"/>
  <c r="DB105" i="10"/>
  <c r="DC124" i="10"/>
  <c r="DC126" i="10"/>
  <c r="DA116" i="10"/>
  <c r="DA120" i="10" s="1"/>
  <c r="DA107" i="10"/>
  <c r="CZ116" i="10"/>
  <c r="CZ120" i="10" s="1"/>
  <c r="AN311" i="10" l="1"/>
  <c r="AN320" i="10" s="1"/>
  <c r="AN313" i="10"/>
  <c r="AN317" i="10" s="1"/>
  <c r="AN312" i="10"/>
  <c r="AN304" i="10"/>
  <c r="AO296" i="10"/>
  <c r="AO261" i="10" s="1"/>
  <c r="AO262" i="10" s="1"/>
  <c r="CB280" i="10"/>
  <c r="BW148" i="10"/>
  <c r="CZ162" i="10"/>
  <c r="CZ163" i="10" s="1"/>
  <c r="BS161" i="10"/>
  <c r="BT149" i="10"/>
  <c r="CZ121" i="10"/>
  <c r="DB106" i="10"/>
  <c r="DB107" i="10" s="1"/>
  <c r="DD124" i="10"/>
  <c r="DD105" i="10" s="1"/>
  <c r="DD126" i="10"/>
  <c r="BS165" i="10"/>
  <c r="DC105" i="10"/>
  <c r="DA150" i="10"/>
  <c r="AN321" i="10" l="1"/>
  <c r="AO293" i="10"/>
  <c r="AO272" i="10"/>
  <c r="AO263" i="10"/>
  <c r="AO306" i="10" s="1"/>
  <c r="AP307" i="10" s="1"/>
  <c r="AQ307" i="10" s="1"/>
  <c r="AR307" i="10" s="1"/>
  <c r="AS307" i="10" s="1"/>
  <c r="CB281" i="10"/>
  <c r="DB150" i="10"/>
  <c r="BX137" i="10"/>
  <c r="DA162" i="10"/>
  <c r="DA163" i="10" s="1"/>
  <c r="BT153" i="10"/>
  <c r="BT154" i="10" s="1"/>
  <c r="DB116" i="10"/>
  <c r="DD106" i="10"/>
  <c r="DE124" i="10"/>
  <c r="DE126" i="10"/>
  <c r="DC106" i="10"/>
  <c r="DA121" i="10"/>
  <c r="AO297" i="10" l="1"/>
  <c r="AO277" i="10"/>
  <c r="AO276" i="10"/>
  <c r="AO318" i="10" s="1"/>
  <c r="AT307" i="10"/>
  <c r="AU307" i="10" s="1"/>
  <c r="AV307" i="10" s="1"/>
  <c r="AW307" i="10" s="1"/>
  <c r="AX307" i="10" s="1"/>
  <c r="AY307" i="10" s="1"/>
  <c r="AZ307" i="10" s="1"/>
  <c r="BA307" i="10" s="1"/>
  <c r="AS308" i="10"/>
  <c r="CB282" i="10"/>
  <c r="DC116" i="10"/>
  <c r="DC120" i="10" s="1"/>
  <c r="DC107" i="10"/>
  <c r="DC150" i="10" s="1"/>
  <c r="BX147" i="10"/>
  <c r="BT156" i="10"/>
  <c r="BT157" i="10"/>
  <c r="BT155" i="10"/>
  <c r="BT164" i="10" s="1"/>
  <c r="BU141" i="10"/>
  <c r="DB121" i="10"/>
  <c r="DB120" i="10"/>
  <c r="DB162" i="10" s="1"/>
  <c r="DB163" i="10" s="1"/>
  <c r="DE105" i="10"/>
  <c r="DF124" i="10"/>
  <c r="DF126" i="10"/>
  <c r="DD116" i="10"/>
  <c r="DD120" i="10" s="1"/>
  <c r="DD107" i="10"/>
  <c r="AO299" i="10" l="1"/>
  <c r="AO300" i="10"/>
  <c r="AO319" i="10"/>
  <c r="CC280" i="10"/>
  <c r="BX148" i="10"/>
  <c r="DC162" i="10"/>
  <c r="DC163" i="10" s="1"/>
  <c r="BT161" i="10"/>
  <c r="BU149" i="10"/>
  <c r="DC121" i="10"/>
  <c r="DD121" i="10" s="1"/>
  <c r="DE106" i="10"/>
  <c r="DE107" i="10" s="1"/>
  <c r="DG124" i="10"/>
  <c r="DG105" i="10" s="1"/>
  <c r="DG126" i="10"/>
  <c r="DD150" i="10"/>
  <c r="BT165" i="10"/>
  <c r="DF105" i="10"/>
  <c r="AO305" i="10" l="1"/>
  <c r="AO309" i="10" s="1"/>
  <c r="AO310" i="10" s="1"/>
  <c r="F61" i="12" s="1"/>
  <c r="F152" i="12" s="1"/>
  <c r="AO302" i="10"/>
  <c r="AO303" i="10"/>
  <c r="AO301" i="10"/>
  <c r="CC281" i="10"/>
  <c r="BY137" i="10"/>
  <c r="DD162" i="10"/>
  <c r="DD163" i="10" s="1"/>
  <c r="BU153" i="10"/>
  <c r="BU154" i="10" s="1"/>
  <c r="DE116" i="10"/>
  <c r="DG106" i="10"/>
  <c r="DH124" i="10"/>
  <c r="DH126" i="10"/>
  <c r="DF106" i="10"/>
  <c r="DF107" i="10" s="1"/>
  <c r="DE150" i="10"/>
  <c r="AO313" i="10" l="1"/>
  <c r="AO317" i="10" s="1"/>
  <c r="AO311" i="10"/>
  <c r="AO320" i="10" s="1"/>
  <c r="AO312" i="10"/>
  <c r="AO304" i="10"/>
  <c r="F63" i="12"/>
  <c r="AP296" i="10"/>
  <c r="AP261" i="10" s="1"/>
  <c r="AP262" i="10" s="1"/>
  <c r="CC282" i="10"/>
  <c r="DF150" i="10"/>
  <c r="DG116" i="10"/>
  <c r="DG120" i="10" s="1"/>
  <c r="DG107" i="10"/>
  <c r="BY147" i="10"/>
  <c r="BU156" i="10"/>
  <c r="BV141" i="10"/>
  <c r="BU157" i="10"/>
  <c r="BU155" i="10"/>
  <c r="BU164" i="10" s="1"/>
  <c r="DE121" i="10"/>
  <c r="DE120" i="10"/>
  <c r="DE162" i="10" s="1"/>
  <c r="DE163" i="10" s="1"/>
  <c r="DH105" i="10"/>
  <c r="DI124" i="10"/>
  <c r="DI126" i="10"/>
  <c r="DF116" i="10"/>
  <c r="DF120" i="10" s="1"/>
  <c r="AO321" i="10" l="1"/>
  <c r="AP293" i="10"/>
  <c r="F62" i="12"/>
  <c r="AP272" i="10"/>
  <c r="AP263" i="10"/>
  <c r="AP306" i="10" s="1"/>
  <c r="CD280" i="10"/>
  <c r="DG150" i="10"/>
  <c r="BY148" i="10"/>
  <c r="DF162" i="10"/>
  <c r="DF163" i="10" s="1"/>
  <c r="BV149" i="10"/>
  <c r="BU161" i="10"/>
  <c r="DF121" i="10"/>
  <c r="DH106" i="10"/>
  <c r="DH107" i="10" s="1"/>
  <c r="DJ124" i="10"/>
  <c r="DJ105" i="10" s="1"/>
  <c r="DJ126" i="10"/>
  <c r="BU165" i="10"/>
  <c r="DI105" i="10"/>
  <c r="AP297" i="10" l="1"/>
  <c r="AP277" i="10"/>
  <c r="AP276" i="10"/>
  <c r="AP318" i="10" s="1"/>
  <c r="CD281" i="10"/>
  <c r="BZ137" i="10"/>
  <c r="I112" i="12"/>
  <c r="DG162" i="10"/>
  <c r="DG163" i="10" s="1"/>
  <c r="BV153" i="10"/>
  <c r="BV154" i="10" s="1"/>
  <c r="DH150" i="10"/>
  <c r="DH116" i="10"/>
  <c r="DJ106" i="10"/>
  <c r="DK124" i="10"/>
  <c r="DK126" i="10"/>
  <c r="DI106" i="10"/>
  <c r="DG121" i="10"/>
  <c r="AP299" i="10" l="1"/>
  <c r="AP300" i="10"/>
  <c r="AP319" i="10"/>
  <c r="CD282" i="10"/>
  <c r="BZ147" i="10"/>
  <c r="BV156" i="10"/>
  <c r="BW141" i="10"/>
  <c r="BV155" i="10"/>
  <c r="BV164" i="10" s="1"/>
  <c r="BV165" i="10" s="1"/>
  <c r="BV157" i="10"/>
  <c r="DH121" i="10"/>
  <c r="DH120" i="10"/>
  <c r="DH162" i="10" s="1"/>
  <c r="DH163" i="10" s="1"/>
  <c r="DK105" i="10"/>
  <c r="DL124" i="10"/>
  <c r="DL126" i="10"/>
  <c r="DJ116" i="10"/>
  <c r="DJ107" i="10"/>
  <c r="DI116" i="10"/>
  <c r="DI120" i="10" s="1"/>
  <c r="DI107" i="10"/>
  <c r="AP305" i="10" l="1"/>
  <c r="AP309" i="10" s="1"/>
  <c r="AP310" i="10" s="1"/>
  <c r="AP302" i="10"/>
  <c r="AP303" i="10"/>
  <c r="AP301" i="10"/>
  <c r="CE280" i="10"/>
  <c r="BZ148" i="10"/>
  <c r="DI162" i="10"/>
  <c r="DI163" i="10" s="1"/>
  <c r="BW149" i="10"/>
  <c r="BV161" i="10"/>
  <c r="DI121" i="10"/>
  <c r="DK106" i="10"/>
  <c r="DK107" i="10" s="1"/>
  <c r="DM124" i="10"/>
  <c r="DM126" i="10"/>
  <c r="DJ120" i="10"/>
  <c r="DJ150" i="10"/>
  <c r="DI150" i="10"/>
  <c r="DJ151" i="10" s="1"/>
  <c r="DK151" i="10" s="1"/>
  <c r="DL151" i="10" s="1"/>
  <c r="DM151" i="10" s="1"/>
  <c r="DL105" i="10"/>
  <c r="AP312" i="10" l="1"/>
  <c r="AP311" i="10"/>
  <c r="AP320" i="10" s="1"/>
  <c r="AP313" i="10"/>
  <c r="AP317" i="10" s="1"/>
  <c r="AP304" i="10"/>
  <c r="AQ296" i="10"/>
  <c r="AQ261" i="10" s="1"/>
  <c r="AQ262" i="10" s="1"/>
  <c r="CE281" i="10"/>
  <c r="CA137" i="10"/>
  <c r="DJ162" i="10"/>
  <c r="DJ163" i="10" s="1"/>
  <c r="BW153" i="10"/>
  <c r="BW154" i="10" s="1"/>
  <c r="DK116" i="10"/>
  <c r="DN124" i="10"/>
  <c r="DN126" i="10"/>
  <c r="DM152" i="10"/>
  <c r="DN151" i="10"/>
  <c r="DO151" i="10" s="1"/>
  <c r="DP151" i="10" s="1"/>
  <c r="DQ151" i="10" s="1"/>
  <c r="DR151" i="10" s="1"/>
  <c r="DS151" i="10" s="1"/>
  <c r="DT151" i="10" s="1"/>
  <c r="DU151" i="10" s="1"/>
  <c r="DL106" i="10"/>
  <c r="DJ121" i="10"/>
  <c r="DK150" i="10"/>
  <c r="DM105" i="10"/>
  <c r="AP321" i="10" l="1"/>
  <c r="AQ293" i="10"/>
  <c r="AQ272" i="10"/>
  <c r="AQ263" i="10"/>
  <c r="AQ306" i="10" s="1"/>
  <c r="CE282" i="10"/>
  <c r="DL116" i="10"/>
  <c r="DL120" i="10" s="1"/>
  <c r="DL107" i="10"/>
  <c r="DL150" i="10" s="1"/>
  <c r="CA147" i="10"/>
  <c r="BW156" i="10"/>
  <c r="BW155" i="10"/>
  <c r="BW164" i="10" s="1"/>
  <c r="BW165" i="10" s="1"/>
  <c r="BX141" i="10"/>
  <c r="BW157" i="10"/>
  <c r="DK121" i="10"/>
  <c r="DK120" i="10"/>
  <c r="DK162" i="10" s="1"/>
  <c r="DK163" i="10" s="1"/>
  <c r="DO124" i="10"/>
  <c r="DO105" i="10" s="1"/>
  <c r="DO126" i="10"/>
  <c r="DM106" i="10"/>
  <c r="DM107" i="10" s="1"/>
  <c r="DN105" i="10"/>
  <c r="AQ297" i="10" l="1"/>
  <c r="AQ277" i="10"/>
  <c r="AQ276" i="10"/>
  <c r="AQ318" i="10" s="1"/>
  <c r="CF280" i="10"/>
  <c r="CA148" i="10"/>
  <c r="DL162" i="10"/>
  <c r="DL163" i="10" s="1"/>
  <c r="BX149" i="10"/>
  <c r="BW161" i="10"/>
  <c r="DL121" i="10"/>
  <c r="DO106" i="10"/>
  <c r="DP124" i="10"/>
  <c r="DP126" i="10"/>
  <c r="DM116" i="10"/>
  <c r="DN106" i="10"/>
  <c r="DM150" i="10"/>
  <c r="AQ299" i="10" l="1"/>
  <c r="AQ300" i="10"/>
  <c r="AQ319" i="10"/>
  <c r="CF281" i="10"/>
  <c r="DM121" i="10"/>
  <c r="CB137" i="10"/>
  <c r="BX153" i="10"/>
  <c r="BX154" i="10" s="1"/>
  <c r="DP105" i="10"/>
  <c r="DQ124" i="10"/>
  <c r="DQ126" i="10"/>
  <c r="DM120" i="10"/>
  <c r="DM162" i="10" s="1"/>
  <c r="DM163" i="10" s="1"/>
  <c r="DO116" i="10"/>
  <c r="DO120" i="10" s="1"/>
  <c r="DO107" i="10"/>
  <c r="DN116" i="10"/>
  <c r="DN107" i="10"/>
  <c r="AQ305" i="10" l="1"/>
  <c r="AQ309" i="10" s="1"/>
  <c r="AQ310" i="10" s="1"/>
  <c r="AQ302" i="10"/>
  <c r="AQ303" i="10"/>
  <c r="AQ301" i="10"/>
  <c r="CF282" i="10"/>
  <c r="CB147" i="10"/>
  <c r="BX156" i="10"/>
  <c r="BX157" i="10"/>
  <c r="BX155" i="10"/>
  <c r="BX164" i="10" s="1"/>
  <c r="BX165" i="10" s="1"/>
  <c r="BY141" i="10"/>
  <c r="DP106" i="10"/>
  <c r="DP107" i="10" s="1"/>
  <c r="DR124" i="10"/>
  <c r="DR126" i="10"/>
  <c r="DN121" i="10"/>
  <c r="DN120" i="10"/>
  <c r="DN162" i="10" s="1"/>
  <c r="DN163" i="10" s="1"/>
  <c r="DN150" i="10"/>
  <c r="DO150" i="10" s="1"/>
  <c r="DQ105" i="10"/>
  <c r="AQ312" i="10" l="1"/>
  <c r="AQ311" i="10"/>
  <c r="AQ320" i="10" s="1"/>
  <c r="AQ313" i="10"/>
  <c r="AQ317" i="10" s="1"/>
  <c r="AQ304" i="10"/>
  <c r="AR296" i="10"/>
  <c r="AR261" i="10" s="1"/>
  <c r="AR262" i="10" s="1"/>
  <c r="CG280" i="10"/>
  <c r="CB148" i="10"/>
  <c r="DO162" i="10"/>
  <c r="DO163" i="10" s="1"/>
  <c r="BX161" i="10"/>
  <c r="BY149" i="10"/>
  <c r="DP116" i="10"/>
  <c r="DS124" i="10"/>
  <c r="DS105" i="10" s="1"/>
  <c r="DS126" i="10"/>
  <c r="DO121" i="10"/>
  <c r="DQ106" i="10"/>
  <c r="DQ107" i="10" s="1"/>
  <c r="DP150" i="10"/>
  <c r="DR105" i="10"/>
  <c r="AQ321" i="10" l="1"/>
  <c r="AR293" i="10"/>
  <c r="AR272" i="10"/>
  <c r="AR263" i="10"/>
  <c r="AR306" i="10" s="1"/>
  <c r="CG281" i="10"/>
  <c r="CC137" i="10"/>
  <c r="BY153" i="10"/>
  <c r="BY154" i="10" s="1"/>
  <c r="DP120" i="10"/>
  <c r="DP162" i="10" s="1"/>
  <c r="DP163" i="10" s="1"/>
  <c r="DS106" i="10"/>
  <c r="DT124" i="10"/>
  <c r="DT126" i="10"/>
  <c r="DR106" i="10"/>
  <c r="DQ150" i="10"/>
  <c r="DP121" i="10"/>
  <c r="DQ116" i="10"/>
  <c r="DQ120" i="10" s="1"/>
  <c r="AR297" i="10" l="1"/>
  <c r="AR277" i="10"/>
  <c r="AR276" i="10"/>
  <c r="AR318" i="10" s="1"/>
  <c r="CG282" i="10"/>
  <c r="DQ121" i="10"/>
  <c r="DS116" i="10"/>
  <c r="DS120" i="10" s="1"/>
  <c r="DS107" i="10"/>
  <c r="DR116" i="10"/>
  <c r="DR120" i="10" s="1"/>
  <c r="DR107" i="10"/>
  <c r="DR150" i="10" s="1"/>
  <c r="CC147" i="10"/>
  <c r="DQ162" i="10"/>
  <c r="DQ163" i="10" s="1"/>
  <c r="BY156" i="10"/>
  <c r="BZ141" i="10"/>
  <c r="BY155" i="10"/>
  <c r="BY164" i="10" s="1"/>
  <c r="BY165" i="10" s="1"/>
  <c r="BY157" i="10"/>
  <c r="I111" i="12"/>
  <c r="DT105" i="10"/>
  <c r="DU124" i="10"/>
  <c r="DU126" i="10"/>
  <c r="AR299" i="10" l="1"/>
  <c r="AR300" i="10"/>
  <c r="AR319" i="10"/>
  <c r="CH280" i="10"/>
  <c r="DS150" i="10"/>
  <c r="DR121" i="10"/>
  <c r="DS121" i="10" s="1"/>
  <c r="CC148" i="10"/>
  <c r="DR162" i="10"/>
  <c r="DR163" i="10" s="1"/>
  <c r="BZ149" i="10"/>
  <c r="BY161" i="10"/>
  <c r="DT106" i="10"/>
  <c r="DT107" i="10" s="1"/>
  <c r="DV124" i="10"/>
  <c r="E126" i="10"/>
  <c r="DV126" i="10"/>
  <c r="DU105" i="10"/>
  <c r="AR305" i="10" l="1"/>
  <c r="AR309" i="10" s="1"/>
  <c r="AR310" i="10" s="1"/>
  <c r="AR302" i="10"/>
  <c r="AR303" i="10"/>
  <c r="AR301" i="10"/>
  <c r="CH281" i="10"/>
  <c r="CD137" i="10"/>
  <c r="DS162" i="10"/>
  <c r="DS163" i="10" s="1"/>
  <c r="BZ153" i="10"/>
  <c r="BZ154" i="10" s="1"/>
  <c r="DT150" i="10"/>
  <c r="DT116" i="10"/>
  <c r="DW124" i="10"/>
  <c r="DW105" i="10" s="1"/>
  <c r="DW126" i="10"/>
  <c r="DU106" i="10"/>
  <c r="DV105" i="10"/>
  <c r="AR312" i="10" l="1"/>
  <c r="AR311" i="10"/>
  <c r="AR320" i="10" s="1"/>
  <c r="AR313" i="10"/>
  <c r="AR317" i="10" s="1"/>
  <c r="AR304" i="10"/>
  <c r="AS296" i="10"/>
  <c r="AS261" i="10" s="1"/>
  <c r="AS262" i="10" s="1"/>
  <c r="CH282" i="10"/>
  <c r="DU116" i="10"/>
  <c r="DU120" i="10" s="1"/>
  <c r="DU107" i="10"/>
  <c r="DU150" i="10" s="1"/>
  <c r="DV151" i="10" s="1"/>
  <c r="DW151" i="10" s="1"/>
  <c r="DX151" i="10" s="1"/>
  <c r="DY151" i="10" s="1"/>
  <c r="CD147" i="10"/>
  <c r="BZ156" i="10"/>
  <c r="BZ155" i="10"/>
  <c r="BZ164" i="10" s="1"/>
  <c r="BZ165" i="10" s="1"/>
  <c r="BZ157" i="10"/>
  <c r="CA141" i="10"/>
  <c r="DT121" i="10"/>
  <c r="DT120" i="10"/>
  <c r="DT162" i="10" s="1"/>
  <c r="DT163" i="10" s="1"/>
  <c r="DW106" i="10"/>
  <c r="DX124" i="10"/>
  <c r="DX126" i="10"/>
  <c r="DV106" i="10"/>
  <c r="DV107" i="10" s="1"/>
  <c r="AR321" i="10" l="1"/>
  <c r="AS293" i="10"/>
  <c r="AS272" i="10"/>
  <c r="AS263" i="10"/>
  <c r="AS306" i="10" s="1"/>
  <c r="CI280" i="10"/>
  <c r="CD148" i="10"/>
  <c r="DU162" i="10"/>
  <c r="DU163" i="10" s="1"/>
  <c r="BZ161" i="10"/>
  <c r="CA149" i="10"/>
  <c r="DU121" i="10"/>
  <c r="DX105" i="10"/>
  <c r="DY124" i="10"/>
  <c r="DY126" i="10"/>
  <c r="DV116" i="10"/>
  <c r="DV150" i="10"/>
  <c r="DY152" i="10"/>
  <c r="DZ151" i="10"/>
  <c r="EA151" i="10" s="1"/>
  <c r="EB151" i="10" s="1"/>
  <c r="EC151" i="10" s="1"/>
  <c r="ED151" i="10" s="1"/>
  <c r="EE151" i="10" s="1"/>
  <c r="EF151" i="10" s="1"/>
  <c r="EG151" i="10" s="1"/>
  <c r="DW116" i="10"/>
  <c r="DW120" i="10" s="1"/>
  <c r="DW107" i="10"/>
  <c r="AS297" i="10" l="1"/>
  <c r="AS277" i="10"/>
  <c r="AS276" i="10"/>
  <c r="AS318" i="10" s="1"/>
  <c r="CI281" i="10"/>
  <c r="CE137" i="10"/>
  <c r="E162" i="10"/>
  <c r="CA153" i="10"/>
  <c r="CA154" i="10" s="1"/>
  <c r="DX106" i="10"/>
  <c r="DX107" i="10" s="1"/>
  <c r="DZ124" i="10"/>
  <c r="DZ105" i="10" s="1"/>
  <c r="DZ126" i="10"/>
  <c r="DV120" i="10"/>
  <c r="DV162" i="10" s="1"/>
  <c r="DV163" i="10" s="1"/>
  <c r="DW150" i="10"/>
  <c r="DV121" i="10"/>
  <c r="DY105" i="10"/>
  <c r="AS299" i="10" l="1"/>
  <c r="AS300" i="10"/>
  <c r="AS319" i="10"/>
  <c r="CI282" i="10"/>
  <c r="DX150" i="10"/>
  <c r="CE147" i="10"/>
  <c r="DW162" i="10"/>
  <c r="DW163" i="10" s="1"/>
  <c r="CA156" i="10"/>
  <c r="CA157" i="10"/>
  <c r="CA155" i="10"/>
  <c r="CA164" i="10" s="1"/>
  <c r="CB141" i="10"/>
  <c r="DX116" i="10"/>
  <c r="DZ106" i="10"/>
  <c r="EA124" i="10"/>
  <c r="EA126" i="10"/>
  <c r="DW121" i="10"/>
  <c r="DY106" i="10"/>
  <c r="AS305" i="10" l="1"/>
  <c r="AS309" i="10" s="1"/>
  <c r="AS310" i="10" s="1"/>
  <c r="AS302" i="10"/>
  <c r="AS303" i="10"/>
  <c r="AS301" i="10"/>
  <c r="CJ280" i="10"/>
  <c r="DX121" i="10"/>
  <c r="CE148" i="10"/>
  <c r="CA161" i="10"/>
  <c r="CB149" i="10"/>
  <c r="DX120" i="10"/>
  <c r="DX162" i="10" s="1"/>
  <c r="DX163" i="10" s="1"/>
  <c r="EA105" i="10"/>
  <c r="EB124" i="10"/>
  <c r="EB126" i="10"/>
  <c r="CA165" i="10"/>
  <c r="DZ116" i="10"/>
  <c r="DZ120" i="10" s="1"/>
  <c r="DZ107" i="10"/>
  <c r="DY116" i="10"/>
  <c r="DY107" i="10"/>
  <c r="AS313" i="10" l="1"/>
  <c r="AS317" i="10" s="1"/>
  <c r="AS312" i="10"/>
  <c r="AS311" i="10"/>
  <c r="AS320" i="10" s="1"/>
  <c r="AS304" i="10"/>
  <c r="AT296" i="10"/>
  <c r="AT261" i="10" s="1"/>
  <c r="AT262" i="10" s="1"/>
  <c r="CJ281" i="10"/>
  <c r="CF137" i="10"/>
  <c r="CB153" i="10"/>
  <c r="CB154" i="10" s="1"/>
  <c r="EA106" i="10"/>
  <c r="EA107" i="10" s="1"/>
  <c r="EC124" i="10"/>
  <c r="EC105" i="10" s="1"/>
  <c r="EC126" i="10"/>
  <c r="DY121" i="10"/>
  <c r="DY120" i="10"/>
  <c r="DY162" i="10" s="1"/>
  <c r="DY163" i="10" s="1"/>
  <c r="DY150" i="10"/>
  <c r="DZ150" i="10" s="1"/>
  <c r="EB105" i="10"/>
  <c r="AS321" i="10" l="1"/>
  <c r="AT293" i="10"/>
  <c r="AT272" i="10"/>
  <c r="AT263" i="10"/>
  <c r="AT306" i="10" s="1"/>
  <c r="CJ282" i="10"/>
  <c r="CF147" i="10"/>
  <c r="DZ162" i="10"/>
  <c r="DZ163" i="10" s="1"/>
  <c r="CB156" i="10"/>
  <c r="CB157" i="10"/>
  <c r="CC141" i="10"/>
  <c r="CB155" i="10"/>
  <c r="CB164" i="10" s="1"/>
  <c r="EA116" i="10"/>
  <c r="EC106" i="10"/>
  <c r="ED124" i="10"/>
  <c r="ED126" i="10"/>
  <c r="DZ121" i="10"/>
  <c r="EB106" i="10"/>
  <c r="EA150" i="10"/>
  <c r="AT297" i="10" l="1"/>
  <c r="AT277" i="10"/>
  <c r="AT276" i="10"/>
  <c r="AT318" i="10" s="1"/>
  <c r="CK281" i="10"/>
  <c r="CK280" i="10"/>
  <c r="EA121" i="10"/>
  <c r="EB116" i="10"/>
  <c r="EB107" i="10"/>
  <c r="EB150" i="10" s="1"/>
  <c r="CF148" i="10"/>
  <c r="CB161" i="10"/>
  <c r="CC149" i="10"/>
  <c r="EA120" i="10"/>
  <c r="EA162" i="10" s="1"/>
  <c r="EA163" i="10" s="1"/>
  <c r="ED105" i="10"/>
  <c r="EE124" i="10"/>
  <c r="EE126" i="10"/>
  <c r="CB165" i="10"/>
  <c r="EC116" i="10"/>
  <c r="EC120" i="10" s="1"/>
  <c r="EC107" i="10"/>
  <c r="AT299" i="10" l="1"/>
  <c r="AT300" i="10"/>
  <c r="AT319" i="10"/>
  <c r="CK282" i="10"/>
  <c r="EB120" i="10"/>
  <c r="EB162" i="10" s="1"/>
  <c r="EB163" i="10" s="1"/>
  <c r="EB121" i="10"/>
  <c r="EC121" i="10" s="1"/>
  <c r="CG137" i="10"/>
  <c r="CC153" i="10"/>
  <c r="CC154" i="10" s="1"/>
  <c r="ED106" i="10"/>
  <c r="ED107" i="10" s="1"/>
  <c r="EF124" i="10"/>
  <c r="EF126" i="10"/>
  <c r="EC150" i="10"/>
  <c r="EE105" i="10"/>
  <c r="AT305" i="10" l="1"/>
  <c r="AT309" i="10" s="1"/>
  <c r="AT310" i="10" s="1"/>
  <c r="AT302" i="10"/>
  <c r="AT303" i="10"/>
  <c r="AT301" i="10"/>
  <c r="CL280" i="10"/>
  <c r="CG147" i="10"/>
  <c r="EC162" i="10"/>
  <c r="EC163" i="10" s="1"/>
  <c r="CC156" i="10"/>
  <c r="CC157" i="10"/>
  <c r="CD141" i="10"/>
  <c r="CC155" i="10"/>
  <c r="CC164" i="10" s="1"/>
  <c r="ED116" i="10"/>
  <c r="EG124" i="10"/>
  <c r="EG126" i="10"/>
  <c r="EE106" i="10"/>
  <c r="ED150" i="10"/>
  <c r="EF105" i="10"/>
  <c r="AT311" i="10" l="1"/>
  <c r="AT320" i="10" s="1"/>
  <c r="AT312" i="10"/>
  <c r="AT313" i="10"/>
  <c r="AT317" i="10" s="1"/>
  <c r="AT304" i="10"/>
  <c r="AU296" i="10"/>
  <c r="AU261" i="10" s="1"/>
  <c r="AU262" i="10" s="1"/>
  <c r="CL281" i="10"/>
  <c r="CG148" i="10"/>
  <c r="CC161" i="10"/>
  <c r="CD149" i="10"/>
  <c r="ED121" i="10"/>
  <c r="ED120" i="10"/>
  <c r="ED162" i="10" s="1"/>
  <c r="ED163" i="10" s="1"/>
  <c r="EH124" i="10"/>
  <c r="EH126" i="10"/>
  <c r="EF106" i="10"/>
  <c r="EF107" i="10" s="1"/>
  <c r="CC165" i="10"/>
  <c r="EG105" i="10"/>
  <c r="EE116" i="10"/>
  <c r="EE120" i="10" s="1"/>
  <c r="EE107" i="10"/>
  <c r="AT321" i="10" l="1"/>
  <c r="AU293" i="10"/>
  <c r="AU272" i="10"/>
  <c r="AU263" i="10"/>
  <c r="AU306" i="10" s="1"/>
  <c r="CL282" i="10"/>
  <c r="CH137" i="10"/>
  <c r="EE162" i="10"/>
  <c r="EE163" i="10" s="1"/>
  <c r="CD153" i="10"/>
  <c r="CD154" i="10" s="1"/>
  <c r="EE121" i="10"/>
  <c r="EI124" i="10"/>
  <c r="EI105" i="10" s="1"/>
  <c r="EI126" i="10"/>
  <c r="EF116" i="10"/>
  <c r="EG106" i="10"/>
  <c r="EE150" i="10"/>
  <c r="EF150" i="10" s="1"/>
  <c r="EH105" i="10"/>
  <c r="AU297" i="10" l="1"/>
  <c r="AU277" i="10"/>
  <c r="AU276" i="10"/>
  <c r="AU318" i="10" s="1"/>
  <c r="CM280" i="10"/>
  <c r="EG116" i="10"/>
  <c r="EG120" i="10" s="1"/>
  <c r="EG107" i="10"/>
  <c r="EG150" i="10" s="1"/>
  <c r="EH151" i="10" s="1"/>
  <c r="EI151" i="10" s="1"/>
  <c r="EJ151" i="10" s="1"/>
  <c r="EK151" i="10" s="1"/>
  <c r="CH147" i="10"/>
  <c r="CD156" i="10"/>
  <c r="CD157" i="10"/>
  <c r="CE141" i="10"/>
  <c r="CD155" i="10"/>
  <c r="CD164" i="10" s="1"/>
  <c r="CD165" i="10" s="1"/>
  <c r="EI106" i="10"/>
  <c r="EJ124" i="10"/>
  <c r="EJ126" i="10"/>
  <c r="EF120" i="10"/>
  <c r="EF162" i="10" s="1"/>
  <c r="EF163" i="10" s="1"/>
  <c r="EH106" i="10"/>
  <c r="EH107" i="10" s="1"/>
  <c r="EF121" i="10"/>
  <c r="AU299" i="10" l="1"/>
  <c r="AU300" i="10"/>
  <c r="AU319" i="10"/>
  <c r="CM281" i="10"/>
  <c r="EL151" i="10"/>
  <c r="EM151" i="10" s="1"/>
  <c r="EN151" i="10" s="1"/>
  <c r="EO151" i="10" s="1"/>
  <c r="EP151" i="10" s="1"/>
  <c r="EQ151" i="10" s="1"/>
  <c r="ER151" i="10" s="1"/>
  <c r="ES151" i="10" s="1"/>
  <c r="EK152" i="10"/>
  <c r="E152" i="10" s="1"/>
  <c r="CH148" i="10"/>
  <c r="EG162" i="10"/>
  <c r="EG163" i="10" s="1"/>
  <c r="CD161" i="10"/>
  <c r="CE149" i="10"/>
  <c r="EJ105" i="10"/>
  <c r="EK124" i="10"/>
  <c r="EK105" i="10" s="1"/>
  <c r="EK126" i="10"/>
  <c r="EH116" i="10"/>
  <c r="EH150" i="10"/>
  <c r="EG121" i="10"/>
  <c r="EI116" i="10"/>
  <c r="EI120" i="10" s="1"/>
  <c r="EI107" i="10"/>
  <c r="AU305" i="10" l="1"/>
  <c r="AU309" i="10" s="1"/>
  <c r="AU310" i="10" s="1"/>
  <c r="AU302" i="10"/>
  <c r="AU303" i="10"/>
  <c r="AU301" i="10"/>
  <c r="CM282" i="10"/>
  <c r="EH121" i="10"/>
  <c r="EI121" i="10" s="1"/>
  <c r="CI137" i="10"/>
  <c r="CE153" i="10"/>
  <c r="CE154" i="10" s="1"/>
  <c r="EJ106" i="10"/>
  <c r="EJ107" i="10" s="1"/>
  <c r="EK106" i="10"/>
  <c r="EL124" i="10"/>
  <c r="EL126" i="10"/>
  <c r="EH120" i="10"/>
  <c r="EH162" i="10" s="1"/>
  <c r="EH163" i="10" s="1"/>
  <c r="EI150" i="10"/>
  <c r="AU312" i="10" l="1"/>
  <c r="AU313" i="10"/>
  <c r="AU317" i="10" s="1"/>
  <c r="AU311" i="10"/>
  <c r="AU320" i="10" s="1"/>
  <c r="AU304" i="10"/>
  <c r="AV296" i="10"/>
  <c r="AV261" i="10" s="1"/>
  <c r="AV262" i="10" s="1"/>
  <c r="CN280" i="10"/>
  <c r="EJ150" i="10"/>
  <c r="CI147" i="10"/>
  <c r="EI162" i="10"/>
  <c r="EI163" i="10" s="1"/>
  <c r="CE156" i="10"/>
  <c r="CE157" i="10"/>
  <c r="CE155" i="10"/>
  <c r="CE164" i="10" s="1"/>
  <c r="CF141" i="10"/>
  <c r="EJ116" i="10"/>
  <c r="EL105" i="10"/>
  <c r="EM124" i="10"/>
  <c r="EM126" i="10"/>
  <c r="EK116" i="10"/>
  <c r="EK120" i="10" s="1"/>
  <c r="EK107" i="10"/>
  <c r="AU321" i="10" l="1"/>
  <c r="AV293" i="10"/>
  <c r="AV272" i="10"/>
  <c r="AV263" i="10"/>
  <c r="AV306" i="10" s="1"/>
  <c r="CN281" i="10"/>
  <c r="EK150" i="10"/>
  <c r="CI148" i="10"/>
  <c r="CE161" i="10"/>
  <c r="CF149" i="10"/>
  <c r="EJ121" i="10"/>
  <c r="EJ120" i="10"/>
  <c r="EJ162" i="10" s="1"/>
  <c r="EJ163" i="10" s="1"/>
  <c r="EL106" i="10"/>
  <c r="EL107" i="10" s="1"/>
  <c r="EN124" i="10"/>
  <c r="EN126" i="10"/>
  <c r="CE165" i="10"/>
  <c r="EM105" i="10"/>
  <c r="AV297" i="10" l="1"/>
  <c r="AV277" i="10"/>
  <c r="AV276" i="10"/>
  <c r="AV318" i="10" s="1"/>
  <c r="CN282" i="10"/>
  <c r="CJ137" i="10"/>
  <c r="EK162" i="10"/>
  <c r="EK163" i="10" s="1"/>
  <c r="CF153" i="10"/>
  <c r="CF154" i="10" s="1"/>
  <c r="EK121" i="10"/>
  <c r="EL150" i="10"/>
  <c r="EL116" i="10"/>
  <c r="EO124" i="10"/>
  <c r="EO105" i="10" s="1"/>
  <c r="EO126" i="10"/>
  <c r="EM106" i="10"/>
  <c r="EM107" i="10" s="1"/>
  <c r="EN105" i="10"/>
  <c r="AV299" i="10" l="1"/>
  <c r="AV300" i="10"/>
  <c r="AV319" i="10"/>
  <c r="CO280" i="10"/>
  <c r="CJ147" i="10"/>
  <c r="CF156" i="10"/>
  <c r="CF157" i="10"/>
  <c r="CF155" i="10"/>
  <c r="CF164" i="10" s="1"/>
  <c r="CF165" i="10" s="1"/>
  <c r="CG141" i="10"/>
  <c r="EL120" i="10"/>
  <c r="EL162" i="10" s="1"/>
  <c r="EL163" i="10" s="1"/>
  <c r="EO106" i="10"/>
  <c r="EP124" i="10"/>
  <c r="EP126" i="10"/>
  <c r="EN106" i="10"/>
  <c r="EL121" i="10"/>
  <c r="EM150" i="10"/>
  <c r="EM116" i="10"/>
  <c r="EM120" i="10" s="1"/>
  <c r="AV305" i="10" l="1"/>
  <c r="AV309" i="10" s="1"/>
  <c r="AV310" i="10" s="1"/>
  <c r="AV302" i="10"/>
  <c r="AV303" i="10"/>
  <c r="AV301" i="10"/>
  <c r="CO281" i="10"/>
  <c r="CJ148" i="10"/>
  <c r="EM162" i="10"/>
  <c r="EM163" i="10" s="1"/>
  <c r="CF161" i="10"/>
  <c r="CG149" i="10"/>
  <c r="EP105" i="10"/>
  <c r="EQ124" i="10"/>
  <c r="EQ126" i="10"/>
  <c r="EM121" i="10"/>
  <c r="EO116" i="10"/>
  <c r="EO120" i="10" s="1"/>
  <c r="EO107" i="10"/>
  <c r="EN116" i="10"/>
  <c r="EN107" i="10"/>
  <c r="AV313" i="10" l="1"/>
  <c r="AV317" i="10" s="1"/>
  <c r="AV312" i="10"/>
  <c r="AV311" i="10"/>
  <c r="AV320" i="10" s="1"/>
  <c r="AV304" i="10"/>
  <c r="AW296" i="10"/>
  <c r="AW261" i="10" s="1"/>
  <c r="AW262" i="10" s="1"/>
  <c r="CO282" i="10"/>
  <c r="EN121" i="10"/>
  <c r="EO121" i="10" s="1"/>
  <c r="CK137" i="10"/>
  <c r="CG153" i="10"/>
  <c r="CG154" i="10" s="1"/>
  <c r="EP106" i="10"/>
  <c r="EP107" i="10" s="1"/>
  <c r="ER124" i="10"/>
  <c r="ER126" i="10"/>
  <c r="EN120" i="10"/>
  <c r="EN162" i="10" s="1"/>
  <c r="EN163" i="10" s="1"/>
  <c r="EN150" i="10"/>
  <c r="EO150" i="10" s="1"/>
  <c r="EQ105" i="10"/>
  <c r="AV321" i="10" l="1"/>
  <c r="AW293" i="10"/>
  <c r="AW272" i="10"/>
  <c r="AW263" i="10"/>
  <c r="AW306" i="10" s="1"/>
  <c r="CP280" i="10"/>
  <c r="CK147" i="10"/>
  <c r="EO162" i="10"/>
  <c r="EO163" i="10" s="1"/>
  <c r="CG156" i="10"/>
  <c r="CG157" i="10"/>
  <c r="CG155" i="10"/>
  <c r="CG164" i="10" s="1"/>
  <c r="CG165" i="10" s="1"/>
  <c r="CH141" i="10"/>
  <c r="EP116" i="10"/>
  <c r="ES124" i="10"/>
  <c r="ES126" i="10"/>
  <c r="EQ106" i="10"/>
  <c r="EQ107" i="10" s="1"/>
  <c r="EP150" i="10"/>
  <c r="ER105" i="10"/>
  <c r="AW297" i="10" l="1"/>
  <c r="AW277" i="10"/>
  <c r="AW276" i="10"/>
  <c r="AW318" i="10" s="1"/>
  <c r="CP281" i="10"/>
  <c r="EQ150" i="10"/>
  <c r="ES105" i="10"/>
  <c r="E124" i="10"/>
  <c r="CK148" i="10"/>
  <c r="CG161" i="10"/>
  <c r="CH149" i="10"/>
  <c r="EP121" i="10"/>
  <c r="EP120" i="10"/>
  <c r="EP162" i="10" s="1"/>
  <c r="EP163" i="10" s="1"/>
  <c r="N108" i="12"/>
  <c r="M108" i="12"/>
  <c r="L108" i="12"/>
  <c r="K108" i="12"/>
  <c r="J108" i="12"/>
  <c r="I108" i="12"/>
  <c r="H108" i="12"/>
  <c r="G108" i="12"/>
  <c r="F108" i="12"/>
  <c r="E108" i="12"/>
  <c r="D108" i="12"/>
  <c r="D50" i="12"/>
  <c r="E50" i="12"/>
  <c r="F50" i="12"/>
  <c r="ER106" i="10"/>
  <c r="EQ116" i="10"/>
  <c r="EQ120" i="10" s="1"/>
  <c r="AW299" i="10" l="1"/>
  <c r="AW300" i="10"/>
  <c r="AW319" i="10"/>
  <c r="CP282" i="10"/>
  <c r="O108" i="12"/>
  <c r="C108" i="12" s="1"/>
  <c r="ES106" i="10"/>
  <c r="E105" i="10"/>
  <c r="C19" i="12" s="1"/>
  <c r="CL137" i="10"/>
  <c r="J112" i="12"/>
  <c r="EQ162" i="10"/>
  <c r="EQ163" i="10" s="1"/>
  <c r="CH153" i="10"/>
  <c r="CH154" i="10" s="1"/>
  <c r="EQ121" i="10"/>
  <c r="F51" i="12"/>
  <c r="E51" i="12"/>
  <c r="D51" i="12"/>
  <c r="F52" i="12"/>
  <c r="E52" i="12"/>
  <c r="D52" i="12"/>
  <c r="ER116" i="10"/>
  <c r="ER107" i="10"/>
  <c r="AW305" i="10" l="1"/>
  <c r="AW309" i="10" s="1"/>
  <c r="AW310" i="10" s="1"/>
  <c r="AW302" i="10"/>
  <c r="AW303" i="10"/>
  <c r="AW301" i="10"/>
  <c r="CQ280" i="10"/>
  <c r="E106" i="10"/>
  <c r="ES107" i="10"/>
  <c r="ES116" i="10"/>
  <c r="O104" i="12" s="1"/>
  <c r="CL147" i="10"/>
  <c r="CH156" i="10"/>
  <c r="CH157" i="10"/>
  <c r="CH155" i="10"/>
  <c r="CH164" i="10" s="1"/>
  <c r="CH165" i="10" s="1"/>
  <c r="CI141" i="10"/>
  <c r="F53" i="12"/>
  <c r="E53" i="12"/>
  <c r="D53" i="12"/>
  <c r="D104" i="12"/>
  <c r="E104" i="12"/>
  <c r="F104" i="12"/>
  <c r="G104" i="12"/>
  <c r="H104" i="12"/>
  <c r="I104" i="12"/>
  <c r="J104" i="12"/>
  <c r="K104" i="12"/>
  <c r="L104" i="12"/>
  <c r="M104" i="12"/>
  <c r="N104" i="12"/>
  <c r="D103" i="12"/>
  <c r="D149" i="12" s="1"/>
  <c r="E103" i="12"/>
  <c r="F103" i="12"/>
  <c r="G103" i="12"/>
  <c r="H103" i="12"/>
  <c r="I103" i="12"/>
  <c r="J103" i="12"/>
  <c r="K103" i="12"/>
  <c r="L103" i="12"/>
  <c r="M103" i="12"/>
  <c r="N103" i="12"/>
  <c r="ER120" i="10"/>
  <c r="ER162" i="10" s="1"/>
  <c r="ER163" i="10" s="1"/>
  <c r="ER150" i="10"/>
  <c r="ER121" i="10"/>
  <c r="AW311" i="10" l="1"/>
  <c r="AW320" i="10" s="1"/>
  <c r="AW313" i="10"/>
  <c r="AW317" i="10" s="1"/>
  <c r="AW312" i="10"/>
  <c r="AW304" i="10"/>
  <c r="AX296" i="10"/>
  <c r="AX261" i="10" s="1"/>
  <c r="CQ281" i="10"/>
  <c r="E107" i="10"/>
  <c r="C11" i="12" s="1"/>
  <c r="O103" i="12"/>
  <c r="E116" i="10"/>
  <c r="ES120" i="10"/>
  <c r="C26" i="12" s="1"/>
  <c r="ES121" i="10"/>
  <c r="ES150" i="10"/>
  <c r="CL148" i="10"/>
  <c r="CH161" i="10"/>
  <c r="CI149" i="10"/>
  <c r="F55" i="12"/>
  <c r="E55" i="12"/>
  <c r="D55" i="12"/>
  <c r="N106" i="12"/>
  <c r="M106" i="12"/>
  <c r="L106" i="12"/>
  <c r="K106" i="12"/>
  <c r="J106" i="12"/>
  <c r="I106" i="12"/>
  <c r="H106" i="12"/>
  <c r="G106" i="12"/>
  <c r="F106" i="12"/>
  <c r="E106" i="12"/>
  <c r="D106" i="12"/>
  <c r="D165" i="12"/>
  <c r="E149" i="12"/>
  <c r="E165" i="12"/>
  <c r="F149" i="12"/>
  <c r="F165" i="12"/>
  <c r="G165" i="12"/>
  <c r="H165" i="12"/>
  <c r="I165" i="12"/>
  <c r="J165" i="12"/>
  <c r="K165" i="12"/>
  <c r="L165" i="12"/>
  <c r="M165" i="12"/>
  <c r="C104" i="12"/>
  <c r="AW321" i="10" l="1"/>
  <c r="AX293" i="10"/>
  <c r="AX262" i="10"/>
  <c r="CQ282" i="10"/>
  <c r="E120" i="10"/>
  <c r="O106" i="12"/>
  <c r="C25" i="12"/>
  <c r="ES162" i="10"/>
  <c r="ES163" i="10" s="1"/>
  <c r="C103" i="12"/>
  <c r="E121" i="10"/>
  <c r="C14" i="12"/>
  <c r="C13" i="12"/>
  <c r="CM137" i="10"/>
  <c r="CI153" i="10"/>
  <c r="CI154" i="10" s="1"/>
  <c r="D151" i="12"/>
  <c r="E151" i="12"/>
  <c r="F151" i="12"/>
  <c r="AX272" i="10" l="1"/>
  <c r="AX263" i="10"/>
  <c r="CR280" i="10"/>
  <c r="C106" i="12"/>
  <c r="E163" i="10"/>
  <c r="C29" i="12"/>
  <c r="CM147" i="10"/>
  <c r="CI156" i="10"/>
  <c r="CJ141" i="10"/>
  <c r="CI155" i="10"/>
  <c r="CI164" i="10" s="1"/>
  <c r="CI165" i="10" s="1"/>
  <c r="CI157" i="10"/>
  <c r="AX297" i="10" l="1"/>
  <c r="AX277" i="10"/>
  <c r="AX276" i="10"/>
  <c r="AX306" i="10"/>
  <c r="CR281" i="10"/>
  <c r="CM148" i="10"/>
  <c r="CJ149" i="10"/>
  <c r="CI161" i="10"/>
  <c r="AX299" i="10" l="1"/>
  <c r="AX300" i="10"/>
  <c r="AX318" i="10"/>
  <c r="CR282" i="10"/>
  <c r="CN137" i="10"/>
  <c r="CJ153" i="10"/>
  <c r="CJ154" i="10" s="1"/>
  <c r="AX305" i="10" l="1"/>
  <c r="AX309" i="10" s="1"/>
  <c r="AX310" i="10" s="1"/>
  <c r="AX302" i="10"/>
  <c r="AX303" i="10"/>
  <c r="AX301" i="10"/>
  <c r="AX319" i="10"/>
  <c r="CS280" i="10"/>
  <c r="CN147" i="10"/>
  <c r="CJ156" i="10"/>
  <c r="CJ157" i="10"/>
  <c r="CK141" i="10"/>
  <c r="CJ155" i="10"/>
  <c r="CJ164" i="10" s="1"/>
  <c r="CJ165" i="10" s="1"/>
  <c r="AX311" i="10" l="1"/>
  <c r="AX320" i="10" s="1"/>
  <c r="AX313" i="10"/>
  <c r="AX317" i="10" s="1"/>
  <c r="AX312" i="10"/>
  <c r="AX304" i="10"/>
  <c r="AY296" i="10"/>
  <c r="AY261" i="10" s="1"/>
  <c r="CS281" i="10"/>
  <c r="CN148" i="10"/>
  <c r="CJ161" i="10"/>
  <c r="CK149" i="10"/>
  <c r="AX321" i="10" l="1"/>
  <c r="AY293" i="10"/>
  <c r="AY262" i="10"/>
  <c r="CS282" i="10"/>
  <c r="CO137" i="10"/>
  <c r="CK153" i="10"/>
  <c r="CK154" i="10" s="1"/>
  <c r="AY272" i="10" l="1"/>
  <c r="AY263" i="10"/>
  <c r="CT280" i="10"/>
  <c r="CO147" i="10"/>
  <c r="CK156" i="10"/>
  <c r="J111" i="12"/>
  <c r="CL141" i="10"/>
  <c r="CK155" i="10"/>
  <c r="CK164" i="10" s="1"/>
  <c r="CK165" i="10" s="1"/>
  <c r="CK157" i="10"/>
  <c r="AY297" i="10" l="1"/>
  <c r="AY277" i="10"/>
  <c r="AY276" i="10"/>
  <c r="AY306" i="10"/>
  <c r="CT281" i="10"/>
  <c r="CO148" i="10"/>
  <c r="CL149" i="10"/>
  <c r="CK161" i="10"/>
  <c r="AY299" i="10" l="1"/>
  <c r="AY300" i="10"/>
  <c r="AY318" i="10"/>
  <c r="CT282" i="10"/>
  <c r="CP137" i="10"/>
  <c r="CL153" i="10"/>
  <c r="CL154" i="10" s="1"/>
  <c r="AY305" i="10" l="1"/>
  <c r="AY309" i="10" s="1"/>
  <c r="AY310" i="10" s="1"/>
  <c r="AY302" i="10"/>
  <c r="AY303" i="10"/>
  <c r="AY301" i="10"/>
  <c r="AY319" i="10"/>
  <c r="CU280" i="10"/>
  <c r="CP147" i="10"/>
  <c r="CL156" i="10"/>
  <c r="CM141" i="10"/>
  <c r="CL155" i="10"/>
  <c r="CL164" i="10" s="1"/>
  <c r="CL165" i="10" s="1"/>
  <c r="CL157" i="10"/>
  <c r="AY313" i="10" l="1"/>
  <c r="AY317" i="10" s="1"/>
  <c r="AY311" i="10"/>
  <c r="AY320" i="10" s="1"/>
  <c r="AY312" i="10"/>
  <c r="AY304" i="10"/>
  <c r="AZ296" i="10"/>
  <c r="AZ261" i="10" s="1"/>
  <c r="CU281" i="10"/>
  <c r="CP148" i="10"/>
  <c r="CM149" i="10"/>
  <c r="CL161" i="10"/>
  <c r="AY321" i="10" l="1"/>
  <c r="AZ293" i="10"/>
  <c r="AZ262" i="10"/>
  <c r="CU282" i="10"/>
  <c r="CQ137" i="10"/>
  <c r="CM153" i="10"/>
  <c r="CM154" i="10" s="1"/>
  <c r="AZ272" i="10" l="1"/>
  <c r="AZ263" i="10"/>
  <c r="CV280" i="10"/>
  <c r="CQ147" i="10"/>
  <c r="CM156" i="10"/>
  <c r="CM155" i="10"/>
  <c r="CM164" i="10" s="1"/>
  <c r="CM165" i="10" s="1"/>
  <c r="CN141" i="10"/>
  <c r="CM157" i="10"/>
  <c r="AZ297" i="10" l="1"/>
  <c r="AZ277" i="10"/>
  <c r="AZ276" i="10"/>
  <c r="AZ306" i="10"/>
  <c r="CV281" i="10"/>
  <c r="CQ148" i="10"/>
  <c r="CN149" i="10"/>
  <c r="CM161" i="10"/>
  <c r="AZ299" i="10" l="1"/>
  <c r="AZ300" i="10"/>
  <c r="AZ318" i="10"/>
  <c r="CV282" i="10"/>
  <c r="CR137" i="10"/>
  <c r="CN153" i="10"/>
  <c r="CN154" i="10" s="1"/>
  <c r="AZ305" i="10" l="1"/>
  <c r="AZ309" i="10" s="1"/>
  <c r="AZ310" i="10" s="1"/>
  <c r="AZ302" i="10"/>
  <c r="AZ303" i="10"/>
  <c r="AZ301" i="10"/>
  <c r="AZ319" i="10"/>
  <c r="CW281" i="10"/>
  <c r="CW280" i="10"/>
  <c r="CR147" i="10"/>
  <c r="CN156" i="10"/>
  <c r="CN155" i="10"/>
  <c r="CN164" i="10" s="1"/>
  <c r="CN165" i="10" s="1"/>
  <c r="CO141" i="10"/>
  <c r="CN157" i="10"/>
  <c r="AZ311" i="10" l="1"/>
  <c r="AZ320" i="10" s="1"/>
  <c r="AZ312" i="10"/>
  <c r="AZ313" i="10"/>
  <c r="AZ317" i="10" s="1"/>
  <c r="AZ304" i="10"/>
  <c r="BA296" i="10"/>
  <c r="BA261" i="10" s="1"/>
  <c r="E281" i="10"/>
  <c r="CW282" i="10"/>
  <c r="CR148" i="10"/>
  <c r="CO149" i="10"/>
  <c r="CN161" i="10"/>
  <c r="AZ321" i="10" l="1"/>
  <c r="BA293" i="10"/>
  <c r="G50" i="12"/>
  <c r="BA262" i="10"/>
  <c r="CX282" i="10"/>
  <c r="CX280" i="10"/>
  <c r="CS137" i="10"/>
  <c r="CO153" i="10"/>
  <c r="CO154" i="10" s="1"/>
  <c r="G51" i="12" l="1"/>
  <c r="BA272" i="10"/>
  <c r="BA263" i="10"/>
  <c r="CY280" i="10"/>
  <c r="CY282" i="10"/>
  <c r="CS147" i="10"/>
  <c r="CO156" i="10"/>
  <c r="CO155" i="10"/>
  <c r="CO164" i="10" s="1"/>
  <c r="CO165" i="10" s="1"/>
  <c r="CP141" i="10"/>
  <c r="CO157" i="10"/>
  <c r="BA297" i="10" l="1"/>
  <c r="BA277" i="10"/>
  <c r="G53" i="12"/>
  <c r="BA276" i="10"/>
  <c r="BA306" i="10"/>
  <c r="BB307" i="10" s="1"/>
  <c r="BC307" i="10" s="1"/>
  <c r="BD307" i="10" s="1"/>
  <c r="BE307" i="10" s="1"/>
  <c r="G52" i="12"/>
  <c r="G149" i="12" s="1"/>
  <c r="CZ280" i="10"/>
  <c r="CZ282" i="10"/>
  <c r="CS148" i="10"/>
  <c r="CP149" i="10"/>
  <c r="CO161" i="10"/>
  <c r="BA299" i="10" l="1"/>
  <c r="BA300" i="10"/>
  <c r="BA318" i="10"/>
  <c r="G55" i="12"/>
  <c r="G151" i="12" s="1"/>
  <c r="BE308" i="10"/>
  <c r="BF307" i="10"/>
  <c r="BG307" i="10" s="1"/>
  <c r="BH307" i="10" s="1"/>
  <c r="BI307" i="10" s="1"/>
  <c r="BJ307" i="10" s="1"/>
  <c r="BK307" i="10" s="1"/>
  <c r="BL307" i="10" s="1"/>
  <c r="BM307" i="10" s="1"/>
  <c r="DA280" i="10"/>
  <c r="DA282" i="10"/>
  <c r="CT137" i="10"/>
  <c r="CP153" i="10"/>
  <c r="CP154" i="10" s="1"/>
  <c r="BA305" i="10" l="1"/>
  <c r="BA309" i="10" s="1"/>
  <c r="BA310" i="10" s="1"/>
  <c r="BA302" i="10"/>
  <c r="BA303" i="10"/>
  <c r="BA301" i="10"/>
  <c r="BA319" i="10"/>
  <c r="DB280" i="10"/>
  <c r="DB282" i="10"/>
  <c r="CT147" i="10"/>
  <c r="CP156" i="10"/>
  <c r="CP157" i="10"/>
  <c r="CP155" i="10"/>
  <c r="CP164" i="10" s="1"/>
  <c r="CP165" i="10" s="1"/>
  <c r="CQ141" i="10"/>
  <c r="BA311" i="10" l="1"/>
  <c r="BA320" i="10" s="1"/>
  <c r="BA313" i="10"/>
  <c r="BA317" i="10" s="1"/>
  <c r="BA312" i="10"/>
  <c r="G61" i="12"/>
  <c r="G152" i="12" s="1"/>
  <c r="BA304" i="10"/>
  <c r="G63" i="12"/>
  <c r="BB296" i="10"/>
  <c r="BB261" i="10" s="1"/>
  <c r="DC280" i="10"/>
  <c r="DC282" i="10"/>
  <c r="CT148" i="10"/>
  <c r="CP161" i="10"/>
  <c r="CQ149" i="10"/>
  <c r="BA321" i="10" l="1"/>
  <c r="G62" i="12"/>
  <c r="BB293" i="10"/>
  <c r="BB262" i="10"/>
  <c r="DD280" i="10"/>
  <c r="DD282" i="10"/>
  <c r="CU137" i="10"/>
  <c r="CQ153" i="10"/>
  <c r="CQ154" i="10" s="1"/>
  <c r="BB272" i="10" l="1"/>
  <c r="BB263" i="10"/>
  <c r="DE282" i="10"/>
  <c r="DE280" i="10"/>
  <c r="CU147" i="10"/>
  <c r="CQ156" i="10"/>
  <c r="CQ155" i="10"/>
  <c r="CQ164" i="10" s="1"/>
  <c r="CQ165" i="10" s="1"/>
  <c r="CR141" i="10"/>
  <c r="CQ157" i="10"/>
  <c r="BB297" i="10" l="1"/>
  <c r="BB277" i="10"/>
  <c r="BB276" i="10"/>
  <c r="BB306" i="10"/>
  <c r="DF282" i="10"/>
  <c r="DF280" i="10"/>
  <c r="CU148" i="10"/>
  <c r="CR149" i="10"/>
  <c r="CQ161" i="10"/>
  <c r="BB299" i="10" l="1"/>
  <c r="BB300" i="10"/>
  <c r="BB318" i="10"/>
  <c r="DG280" i="10"/>
  <c r="DG282" i="10"/>
  <c r="CV137" i="10"/>
  <c r="CR153" i="10"/>
  <c r="CR154" i="10" s="1"/>
  <c r="BB305" i="10" l="1"/>
  <c r="BB309" i="10" s="1"/>
  <c r="BB310" i="10" s="1"/>
  <c r="BB302" i="10"/>
  <c r="BB303" i="10"/>
  <c r="BB301" i="10"/>
  <c r="BB319" i="10"/>
  <c r="DH280" i="10"/>
  <c r="DH282" i="10"/>
  <c r="CV147" i="10"/>
  <c r="CR156" i="10"/>
  <c r="CR157" i="10"/>
  <c r="CS141" i="10"/>
  <c r="CR155" i="10"/>
  <c r="CR164" i="10" s="1"/>
  <c r="CR165" i="10" s="1"/>
  <c r="BB311" i="10" l="1"/>
  <c r="BB320" i="10" s="1"/>
  <c r="BB313" i="10"/>
  <c r="BB317" i="10" s="1"/>
  <c r="BB312" i="10"/>
  <c r="BB304" i="10"/>
  <c r="BC296" i="10"/>
  <c r="BC261" i="10" s="1"/>
  <c r="DI282" i="10"/>
  <c r="DI280" i="10"/>
  <c r="CV148" i="10"/>
  <c r="CR161" i="10"/>
  <c r="CS149" i="10"/>
  <c r="BB321" i="10" l="1"/>
  <c r="BC293" i="10"/>
  <c r="BC262" i="10"/>
  <c r="DJ282" i="10"/>
  <c r="DJ280" i="10"/>
  <c r="CW137" i="10"/>
  <c r="CS153" i="10"/>
  <c r="CS154" i="10" s="1"/>
  <c r="BC272" i="10" l="1"/>
  <c r="BC263" i="10"/>
  <c r="DK282" i="10"/>
  <c r="DK280" i="10"/>
  <c r="CW147" i="10"/>
  <c r="CS156" i="10"/>
  <c r="CS155" i="10"/>
  <c r="CS164" i="10" s="1"/>
  <c r="CS157" i="10"/>
  <c r="CT141" i="10"/>
  <c r="BC297" i="10" l="1"/>
  <c r="BC277" i="10"/>
  <c r="BC276" i="10"/>
  <c r="BC306" i="10"/>
  <c r="DL280" i="10"/>
  <c r="DL282" i="10"/>
  <c r="CW148" i="10"/>
  <c r="CS161" i="10"/>
  <c r="CT149" i="10"/>
  <c r="CS165" i="10"/>
  <c r="BC299" i="10" l="1"/>
  <c r="BC300" i="10"/>
  <c r="BC318" i="10"/>
  <c r="DM280" i="10"/>
  <c r="DM282" i="10"/>
  <c r="CX137" i="10"/>
  <c r="K112" i="12"/>
  <c r="CT153" i="10"/>
  <c r="CT154" i="10" s="1"/>
  <c r="BC305" i="10" l="1"/>
  <c r="BC309" i="10" s="1"/>
  <c r="BC310" i="10" s="1"/>
  <c r="BC302" i="10"/>
  <c r="BC303" i="10"/>
  <c r="BC301" i="10"/>
  <c r="BC319" i="10"/>
  <c r="DN280" i="10"/>
  <c r="DN282" i="10"/>
  <c r="CX147" i="10"/>
  <c r="CT156" i="10"/>
  <c r="CT155" i="10"/>
  <c r="CT164" i="10" s="1"/>
  <c r="CT165" i="10" s="1"/>
  <c r="CU141" i="10"/>
  <c r="CT157" i="10"/>
  <c r="BC311" i="10" l="1"/>
  <c r="BC320" i="10" s="1"/>
  <c r="BC313" i="10"/>
  <c r="BC317" i="10" s="1"/>
  <c r="BC312" i="10"/>
  <c r="BC304" i="10"/>
  <c r="BD296" i="10"/>
  <c r="BD261" i="10" s="1"/>
  <c r="DO280" i="10"/>
  <c r="DO282" i="10"/>
  <c r="CX148" i="10"/>
  <c r="CU149" i="10"/>
  <c r="CT161" i="10"/>
  <c r="BC321" i="10" l="1"/>
  <c r="BD293" i="10"/>
  <c r="BD262" i="10"/>
  <c r="DP282" i="10"/>
  <c r="DP280" i="10"/>
  <c r="CY137" i="10"/>
  <c r="CU153" i="10"/>
  <c r="CU154" i="10" s="1"/>
  <c r="BD272" i="10" l="1"/>
  <c r="BD263" i="10"/>
  <c r="DQ280" i="10"/>
  <c r="DQ282" i="10"/>
  <c r="CY147" i="10"/>
  <c r="CU156" i="10"/>
  <c r="CU155" i="10"/>
  <c r="CU164" i="10" s="1"/>
  <c r="CU165" i="10" s="1"/>
  <c r="CV141" i="10"/>
  <c r="CU157" i="10"/>
  <c r="BD297" i="10" l="1"/>
  <c r="BD277" i="10"/>
  <c r="BD276" i="10"/>
  <c r="BD306" i="10"/>
  <c r="DR280" i="10"/>
  <c r="DR282" i="10"/>
  <c r="CY148" i="10"/>
  <c r="CV149" i="10"/>
  <c r="CU161" i="10"/>
  <c r="BD299" i="10" l="1"/>
  <c r="BD300" i="10"/>
  <c r="BD318" i="10"/>
  <c r="DS280" i="10"/>
  <c r="DS282" i="10"/>
  <c r="CZ137" i="10"/>
  <c r="CV153" i="10"/>
  <c r="CV154" i="10" s="1"/>
  <c r="BD305" i="10" l="1"/>
  <c r="BD309" i="10" s="1"/>
  <c r="BD310" i="10" s="1"/>
  <c r="BD302" i="10"/>
  <c r="BD303" i="10"/>
  <c r="BD301" i="10"/>
  <c r="BD319" i="10"/>
  <c r="DT280" i="10"/>
  <c r="DT282" i="10"/>
  <c r="CZ147" i="10"/>
  <c r="CV156" i="10"/>
  <c r="CV155" i="10"/>
  <c r="CV164" i="10" s="1"/>
  <c r="CV165" i="10" s="1"/>
  <c r="CV157" i="10"/>
  <c r="CW141" i="10"/>
  <c r="BD311" i="10" l="1"/>
  <c r="BD320" i="10" s="1"/>
  <c r="BD313" i="10"/>
  <c r="BD317" i="10" s="1"/>
  <c r="BD312" i="10"/>
  <c r="BD304" i="10"/>
  <c r="BE296" i="10"/>
  <c r="BE261" i="10" s="1"/>
  <c r="DU280" i="10"/>
  <c r="DU282" i="10"/>
  <c r="CZ148" i="10"/>
  <c r="CV161" i="10"/>
  <c r="CW149" i="10"/>
  <c r="BD321" i="10" l="1"/>
  <c r="BE293" i="10"/>
  <c r="BE262" i="10"/>
  <c r="DV282" i="10"/>
  <c r="DV280" i="10"/>
  <c r="E282" i="10"/>
  <c r="DA137" i="10"/>
  <c r="CW153" i="10"/>
  <c r="CW154" i="10" s="1"/>
  <c r="BE272" i="10" l="1"/>
  <c r="BE263" i="10"/>
  <c r="DW282" i="10"/>
  <c r="DW280" i="10"/>
  <c r="DA147" i="10"/>
  <c r="CW156" i="10"/>
  <c r="CW155" i="10"/>
  <c r="CW164" i="10" s="1"/>
  <c r="CW165" i="10" s="1"/>
  <c r="CW157" i="10"/>
  <c r="K111" i="12"/>
  <c r="CX141" i="10"/>
  <c r="BE297" i="10" l="1"/>
  <c r="BE277" i="10"/>
  <c r="BE276" i="10"/>
  <c r="BE306" i="10"/>
  <c r="DX282" i="10"/>
  <c r="DX280" i="10"/>
  <c r="DA148" i="10"/>
  <c r="CW161" i="10"/>
  <c r="CX149" i="10"/>
  <c r="BE299" i="10" l="1"/>
  <c r="BE300" i="10"/>
  <c r="BE318" i="10"/>
  <c r="DY280" i="10"/>
  <c r="DY282" i="10"/>
  <c r="DB137" i="10"/>
  <c r="CX153" i="10"/>
  <c r="CX154" i="10" s="1"/>
  <c r="BE305" i="10" l="1"/>
  <c r="BE309" i="10" s="1"/>
  <c r="BE310" i="10" s="1"/>
  <c r="BE302" i="10"/>
  <c r="BE303" i="10"/>
  <c r="BE301" i="10"/>
  <c r="BE319" i="10"/>
  <c r="DZ280" i="10"/>
  <c r="DZ282" i="10"/>
  <c r="DB147" i="10"/>
  <c r="CX156" i="10"/>
  <c r="CX157" i="10"/>
  <c r="CX155" i="10"/>
  <c r="CX164" i="10" s="1"/>
  <c r="CY141" i="10"/>
  <c r="BE311" i="10" l="1"/>
  <c r="BE320" i="10" s="1"/>
  <c r="BE313" i="10"/>
  <c r="BE317" i="10" s="1"/>
  <c r="BE312" i="10"/>
  <c r="BE304" i="10"/>
  <c r="BF296" i="10"/>
  <c r="BF261" i="10" s="1"/>
  <c r="BF262" i="10" s="1"/>
  <c r="EA280" i="10"/>
  <c r="EA282" i="10"/>
  <c r="DB148" i="10"/>
  <c r="CX161" i="10"/>
  <c r="CY149" i="10"/>
  <c r="CX165" i="10"/>
  <c r="BE321" i="10" l="1"/>
  <c r="BF293" i="10"/>
  <c r="BF272" i="10"/>
  <c r="BF263" i="10"/>
  <c r="BF306" i="10" s="1"/>
  <c r="EB282" i="10"/>
  <c r="EB280" i="10"/>
  <c r="DC137" i="10"/>
  <c r="CY153" i="10"/>
  <c r="CY154" i="10" s="1"/>
  <c r="BF297" i="10" l="1"/>
  <c r="BF277" i="10"/>
  <c r="BF276" i="10"/>
  <c r="BF318" i="10" s="1"/>
  <c r="EC282" i="10"/>
  <c r="EC280" i="10"/>
  <c r="DC147" i="10"/>
  <c r="CY156" i="10"/>
  <c r="CZ141" i="10"/>
  <c r="CY157" i="10"/>
  <c r="CY155" i="10"/>
  <c r="CY164" i="10" s="1"/>
  <c r="CY165" i="10" s="1"/>
  <c r="BF299" i="10" l="1"/>
  <c r="BF300" i="10"/>
  <c r="BF319" i="10"/>
  <c r="ED282" i="10"/>
  <c r="ED280" i="10"/>
  <c r="DC148" i="10"/>
  <c r="CZ149" i="10"/>
  <c r="CY161" i="10"/>
  <c r="BF305" i="10" l="1"/>
  <c r="BF309" i="10" s="1"/>
  <c r="BF310" i="10" s="1"/>
  <c r="BF302" i="10"/>
  <c r="BF303" i="10"/>
  <c r="BF301" i="10"/>
  <c r="EE280" i="10"/>
  <c r="EE282" i="10"/>
  <c r="DD137" i="10"/>
  <c r="CZ153" i="10"/>
  <c r="CZ154" i="10" s="1"/>
  <c r="BF313" i="10" l="1"/>
  <c r="BF317" i="10" s="1"/>
  <c r="BF312" i="10"/>
  <c r="BF311" i="10"/>
  <c r="BF320" i="10" s="1"/>
  <c r="BF304" i="10"/>
  <c r="BG296" i="10"/>
  <c r="BG261" i="10" s="1"/>
  <c r="BG262" i="10" s="1"/>
  <c r="EF280" i="10"/>
  <c r="EF282" i="10"/>
  <c r="DD147" i="10"/>
  <c r="CZ156" i="10"/>
  <c r="DA141" i="10"/>
  <c r="CZ157" i="10"/>
  <c r="CZ155" i="10"/>
  <c r="CZ164" i="10" s="1"/>
  <c r="CZ165" i="10" s="1"/>
  <c r="BF321" i="10" l="1"/>
  <c r="BG293" i="10"/>
  <c r="BG272" i="10"/>
  <c r="BG263" i="10"/>
  <c r="BG306" i="10" s="1"/>
  <c r="EG282" i="10"/>
  <c r="EG280" i="10"/>
  <c r="DD148" i="10"/>
  <c r="DA149" i="10"/>
  <c r="CZ161" i="10"/>
  <c r="BG297" i="10" l="1"/>
  <c r="BG277" i="10"/>
  <c r="BG276" i="10"/>
  <c r="BG318" i="10" s="1"/>
  <c r="EH280" i="10"/>
  <c r="EH282" i="10"/>
  <c r="DE137" i="10"/>
  <c r="DA153" i="10"/>
  <c r="DA154" i="10" s="1"/>
  <c r="BG299" i="10" l="1"/>
  <c r="BG300" i="10"/>
  <c r="BG319" i="10"/>
  <c r="EI282" i="10"/>
  <c r="EI280" i="10"/>
  <c r="DE147" i="10"/>
  <c r="DA156" i="10"/>
  <c r="DA155" i="10"/>
  <c r="DA164" i="10" s="1"/>
  <c r="DA165" i="10" s="1"/>
  <c r="DA157" i="10"/>
  <c r="DB141" i="10"/>
  <c r="BG305" i="10" l="1"/>
  <c r="BG309" i="10" s="1"/>
  <c r="BG310" i="10" s="1"/>
  <c r="BG302" i="10"/>
  <c r="BG303" i="10"/>
  <c r="BG301" i="10"/>
  <c r="EJ282" i="10"/>
  <c r="EJ280" i="10"/>
  <c r="DE148" i="10"/>
  <c r="DA161" i="10"/>
  <c r="DB149" i="10"/>
  <c r="BG311" i="10" l="1"/>
  <c r="BG320" i="10" s="1"/>
  <c r="BG312" i="10"/>
  <c r="BG313" i="10"/>
  <c r="BG317" i="10" s="1"/>
  <c r="BG304" i="10"/>
  <c r="BH296" i="10"/>
  <c r="BH261" i="10" s="1"/>
  <c r="BH262" i="10" s="1"/>
  <c r="EK280" i="10"/>
  <c r="EK282" i="10"/>
  <c r="DF137" i="10"/>
  <c r="DB153" i="10"/>
  <c r="DB154" i="10" s="1"/>
  <c r="BG321" i="10" l="1"/>
  <c r="BH293" i="10"/>
  <c r="BH272" i="10"/>
  <c r="BH263" i="10"/>
  <c r="BH306" i="10" s="1"/>
  <c r="EL282" i="10"/>
  <c r="EL280" i="10"/>
  <c r="DF147" i="10"/>
  <c r="DB156" i="10"/>
  <c r="DB155" i="10"/>
  <c r="DB164" i="10" s="1"/>
  <c r="DB157" i="10"/>
  <c r="DC141" i="10"/>
  <c r="BH297" i="10" l="1"/>
  <c r="BH277" i="10"/>
  <c r="BH276" i="10"/>
  <c r="BH318" i="10" s="1"/>
  <c r="EM282" i="10"/>
  <c r="EM280" i="10"/>
  <c r="DF148" i="10"/>
  <c r="DB161" i="10"/>
  <c r="DC149" i="10"/>
  <c r="DB165" i="10"/>
  <c r="BH299" i="10" l="1"/>
  <c r="BH300" i="10"/>
  <c r="BH319" i="10"/>
  <c r="EN282" i="10"/>
  <c r="EN280" i="10"/>
  <c r="DG137" i="10"/>
  <c r="DC153" i="10"/>
  <c r="DC154" i="10" s="1"/>
  <c r="BH305" i="10" l="1"/>
  <c r="BH309" i="10" s="1"/>
  <c r="BH310" i="10" s="1"/>
  <c r="BH302" i="10"/>
  <c r="BH303" i="10"/>
  <c r="BH301" i="10"/>
  <c r="EO282" i="10"/>
  <c r="EO280" i="10"/>
  <c r="DG147" i="10"/>
  <c r="DC156" i="10"/>
  <c r="DC155" i="10"/>
  <c r="DC164" i="10" s="1"/>
  <c r="DC165" i="10" s="1"/>
  <c r="DD141" i="10"/>
  <c r="DC157" i="10"/>
  <c r="BH311" i="10" l="1"/>
  <c r="BH320" i="10" s="1"/>
  <c r="BH313" i="10"/>
  <c r="BH317" i="10" s="1"/>
  <c r="BH312" i="10"/>
  <c r="BH304" i="10"/>
  <c r="BI296" i="10"/>
  <c r="BI261" i="10" s="1"/>
  <c r="BI262" i="10" s="1"/>
  <c r="EP282" i="10"/>
  <c r="EP280" i="10"/>
  <c r="DG148" i="10"/>
  <c r="DD149" i="10"/>
  <c r="DC161" i="10"/>
  <c r="BH321" i="10" l="1"/>
  <c r="BI293" i="10"/>
  <c r="BI272" i="10"/>
  <c r="BI263" i="10"/>
  <c r="BI306" i="10" s="1"/>
  <c r="EQ282" i="10"/>
  <c r="EQ280" i="10"/>
  <c r="DH137" i="10"/>
  <c r="DD153" i="10"/>
  <c r="DD154" i="10" s="1"/>
  <c r="BI297" i="10" l="1"/>
  <c r="BI277" i="10"/>
  <c r="BI276" i="10"/>
  <c r="BI318" i="10" s="1"/>
  <c r="ER282" i="10"/>
  <c r="ER280" i="10"/>
  <c r="DH147" i="10"/>
  <c r="DD156" i="10"/>
  <c r="DD155" i="10"/>
  <c r="DD164" i="10" s="1"/>
  <c r="DD165" i="10" s="1"/>
  <c r="DE141" i="10"/>
  <c r="DD157" i="10"/>
  <c r="BI299" i="10" l="1"/>
  <c r="BI300" i="10"/>
  <c r="BI319" i="10"/>
  <c r="ES282" i="10"/>
  <c r="ES280" i="10"/>
  <c r="DH148" i="10"/>
  <c r="DE149" i="10"/>
  <c r="DD161" i="10"/>
  <c r="BI305" i="10" l="1"/>
  <c r="BI309" i="10" s="1"/>
  <c r="BI310" i="10" s="1"/>
  <c r="BI311" i="10" s="1"/>
  <c r="BI320" i="10" s="1"/>
  <c r="BI302" i="10"/>
  <c r="BI303" i="10"/>
  <c r="BI301" i="10"/>
  <c r="E280" i="10"/>
  <c r="DI137" i="10"/>
  <c r="DE153" i="10"/>
  <c r="DE154" i="10" s="1"/>
  <c r="BI312" i="10" l="1"/>
  <c r="BI313" i="10"/>
  <c r="BI317" i="10" s="1"/>
  <c r="BI304" i="10"/>
  <c r="BJ296" i="10"/>
  <c r="BJ261" i="10" s="1"/>
  <c r="BJ262" i="10" s="1"/>
  <c r="DI147" i="10"/>
  <c r="DE156" i="10"/>
  <c r="DE155" i="10"/>
  <c r="DE164" i="10" s="1"/>
  <c r="DE157" i="10"/>
  <c r="DF141" i="10"/>
  <c r="BI321" i="10" l="1"/>
  <c r="BJ293" i="10"/>
  <c r="BJ272" i="10"/>
  <c r="BJ263" i="10"/>
  <c r="BJ306" i="10" s="1"/>
  <c r="DI148" i="10"/>
  <c r="DE161" i="10"/>
  <c r="DF149" i="10"/>
  <c r="DE165" i="10"/>
  <c r="BJ297" i="10" l="1"/>
  <c r="BJ277" i="10"/>
  <c r="BJ276" i="10"/>
  <c r="DJ137" i="10"/>
  <c r="L112" i="12"/>
  <c r="DF153" i="10"/>
  <c r="DF154" i="10" s="1"/>
  <c r="BJ299" i="10" l="1"/>
  <c r="BJ300" i="10"/>
  <c r="BJ318" i="10"/>
  <c r="DJ147" i="10"/>
  <c r="DF156" i="10"/>
  <c r="DG141" i="10"/>
  <c r="DF157" i="10"/>
  <c r="DF155" i="10"/>
  <c r="DF164" i="10" s="1"/>
  <c r="DF165" i="10" s="1"/>
  <c r="BJ305" i="10" l="1"/>
  <c r="BJ309" i="10" s="1"/>
  <c r="BJ310" i="10" s="1"/>
  <c r="BJ312" i="10" s="1"/>
  <c r="BJ302" i="10"/>
  <c r="BJ303" i="10"/>
  <c r="BJ301" i="10"/>
  <c r="BJ319" i="10"/>
  <c r="DJ148" i="10"/>
  <c r="DG149" i="10"/>
  <c r="DF161" i="10"/>
  <c r="BJ313" i="10" l="1"/>
  <c r="BJ317" i="10" s="1"/>
  <c r="BJ311" i="10"/>
  <c r="BJ320" i="10" s="1"/>
  <c r="BJ304" i="10"/>
  <c r="BK296" i="10"/>
  <c r="BK261" i="10" s="1"/>
  <c r="DK137" i="10"/>
  <c r="DG153" i="10"/>
  <c r="DG154" i="10" s="1"/>
  <c r="BJ321" i="10" l="1"/>
  <c r="BK293" i="10"/>
  <c r="BK262" i="10"/>
  <c r="DK147" i="10"/>
  <c r="DG156" i="10"/>
  <c r="DG155" i="10"/>
  <c r="DG164" i="10" s="1"/>
  <c r="DG165" i="10" s="1"/>
  <c r="DH141" i="10"/>
  <c r="DG157" i="10"/>
  <c r="BK272" i="10" l="1"/>
  <c r="BK263" i="10"/>
  <c r="DK148" i="10"/>
  <c r="DH149" i="10"/>
  <c r="DG161" i="10"/>
  <c r="BK297" i="10" l="1"/>
  <c r="BK277" i="10"/>
  <c r="BK276" i="10"/>
  <c r="BK306" i="10"/>
  <c r="DL137" i="10"/>
  <c r="DH153" i="10"/>
  <c r="DH154" i="10" s="1"/>
  <c r="BK299" i="10" l="1"/>
  <c r="BK300" i="10"/>
  <c r="BK318" i="10"/>
  <c r="DL147" i="10"/>
  <c r="DH156" i="10"/>
  <c r="DH157" i="10"/>
  <c r="DI141" i="10"/>
  <c r="DH155" i="10"/>
  <c r="DH164" i="10" s="1"/>
  <c r="DH165" i="10" s="1"/>
  <c r="BK305" i="10" l="1"/>
  <c r="BK309" i="10" s="1"/>
  <c r="BK310" i="10" s="1"/>
  <c r="BK302" i="10"/>
  <c r="BK303" i="10"/>
  <c r="BK301" i="10"/>
  <c r="BK319" i="10"/>
  <c r="DL148" i="10"/>
  <c r="DH161" i="10"/>
  <c r="DI149" i="10"/>
  <c r="BK313" i="10" l="1"/>
  <c r="BK317" i="10" s="1"/>
  <c r="BK311" i="10"/>
  <c r="BK320" i="10" s="1"/>
  <c r="BK312" i="10"/>
  <c r="BK304" i="10"/>
  <c r="BL296" i="10"/>
  <c r="BL261" i="10" s="1"/>
  <c r="DM137" i="10"/>
  <c r="DI153" i="10"/>
  <c r="DI154" i="10" s="1"/>
  <c r="BK321" i="10" l="1"/>
  <c r="BL293" i="10"/>
  <c r="BL262" i="10"/>
  <c r="DM147" i="10"/>
  <c r="DI156" i="10"/>
  <c r="DI157" i="10"/>
  <c r="DI155" i="10"/>
  <c r="DI164" i="10" s="1"/>
  <c r="DI165" i="10" s="1"/>
  <c r="L111" i="12"/>
  <c r="DJ141" i="10"/>
  <c r="BL272" i="10" l="1"/>
  <c r="BL263" i="10"/>
  <c r="DM148" i="10"/>
  <c r="DI161" i="10"/>
  <c r="DJ149" i="10"/>
  <c r="BL297" i="10" l="1"/>
  <c r="BL277" i="10"/>
  <c r="BL276" i="10"/>
  <c r="BL306" i="10"/>
  <c r="DN137" i="10"/>
  <c r="DJ153" i="10"/>
  <c r="DJ154" i="10" s="1"/>
  <c r="BL299" i="10" l="1"/>
  <c r="BL300" i="10"/>
  <c r="BL318" i="10"/>
  <c r="DN147" i="10"/>
  <c r="DJ156" i="10"/>
  <c r="DJ157" i="10"/>
  <c r="DJ155" i="10"/>
  <c r="DJ164" i="10" s="1"/>
  <c r="DK141" i="10"/>
  <c r="BL305" i="10" l="1"/>
  <c r="BL309" i="10" s="1"/>
  <c r="BL310" i="10" s="1"/>
  <c r="BL302" i="10"/>
  <c r="BL303" i="10"/>
  <c r="BL301" i="10"/>
  <c r="BL319" i="10"/>
  <c r="DN148" i="10"/>
  <c r="DJ161" i="10"/>
  <c r="DK149" i="10"/>
  <c r="DJ165" i="10"/>
  <c r="BL313" i="10" l="1"/>
  <c r="BL317" i="10" s="1"/>
  <c r="BL311" i="10"/>
  <c r="BL320" i="10" s="1"/>
  <c r="BL312" i="10"/>
  <c r="BL304" i="10"/>
  <c r="BM296" i="10"/>
  <c r="BM261" i="10" s="1"/>
  <c r="DO137" i="10"/>
  <c r="DK153" i="10"/>
  <c r="DK154" i="10" s="1"/>
  <c r="BL321" i="10" l="1"/>
  <c r="BM293" i="10"/>
  <c r="BM262" i="10"/>
  <c r="DO147" i="10"/>
  <c r="DK156" i="10"/>
  <c r="DK155" i="10"/>
  <c r="DK164" i="10" s="1"/>
  <c r="DK165" i="10" s="1"/>
  <c r="DL141" i="10"/>
  <c r="DK157" i="10"/>
  <c r="BM272" i="10" l="1"/>
  <c r="BM263" i="10"/>
  <c r="DO148" i="10"/>
  <c r="DL149" i="10"/>
  <c r="DK161" i="10"/>
  <c r="BM297" i="10" l="1"/>
  <c r="BM277" i="10"/>
  <c r="BM276" i="10"/>
  <c r="BM306" i="10"/>
  <c r="BN307" i="10" s="1"/>
  <c r="BO307" i="10" s="1"/>
  <c r="BP307" i="10" s="1"/>
  <c r="BQ307" i="10" s="1"/>
  <c r="DP137" i="10"/>
  <c r="DL153" i="10"/>
  <c r="DL154" i="10" s="1"/>
  <c r="BM299" i="10" l="1"/>
  <c r="BM300" i="10"/>
  <c r="BM318" i="10"/>
  <c r="BQ308" i="10"/>
  <c r="BR307" i="10"/>
  <c r="BS307" i="10" s="1"/>
  <c r="BT307" i="10" s="1"/>
  <c r="BU307" i="10" s="1"/>
  <c r="BV307" i="10" s="1"/>
  <c r="BW307" i="10" s="1"/>
  <c r="BX307" i="10" s="1"/>
  <c r="BY307" i="10" s="1"/>
  <c r="DP147" i="10"/>
  <c r="DL156" i="10"/>
  <c r="DL157" i="10"/>
  <c r="DL155" i="10"/>
  <c r="DL164" i="10" s="1"/>
  <c r="DL165" i="10" s="1"/>
  <c r="DM141" i="10"/>
  <c r="BM305" i="10" l="1"/>
  <c r="BM309" i="10" s="1"/>
  <c r="BM310" i="10" s="1"/>
  <c r="BM302" i="10"/>
  <c r="BM303" i="10"/>
  <c r="BM301" i="10"/>
  <c r="BM319" i="10"/>
  <c r="DP148" i="10"/>
  <c r="DL161" i="10"/>
  <c r="DM149" i="10"/>
  <c r="BM311" i="10" l="1"/>
  <c r="BM320" i="10" s="1"/>
  <c r="BM313" i="10"/>
  <c r="BM317" i="10" s="1"/>
  <c r="BM312" i="10"/>
  <c r="H61" i="12"/>
  <c r="H152" i="12" s="1"/>
  <c r="BM304" i="10"/>
  <c r="H63" i="12"/>
  <c r="BN296" i="10"/>
  <c r="BN261" i="10" s="1"/>
  <c r="DQ137" i="10"/>
  <c r="DM153" i="10"/>
  <c r="DM154" i="10" s="1"/>
  <c r="BM321" i="10" l="1"/>
  <c r="H62" i="12"/>
  <c r="BN293" i="10"/>
  <c r="BN262" i="10"/>
  <c r="BN263" i="10" s="1"/>
  <c r="DQ147" i="10"/>
  <c r="DM156" i="10"/>
  <c r="DM157" i="10"/>
  <c r="DN141" i="10"/>
  <c r="DM155" i="10"/>
  <c r="DM164" i="10" s="1"/>
  <c r="BN306" i="10" l="1"/>
  <c r="BN272" i="10"/>
  <c r="DQ148" i="10"/>
  <c r="DM161" i="10"/>
  <c r="DN149" i="10"/>
  <c r="DM165" i="10"/>
  <c r="BN297" i="10" l="1"/>
  <c r="BN277" i="10"/>
  <c r="BN276" i="10"/>
  <c r="DR137" i="10"/>
  <c r="DN153" i="10"/>
  <c r="DN154" i="10" s="1"/>
  <c r="BN299" i="10" l="1"/>
  <c r="BN300" i="10"/>
  <c r="BN318" i="10"/>
  <c r="BN319" i="10" s="1"/>
  <c r="DR147" i="10"/>
  <c r="DN156" i="10"/>
  <c r="DN155" i="10"/>
  <c r="DN164" i="10" s="1"/>
  <c r="DN165" i="10" s="1"/>
  <c r="DO141" i="10"/>
  <c r="DN157" i="10"/>
  <c r="BN305" i="10" l="1"/>
  <c r="BN309" i="10" s="1"/>
  <c r="BN310" i="10" s="1"/>
  <c r="BN302" i="10"/>
  <c r="BN303" i="10"/>
  <c r="BN301" i="10"/>
  <c r="DR148" i="10"/>
  <c r="DO149" i="10"/>
  <c r="DN161" i="10"/>
  <c r="BN311" i="10" l="1"/>
  <c r="BN320" i="10" s="1"/>
  <c r="BN313" i="10"/>
  <c r="BN317" i="10" s="1"/>
  <c r="BN312" i="10"/>
  <c r="BN304" i="10"/>
  <c r="BO296" i="10"/>
  <c r="BO261" i="10" s="1"/>
  <c r="DS137" i="10"/>
  <c r="DO153" i="10"/>
  <c r="DO154" i="10" s="1"/>
  <c r="BN321" i="10" l="1"/>
  <c r="BO293" i="10"/>
  <c r="BO262" i="10"/>
  <c r="BO263" i="10" s="1"/>
  <c r="DS147" i="10"/>
  <c r="DO156" i="10"/>
  <c r="DP141" i="10"/>
  <c r="DO155" i="10"/>
  <c r="DO164" i="10" s="1"/>
  <c r="DO165" i="10" s="1"/>
  <c r="DO157" i="10"/>
  <c r="BO306" i="10" l="1"/>
  <c r="BO272" i="10"/>
  <c r="DS148" i="10"/>
  <c r="DP149" i="10"/>
  <c r="DO161" i="10"/>
  <c r="BO297" i="10" l="1"/>
  <c r="BO277" i="10"/>
  <c r="BO276" i="10"/>
  <c r="DT137" i="10"/>
  <c r="DP153" i="10"/>
  <c r="DP154" i="10" s="1"/>
  <c r="BO299" i="10" l="1"/>
  <c r="BO300" i="10"/>
  <c r="BO318" i="10"/>
  <c r="DT147" i="10"/>
  <c r="DP156" i="10"/>
  <c r="DP157" i="10"/>
  <c r="DP155" i="10"/>
  <c r="DP164" i="10" s="1"/>
  <c r="DP165" i="10" s="1"/>
  <c r="DQ141" i="10"/>
  <c r="BO305" i="10" l="1"/>
  <c r="BO309" i="10" s="1"/>
  <c r="BO310" i="10" s="1"/>
  <c r="BO302" i="10"/>
  <c r="BO303" i="10"/>
  <c r="BO301" i="10"/>
  <c r="BO319" i="10"/>
  <c r="DT148" i="10"/>
  <c r="DP161" i="10"/>
  <c r="DQ149" i="10"/>
  <c r="BO311" i="10" l="1"/>
  <c r="BO320" i="10" s="1"/>
  <c r="BO313" i="10"/>
  <c r="BO317" i="10" s="1"/>
  <c r="BO312" i="10"/>
  <c r="BO304" i="10"/>
  <c r="BP296" i="10"/>
  <c r="BP261" i="10" s="1"/>
  <c r="DU137" i="10"/>
  <c r="DQ153" i="10"/>
  <c r="DQ154" i="10" s="1"/>
  <c r="BO321" i="10" l="1"/>
  <c r="BP293" i="10"/>
  <c r="BP262" i="10"/>
  <c r="BP263" i="10" s="1"/>
  <c r="DU147" i="10"/>
  <c r="DQ156" i="10"/>
  <c r="DQ157" i="10"/>
  <c r="DQ155" i="10"/>
  <c r="DQ164" i="10" s="1"/>
  <c r="DQ165" i="10" s="1"/>
  <c r="DR141" i="10"/>
  <c r="BP306" i="10" l="1"/>
  <c r="BP272" i="10"/>
  <c r="DU148" i="10"/>
  <c r="DQ161" i="10"/>
  <c r="DR149" i="10"/>
  <c r="BP297" i="10" l="1"/>
  <c r="BP277" i="10"/>
  <c r="BP276" i="10"/>
  <c r="DV137" i="10"/>
  <c r="M112" i="12"/>
  <c r="C112" i="12"/>
  <c r="C24" i="13"/>
  <c r="C16" i="13" s="1"/>
  <c r="E16" i="13" s="1"/>
  <c r="DR153" i="10"/>
  <c r="DR154" i="10" s="1"/>
  <c r="BP299" i="10" l="1"/>
  <c r="BP300" i="10"/>
  <c r="BP318" i="10"/>
  <c r="DV147" i="10"/>
  <c r="DR156" i="10"/>
  <c r="DR155" i="10"/>
  <c r="DR164" i="10" s="1"/>
  <c r="DR157" i="10"/>
  <c r="DS141" i="10"/>
  <c r="BP305" i="10" l="1"/>
  <c r="BP309" i="10" s="1"/>
  <c r="BP310" i="10" s="1"/>
  <c r="BP302" i="10"/>
  <c r="BP303" i="10"/>
  <c r="BP301" i="10"/>
  <c r="BP319" i="10"/>
  <c r="DV148" i="10"/>
  <c r="DR161" i="10"/>
  <c r="DS149" i="10"/>
  <c r="DR165" i="10"/>
  <c r="BP311" i="10" l="1"/>
  <c r="BP320" i="10" s="1"/>
  <c r="BP313" i="10"/>
  <c r="BP317" i="10" s="1"/>
  <c r="BP312" i="10"/>
  <c r="BP304" i="10"/>
  <c r="BQ296" i="10"/>
  <c r="BQ261" i="10" s="1"/>
  <c r="DW137" i="10"/>
  <c r="DS153" i="10"/>
  <c r="DS154" i="10" s="1"/>
  <c r="BP321" i="10" l="1"/>
  <c r="BQ293" i="10"/>
  <c r="BQ262" i="10"/>
  <c r="BQ263" i="10" s="1"/>
  <c r="DW147" i="10"/>
  <c r="DS156" i="10"/>
  <c r="DS155" i="10"/>
  <c r="DS164" i="10" s="1"/>
  <c r="DS165" i="10" s="1"/>
  <c r="DS157" i="10"/>
  <c r="DT141" i="10"/>
  <c r="BQ306" i="10" l="1"/>
  <c r="BQ272" i="10"/>
  <c r="DW148" i="10"/>
  <c r="DS161" i="10"/>
  <c r="DT149" i="10"/>
  <c r="BQ297" i="10" l="1"/>
  <c r="BQ277" i="10"/>
  <c r="BQ276" i="10"/>
  <c r="DX137" i="10"/>
  <c r="DT153" i="10"/>
  <c r="DT154" i="10" s="1"/>
  <c r="BQ299" i="10" l="1"/>
  <c r="BQ300" i="10"/>
  <c r="BQ318" i="10"/>
  <c r="DX147" i="10"/>
  <c r="DT156" i="10"/>
  <c r="DT155" i="10"/>
  <c r="DT164" i="10" s="1"/>
  <c r="DT165" i="10" s="1"/>
  <c r="DU141" i="10"/>
  <c r="DT157" i="10"/>
  <c r="BQ305" i="10" l="1"/>
  <c r="BQ309" i="10" s="1"/>
  <c r="BQ310" i="10" s="1"/>
  <c r="BQ302" i="10"/>
  <c r="BQ303" i="10"/>
  <c r="BQ301" i="10"/>
  <c r="BQ319" i="10"/>
  <c r="DX148" i="10"/>
  <c r="DU149" i="10"/>
  <c r="DT161" i="10"/>
  <c r="BQ311" i="10" l="1"/>
  <c r="BQ320" i="10" s="1"/>
  <c r="BQ313" i="10"/>
  <c r="BQ317" i="10" s="1"/>
  <c r="BQ312" i="10"/>
  <c r="BQ304" i="10"/>
  <c r="BR296" i="10"/>
  <c r="BR261" i="10" s="1"/>
  <c r="DY137" i="10"/>
  <c r="DU153" i="10"/>
  <c r="DU154" i="10" s="1"/>
  <c r="BQ321" i="10" l="1"/>
  <c r="BR293" i="10"/>
  <c r="BR262" i="10"/>
  <c r="BR263" i="10" s="1"/>
  <c r="DY147" i="10"/>
  <c r="DU156" i="10"/>
  <c r="C111" i="12"/>
  <c r="DU155" i="10"/>
  <c r="DU164" i="10" s="1"/>
  <c r="DU165" i="10" s="1"/>
  <c r="DU157" i="10"/>
  <c r="DV141" i="10"/>
  <c r="M111" i="12"/>
  <c r="BR306" i="10" l="1"/>
  <c r="BR272" i="10"/>
  <c r="DY148" i="10"/>
  <c r="DU161" i="10"/>
  <c r="DV149" i="10"/>
  <c r="E164" i="10"/>
  <c r="BR297" i="10" l="1"/>
  <c r="BR277" i="10"/>
  <c r="BR276" i="10"/>
  <c r="DZ137" i="10"/>
  <c r="DV153" i="10"/>
  <c r="DV154" i="10" s="1"/>
  <c r="BR299" i="10" l="1"/>
  <c r="BR300" i="10"/>
  <c r="BR318" i="10"/>
  <c r="BR319" i="10" s="1"/>
  <c r="DZ147" i="10"/>
  <c r="DV156" i="10"/>
  <c r="DV155" i="10"/>
  <c r="DV164" i="10" s="1"/>
  <c r="DV157" i="10"/>
  <c r="DW141" i="10"/>
  <c r="BR305" i="10" l="1"/>
  <c r="BR309" i="10" s="1"/>
  <c r="BR310" i="10" s="1"/>
  <c r="BR302" i="10"/>
  <c r="BR303" i="10"/>
  <c r="BR301" i="10"/>
  <c r="DZ148" i="10"/>
  <c r="DV161" i="10"/>
  <c r="DW149" i="10"/>
  <c r="DV165" i="10"/>
  <c r="BR313" i="10" l="1"/>
  <c r="BR317" i="10" s="1"/>
  <c r="BR312" i="10"/>
  <c r="BR311" i="10"/>
  <c r="BR320" i="10" s="1"/>
  <c r="BR304" i="10"/>
  <c r="BS296" i="10"/>
  <c r="BS261" i="10" s="1"/>
  <c r="EA137" i="10"/>
  <c r="DW153" i="10"/>
  <c r="DW154" i="10" s="1"/>
  <c r="BR321" i="10" l="1"/>
  <c r="BS293" i="10"/>
  <c r="BS262" i="10"/>
  <c r="BS263" i="10" s="1"/>
  <c r="EA147" i="10"/>
  <c r="DW156" i="10"/>
  <c r="DW155" i="10"/>
  <c r="DW164" i="10" s="1"/>
  <c r="DW157" i="10"/>
  <c r="DX141" i="10"/>
  <c r="BS306" i="10" l="1"/>
  <c r="BS272" i="10"/>
  <c r="EA148" i="10"/>
  <c r="DW161" i="10"/>
  <c r="DX149" i="10"/>
  <c r="DW165" i="10"/>
  <c r="BS297" i="10" l="1"/>
  <c r="BS277" i="10"/>
  <c r="BS276" i="10"/>
  <c r="EB137" i="10"/>
  <c r="DX153" i="10"/>
  <c r="DX154" i="10" s="1"/>
  <c r="BS299" i="10" l="1"/>
  <c r="BS300" i="10"/>
  <c r="BS318" i="10"/>
  <c r="EB147" i="10"/>
  <c r="DX156" i="10"/>
  <c r="DX157" i="10"/>
  <c r="DX155" i="10"/>
  <c r="DX164" i="10" s="1"/>
  <c r="DX165" i="10" s="1"/>
  <c r="DY141" i="10"/>
  <c r="BS305" i="10" l="1"/>
  <c r="BS309" i="10" s="1"/>
  <c r="BS310" i="10" s="1"/>
  <c r="BS302" i="10"/>
  <c r="BS303" i="10"/>
  <c r="BS301" i="10"/>
  <c r="BS319" i="10"/>
  <c r="EB148" i="10"/>
  <c r="DX161" i="10"/>
  <c r="DY149" i="10"/>
  <c r="BS311" i="10" l="1"/>
  <c r="BS320" i="10" s="1"/>
  <c r="BS313" i="10"/>
  <c r="BS317" i="10" s="1"/>
  <c r="BS312" i="10"/>
  <c r="BS304" i="10"/>
  <c r="BT296" i="10"/>
  <c r="BT261" i="10" s="1"/>
  <c r="EC137" i="10"/>
  <c r="DY153" i="10"/>
  <c r="DY154" i="10" s="1"/>
  <c r="BS321" i="10" l="1"/>
  <c r="BT293" i="10"/>
  <c r="BT262" i="10"/>
  <c r="BT263" i="10" s="1"/>
  <c r="EC147" i="10"/>
  <c r="DY156" i="10"/>
  <c r="DZ141" i="10"/>
  <c r="DY157" i="10"/>
  <c r="DY155" i="10"/>
  <c r="DY164" i="10" s="1"/>
  <c r="BT306" i="10" l="1"/>
  <c r="BT272" i="10"/>
  <c r="EC148" i="10"/>
  <c r="DZ149" i="10"/>
  <c r="DY161" i="10"/>
  <c r="DY165" i="10"/>
  <c r="BT297" i="10" l="1"/>
  <c r="BT277" i="10"/>
  <c r="BT276" i="10"/>
  <c r="ED137" i="10"/>
  <c r="DZ153" i="10"/>
  <c r="DZ154" i="10" s="1"/>
  <c r="BT299" i="10" l="1"/>
  <c r="BT300" i="10"/>
  <c r="BT318" i="10"/>
  <c r="ED147" i="10"/>
  <c r="DZ156" i="10"/>
  <c r="EA141" i="10"/>
  <c r="DZ155" i="10"/>
  <c r="DZ164" i="10" s="1"/>
  <c r="DZ165" i="10" s="1"/>
  <c r="DZ157" i="10"/>
  <c r="BT305" i="10" l="1"/>
  <c r="BT309" i="10" s="1"/>
  <c r="BT310" i="10" s="1"/>
  <c r="BT302" i="10"/>
  <c r="BT303" i="10"/>
  <c r="BT301" i="10"/>
  <c r="BT319" i="10"/>
  <c r="ED148" i="10"/>
  <c r="EA149" i="10"/>
  <c r="DZ161" i="10"/>
  <c r="BT312" i="10" l="1"/>
  <c r="BT311" i="10"/>
  <c r="BT320" i="10" s="1"/>
  <c r="BT313" i="10"/>
  <c r="BT317" i="10" s="1"/>
  <c r="BT304" i="10"/>
  <c r="BU296" i="10"/>
  <c r="BU261" i="10" s="1"/>
  <c r="EE137" i="10"/>
  <c r="EA153" i="10"/>
  <c r="EA154" i="10" s="1"/>
  <c r="BT321" i="10" l="1"/>
  <c r="BU293" i="10"/>
  <c r="BU262" i="10"/>
  <c r="BU263" i="10" s="1"/>
  <c r="EE147" i="10"/>
  <c r="EA156" i="10"/>
  <c r="EA155" i="10"/>
  <c r="EA164" i="10" s="1"/>
  <c r="EA157" i="10"/>
  <c r="EB141" i="10"/>
  <c r="BU306" i="10" l="1"/>
  <c r="BU272" i="10"/>
  <c r="EE148" i="10"/>
  <c r="EA161" i="10"/>
  <c r="EB149" i="10"/>
  <c r="EA165" i="10"/>
  <c r="BU297" i="10" l="1"/>
  <c r="BU277" i="10"/>
  <c r="BU276" i="10"/>
  <c r="EF137" i="10"/>
  <c r="EB153" i="10"/>
  <c r="EB154" i="10" s="1"/>
  <c r="BU299" i="10" l="1"/>
  <c r="BU300" i="10"/>
  <c r="BU318" i="10"/>
  <c r="BU319" i="10" s="1"/>
  <c r="EF147" i="10"/>
  <c r="EB156" i="10"/>
  <c r="EB157" i="10"/>
  <c r="EB155" i="10"/>
  <c r="EB164" i="10" s="1"/>
  <c r="EB165" i="10" s="1"/>
  <c r="EC141" i="10"/>
  <c r="BU305" i="10" l="1"/>
  <c r="BU309" i="10" s="1"/>
  <c r="BU310" i="10" s="1"/>
  <c r="BU302" i="10"/>
  <c r="BU303" i="10"/>
  <c r="BU301" i="10"/>
  <c r="EF148" i="10"/>
  <c r="EB161" i="10"/>
  <c r="EC149" i="10"/>
  <c r="BU311" i="10" l="1"/>
  <c r="BU320" i="10" s="1"/>
  <c r="BU313" i="10"/>
  <c r="BU317" i="10" s="1"/>
  <c r="BU312" i="10"/>
  <c r="BU304" i="10"/>
  <c r="BV296" i="10"/>
  <c r="BV261" i="10" s="1"/>
  <c r="EG137" i="10"/>
  <c r="EC153" i="10"/>
  <c r="EC154" i="10" s="1"/>
  <c r="BU321" i="10" l="1"/>
  <c r="BV293" i="10"/>
  <c r="BV262" i="10"/>
  <c r="BV263" i="10" s="1"/>
  <c r="EG147" i="10"/>
  <c r="EC156" i="10"/>
  <c r="ED141" i="10"/>
  <c r="EC155" i="10"/>
  <c r="EC164" i="10" s="1"/>
  <c r="EC165" i="10" s="1"/>
  <c r="EC157" i="10"/>
  <c r="BV306" i="10" l="1"/>
  <c r="BV272" i="10"/>
  <c r="EG148" i="10"/>
  <c r="ED149" i="10"/>
  <c r="EC161" i="10"/>
  <c r="BV297" i="10" l="1"/>
  <c r="BV277" i="10"/>
  <c r="BV276" i="10"/>
  <c r="EH137" i="10"/>
  <c r="N112" i="12"/>
  <c r="ED153" i="10"/>
  <c r="ED154" i="10" s="1"/>
  <c r="BV299" i="10" l="1"/>
  <c r="BV300" i="10"/>
  <c r="BV318" i="10"/>
  <c r="EH147" i="10"/>
  <c r="ED156" i="10"/>
  <c r="ED157" i="10"/>
  <c r="ED155" i="10"/>
  <c r="ED164" i="10" s="1"/>
  <c r="ED165" i="10" s="1"/>
  <c r="EE141" i="10"/>
  <c r="BV305" i="10" l="1"/>
  <c r="BV309" i="10" s="1"/>
  <c r="BV310" i="10" s="1"/>
  <c r="BV312" i="10" s="1"/>
  <c r="BV302" i="10"/>
  <c r="BV303" i="10"/>
  <c r="BV301" i="10"/>
  <c r="BV319" i="10"/>
  <c r="EH148" i="10"/>
  <c r="ED161" i="10"/>
  <c r="EE149" i="10"/>
  <c r="BV311" i="10" l="1"/>
  <c r="BV320" i="10" s="1"/>
  <c r="BV313" i="10"/>
  <c r="BV317" i="10" s="1"/>
  <c r="BV304" i="10"/>
  <c r="BW296" i="10"/>
  <c r="BW261" i="10" s="1"/>
  <c r="EI137" i="10"/>
  <c r="EE153" i="10"/>
  <c r="EE154" i="10" s="1"/>
  <c r="BV321" i="10" l="1"/>
  <c r="BW293" i="10"/>
  <c r="BW262" i="10"/>
  <c r="BW263" i="10" s="1"/>
  <c r="EI147" i="10"/>
  <c r="EE156" i="10"/>
  <c r="EE157" i="10"/>
  <c r="EE155" i="10"/>
  <c r="EE164" i="10" s="1"/>
  <c r="EF141" i="10"/>
  <c r="BW306" i="10" l="1"/>
  <c r="BW272" i="10"/>
  <c r="EI148" i="10"/>
  <c r="EE161" i="10"/>
  <c r="EF149" i="10"/>
  <c r="EE165" i="10"/>
  <c r="BW297" i="10" l="1"/>
  <c r="BW277" i="10"/>
  <c r="BW276" i="10"/>
  <c r="EJ137" i="10"/>
  <c r="EF153" i="10"/>
  <c r="EF154" i="10" s="1"/>
  <c r="BW299" i="10" l="1"/>
  <c r="BW300" i="10"/>
  <c r="BW318" i="10"/>
  <c r="EJ147" i="10"/>
  <c r="EF156" i="10"/>
  <c r="EF155" i="10"/>
  <c r="EF164" i="10" s="1"/>
  <c r="EF157" i="10"/>
  <c r="EG141" i="10"/>
  <c r="BW305" i="10" l="1"/>
  <c r="BW309" i="10" s="1"/>
  <c r="BW310" i="10" s="1"/>
  <c r="BW302" i="10"/>
  <c r="BW303" i="10"/>
  <c r="BW301" i="10"/>
  <c r="BW319" i="10"/>
  <c r="EJ148" i="10"/>
  <c r="EF161" i="10"/>
  <c r="EG149" i="10"/>
  <c r="EF165" i="10"/>
  <c r="BW311" i="10" l="1"/>
  <c r="BW320" i="10" s="1"/>
  <c r="BW313" i="10"/>
  <c r="BW317" i="10" s="1"/>
  <c r="BW312" i="10"/>
  <c r="BW304" i="10"/>
  <c r="BX296" i="10"/>
  <c r="BX261" i="10" s="1"/>
  <c r="EK137" i="10"/>
  <c r="EG153" i="10"/>
  <c r="EG154" i="10" s="1"/>
  <c r="BW321" i="10" l="1"/>
  <c r="BX293" i="10"/>
  <c r="BX262" i="10"/>
  <c r="BX263" i="10" s="1"/>
  <c r="EK147" i="10"/>
  <c r="EG156" i="10"/>
  <c r="EG155" i="10"/>
  <c r="EG164" i="10" s="1"/>
  <c r="EG165" i="10" s="1"/>
  <c r="EH141" i="10"/>
  <c r="EG157" i="10"/>
  <c r="N111" i="12"/>
  <c r="BX306" i="10" l="1"/>
  <c r="BX272" i="10"/>
  <c r="EK148" i="10"/>
  <c r="EH149" i="10"/>
  <c r="EG161" i="10"/>
  <c r="BX297" i="10" l="1"/>
  <c r="BX277" i="10"/>
  <c r="BX276" i="10"/>
  <c r="EL137" i="10"/>
  <c r="EH153" i="10"/>
  <c r="EH154" i="10" s="1"/>
  <c r="BX299" i="10" l="1"/>
  <c r="BX300" i="10"/>
  <c r="BX318" i="10"/>
  <c r="BX319" i="10" s="1"/>
  <c r="EL147" i="10"/>
  <c r="EH156" i="10"/>
  <c r="EH155" i="10"/>
  <c r="EH164" i="10" s="1"/>
  <c r="EH157" i="10"/>
  <c r="EI141" i="10"/>
  <c r="BX305" i="10" l="1"/>
  <c r="BX309" i="10" s="1"/>
  <c r="BX310" i="10" s="1"/>
  <c r="BX302" i="10"/>
  <c r="BX303" i="10"/>
  <c r="BX301" i="10"/>
  <c r="EL148" i="10"/>
  <c r="EH161" i="10"/>
  <c r="EI149" i="10"/>
  <c r="EH165" i="10"/>
  <c r="BX311" i="10" l="1"/>
  <c r="BX320" i="10" s="1"/>
  <c r="BX312" i="10"/>
  <c r="BX313" i="10"/>
  <c r="BX317" i="10" s="1"/>
  <c r="BX304" i="10"/>
  <c r="BY296" i="10"/>
  <c r="BY261" i="10" s="1"/>
  <c r="EM137" i="10"/>
  <c r="EI153" i="10"/>
  <c r="EI154" i="10" s="1"/>
  <c r="BX321" i="10" l="1"/>
  <c r="BY293" i="10"/>
  <c r="BY262" i="10"/>
  <c r="BY263" i="10" s="1"/>
  <c r="EM147" i="10"/>
  <c r="EI156" i="10"/>
  <c r="EI155" i="10"/>
  <c r="EI164" i="10" s="1"/>
  <c r="EJ141" i="10"/>
  <c r="EI157" i="10"/>
  <c r="BY306" i="10" l="1"/>
  <c r="BZ307" i="10" s="1"/>
  <c r="CA307" i="10" s="1"/>
  <c r="CB307" i="10" s="1"/>
  <c r="CC307" i="10" s="1"/>
  <c r="BY272" i="10"/>
  <c r="EM148" i="10"/>
  <c r="EJ149" i="10"/>
  <c r="EI161" i="10"/>
  <c r="EI165" i="10"/>
  <c r="CC308" i="10" l="1"/>
  <c r="CD307" i="10"/>
  <c r="CE307" i="10" s="1"/>
  <c r="CF307" i="10" s="1"/>
  <c r="CG307" i="10" s="1"/>
  <c r="CH307" i="10" s="1"/>
  <c r="CI307" i="10" s="1"/>
  <c r="CJ307" i="10" s="1"/>
  <c r="CK307" i="10" s="1"/>
  <c r="BY297" i="10"/>
  <c r="BY277" i="10"/>
  <c r="BY276" i="10"/>
  <c r="EN137" i="10"/>
  <c r="EJ153" i="10"/>
  <c r="EJ154" i="10" s="1"/>
  <c r="BY299" i="10" l="1"/>
  <c r="BY300" i="10"/>
  <c r="BY318" i="10"/>
  <c r="EN147" i="10"/>
  <c r="EJ156" i="10"/>
  <c r="EJ155" i="10"/>
  <c r="EJ164" i="10" s="1"/>
  <c r="EK141" i="10"/>
  <c r="EJ157" i="10"/>
  <c r="BY305" i="10" l="1"/>
  <c r="BY309" i="10" s="1"/>
  <c r="BY310" i="10" s="1"/>
  <c r="I61" i="12" s="1"/>
  <c r="I152" i="12" s="1"/>
  <c r="BY302" i="10"/>
  <c r="BY303" i="10"/>
  <c r="BY301" i="10"/>
  <c r="BY319" i="10"/>
  <c r="EN148" i="10"/>
  <c r="EK149" i="10"/>
  <c r="EJ161" i="10"/>
  <c r="EJ165" i="10"/>
  <c r="BY312" i="10" l="1"/>
  <c r="BY311" i="10"/>
  <c r="BY320" i="10" s="1"/>
  <c r="BY313" i="10"/>
  <c r="BY317" i="10" s="1"/>
  <c r="BY304" i="10"/>
  <c r="I63" i="12"/>
  <c r="BZ296" i="10"/>
  <c r="BZ261" i="10" s="1"/>
  <c r="EO137" i="10"/>
  <c r="EK153" i="10"/>
  <c r="EK154" i="10" s="1"/>
  <c r="BY321" i="10" l="1"/>
  <c r="I62" i="12"/>
  <c r="BZ293" i="10"/>
  <c r="BZ262" i="10"/>
  <c r="BZ263" i="10" s="1"/>
  <c r="EO147" i="10"/>
  <c r="EK156" i="10"/>
  <c r="EK157" i="10"/>
  <c r="EK155" i="10"/>
  <c r="EK164" i="10" s="1"/>
  <c r="EL141" i="10"/>
  <c r="BZ306" i="10" l="1"/>
  <c r="BZ272" i="10"/>
  <c r="EO148" i="10"/>
  <c r="EK161" i="10"/>
  <c r="EL149" i="10"/>
  <c r="EK165" i="10"/>
  <c r="BZ297" i="10" l="1"/>
  <c r="BZ277" i="10"/>
  <c r="BZ276" i="10"/>
  <c r="EP137" i="10"/>
  <c r="EL153" i="10"/>
  <c r="EL154" i="10" s="1"/>
  <c r="BZ299" i="10" l="1"/>
  <c r="BZ300" i="10"/>
  <c r="BZ318" i="10"/>
  <c r="EP147" i="10"/>
  <c r="EL156" i="10"/>
  <c r="EL157" i="10"/>
  <c r="EM141" i="10"/>
  <c r="EL155" i="10"/>
  <c r="EL164" i="10" s="1"/>
  <c r="BZ305" i="10" l="1"/>
  <c r="BZ309" i="10" s="1"/>
  <c r="BZ310" i="10" s="1"/>
  <c r="BZ302" i="10"/>
  <c r="BZ303" i="10"/>
  <c r="BZ301" i="10"/>
  <c r="BZ319" i="10"/>
  <c r="EP148" i="10"/>
  <c r="EL161" i="10"/>
  <c r="EM149" i="10"/>
  <c r="EL165" i="10"/>
  <c r="BZ313" i="10" l="1"/>
  <c r="BZ317" i="10" s="1"/>
  <c r="BZ311" i="10"/>
  <c r="BZ320" i="10" s="1"/>
  <c r="BZ312" i="10"/>
  <c r="BZ304" i="10"/>
  <c r="CA296" i="10"/>
  <c r="CA261" i="10" s="1"/>
  <c r="EQ137" i="10"/>
  <c r="EM153" i="10"/>
  <c r="EM154" i="10" s="1"/>
  <c r="BZ321" i="10" l="1"/>
  <c r="CA293" i="10"/>
  <c r="CA262" i="10"/>
  <c r="CA263" i="10" s="1"/>
  <c r="EQ147" i="10"/>
  <c r="EM156" i="10"/>
  <c r="EM157" i="10"/>
  <c r="EM155" i="10"/>
  <c r="EM164" i="10" s="1"/>
  <c r="EN141" i="10"/>
  <c r="CA306" i="10" l="1"/>
  <c r="CA272" i="10"/>
  <c r="EQ148" i="10"/>
  <c r="EM161" i="10"/>
  <c r="EN149" i="10"/>
  <c r="EM165" i="10"/>
  <c r="CA297" i="10" l="1"/>
  <c r="CA277" i="10"/>
  <c r="CA276" i="10"/>
  <c r="ER137" i="10"/>
  <c r="EN153" i="10"/>
  <c r="EN154" i="10" s="1"/>
  <c r="CA299" i="10" l="1"/>
  <c r="CA300" i="10"/>
  <c r="CA318" i="10"/>
  <c r="ER147" i="10"/>
  <c r="EN156" i="10"/>
  <c r="EO141" i="10"/>
  <c r="EN155" i="10"/>
  <c r="EN164" i="10" s="1"/>
  <c r="EN157" i="10"/>
  <c r="CA305" i="10" l="1"/>
  <c r="CA309" i="10" s="1"/>
  <c r="CA310" i="10" s="1"/>
  <c r="CA302" i="10"/>
  <c r="CA303" i="10"/>
  <c r="CA301" i="10"/>
  <c r="CA319" i="10"/>
  <c r="ER148" i="10"/>
  <c r="EO149" i="10"/>
  <c r="EN161" i="10"/>
  <c r="EN165" i="10"/>
  <c r="CA311" i="10" l="1"/>
  <c r="CA320" i="10" s="1"/>
  <c r="CA312" i="10"/>
  <c r="CA313" i="10"/>
  <c r="CA317" i="10" s="1"/>
  <c r="CA304" i="10"/>
  <c r="CB296" i="10"/>
  <c r="CB261" i="10" s="1"/>
  <c r="ES137" i="10"/>
  <c r="EO153" i="10"/>
  <c r="EO154" i="10" s="1"/>
  <c r="CA321" i="10" l="1"/>
  <c r="CB293" i="10"/>
  <c r="CB262" i="10"/>
  <c r="CB263" i="10" s="1"/>
  <c r="E137" i="10"/>
  <c r="O110" i="12"/>
  <c r="O114" i="12" s="1"/>
  <c r="O115" i="12" s="1"/>
  <c r="N110" i="12"/>
  <c r="N114" i="12" s="1"/>
  <c r="N115" i="12" s="1"/>
  <c r="M110" i="12"/>
  <c r="M114" i="12" s="1"/>
  <c r="M115" i="12" s="1"/>
  <c r="L110" i="12"/>
  <c r="L114" i="12" s="1"/>
  <c r="L115" i="12" s="1"/>
  <c r="K110" i="12"/>
  <c r="K114" i="12" s="1"/>
  <c r="K115" i="12" s="1"/>
  <c r="J110" i="12"/>
  <c r="J114" i="12" s="1"/>
  <c r="J115" i="12" s="1"/>
  <c r="I110" i="12"/>
  <c r="I114" i="12" s="1"/>
  <c r="I115" i="12" s="1"/>
  <c r="H110" i="12"/>
  <c r="H114" i="12" s="1"/>
  <c r="H115" i="12" s="1"/>
  <c r="G110" i="12"/>
  <c r="G114" i="12" s="1"/>
  <c r="G115" i="12" s="1"/>
  <c r="F110" i="12"/>
  <c r="F114" i="12" s="1"/>
  <c r="F115" i="12" s="1"/>
  <c r="E110" i="12"/>
  <c r="E114" i="12" s="1"/>
  <c r="E115" i="12" s="1"/>
  <c r="D110" i="12"/>
  <c r="ES147" i="10"/>
  <c r="I59" i="12"/>
  <c r="H59" i="12"/>
  <c r="G59" i="12"/>
  <c r="G67" i="12" s="1"/>
  <c r="G68" i="12" s="1"/>
  <c r="F59" i="12"/>
  <c r="F67" i="12" s="1"/>
  <c r="F68" i="12" s="1"/>
  <c r="E59" i="12"/>
  <c r="E67" i="12" s="1"/>
  <c r="E68" i="12" s="1"/>
  <c r="D59" i="12"/>
  <c r="EO156" i="10"/>
  <c r="EO157" i="10"/>
  <c r="EP141" i="10"/>
  <c r="EO155" i="10"/>
  <c r="EO164" i="10" s="1"/>
  <c r="CB306" i="10" l="1"/>
  <c r="CB272" i="10"/>
  <c r="D114" i="12"/>
  <c r="C110" i="12"/>
  <c r="ES148" i="10"/>
  <c r="E147" i="10"/>
  <c r="O109" i="12"/>
  <c r="N109" i="12"/>
  <c r="M109" i="12"/>
  <c r="L109" i="12"/>
  <c r="K109" i="12"/>
  <c r="J109" i="12"/>
  <c r="I109" i="12"/>
  <c r="H109" i="12"/>
  <c r="G109" i="12"/>
  <c r="F109" i="12"/>
  <c r="E109" i="12"/>
  <c r="D109" i="12"/>
  <c r="D67" i="12"/>
  <c r="I58" i="12"/>
  <c r="H58" i="12"/>
  <c r="G58" i="12"/>
  <c r="F58" i="12"/>
  <c r="E58" i="12"/>
  <c r="D58" i="12"/>
  <c r="EO161" i="10"/>
  <c r="EP149" i="10"/>
  <c r="EO165" i="10"/>
  <c r="CB297" i="10" l="1"/>
  <c r="CB277" i="10"/>
  <c r="CB276" i="10"/>
  <c r="D115" i="12"/>
  <c r="C24" i="12"/>
  <c r="O112" i="12"/>
  <c r="C20" i="12"/>
  <c r="E148" i="10"/>
  <c r="C17" i="12" s="1"/>
  <c r="D68" i="12"/>
  <c r="EP153" i="10"/>
  <c r="EP154" i="10" s="1"/>
  <c r="C109" i="12"/>
  <c r="CB299" i="10" l="1"/>
  <c r="CB300" i="10"/>
  <c r="CB318" i="10"/>
  <c r="EP156" i="10"/>
  <c r="EP155" i="10"/>
  <c r="EP164" i="10" s="1"/>
  <c r="EP157" i="10"/>
  <c r="EQ141" i="10"/>
  <c r="CB305" i="10" l="1"/>
  <c r="CB309" i="10" s="1"/>
  <c r="CB310" i="10" s="1"/>
  <c r="CB302" i="10"/>
  <c r="CB303" i="10"/>
  <c r="CB301" i="10"/>
  <c r="CB319" i="10"/>
  <c r="EP161" i="10"/>
  <c r="EQ149" i="10"/>
  <c r="EP165" i="10"/>
  <c r="CB311" i="10" l="1"/>
  <c r="CB320" i="10" s="1"/>
  <c r="CB313" i="10"/>
  <c r="CB317" i="10" s="1"/>
  <c r="CB312" i="10"/>
  <c r="CB304" i="10"/>
  <c r="CC296" i="10"/>
  <c r="CC261" i="10" s="1"/>
  <c r="EQ153" i="10"/>
  <c r="EQ154" i="10" s="1"/>
  <c r="CB321" i="10" l="1"/>
  <c r="CC293" i="10"/>
  <c r="CC262" i="10"/>
  <c r="CC263" i="10" s="1"/>
  <c r="EQ156" i="10"/>
  <c r="ER141" i="10"/>
  <c r="EQ155" i="10"/>
  <c r="EQ164" i="10" s="1"/>
  <c r="EQ165" i="10" s="1"/>
  <c r="EQ157" i="10"/>
  <c r="CC306" i="10" l="1"/>
  <c r="CC272" i="10"/>
  <c r="ER149" i="10"/>
  <c r="EQ161" i="10"/>
  <c r="CC297" i="10" l="1"/>
  <c r="CC277" i="10"/>
  <c r="CC276" i="10"/>
  <c r="ER153" i="10"/>
  <c r="ER154" i="10" s="1"/>
  <c r="CC299" i="10" l="1"/>
  <c r="CC300" i="10"/>
  <c r="CC318" i="10"/>
  <c r="ER156" i="10"/>
  <c r="ES141" i="10"/>
  <c r="ER157" i="10"/>
  <c r="ER155" i="10"/>
  <c r="ER164" i="10" s="1"/>
  <c r="ER165" i="10" s="1"/>
  <c r="CC305" i="10" l="1"/>
  <c r="CC309" i="10" s="1"/>
  <c r="CC310" i="10" s="1"/>
  <c r="CC302" i="10"/>
  <c r="CC303" i="10"/>
  <c r="CC301" i="10"/>
  <c r="CC319" i="10"/>
  <c r="E141" i="10"/>
  <c r="ES149" i="10"/>
  <c r="ER161" i="10"/>
  <c r="CC311" i="10" l="1"/>
  <c r="CC320" i="10" s="1"/>
  <c r="CC313" i="10"/>
  <c r="CC317" i="10" s="1"/>
  <c r="CC312" i="10"/>
  <c r="CC304" i="10"/>
  <c r="CD296" i="10"/>
  <c r="CD261" i="10" s="1"/>
  <c r="E149" i="10"/>
  <c r="ES153" i="10"/>
  <c r="ES154" i="10" s="1"/>
  <c r="CC321" i="10" l="1"/>
  <c r="CD293" i="10"/>
  <c r="CD262" i="10"/>
  <c r="CD263" i="10" s="1"/>
  <c r="E153" i="10"/>
  <c r="E154" i="10"/>
  <c r="C21" i="12"/>
  <c r="ES156" i="10"/>
  <c r="O111" i="12"/>
  <c r="ES155" i="10"/>
  <c r="ES157" i="10"/>
  <c r="CD306" i="10" l="1"/>
  <c r="CD272" i="10"/>
  <c r="E155" i="10"/>
  <c r="ES164" i="10"/>
  <c r="ES165" i="10" s="1"/>
  <c r="E165" i="10" s="1"/>
  <c r="C30" i="12" s="1"/>
  <c r="C5" i="13" s="1"/>
  <c r="E5" i="13" s="1"/>
  <c r="E156" i="10"/>
  <c r="C22" i="12" s="1"/>
  <c r="C23" i="12"/>
  <c r="E157" i="10"/>
  <c r="C16" i="12" s="1"/>
  <c r="ES161" i="10"/>
  <c r="I60" i="12"/>
  <c r="H60" i="12"/>
  <c r="G60" i="12"/>
  <c r="F60" i="12"/>
  <c r="E60" i="12"/>
  <c r="D60" i="12"/>
  <c r="CD297" i="10" l="1"/>
  <c r="CD276" i="10"/>
  <c r="CD277" i="10"/>
  <c r="F23" i="3"/>
  <c r="E161" i="10"/>
  <c r="C27" i="12"/>
  <c r="C28" i="12"/>
  <c r="I65" i="12"/>
  <c r="H65" i="12"/>
  <c r="G65" i="12"/>
  <c r="F65" i="12"/>
  <c r="E65" i="12"/>
  <c r="D65" i="12"/>
  <c r="CD299" i="10" l="1"/>
  <c r="CD300" i="10"/>
  <c r="CD318" i="10"/>
  <c r="CD305" i="10" l="1"/>
  <c r="CD309" i="10" s="1"/>
  <c r="CD302" i="10"/>
  <c r="CD303" i="10"/>
  <c r="CD301" i="10"/>
  <c r="CD319" i="10"/>
  <c r="F36" i="3"/>
  <c r="CD304" i="10" l="1"/>
  <c r="CE296" i="10"/>
  <c r="CE261" i="10" s="1"/>
  <c r="CD310" i="10"/>
  <c r="CE293" i="10" l="1"/>
  <c r="CE262" i="10"/>
  <c r="CE263" i="10" s="1"/>
  <c r="CD311" i="10"/>
  <c r="CD312" i="10"/>
  <c r="CD313" i="10"/>
  <c r="CE306" i="10" l="1"/>
  <c r="CE272" i="10"/>
  <c r="CD320" i="10"/>
  <c r="CD321" i="10" s="1"/>
  <c r="CD317" i="10"/>
  <c r="CE297" i="10" l="1"/>
  <c r="CE277" i="10"/>
  <c r="CE276" i="10"/>
  <c r="CE300" i="10" l="1"/>
  <c r="CE299" i="10"/>
  <c r="CE318" i="10"/>
  <c r="CE305" i="10" l="1"/>
  <c r="CE309" i="10" s="1"/>
  <c r="CE303" i="10"/>
  <c r="CE301" i="10"/>
  <c r="CE302" i="10"/>
  <c r="CE319" i="10"/>
  <c r="CF296" i="10" l="1"/>
  <c r="CF261" i="10" s="1"/>
  <c r="CE310" i="10"/>
  <c r="CE304" i="10"/>
  <c r="CF262" i="10" l="1"/>
  <c r="CF263" i="10" s="1"/>
  <c r="CE311" i="10"/>
  <c r="CE313" i="10"/>
  <c r="CE312" i="10"/>
  <c r="CF293" i="10"/>
  <c r="CF306" i="10" l="1"/>
  <c r="CF272" i="10"/>
  <c r="CE320" i="10"/>
  <c r="CE321" i="10" s="1"/>
  <c r="CE317" i="10"/>
  <c r="CF297" i="10" l="1"/>
  <c r="CF277" i="10"/>
  <c r="CF276" i="10"/>
  <c r="CF300" i="10" l="1"/>
  <c r="CF299" i="10"/>
  <c r="CF318" i="10"/>
  <c r="CF305" i="10" l="1"/>
  <c r="CF309" i="10" s="1"/>
  <c r="CF303" i="10"/>
  <c r="CF301" i="10"/>
  <c r="CF302" i="10"/>
  <c r="CF319" i="10"/>
  <c r="CG296" i="10" l="1"/>
  <c r="CG261" i="10" s="1"/>
  <c r="CF310" i="10"/>
  <c r="CF304" i="10"/>
  <c r="CG262" i="10" l="1"/>
  <c r="CG263" i="10" s="1"/>
  <c r="CF311" i="10"/>
  <c r="CF312" i="10"/>
  <c r="CF313" i="10"/>
  <c r="CG293" i="10"/>
  <c r="CG306" i="10" l="1"/>
  <c r="CG272" i="10"/>
  <c r="CF320" i="10"/>
  <c r="CF321" i="10" s="1"/>
  <c r="CF317" i="10"/>
  <c r="CG297" i="10" l="1"/>
  <c r="CG277" i="10"/>
  <c r="CG276" i="10"/>
  <c r="CG300" i="10" l="1"/>
  <c r="CG299" i="10"/>
  <c r="CG318" i="10"/>
  <c r="CG319" i="10" s="1"/>
  <c r="CG305" i="10" l="1"/>
  <c r="CG309" i="10" s="1"/>
  <c r="CG303" i="10"/>
  <c r="CG301" i="10"/>
  <c r="CG302" i="10"/>
  <c r="CH296" i="10" l="1"/>
  <c r="CH261" i="10" s="1"/>
  <c r="CG310" i="10"/>
  <c r="CG304" i="10"/>
  <c r="CH262" i="10" l="1"/>
  <c r="CH263" i="10" s="1"/>
  <c r="CG311" i="10"/>
  <c r="CG313" i="10"/>
  <c r="CG312" i="10"/>
  <c r="CH293" i="10"/>
  <c r="CH306" i="10" l="1"/>
  <c r="CH272" i="10"/>
  <c r="CG320" i="10"/>
  <c r="CG321" i="10" s="1"/>
  <c r="CG317" i="10"/>
  <c r="CH297" i="10" l="1"/>
  <c r="CH276" i="10"/>
  <c r="CH277" i="10"/>
  <c r="CH300" i="10" l="1"/>
  <c r="CH299" i="10"/>
  <c r="CH318" i="10"/>
  <c r="CH305" i="10" l="1"/>
  <c r="CH309" i="10" s="1"/>
  <c r="CH303" i="10"/>
  <c r="CH301" i="10"/>
  <c r="CH302" i="10"/>
  <c r="CH319" i="10"/>
  <c r="CI296" i="10" l="1"/>
  <c r="CI261" i="10" s="1"/>
  <c r="CH310" i="10"/>
  <c r="CH304" i="10"/>
  <c r="CI262" i="10" l="1"/>
  <c r="CI263" i="10" s="1"/>
  <c r="CH311" i="10"/>
  <c r="CH313" i="10"/>
  <c r="CH312" i="10"/>
  <c r="CI293" i="10"/>
  <c r="CI306" i="10" l="1"/>
  <c r="CI272" i="10"/>
  <c r="CH320" i="10"/>
  <c r="CH321" i="10" s="1"/>
  <c r="CH317" i="10"/>
  <c r="CI297" i="10" l="1"/>
  <c r="CI277" i="10"/>
  <c r="CI276" i="10"/>
  <c r="CI300" i="10" l="1"/>
  <c r="CI299" i="10"/>
  <c r="CI318" i="10"/>
  <c r="CI319" i="10" s="1"/>
  <c r="CI305" i="10" l="1"/>
  <c r="CI309" i="10" s="1"/>
  <c r="CI303" i="10"/>
  <c r="CI301" i="10"/>
  <c r="CI302" i="10"/>
  <c r="CJ296" i="10" l="1"/>
  <c r="CJ261" i="10" s="1"/>
  <c r="CI310" i="10"/>
  <c r="CI304" i="10"/>
  <c r="CJ262" i="10" l="1"/>
  <c r="CJ263" i="10" s="1"/>
  <c r="CI311" i="10"/>
  <c r="CI313" i="10"/>
  <c r="CI312" i="10"/>
  <c r="CJ293" i="10"/>
  <c r="CJ306" i="10" l="1"/>
  <c r="CJ272" i="10"/>
  <c r="CI320" i="10"/>
  <c r="CI321" i="10" s="1"/>
  <c r="CI317" i="10"/>
  <c r="CJ297" i="10" l="1"/>
  <c r="CJ277" i="10"/>
  <c r="CJ276" i="10"/>
  <c r="CJ300" i="10" l="1"/>
  <c r="CJ299" i="10"/>
  <c r="CJ318" i="10"/>
  <c r="CJ305" i="10" l="1"/>
  <c r="CJ309" i="10" s="1"/>
  <c r="CJ303" i="10"/>
  <c r="CJ301" i="10"/>
  <c r="CJ302" i="10"/>
  <c r="CJ319" i="10"/>
  <c r="CK296" i="10" l="1"/>
  <c r="CK261" i="10" s="1"/>
  <c r="CJ310" i="10"/>
  <c r="CJ304" i="10"/>
  <c r="CK262" i="10" l="1"/>
  <c r="CK263" i="10" s="1"/>
  <c r="CJ311" i="10"/>
  <c r="CJ313" i="10"/>
  <c r="CJ312" i="10"/>
  <c r="CK293" i="10"/>
  <c r="CK306" i="10" l="1"/>
  <c r="CL307" i="10" s="1"/>
  <c r="CM307" i="10" s="1"/>
  <c r="CN307" i="10" s="1"/>
  <c r="CO307" i="10" s="1"/>
  <c r="CK272" i="10"/>
  <c r="CJ320" i="10"/>
  <c r="CJ321" i="10" s="1"/>
  <c r="CJ317" i="10"/>
  <c r="CO308" i="10" l="1"/>
  <c r="CP307" i="10"/>
  <c r="CQ307" i="10" s="1"/>
  <c r="CR307" i="10" s="1"/>
  <c r="CS307" i="10" s="1"/>
  <c r="CT307" i="10" s="1"/>
  <c r="CU307" i="10" s="1"/>
  <c r="CV307" i="10" s="1"/>
  <c r="CW307" i="10" s="1"/>
  <c r="CK297" i="10"/>
  <c r="CK277" i="10"/>
  <c r="CK276" i="10"/>
  <c r="CK300" i="10" l="1"/>
  <c r="CK299" i="10"/>
  <c r="CK318" i="10"/>
  <c r="CK305" i="10" l="1"/>
  <c r="CK309" i="10" s="1"/>
  <c r="CK303" i="10"/>
  <c r="CK301" i="10"/>
  <c r="CK302" i="10"/>
  <c r="CK319" i="10"/>
  <c r="J63" i="12" l="1"/>
  <c r="CL296" i="10"/>
  <c r="CL261" i="10" s="1"/>
  <c r="CK310" i="10"/>
  <c r="CK304" i="10"/>
  <c r="CL262" i="10" l="1"/>
  <c r="CL263" i="10" s="1"/>
  <c r="CK311" i="10"/>
  <c r="CK313" i="10"/>
  <c r="J61" i="12"/>
  <c r="J152" i="12" s="1"/>
  <c r="CK312" i="10"/>
  <c r="CL293" i="10"/>
  <c r="J62" i="12"/>
  <c r="CL306" i="10" l="1"/>
  <c r="CL272" i="10"/>
  <c r="CK320" i="10"/>
  <c r="CK321" i="10" s="1"/>
  <c r="CK317" i="10"/>
  <c r="CL297" i="10" l="1"/>
  <c r="CL277" i="10"/>
  <c r="CL276" i="10"/>
  <c r="CL300" i="10" l="1"/>
  <c r="CL299" i="10"/>
  <c r="CL318" i="10"/>
  <c r="CL305" i="10" l="1"/>
  <c r="CL309" i="10" s="1"/>
  <c r="CL303" i="10"/>
  <c r="CL301" i="10"/>
  <c r="CL302" i="10"/>
  <c r="CL319" i="10"/>
  <c r="CM296" i="10" l="1"/>
  <c r="CM261" i="10" s="1"/>
  <c r="CL310" i="10"/>
  <c r="CL304" i="10"/>
  <c r="CM262" i="10" l="1"/>
  <c r="CM263" i="10" s="1"/>
  <c r="CL311" i="10"/>
  <c r="CL313" i="10"/>
  <c r="CL312" i="10"/>
  <c r="CM293" i="10"/>
  <c r="CM306" i="10" l="1"/>
  <c r="CM272" i="10"/>
  <c r="CL320" i="10"/>
  <c r="CL321" i="10" s="1"/>
  <c r="CL317" i="10"/>
  <c r="CM297" i="10" l="1"/>
  <c r="CM277" i="10"/>
  <c r="CM276" i="10"/>
  <c r="CM300" i="10" l="1"/>
  <c r="CM299" i="10"/>
  <c r="CM318" i="10"/>
  <c r="CM305" i="10" l="1"/>
  <c r="CM309" i="10" s="1"/>
  <c r="CM303" i="10"/>
  <c r="CM301" i="10"/>
  <c r="CM302" i="10"/>
  <c r="CM319" i="10"/>
  <c r="CN296" i="10" l="1"/>
  <c r="CN261" i="10" s="1"/>
  <c r="CM310" i="10"/>
  <c r="CM304" i="10"/>
  <c r="CN262" i="10" l="1"/>
  <c r="CN263" i="10" s="1"/>
  <c r="CM311" i="10"/>
  <c r="CM312" i="10"/>
  <c r="CM313" i="10"/>
  <c r="CN293" i="10"/>
  <c r="CN306" i="10" l="1"/>
  <c r="CN272" i="10"/>
  <c r="CM320" i="10"/>
  <c r="CM321" i="10" s="1"/>
  <c r="CM317" i="10"/>
  <c r="CN297" i="10" l="1"/>
  <c r="CN277" i="10"/>
  <c r="CN276" i="10"/>
  <c r="CN300" i="10" l="1"/>
  <c r="CN299" i="10"/>
  <c r="CN318" i="10"/>
  <c r="CN305" i="10" l="1"/>
  <c r="CN309" i="10" s="1"/>
  <c r="CN303" i="10"/>
  <c r="CN301" i="10"/>
  <c r="CN302" i="10"/>
  <c r="CN319" i="10"/>
  <c r="CO296" i="10" l="1"/>
  <c r="CO261" i="10" s="1"/>
  <c r="CN310" i="10"/>
  <c r="CN304" i="10"/>
  <c r="CO262" i="10" l="1"/>
  <c r="CO263" i="10" s="1"/>
  <c r="CN313" i="10"/>
  <c r="CN312" i="10"/>
  <c r="CN311" i="10"/>
  <c r="CO293" i="10"/>
  <c r="CO306" i="10" l="1"/>
  <c r="CO272" i="10"/>
  <c r="CN317" i="10"/>
  <c r="CN320" i="10"/>
  <c r="CN321" i="10" s="1"/>
  <c r="CO297" i="10" l="1"/>
  <c r="CO277" i="10"/>
  <c r="CO276" i="10"/>
  <c r="CO300" i="10" l="1"/>
  <c r="CO299" i="10"/>
  <c r="CO318" i="10"/>
  <c r="CO305" i="10" l="1"/>
  <c r="CO309" i="10" s="1"/>
  <c r="CO303" i="10"/>
  <c r="CO301" i="10"/>
  <c r="CO302" i="10"/>
  <c r="CO319" i="10"/>
  <c r="CP296" i="10" l="1"/>
  <c r="CP261" i="10" s="1"/>
  <c r="CO310" i="10"/>
  <c r="CO304" i="10"/>
  <c r="CP262" i="10" l="1"/>
  <c r="CP263" i="10" s="1"/>
  <c r="CO311" i="10"/>
  <c r="CO313" i="10"/>
  <c r="CO312" i="10"/>
  <c r="CP293" i="10"/>
  <c r="CP306" i="10" l="1"/>
  <c r="CP272" i="10"/>
  <c r="CO320" i="10"/>
  <c r="CO321" i="10" s="1"/>
  <c r="CO317" i="10"/>
  <c r="CP297" i="10" l="1"/>
  <c r="CP277" i="10"/>
  <c r="CP276" i="10"/>
  <c r="CP300" i="10" l="1"/>
  <c r="CP299" i="10"/>
  <c r="CP318" i="10"/>
  <c r="CP305" i="10" l="1"/>
  <c r="CP309" i="10" s="1"/>
  <c r="CP303" i="10"/>
  <c r="CP301" i="10"/>
  <c r="CP302" i="10"/>
  <c r="CP319" i="10"/>
  <c r="CQ296" i="10" l="1"/>
  <c r="CQ261" i="10" s="1"/>
  <c r="CP310" i="10"/>
  <c r="CP304" i="10"/>
  <c r="CQ262" i="10" l="1"/>
  <c r="CP311" i="10"/>
  <c r="CP312" i="10"/>
  <c r="CP313" i="10"/>
  <c r="CQ293" i="10"/>
  <c r="CQ272" i="10" l="1"/>
  <c r="CQ263" i="10"/>
  <c r="CP320" i="10"/>
  <c r="CP321" i="10" s="1"/>
  <c r="CP317" i="10"/>
  <c r="CQ297" i="10" l="1"/>
  <c r="CQ277" i="10"/>
  <c r="CQ276" i="10"/>
  <c r="CQ306" i="10"/>
  <c r="CQ300" i="10" l="1"/>
  <c r="CQ299" i="10"/>
  <c r="CQ318" i="10"/>
  <c r="CQ305" i="10" l="1"/>
  <c r="CQ309" i="10" s="1"/>
  <c r="CQ303" i="10"/>
  <c r="CQ301" i="10"/>
  <c r="CQ302" i="10"/>
  <c r="CQ319" i="10"/>
  <c r="CR296" i="10" l="1"/>
  <c r="CR261" i="10" s="1"/>
  <c r="CQ310" i="10"/>
  <c r="CQ304" i="10"/>
  <c r="CR262" i="10" l="1"/>
  <c r="CQ312" i="10"/>
  <c r="CQ313" i="10"/>
  <c r="CQ311" i="10"/>
  <c r="CR293" i="10"/>
  <c r="CR272" i="10" l="1"/>
  <c r="CR263" i="10"/>
  <c r="CQ317" i="10"/>
  <c r="CQ320" i="10"/>
  <c r="CQ321" i="10" s="1"/>
  <c r="CR297" i="10" l="1"/>
  <c r="CR277" i="10"/>
  <c r="CR276" i="10"/>
  <c r="CR306" i="10"/>
  <c r="CR300" i="10" l="1"/>
  <c r="CR299" i="10"/>
  <c r="CR318" i="10"/>
  <c r="CR305" i="10" l="1"/>
  <c r="CR309" i="10" s="1"/>
  <c r="CR303" i="10"/>
  <c r="CR301" i="10"/>
  <c r="CR302" i="10"/>
  <c r="CR319" i="10"/>
  <c r="CS296" i="10" l="1"/>
  <c r="CS261" i="10" s="1"/>
  <c r="CR310" i="10"/>
  <c r="CR304" i="10"/>
  <c r="CS262" i="10" l="1"/>
  <c r="CR311" i="10"/>
  <c r="CR312" i="10"/>
  <c r="CR313" i="10"/>
  <c r="CS293" i="10"/>
  <c r="CS272" i="10" l="1"/>
  <c r="CS263" i="10"/>
  <c r="CR320" i="10"/>
  <c r="CR321" i="10" s="1"/>
  <c r="CR317" i="10"/>
  <c r="CS297" i="10" l="1"/>
  <c r="CS277" i="10"/>
  <c r="CS276" i="10"/>
  <c r="CS306" i="10"/>
  <c r="CS300" i="10" l="1"/>
  <c r="CS299" i="10"/>
  <c r="CS318" i="10"/>
  <c r="CS305" i="10" l="1"/>
  <c r="CS309" i="10" s="1"/>
  <c r="CS303" i="10"/>
  <c r="CS301" i="10"/>
  <c r="CS302" i="10"/>
  <c r="CS319" i="10"/>
  <c r="CT296" i="10" l="1"/>
  <c r="CT261" i="10" s="1"/>
  <c r="CS310" i="10"/>
  <c r="CS304" i="10"/>
  <c r="CT262" i="10" l="1"/>
  <c r="CS311" i="10"/>
  <c r="CS313" i="10"/>
  <c r="CS312" i="10"/>
  <c r="CT293" i="10"/>
  <c r="CT272" i="10" l="1"/>
  <c r="CT263" i="10"/>
  <c r="CS320" i="10"/>
  <c r="CS321" i="10" s="1"/>
  <c r="CS317" i="10"/>
  <c r="CT297" i="10" l="1"/>
  <c r="CT277" i="10"/>
  <c r="CT276" i="10"/>
  <c r="CT306" i="10"/>
  <c r="CT300" i="10" l="1"/>
  <c r="CT299" i="10"/>
  <c r="CT318" i="10"/>
  <c r="CT319" i="10" s="1"/>
  <c r="CT305" i="10" l="1"/>
  <c r="CT309" i="10" s="1"/>
  <c r="CT303" i="10"/>
  <c r="CT301" i="10"/>
  <c r="CT302" i="10"/>
  <c r="CU296" i="10" l="1"/>
  <c r="CU261" i="10" s="1"/>
  <c r="CT310" i="10"/>
  <c r="CT304" i="10"/>
  <c r="CU262" i="10" l="1"/>
  <c r="CU263" i="10" s="1"/>
  <c r="CT311" i="10"/>
  <c r="CT313" i="10"/>
  <c r="CT312" i="10"/>
  <c r="CU293" i="10"/>
  <c r="CU306" i="10" l="1"/>
  <c r="CU272" i="10"/>
  <c r="CT320" i="10"/>
  <c r="CT321" i="10" s="1"/>
  <c r="CT317" i="10"/>
  <c r="CU297" i="10" l="1"/>
  <c r="CU277" i="10"/>
  <c r="CU276" i="10"/>
  <c r="CU300" i="10" l="1"/>
  <c r="CU299" i="10"/>
  <c r="CU318" i="10"/>
  <c r="CU305" i="10" l="1"/>
  <c r="CU309" i="10" s="1"/>
  <c r="CU303" i="10"/>
  <c r="CU301" i="10"/>
  <c r="CU302" i="10"/>
  <c r="CU319" i="10"/>
  <c r="CV296" i="10" l="1"/>
  <c r="CV261" i="10" s="1"/>
  <c r="CU310" i="10"/>
  <c r="CU304" i="10"/>
  <c r="CV262" i="10" l="1"/>
  <c r="CV263" i="10" s="1"/>
  <c r="CU311" i="10"/>
  <c r="CU313" i="10"/>
  <c r="CU312" i="10"/>
  <c r="CV293" i="10"/>
  <c r="CV306" i="10" l="1"/>
  <c r="CV272" i="10"/>
  <c r="CU320" i="10"/>
  <c r="CU321" i="10" s="1"/>
  <c r="CU317" i="10"/>
  <c r="CV297" i="10" l="1"/>
  <c r="CV277" i="10"/>
  <c r="CV276" i="10"/>
  <c r="CV300" i="10" l="1"/>
  <c r="CV299" i="10"/>
  <c r="CV318" i="10"/>
  <c r="CV319" i="10" s="1"/>
  <c r="CV305" i="10" l="1"/>
  <c r="CV309" i="10" s="1"/>
  <c r="CV303" i="10"/>
  <c r="CV301" i="10"/>
  <c r="CV302" i="10"/>
  <c r="CW296" i="10" l="1"/>
  <c r="CW261" i="10" s="1"/>
  <c r="CV310" i="10"/>
  <c r="CV304" i="10"/>
  <c r="CW262" i="10" l="1"/>
  <c r="CW263" i="10" s="1"/>
  <c r="CV313" i="10"/>
  <c r="CV312" i="10"/>
  <c r="CV311" i="10"/>
  <c r="CW293" i="10"/>
  <c r="CW306" i="10" l="1"/>
  <c r="CX307" i="10" s="1"/>
  <c r="CY307" i="10" s="1"/>
  <c r="CZ307" i="10" s="1"/>
  <c r="DA307" i="10" s="1"/>
  <c r="CW272" i="10"/>
  <c r="CV317" i="10"/>
  <c r="CV320" i="10"/>
  <c r="CV321" i="10" s="1"/>
  <c r="DA308" i="10" l="1"/>
  <c r="DB307" i="10"/>
  <c r="DC307" i="10" s="1"/>
  <c r="DD307" i="10" s="1"/>
  <c r="DE307" i="10" s="1"/>
  <c r="DF307" i="10" s="1"/>
  <c r="DG307" i="10" s="1"/>
  <c r="DH307" i="10" s="1"/>
  <c r="DI307" i="10" s="1"/>
  <c r="CW297" i="10"/>
  <c r="CW277" i="10"/>
  <c r="CW276" i="10"/>
  <c r="CW300" i="10" l="1"/>
  <c r="CW299" i="10"/>
  <c r="CW318" i="10"/>
  <c r="CW319" i="10" s="1"/>
  <c r="CW305" i="10" l="1"/>
  <c r="CW309" i="10" s="1"/>
  <c r="CW303" i="10"/>
  <c r="CW301" i="10"/>
  <c r="CW302" i="10"/>
  <c r="K63" i="12" l="1"/>
  <c r="CX296" i="10"/>
  <c r="CX261" i="10" s="1"/>
  <c r="CW310" i="10"/>
  <c r="CW304" i="10"/>
  <c r="CX262" i="10" l="1"/>
  <c r="CX263" i="10" s="1"/>
  <c r="CW311" i="10"/>
  <c r="CW313" i="10"/>
  <c r="K61" i="12"/>
  <c r="K152" i="12" s="1"/>
  <c r="CW312" i="10"/>
  <c r="K62" i="12"/>
  <c r="CX293" i="10"/>
  <c r="CX306" i="10" l="1"/>
  <c r="CX272" i="10"/>
  <c r="CW320" i="10"/>
  <c r="CW321" i="10" s="1"/>
  <c r="CW317" i="10"/>
  <c r="CX297" i="10" l="1"/>
  <c r="CX277" i="10"/>
  <c r="CX276" i="10"/>
  <c r="CX300" i="10" l="1"/>
  <c r="CX299" i="10"/>
  <c r="CX318" i="10"/>
  <c r="CX305" i="10" l="1"/>
  <c r="CX309" i="10" s="1"/>
  <c r="CX303" i="10"/>
  <c r="CX301" i="10"/>
  <c r="CX302" i="10"/>
  <c r="CX319" i="10"/>
  <c r="CY296" i="10" l="1"/>
  <c r="CY261" i="10" s="1"/>
  <c r="CX310" i="10"/>
  <c r="CX304" i="10"/>
  <c r="CY262" i="10" l="1"/>
  <c r="CY263" i="10" s="1"/>
  <c r="CX311" i="10"/>
  <c r="CX313" i="10"/>
  <c r="CX312" i="10"/>
  <c r="CY293" i="10"/>
  <c r="CY306" i="10" l="1"/>
  <c r="CY272" i="10"/>
  <c r="CX320" i="10"/>
  <c r="CX321" i="10" s="1"/>
  <c r="CX317" i="10"/>
  <c r="CY297" i="10" l="1"/>
  <c r="CY277" i="10"/>
  <c r="CY276" i="10"/>
  <c r="CY300" i="10" l="1"/>
  <c r="CY299" i="10"/>
  <c r="CY318" i="10"/>
  <c r="CY305" i="10" l="1"/>
  <c r="CY309" i="10" s="1"/>
  <c r="CY303" i="10"/>
  <c r="CY301" i="10"/>
  <c r="CY302" i="10"/>
  <c r="CY319" i="10"/>
  <c r="CZ296" i="10" l="1"/>
  <c r="CZ261" i="10" s="1"/>
  <c r="CY310" i="10"/>
  <c r="CY304" i="10"/>
  <c r="CZ262" i="10" l="1"/>
  <c r="CZ263" i="10" s="1"/>
  <c r="CY313" i="10"/>
  <c r="CY312" i="10"/>
  <c r="CY311" i="10"/>
  <c r="CZ293" i="10"/>
  <c r="CZ306" i="10" l="1"/>
  <c r="CZ272" i="10"/>
  <c r="CY317" i="10"/>
  <c r="CY320" i="10"/>
  <c r="CY321" i="10" s="1"/>
  <c r="CZ297" i="10" l="1"/>
  <c r="CZ277" i="10"/>
  <c r="CZ276" i="10"/>
  <c r="CZ300" i="10" l="1"/>
  <c r="CZ299" i="10"/>
  <c r="CZ318" i="10"/>
  <c r="CZ319" i="10" s="1"/>
  <c r="CZ305" i="10" l="1"/>
  <c r="CZ309" i="10" s="1"/>
  <c r="CZ303" i="10"/>
  <c r="CZ301" i="10"/>
  <c r="CZ302" i="10"/>
  <c r="DA296" i="10" l="1"/>
  <c r="DA261" i="10" s="1"/>
  <c r="CZ310" i="10"/>
  <c r="CZ304" i="10"/>
  <c r="DA262" i="10" l="1"/>
  <c r="DA263" i="10" s="1"/>
  <c r="CZ311" i="10"/>
  <c r="CZ312" i="10"/>
  <c r="CZ313" i="10"/>
  <c r="DA293" i="10"/>
  <c r="DA306" i="10" l="1"/>
  <c r="DA272" i="10"/>
  <c r="CZ320" i="10"/>
  <c r="CZ321" i="10" s="1"/>
  <c r="CZ317" i="10"/>
  <c r="DA297" i="10" l="1"/>
  <c r="DA277" i="10"/>
  <c r="DA276" i="10"/>
  <c r="DA300" i="10" l="1"/>
  <c r="DA299" i="10"/>
  <c r="DA318" i="10"/>
  <c r="DA305" i="10" l="1"/>
  <c r="DA309" i="10" s="1"/>
  <c r="DA303" i="10"/>
  <c r="DA301" i="10"/>
  <c r="DA302" i="10"/>
  <c r="DA319" i="10"/>
  <c r="DB296" i="10" l="1"/>
  <c r="DB261" i="10" s="1"/>
  <c r="DA310" i="10"/>
  <c r="DA304" i="10"/>
  <c r="DB262" i="10" l="1"/>
  <c r="DB263" i="10" s="1"/>
  <c r="DA311" i="10"/>
  <c r="DA313" i="10"/>
  <c r="DA312" i="10"/>
  <c r="DB293" i="10"/>
  <c r="DB306" i="10" l="1"/>
  <c r="DB272" i="10"/>
  <c r="DA320" i="10"/>
  <c r="DA321" i="10" s="1"/>
  <c r="DA317" i="10"/>
  <c r="DB297" i="10" l="1"/>
  <c r="DB277" i="10"/>
  <c r="DB276" i="10"/>
  <c r="DB300" i="10" l="1"/>
  <c r="DB299" i="10"/>
  <c r="DB318" i="10"/>
  <c r="DB305" i="10" l="1"/>
  <c r="DB309" i="10" s="1"/>
  <c r="DB303" i="10"/>
  <c r="DB301" i="10"/>
  <c r="DB302" i="10"/>
  <c r="DB319" i="10"/>
  <c r="DC296" i="10" l="1"/>
  <c r="DC261" i="10" s="1"/>
  <c r="DB310" i="10"/>
  <c r="DB304" i="10"/>
  <c r="DC262" i="10" l="1"/>
  <c r="DC263" i="10" s="1"/>
  <c r="DB311" i="10"/>
  <c r="DB313" i="10"/>
  <c r="DB312" i="10"/>
  <c r="DC293" i="10"/>
  <c r="DC306" i="10" l="1"/>
  <c r="DC272" i="10"/>
  <c r="DB320" i="10"/>
  <c r="DB321" i="10" s="1"/>
  <c r="DB317" i="10"/>
  <c r="DC297" i="10" l="1"/>
  <c r="DC277" i="10"/>
  <c r="DC276" i="10"/>
  <c r="DC300" i="10" l="1"/>
  <c r="DC299" i="10"/>
  <c r="DC318" i="10"/>
  <c r="DC319" i="10" s="1"/>
  <c r="DC305" i="10" l="1"/>
  <c r="DC309" i="10" s="1"/>
  <c r="DC303" i="10"/>
  <c r="DC301" i="10"/>
  <c r="DC302" i="10"/>
  <c r="DD296" i="10" l="1"/>
  <c r="DD261" i="10" s="1"/>
  <c r="DC310" i="10"/>
  <c r="DC304" i="10"/>
  <c r="DD262" i="10" l="1"/>
  <c r="DD263" i="10" s="1"/>
  <c r="DC311" i="10"/>
  <c r="DC313" i="10"/>
  <c r="DC312" i="10"/>
  <c r="DD293" i="10"/>
  <c r="DD306" i="10" l="1"/>
  <c r="DD272" i="10"/>
  <c r="DC320" i="10"/>
  <c r="DC321" i="10" s="1"/>
  <c r="DC317" i="10"/>
  <c r="DD297" i="10" l="1"/>
  <c r="DD277" i="10"/>
  <c r="DD276" i="10"/>
  <c r="DD300" i="10" l="1"/>
  <c r="DD299" i="10"/>
  <c r="DD318" i="10"/>
  <c r="DD319" i="10" s="1"/>
  <c r="DD305" i="10" l="1"/>
  <c r="DD309" i="10" s="1"/>
  <c r="DD303" i="10"/>
  <c r="DD301" i="10"/>
  <c r="DD302" i="10"/>
  <c r="DE296" i="10" l="1"/>
  <c r="DE261" i="10" s="1"/>
  <c r="DD310" i="10"/>
  <c r="DD304" i="10"/>
  <c r="DE262" i="10" l="1"/>
  <c r="DE263" i="10" s="1"/>
  <c r="DD311" i="10"/>
  <c r="DD313" i="10"/>
  <c r="DD312" i="10"/>
  <c r="DE293" i="10"/>
  <c r="DE306" i="10" l="1"/>
  <c r="DE272" i="10"/>
  <c r="DD320" i="10"/>
  <c r="DD321" i="10" s="1"/>
  <c r="DD317" i="10"/>
  <c r="DE297" i="10" l="1"/>
  <c r="DE277" i="10"/>
  <c r="DE276" i="10"/>
  <c r="DE300" i="10" l="1"/>
  <c r="DE299" i="10"/>
  <c r="DE318" i="10"/>
  <c r="DE305" i="10" l="1"/>
  <c r="DE309" i="10" s="1"/>
  <c r="DE303" i="10"/>
  <c r="DE301" i="10"/>
  <c r="DE302" i="10"/>
  <c r="DE319" i="10"/>
  <c r="DF296" i="10" l="1"/>
  <c r="DF261" i="10" s="1"/>
  <c r="DE310" i="10"/>
  <c r="DE304" i="10"/>
  <c r="DF262" i="10" l="1"/>
  <c r="DF263" i="10" s="1"/>
  <c r="DE311" i="10"/>
  <c r="DE313" i="10"/>
  <c r="DE312" i="10"/>
  <c r="DF293" i="10"/>
  <c r="DF306" i="10" l="1"/>
  <c r="DF272" i="10"/>
  <c r="DE320" i="10"/>
  <c r="DE321" i="10" s="1"/>
  <c r="DE317" i="10"/>
  <c r="DF297" i="10" l="1"/>
  <c r="DF277" i="10"/>
  <c r="DF276" i="10"/>
  <c r="DF300" i="10" l="1"/>
  <c r="DF299" i="10"/>
  <c r="DF318" i="10"/>
  <c r="DF319" i="10" s="1"/>
  <c r="DF305" i="10" l="1"/>
  <c r="DF309" i="10" s="1"/>
  <c r="DF303" i="10"/>
  <c r="DF301" i="10"/>
  <c r="DF302" i="10"/>
  <c r="DG296" i="10" l="1"/>
  <c r="DG261" i="10" s="1"/>
  <c r="DF310" i="10"/>
  <c r="DF304" i="10"/>
  <c r="DG262" i="10" l="1"/>
  <c r="DG263" i="10" s="1"/>
  <c r="DF311" i="10"/>
  <c r="DF313" i="10"/>
  <c r="DF312" i="10"/>
  <c r="DG293" i="10"/>
  <c r="DG306" i="10" l="1"/>
  <c r="DG272" i="10"/>
  <c r="DF320" i="10"/>
  <c r="DF321" i="10" s="1"/>
  <c r="DF317" i="10"/>
  <c r="DG297" i="10" l="1"/>
  <c r="DG277" i="10"/>
  <c r="DG276" i="10"/>
  <c r="DG300" i="10" l="1"/>
  <c r="DG299" i="10"/>
  <c r="DG318" i="10"/>
  <c r="DG319" i="10" s="1"/>
  <c r="DG305" i="10" l="1"/>
  <c r="DG309" i="10" s="1"/>
  <c r="DG303" i="10"/>
  <c r="DG301" i="10"/>
  <c r="DG302" i="10"/>
  <c r="DH296" i="10" l="1"/>
  <c r="DH261" i="10" s="1"/>
  <c r="DG310" i="10"/>
  <c r="DG304" i="10"/>
  <c r="DH262" i="10" l="1"/>
  <c r="DH263" i="10" s="1"/>
  <c r="DG311" i="10"/>
  <c r="DG313" i="10"/>
  <c r="DG312" i="10"/>
  <c r="DH293" i="10"/>
  <c r="DH306" i="10" l="1"/>
  <c r="DH272" i="10"/>
  <c r="DG320" i="10"/>
  <c r="DG321" i="10" s="1"/>
  <c r="DG317" i="10"/>
  <c r="DH297" i="10" l="1"/>
  <c r="DH277" i="10"/>
  <c r="DH276" i="10"/>
  <c r="DH300" i="10" l="1"/>
  <c r="DH299" i="10"/>
  <c r="DH318" i="10"/>
  <c r="DH305" i="10" l="1"/>
  <c r="DH309" i="10" s="1"/>
  <c r="DH303" i="10"/>
  <c r="DH301" i="10"/>
  <c r="DH302" i="10"/>
  <c r="DH319" i="10"/>
  <c r="DI296" i="10" l="1"/>
  <c r="DI261" i="10" s="1"/>
  <c r="DH310" i="10"/>
  <c r="DH304" i="10"/>
  <c r="DI262" i="10" l="1"/>
  <c r="DI263" i="10" s="1"/>
  <c r="DH311" i="10"/>
  <c r="DH313" i="10"/>
  <c r="DH312" i="10"/>
  <c r="DI293" i="10"/>
  <c r="DI306" i="10" l="1"/>
  <c r="DJ307" i="10" s="1"/>
  <c r="DK307" i="10" s="1"/>
  <c r="DL307" i="10" s="1"/>
  <c r="DM307" i="10" s="1"/>
  <c r="DI272" i="10"/>
  <c r="DH320" i="10"/>
  <c r="DH321" i="10" s="1"/>
  <c r="DH317" i="10"/>
  <c r="DM308" i="10" l="1"/>
  <c r="DN307" i="10"/>
  <c r="DO307" i="10" s="1"/>
  <c r="DP307" i="10" s="1"/>
  <c r="DQ307" i="10" s="1"/>
  <c r="DR307" i="10" s="1"/>
  <c r="DS307" i="10" s="1"/>
  <c r="DT307" i="10" s="1"/>
  <c r="DU307" i="10" s="1"/>
  <c r="DI297" i="10"/>
  <c r="DI277" i="10"/>
  <c r="DI276" i="10"/>
  <c r="DI300" i="10" l="1"/>
  <c r="DI299" i="10"/>
  <c r="DI318" i="10"/>
  <c r="DI319" i="10" s="1"/>
  <c r="DI305" i="10" l="1"/>
  <c r="DI309" i="10" s="1"/>
  <c r="DI303" i="10"/>
  <c r="DI301" i="10"/>
  <c r="DI302" i="10"/>
  <c r="L63" i="12" l="1"/>
  <c r="DJ296" i="10"/>
  <c r="DJ261" i="10" s="1"/>
  <c r="DI310" i="10"/>
  <c r="DI304" i="10"/>
  <c r="DJ262" i="10" l="1"/>
  <c r="DJ263" i="10" s="1"/>
  <c r="DI311" i="10"/>
  <c r="DI313" i="10"/>
  <c r="L61" i="12"/>
  <c r="L152" i="12" s="1"/>
  <c r="DI312" i="10"/>
  <c r="L62" i="12"/>
  <c r="DJ293" i="10"/>
  <c r="DJ306" i="10" l="1"/>
  <c r="DJ272" i="10"/>
  <c r="DI320" i="10"/>
  <c r="DI321" i="10" s="1"/>
  <c r="DI317" i="10"/>
  <c r="DJ297" i="10" l="1"/>
  <c r="DJ277" i="10"/>
  <c r="DJ276" i="10"/>
  <c r="DJ300" i="10" l="1"/>
  <c r="DJ299" i="10"/>
  <c r="DJ318" i="10"/>
  <c r="DJ305" i="10" l="1"/>
  <c r="DJ309" i="10" s="1"/>
  <c r="DJ303" i="10"/>
  <c r="DJ301" i="10"/>
  <c r="DJ302" i="10"/>
  <c r="DJ319" i="10"/>
  <c r="DK296" i="10" l="1"/>
  <c r="DK261" i="10" s="1"/>
  <c r="DJ310" i="10"/>
  <c r="DJ304" i="10"/>
  <c r="DK262" i="10" l="1"/>
  <c r="DK263" i="10" s="1"/>
  <c r="DJ313" i="10"/>
  <c r="DJ311" i="10"/>
  <c r="DJ312" i="10"/>
  <c r="DK293" i="10"/>
  <c r="DK306" i="10" l="1"/>
  <c r="DK272" i="10"/>
  <c r="DJ317" i="10"/>
  <c r="DJ320" i="10"/>
  <c r="DJ321" i="10" s="1"/>
  <c r="DK297" i="10" l="1"/>
  <c r="DK277" i="10"/>
  <c r="DK276" i="10"/>
  <c r="DK300" i="10" l="1"/>
  <c r="DK299" i="10"/>
  <c r="DK318" i="10"/>
  <c r="DK319" i="10" s="1"/>
  <c r="DK305" i="10" l="1"/>
  <c r="DK309" i="10" s="1"/>
  <c r="DK303" i="10"/>
  <c r="DK301" i="10"/>
  <c r="DK302" i="10"/>
  <c r="DL296" i="10" l="1"/>
  <c r="DL261" i="10" s="1"/>
  <c r="DK310" i="10"/>
  <c r="DK304" i="10"/>
  <c r="DL262" i="10" l="1"/>
  <c r="DL263" i="10" s="1"/>
  <c r="DK311" i="10"/>
  <c r="DK313" i="10"/>
  <c r="DK312" i="10"/>
  <c r="DL293" i="10"/>
  <c r="DL306" i="10" l="1"/>
  <c r="DL272" i="10"/>
  <c r="DK320" i="10"/>
  <c r="DK321" i="10" s="1"/>
  <c r="DK317" i="10"/>
  <c r="DL297" i="10" l="1"/>
  <c r="DL277" i="10"/>
  <c r="DL276" i="10"/>
  <c r="DL300" i="10" l="1"/>
  <c r="DL299" i="10"/>
  <c r="DL318" i="10"/>
  <c r="DL305" i="10" l="1"/>
  <c r="DL309" i="10" s="1"/>
  <c r="DL303" i="10"/>
  <c r="DL301" i="10"/>
  <c r="DL302" i="10"/>
  <c r="DL319" i="10"/>
  <c r="DM296" i="10" l="1"/>
  <c r="DM261" i="10" s="1"/>
  <c r="DL310" i="10"/>
  <c r="DL304" i="10"/>
  <c r="DM262" i="10" l="1"/>
  <c r="DM263" i="10" s="1"/>
  <c r="DL311" i="10"/>
  <c r="DL313" i="10"/>
  <c r="DL312" i="10"/>
  <c r="DM293" i="10"/>
  <c r="DM306" i="10" l="1"/>
  <c r="DM272" i="10"/>
  <c r="DL320" i="10"/>
  <c r="DL321" i="10" s="1"/>
  <c r="DL317" i="10"/>
  <c r="DM297" i="10" l="1"/>
  <c r="DM277" i="10"/>
  <c r="DM276" i="10"/>
  <c r="DM300" i="10" l="1"/>
  <c r="DM299" i="10"/>
  <c r="DM318" i="10"/>
  <c r="DM319" i="10" s="1"/>
  <c r="DM305" i="10" l="1"/>
  <c r="DM309" i="10" s="1"/>
  <c r="DM303" i="10"/>
  <c r="DM301" i="10"/>
  <c r="DM302" i="10"/>
  <c r="DN296" i="10" l="1"/>
  <c r="DN261" i="10" s="1"/>
  <c r="DM310" i="10"/>
  <c r="DM304" i="10"/>
  <c r="DN262" i="10" l="1"/>
  <c r="DN263" i="10" s="1"/>
  <c r="DM311" i="10"/>
  <c r="DM313" i="10"/>
  <c r="DM312" i="10"/>
  <c r="DN293" i="10"/>
  <c r="DN306" i="10" l="1"/>
  <c r="DN272" i="10"/>
  <c r="DM320" i="10"/>
  <c r="DM321" i="10" s="1"/>
  <c r="DM317" i="10"/>
  <c r="DN297" i="10" l="1"/>
  <c r="DN277" i="10"/>
  <c r="DN276" i="10"/>
  <c r="DN300" i="10" l="1"/>
  <c r="DN299" i="10"/>
  <c r="DN318" i="10"/>
  <c r="DN305" i="10" l="1"/>
  <c r="DN309" i="10" s="1"/>
  <c r="DN303" i="10"/>
  <c r="DN301" i="10"/>
  <c r="DN302" i="10"/>
  <c r="DN319" i="10"/>
  <c r="DO296" i="10" l="1"/>
  <c r="DO261" i="10" s="1"/>
  <c r="DN310" i="10"/>
  <c r="DN304" i="10"/>
  <c r="DO262" i="10" l="1"/>
  <c r="DO263" i="10" s="1"/>
  <c r="DN313" i="10"/>
  <c r="DN311" i="10"/>
  <c r="DN312" i="10"/>
  <c r="DO293" i="10"/>
  <c r="DO306" i="10" l="1"/>
  <c r="DO272" i="10"/>
  <c r="DN317" i="10"/>
  <c r="DN320" i="10"/>
  <c r="DN321" i="10" s="1"/>
  <c r="DO297" i="10" l="1"/>
  <c r="DO277" i="10"/>
  <c r="DO276" i="10"/>
  <c r="DO300" i="10" l="1"/>
  <c r="DO299" i="10"/>
  <c r="DO318" i="10"/>
  <c r="DO319" i="10" s="1"/>
  <c r="DO305" i="10" l="1"/>
  <c r="DO309" i="10" s="1"/>
  <c r="DO303" i="10"/>
  <c r="DO301" i="10"/>
  <c r="DO302" i="10"/>
  <c r="DP296" i="10" l="1"/>
  <c r="DP261" i="10" s="1"/>
  <c r="DO310" i="10"/>
  <c r="DO304" i="10"/>
  <c r="DP262" i="10" l="1"/>
  <c r="DP263" i="10" s="1"/>
  <c r="DO311" i="10"/>
  <c r="DO313" i="10"/>
  <c r="DO312" i="10"/>
  <c r="DP293" i="10"/>
  <c r="DP306" i="10" l="1"/>
  <c r="DP272" i="10"/>
  <c r="DO320" i="10"/>
  <c r="DO321" i="10" s="1"/>
  <c r="DO317" i="10"/>
  <c r="DP297" i="10" l="1"/>
  <c r="DP277" i="10"/>
  <c r="DP276" i="10"/>
  <c r="DP300" i="10" l="1"/>
  <c r="DP299" i="10"/>
  <c r="DP318" i="10"/>
  <c r="DP305" i="10" l="1"/>
  <c r="DP309" i="10" s="1"/>
  <c r="DP303" i="10"/>
  <c r="DP301" i="10"/>
  <c r="DP302" i="10"/>
  <c r="DP319" i="10"/>
  <c r="DQ296" i="10" l="1"/>
  <c r="DQ261" i="10" s="1"/>
  <c r="DP310" i="10"/>
  <c r="DP304" i="10"/>
  <c r="DQ262" i="10" l="1"/>
  <c r="DQ263" i="10" s="1"/>
  <c r="DP311" i="10"/>
  <c r="DP313" i="10"/>
  <c r="DP312" i="10"/>
  <c r="DQ293" i="10"/>
  <c r="DQ306" i="10" l="1"/>
  <c r="DQ272" i="10"/>
  <c r="DP320" i="10"/>
  <c r="DP321" i="10" s="1"/>
  <c r="DP317" i="10"/>
  <c r="DQ297" i="10" l="1"/>
  <c r="DQ277" i="10"/>
  <c r="DQ276" i="10"/>
  <c r="DQ300" i="10" l="1"/>
  <c r="DQ299" i="10"/>
  <c r="DQ318" i="10"/>
  <c r="DQ319" i="10" s="1"/>
  <c r="DQ305" i="10" l="1"/>
  <c r="DQ309" i="10" s="1"/>
  <c r="DQ303" i="10"/>
  <c r="DQ301" i="10"/>
  <c r="DQ302" i="10"/>
  <c r="DR296" i="10" l="1"/>
  <c r="DR261" i="10" s="1"/>
  <c r="DQ310" i="10"/>
  <c r="DQ304" i="10"/>
  <c r="DR262" i="10" l="1"/>
  <c r="DR263" i="10" s="1"/>
  <c r="DQ311" i="10"/>
  <c r="DQ313" i="10"/>
  <c r="DQ312" i="10"/>
  <c r="DR293" i="10"/>
  <c r="DR306" i="10" l="1"/>
  <c r="DR272" i="10"/>
  <c r="DQ320" i="10"/>
  <c r="DQ321" i="10" s="1"/>
  <c r="DQ317" i="10"/>
  <c r="DR297" i="10" l="1"/>
  <c r="DR277" i="10"/>
  <c r="DR276" i="10"/>
  <c r="DR300" i="10" l="1"/>
  <c r="DR299" i="10"/>
  <c r="DR318" i="10"/>
  <c r="DR319" i="10" s="1"/>
  <c r="DR305" i="10" l="1"/>
  <c r="DR309" i="10" s="1"/>
  <c r="DR303" i="10"/>
  <c r="DR301" i="10"/>
  <c r="DR302" i="10"/>
  <c r="DS296" i="10" l="1"/>
  <c r="DS261" i="10" s="1"/>
  <c r="DR310" i="10"/>
  <c r="DR304" i="10"/>
  <c r="DS262" i="10" l="1"/>
  <c r="DS263" i="10" s="1"/>
  <c r="DR313" i="10"/>
  <c r="DR312" i="10"/>
  <c r="DR311" i="10"/>
  <c r="DS293" i="10"/>
  <c r="DS306" i="10" l="1"/>
  <c r="DS272" i="10"/>
  <c r="DR317" i="10"/>
  <c r="DR320" i="10"/>
  <c r="DR321" i="10" s="1"/>
  <c r="DS297" i="10" l="1"/>
  <c r="DS277" i="10"/>
  <c r="DS276" i="10"/>
  <c r="DS300" i="10" l="1"/>
  <c r="DS299" i="10"/>
  <c r="DS318" i="10"/>
  <c r="DS305" i="10" l="1"/>
  <c r="DS309" i="10" s="1"/>
  <c r="DS303" i="10"/>
  <c r="DS301" i="10"/>
  <c r="DS302" i="10"/>
  <c r="DS319" i="10"/>
  <c r="DT296" i="10" l="1"/>
  <c r="DT261" i="10" s="1"/>
  <c r="DS310" i="10"/>
  <c r="DS304" i="10"/>
  <c r="DT262" i="10" l="1"/>
  <c r="DT263" i="10" s="1"/>
  <c r="DS311" i="10"/>
  <c r="DS313" i="10"/>
  <c r="DS312" i="10"/>
  <c r="DT293" i="10"/>
  <c r="DT306" i="10" l="1"/>
  <c r="DT272" i="10"/>
  <c r="DS320" i="10"/>
  <c r="DS321" i="10" s="1"/>
  <c r="DS317" i="10"/>
  <c r="DT297" i="10" l="1"/>
  <c r="DT277" i="10"/>
  <c r="DT276" i="10"/>
  <c r="DT300" i="10" l="1"/>
  <c r="DT299" i="10"/>
  <c r="DT318" i="10"/>
  <c r="DT319" i="10" s="1"/>
  <c r="DT305" i="10" l="1"/>
  <c r="DT309" i="10" s="1"/>
  <c r="DT303" i="10"/>
  <c r="DT301" i="10"/>
  <c r="DT302" i="10"/>
  <c r="DU296" i="10" l="1"/>
  <c r="DU261" i="10" s="1"/>
  <c r="DT310" i="10"/>
  <c r="DT304" i="10"/>
  <c r="DU262" i="10" l="1"/>
  <c r="DU263" i="10" s="1"/>
  <c r="DT311" i="10"/>
  <c r="DT313" i="10"/>
  <c r="DT312" i="10"/>
  <c r="DU293" i="10"/>
  <c r="DU306" i="10" l="1"/>
  <c r="DV307" i="10" s="1"/>
  <c r="DW307" i="10" s="1"/>
  <c r="DX307" i="10" s="1"/>
  <c r="DY307" i="10" s="1"/>
  <c r="DU272" i="10"/>
  <c r="DT320" i="10"/>
  <c r="DT321" i="10" s="1"/>
  <c r="DT317" i="10"/>
  <c r="DY308" i="10" l="1"/>
  <c r="DZ307" i="10"/>
  <c r="EA307" i="10" s="1"/>
  <c r="EB307" i="10" s="1"/>
  <c r="EC307" i="10" s="1"/>
  <c r="ED307" i="10" s="1"/>
  <c r="EE307" i="10" s="1"/>
  <c r="EF307" i="10" s="1"/>
  <c r="EG307" i="10" s="1"/>
  <c r="DU297" i="10"/>
  <c r="DU277" i="10"/>
  <c r="DU276" i="10"/>
  <c r="DU300" i="10" l="1"/>
  <c r="DU299" i="10"/>
  <c r="DU318" i="10"/>
  <c r="DU305" i="10" l="1"/>
  <c r="DU309" i="10" s="1"/>
  <c r="DU303" i="10"/>
  <c r="DU301" i="10"/>
  <c r="DU302" i="10"/>
  <c r="E299" i="10"/>
  <c r="E318" i="10"/>
  <c r="DU319" i="10"/>
  <c r="M63" i="12" l="1"/>
  <c r="DV296" i="10"/>
  <c r="DV261" i="10" s="1"/>
  <c r="DV300" i="10"/>
  <c r="C63" i="12"/>
  <c r="DU310" i="10"/>
  <c r="DU304" i="10"/>
  <c r="E302" i="10"/>
  <c r="M57" i="12"/>
  <c r="L57" i="12"/>
  <c r="K57" i="12"/>
  <c r="J57" i="12"/>
  <c r="I57" i="12"/>
  <c r="H57" i="12"/>
  <c r="G57" i="12"/>
  <c r="F57" i="12"/>
  <c r="E57" i="12"/>
  <c r="D57" i="12"/>
  <c r="DV262" i="10" l="1"/>
  <c r="DV263" i="10" s="1"/>
  <c r="DV301" i="10"/>
  <c r="C61" i="12"/>
  <c r="C152" i="12" s="1"/>
  <c r="DU311" i="10"/>
  <c r="DU313" i="10"/>
  <c r="M61" i="12"/>
  <c r="M152" i="12" s="1"/>
  <c r="DU312" i="10"/>
  <c r="DV293" i="10"/>
  <c r="M62" i="12"/>
  <c r="C62" i="12"/>
  <c r="C57" i="12"/>
  <c r="DV306" i="10" l="1"/>
  <c r="DV272" i="10"/>
  <c r="DW296" i="10"/>
  <c r="DW261" i="10" s="1"/>
  <c r="DW300" i="10"/>
  <c r="DU320" i="10"/>
  <c r="DU317" i="10"/>
  <c r="DV303" i="10"/>
  <c r="DV297" i="10" l="1"/>
  <c r="DV277" i="10"/>
  <c r="DV276" i="10"/>
  <c r="DW262" i="10"/>
  <c r="DW301" i="10"/>
  <c r="E320" i="10"/>
  <c r="DU321" i="10"/>
  <c r="DV304" i="10"/>
  <c r="DV305" i="10" l="1"/>
  <c r="DV318" i="10"/>
  <c r="DW272" i="10"/>
  <c r="DW277" i="10" s="1"/>
  <c r="DW263" i="10"/>
  <c r="DX296" i="10"/>
  <c r="DX261" i="10" s="1"/>
  <c r="DX300" i="10"/>
  <c r="DW293" i="10"/>
  <c r="DV309" i="10" l="1"/>
  <c r="DV319" i="10"/>
  <c r="DW276" i="10"/>
  <c r="DW318" i="10" s="1"/>
  <c r="DW306" i="10"/>
  <c r="DX262" i="10"/>
  <c r="DX263" i="10" s="1"/>
  <c r="DX301" i="10"/>
  <c r="DW303" i="10"/>
  <c r="DV310" i="10" l="1"/>
  <c r="DX272" i="10"/>
  <c r="DY296" i="10"/>
  <c r="DY261" i="10" s="1"/>
  <c r="DY300" i="10"/>
  <c r="DW304" i="10"/>
  <c r="DX306" i="10"/>
  <c r="DW319" i="10"/>
  <c r="DV311" i="10" l="1"/>
  <c r="DV313" i="10"/>
  <c r="DW297" i="10"/>
  <c r="DV312" i="10"/>
  <c r="DX277" i="10"/>
  <c r="DX276" i="10"/>
  <c r="DY262" i="10"/>
  <c r="DY301" i="10"/>
  <c r="DX293" i="10"/>
  <c r="DV320" i="10" l="1"/>
  <c r="DV321" i="10" s="1"/>
  <c r="DV317" i="10"/>
  <c r="DW305" i="10"/>
  <c r="DX318" i="10"/>
  <c r="DY272" i="10"/>
  <c r="DY277" i="10" s="1"/>
  <c r="DY263" i="10"/>
  <c r="DZ296" i="10"/>
  <c r="DZ261" i="10" s="1"/>
  <c r="DZ300" i="10"/>
  <c r="DX303" i="10"/>
  <c r="DW309" i="10" l="1"/>
  <c r="DX319" i="10"/>
  <c r="DY276" i="10"/>
  <c r="DY318" i="10" s="1"/>
  <c r="DY306" i="10"/>
  <c r="DZ262" i="10"/>
  <c r="DZ301" i="10"/>
  <c r="DX304" i="10"/>
  <c r="DW310" i="10" l="1"/>
  <c r="DY319" i="10"/>
  <c r="DZ272" i="10"/>
  <c r="DZ263" i="10"/>
  <c r="EA300" i="10"/>
  <c r="EA296" i="10"/>
  <c r="EA261" i="10" s="1"/>
  <c r="DY293" i="10"/>
  <c r="DW312" i="10" l="1"/>
  <c r="DW311" i="10"/>
  <c r="DW313" i="10"/>
  <c r="DX297" i="10"/>
  <c r="DZ277" i="10"/>
  <c r="DZ276" i="10"/>
  <c r="DZ306" i="10"/>
  <c r="EA301" i="10"/>
  <c r="EA262" i="10"/>
  <c r="DY303" i="10"/>
  <c r="DW320" i="10" l="1"/>
  <c r="DW321" i="10" s="1"/>
  <c r="DW317" i="10"/>
  <c r="DX305" i="10"/>
  <c r="DZ318" i="10"/>
  <c r="EB296" i="10"/>
  <c r="EB261" i="10" s="1"/>
  <c r="EB300" i="10"/>
  <c r="EA272" i="10"/>
  <c r="EA277" i="10" s="1"/>
  <c r="EA263" i="10"/>
  <c r="DY304" i="10"/>
  <c r="DX309" i="10" l="1"/>
  <c r="DZ319" i="10"/>
  <c r="EB262" i="10"/>
  <c r="EB263" i="10" s="1"/>
  <c r="EB301" i="10"/>
  <c r="EA276" i="10"/>
  <c r="EA318" i="10" s="1"/>
  <c r="EA306" i="10"/>
  <c r="DZ293" i="10"/>
  <c r="DX310" i="10" l="1"/>
  <c r="EA319" i="10"/>
  <c r="EB272" i="10"/>
  <c r="EC296" i="10"/>
  <c r="EC261" i="10" s="1"/>
  <c r="EC300" i="10"/>
  <c r="DZ303" i="10"/>
  <c r="EB306" i="10"/>
  <c r="DX311" i="10" l="1"/>
  <c r="DX313" i="10"/>
  <c r="DY297" i="10"/>
  <c r="DX312" i="10"/>
  <c r="EB277" i="10"/>
  <c r="EB276" i="10"/>
  <c r="EC262" i="10"/>
  <c r="EC301" i="10"/>
  <c r="DZ304" i="10"/>
  <c r="DX320" i="10" l="1"/>
  <c r="DX321" i="10" s="1"/>
  <c r="DX317" i="10"/>
  <c r="DY305" i="10"/>
  <c r="EB318" i="10"/>
  <c r="EC272" i="10"/>
  <c r="EC277" i="10" s="1"/>
  <c r="EC263" i="10"/>
  <c r="ED300" i="10"/>
  <c r="ED296" i="10"/>
  <c r="ED261" i="10" s="1"/>
  <c r="EA293" i="10"/>
  <c r="DY309" i="10" l="1"/>
  <c r="EB319" i="10"/>
  <c r="EC276" i="10"/>
  <c r="EC318" i="10" s="1"/>
  <c r="EC306" i="10"/>
  <c r="ED301" i="10"/>
  <c r="ED262" i="10"/>
  <c r="ED263" i="10" s="1"/>
  <c r="EA303" i="10"/>
  <c r="DY310" i="10" l="1"/>
  <c r="EC319" i="10"/>
  <c r="EE296" i="10"/>
  <c r="EE261" i="10" s="1"/>
  <c r="EE300" i="10"/>
  <c r="ED272" i="10"/>
  <c r="EA304" i="10"/>
  <c r="ED306" i="10"/>
  <c r="DY311" i="10" l="1"/>
  <c r="DY313" i="10"/>
  <c r="DZ297" i="10"/>
  <c r="DY312" i="10"/>
  <c r="EE262" i="10"/>
  <c r="EE301" i="10"/>
  <c r="ED277" i="10"/>
  <c r="ED276" i="10"/>
  <c r="EB293" i="10"/>
  <c r="DY320" i="10" l="1"/>
  <c r="DY321" i="10" s="1"/>
  <c r="DY317" i="10"/>
  <c r="DZ305" i="10"/>
  <c r="EE272" i="10"/>
  <c r="EE277" i="10" s="1"/>
  <c r="EE263" i="10"/>
  <c r="EF296" i="10"/>
  <c r="EF261" i="10" s="1"/>
  <c r="EF300" i="10"/>
  <c r="ED318" i="10"/>
  <c r="EB303" i="10"/>
  <c r="DZ309" i="10" l="1"/>
  <c r="EE276" i="10"/>
  <c r="EE318" i="10" s="1"/>
  <c r="EE306" i="10"/>
  <c r="EF262" i="10"/>
  <c r="EF263" i="10" s="1"/>
  <c r="EF301" i="10"/>
  <c r="ED319" i="10"/>
  <c r="EB304" i="10"/>
  <c r="EF306" i="10" l="1"/>
  <c r="DZ310" i="10"/>
  <c r="EF272" i="10"/>
  <c r="EG296" i="10"/>
  <c r="EG261" i="10" s="1"/>
  <c r="EG300" i="10"/>
  <c r="EE319" i="10"/>
  <c r="EC293" i="10"/>
  <c r="DZ311" i="10" l="1"/>
  <c r="DZ313" i="10"/>
  <c r="EA297" i="10"/>
  <c r="DZ312" i="10"/>
  <c r="EF277" i="10"/>
  <c r="EF276" i="10"/>
  <c r="EG262" i="10"/>
  <c r="EG263" i="10" s="1"/>
  <c r="N50" i="12"/>
  <c r="EG301" i="10"/>
  <c r="EC303" i="10"/>
  <c r="DZ320" i="10" l="1"/>
  <c r="DZ321" i="10" s="1"/>
  <c r="DZ317" i="10"/>
  <c r="EA305" i="10"/>
  <c r="EF318" i="10"/>
  <c r="EG306" i="10"/>
  <c r="EH307" i="10" s="1"/>
  <c r="EI307" i="10" s="1"/>
  <c r="EJ307" i="10" s="1"/>
  <c r="EK307" i="10" s="1"/>
  <c r="EG272" i="10"/>
  <c r="EG277" i="10" s="1"/>
  <c r="N51" i="12"/>
  <c r="N63" i="12"/>
  <c r="EH296" i="10"/>
  <c r="EH261" i="10" s="1"/>
  <c r="EH300" i="10"/>
  <c r="EC304" i="10"/>
  <c r="EA309" i="10" l="1"/>
  <c r="EF319" i="10"/>
  <c r="EL307" i="10"/>
  <c r="EM307" i="10" s="1"/>
  <c r="EN307" i="10" s="1"/>
  <c r="EO307" i="10" s="1"/>
  <c r="EP307" i="10" s="1"/>
  <c r="EQ307" i="10" s="1"/>
  <c r="ER307" i="10" s="1"/>
  <c r="ES307" i="10" s="1"/>
  <c r="EK308" i="10"/>
  <c r="E308" i="10" s="1"/>
  <c r="EG276" i="10"/>
  <c r="EG318" i="10" s="1"/>
  <c r="EH262" i="10"/>
  <c r="EH301" i="10"/>
  <c r="ED293" i="10"/>
  <c r="EA310" i="10" l="1"/>
  <c r="EG319" i="10"/>
  <c r="EH272" i="10"/>
  <c r="EH263" i="10"/>
  <c r="EI300" i="10"/>
  <c r="EI296" i="10"/>
  <c r="EI261" i="10" s="1"/>
  <c r="ED303" i="10"/>
  <c r="EB297" i="10" l="1"/>
  <c r="EA311" i="10"/>
  <c r="EA313" i="10"/>
  <c r="EA312" i="10"/>
  <c r="EH277" i="10"/>
  <c r="EH276" i="10"/>
  <c r="EH306" i="10"/>
  <c r="EI301" i="10"/>
  <c r="EI262" i="10"/>
  <c r="EI263" i="10" s="1"/>
  <c r="ED304" i="10"/>
  <c r="EB305" i="10" l="1"/>
  <c r="EA320" i="10"/>
  <c r="EA321" i="10" s="1"/>
  <c r="EA317" i="10"/>
  <c r="EH318" i="10"/>
  <c r="EJ296" i="10"/>
  <c r="EJ261" i="10" s="1"/>
  <c r="EJ300" i="10"/>
  <c r="EI272" i="10"/>
  <c r="EI277" i="10" s="1"/>
  <c r="EE293" i="10"/>
  <c r="EI306" i="10"/>
  <c r="EB309" i="10" l="1"/>
  <c r="EH319" i="10"/>
  <c r="EJ262" i="10"/>
  <c r="EJ263" i="10" s="1"/>
  <c r="EJ301" i="10"/>
  <c r="EI276" i="10"/>
  <c r="EI318" i="10" s="1"/>
  <c r="EE303" i="10"/>
  <c r="EB310" i="10" l="1"/>
  <c r="EI319" i="10"/>
  <c r="EJ306" i="10"/>
  <c r="EJ272" i="10"/>
  <c r="EK296" i="10"/>
  <c r="EK261" i="10" s="1"/>
  <c r="EK300" i="10"/>
  <c r="EE304" i="10"/>
  <c r="EB311" i="10" l="1"/>
  <c r="EB313" i="10"/>
  <c r="EC297" i="10"/>
  <c r="EB312" i="10"/>
  <c r="EJ277" i="10"/>
  <c r="EJ276" i="10"/>
  <c r="EK262" i="10"/>
  <c r="EK301" i="10"/>
  <c r="EF293" i="10"/>
  <c r="EB320" i="10" l="1"/>
  <c r="EB321" i="10" s="1"/>
  <c r="EB317" i="10"/>
  <c r="EC305" i="10"/>
  <c r="EJ318" i="10"/>
  <c r="EK272" i="10"/>
  <c r="EK277" i="10" s="1"/>
  <c r="EK263" i="10"/>
  <c r="EL296" i="10"/>
  <c r="EL261" i="10" s="1"/>
  <c r="EL300" i="10"/>
  <c r="EF303" i="10"/>
  <c r="EC309" i="10" l="1"/>
  <c r="EJ319" i="10"/>
  <c r="EK276" i="10"/>
  <c r="EK318" i="10" s="1"/>
  <c r="EK306" i="10"/>
  <c r="EL262" i="10"/>
  <c r="EL301" i="10"/>
  <c r="EF304" i="10"/>
  <c r="EC310" i="10" l="1"/>
  <c r="EK319" i="10"/>
  <c r="EL272" i="10"/>
  <c r="EL263" i="10"/>
  <c r="EM296" i="10"/>
  <c r="EM261" i="10" s="1"/>
  <c r="EM300" i="10"/>
  <c r="EG293" i="10"/>
  <c r="EC312" i="10" l="1"/>
  <c r="EC311" i="10"/>
  <c r="EC313" i="10"/>
  <c r="ED297" i="10"/>
  <c r="EL277" i="10"/>
  <c r="EL276" i="10"/>
  <c r="EL306" i="10"/>
  <c r="EM262" i="10"/>
  <c r="EM263" i="10" s="1"/>
  <c r="EM301" i="10"/>
  <c r="EG303" i="10"/>
  <c r="EC320" i="10" l="1"/>
  <c r="EC321" i="10" s="1"/>
  <c r="EC317" i="10"/>
  <c r="ED305" i="10"/>
  <c r="EL318" i="10"/>
  <c r="EM272" i="10"/>
  <c r="EM277" i="10" s="1"/>
  <c r="EN296" i="10"/>
  <c r="EN261" i="10" s="1"/>
  <c r="EN300" i="10"/>
  <c r="EG304" i="10"/>
  <c r="EM306" i="10"/>
  <c r="ED309" i="10" l="1"/>
  <c r="EL319" i="10"/>
  <c r="EM276" i="10"/>
  <c r="EM318" i="10" s="1"/>
  <c r="EN262" i="10"/>
  <c r="EN263" i="10" s="1"/>
  <c r="EN301" i="10"/>
  <c r="EH293" i="10"/>
  <c r="N62" i="12"/>
  <c r="ED310" i="10" l="1"/>
  <c r="EM319" i="10"/>
  <c r="EN306" i="10"/>
  <c r="EN272" i="10"/>
  <c r="EO296" i="10"/>
  <c r="EO261" i="10" s="1"/>
  <c r="EO300" i="10"/>
  <c r="EH303" i="10"/>
  <c r="ED312" i="10" l="1"/>
  <c r="ED311" i="10"/>
  <c r="ED313" i="10"/>
  <c r="EE297" i="10"/>
  <c r="EN277" i="10"/>
  <c r="EN276" i="10"/>
  <c r="EO262" i="10"/>
  <c r="EO263" i="10" s="1"/>
  <c r="EO301" i="10"/>
  <c r="EH304" i="10"/>
  <c r="ED320" i="10" l="1"/>
  <c r="ED321" i="10" s="1"/>
  <c r="ED317" i="10"/>
  <c r="EE305" i="10"/>
  <c r="EN318" i="10"/>
  <c r="EO306" i="10"/>
  <c r="EO272" i="10"/>
  <c r="EO277" i="10" s="1"/>
  <c r="EP296" i="10"/>
  <c r="EP261" i="10" s="1"/>
  <c r="EP300" i="10"/>
  <c r="EI293" i="10"/>
  <c r="EE309" i="10" l="1"/>
  <c r="EN319" i="10"/>
  <c r="EO276" i="10"/>
  <c r="EO318" i="10" s="1"/>
  <c r="EO319" i="10" s="1"/>
  <c r="EP262" i="10"/>
  <c r="EP263" i="10" s="1"/>
  <c r="EP301" i="10"/>
  <c r="EI303" i="10"/>
  <c r="EE310" i="10" l="1"/>
  <c r="EP306" i="10"/>
  <c r="EP272" i="10"/>
  <c r="EQ296" i="10"/>
  <c r="EQ261" i="10" s="1"/>
  <c r="EQ300" i="10"/>
  <c r="EI304" i="10"/>
  <c r="EE311" i="10" l="1"/>
  <c r="EE313" i="10"/>
  <c r="EF297" i="10"/>
  <c r="EE312" i="10"/>
  <c r="EP277" i="10"/>
  <c r="EP276" i="10"/>
  <c r="EQ262" i="10"/>
  <c r="EQ301" i="10"/>
  <c r="EJ293" i="10"/>
  <c r="EE320" i="10" l="1"/>
  <c r="EE321" i="10" s="1"/>
  <c r="EE317" i="10"/>
  <c r="EF305" i="10"/>
  <c r="EP318" i="10"/>
  <c r="EQ272" i="10"/>
  <c r="EQ277" i="10" s="1"/>
  <c r="EQ263" i="10"/>
  <c r="ER296" i="10"/>
  <c r="ER261" i="10" s="1"/>
  <c r="ER300" i="10"/>
  <c r="EJ303" i="10"/>
  <c r="EF309" i="10" l="1"/>
  <c r="EP319" i="10"/>
  <c r="EQ276" i="10"/>
  <c r="EQ318" i="10" s="1"/>
  <c r="EQ306" i="10"/>
  <c r="ER262" i="10"/>
  <c r="ER263" i="10" s="1"/>
  <c r="ER301" i="10"/>
  <c r="EJ304" i="10"/>
  <c r="EF310" i="10" l="1"/>
  <c r="EQ319" i="10"/>
  <c r="ER272" i="10"/>
  <c r="ES296" i="10"/>
  <c r="ES300" i="10"/>
  <c r="EK293" i="10"/>
  <c r="ER306" i="10"/>
  <c r="EF311" i="10" l="1"/>
  <c r="EF313" i="10"/>
  <c r="EG297" i="10"/>
  <c r="EF312" i="10"/>
  <c r="ER277" i="10"/>
  <c r="ER276" i="10"/>
  <c r="ES261" i="10"/>
  <c r="E296" i="10"/>
  <c r="EK303" i="10"/>
  <c r="E300" i="10"/>
  <c r="ES301" i="10"/>
  <c r="EF320" i="10" l="1"/>
  <c r="EF321" i="10" s="1"/>
  <c r="EF317" i="10"/>
  <c r="EG305" i="10"/>
  <c r="ER318" i="10"/>
  <c r="E261" i="10"/>
  <c r="D19" i="12" s="1"/>
  <c r="E19" i="12" s="1"/>
  <c r="O50" i="12"/>
  <c r="M50" i="12"/>
  <c r="L50" i="12"/>
  <c r="K50" i="12"/>
  <c r="J50" i="12"/>
  <c r="I50" i="12"/>
  <c r="I67" i="12" s="1"/>
  <c r="I68" i="12" s="1"/>
  <c r="ES262" i="10"/>
  <c r="ES263" i="10" s="1"/>
  <c r="H50" i="12"/>
  <c r="EK304" i="10"/>
  <c r="E301" i="10"/>
  <c r="D18" i="12" s="1"/>
  <c r="E18" i="12" s="1"/>
  <c r="O63" i="12"/>
  <c r="EG309" i="10" l="1"/>
  <c r="ER319" i="10"/>
  <c r="ES306" i="10"/>
  <c r="E263" i="10"/>
  <c r="D11" i="12" s="1"/>
  <c r="E11" i="12" s="1"/>
  <c r="O52" i="12"/>
  <c r="O149" i="12" s="1"/>
  <c r="N52" i="12"/>
  <c r="N149" i="12" s="1"/>
  <c r="M52" i="12"/>
  <c r="M149" i="12" s="1"/>
  <c r="L52" i="12"/>
  <c r="L149" i="12" s="1"/>
  <c r="K52" i="12"/>
  <c r="K149" i="12" s="1"/>
  <c r="J52" i="12"/>
  <c r="J149" i="12" s="1"/>
  <c r="I52" i="12"/>
  <c r="I149" i="12" s="1"/>
  <c r="H52" i="12"/>
  <c r="E262" i="10"/>
  <c r="O51" i="12"/>
  <c r="M51" i="12"/>
  <c r="L51" i="12"/>
  <c r="K51" i="12"/>
  <c r="J51" i="12"/>
  <c r="I51" i="12"/>
  <c r="ES272" i="10"/>
  <c r="H51" i="12"/>
  <c r="H67" i="12"/>
  <c r="C50" i="12"/>
  <c r="EL293" i="10"/>
  <c r="C51" i="12" l="1"/>
  <c r="EG310" i="10"/>
  <c r="C52" i="12"/>
  <c r="C149" i="12" s="1"/>
  <c r="H149" i="12"/>
  <c r="ES277" i="10"/>
  <c r="E272" i="10"/>
  <c r="O53" i="12"/>
  <c r="N53" i="12"/>
  <c r="M53" i="12"/>
  <c r="L53" i="12"/>
  <c r="K53" i="12"/>
  <c r="J53" i="12"/>
  <c r="I53" i="12"/>
  <c r="ES276" i="10"/>
  <c r="H53" i="12"/>
  <c r="H68" i="12" s="1"/>
  <c r="EL303" i="10"/>
  <c r="N61" i="12" l="1"/>
  <c r="N152" i="12" s="1"/>
  <c r="EG311" i="10"/>
  <c r="EG313" i="10"/>
  <c r="EH297" i="10"/>
  <c r="EG312" i="10"/>
  <c r="D13" i="12"/>
  <c r="E13" i="12" s="1"/>
  <c r="D14" i="12"/>
  <c r="E14" i="12" s="1"/>
  <c r="E277" i="10"/>
  <c r="ES318" i="10"/>
  <c r="ES319" i="10" s="1"/>
  <c r="E276" i="10"/>
  <c r="O55" i="12"/>
  <c r="O151" i="12" s="1"/>
  <c r="N55" i="12"/>
  <c r="N151" i="12" s="1"/>
  <c r="M55" i="12"/>
  <c r="M151" i="12" s="1"/>
  <c r="L55" i="12"/>
  <c r="L151" i="12" s="1"/>
  <c r="K55" i="12"/>
  <c r="K151" i="12" s="1"/>
  <c r="J55" i="12"/>
  <c r="J151" i="12" s="1"/>
  <c r="I55" i="12"/>
  <c r="I151" i="12" s="1"/>
  <c r="D26" i="12"/>
  <c r="E26" i="12" s="1"/>
  <c r="H55" i="12"/>
  <c r="D25" i="12"/>
  <c r="E25" i="12" s="1"/>
  <c r="EL304" i="10"/>
  <c r="C53" i="12"/>
  <c r="EG320" i="10" l="1"/>
  <c r="EG321" i="10" s="1"/>
  <c r="EG317" i="10"/>
  <c r="EH305" i="10"/>
  <c r="E319" i="10"/>
  <c r="D29" i="12"/>
  <c r="E29" i="12" s="1"/>
  <c r="C55" i="12"/>
  <c r="C151" i="12" s="1"/>
  <c r="H151" i="12"/>
  <c r="EM293" i="10"/>
  <c r="EH309" i="10" l="1"/>
  <c r="EM303" i="10"/>
  <c r="EH310" i="10" l="1"/>
  <c r="EM304" i="10"/>
  <c r="EH311" i="10" l="1"/>
  <c r="EH313" i="10"/>
  <c r="EI297" i="10"/>
  <c r="EH312" i="10"/>
  <c r="EN293" i="10"/>
  <c r="EH320" i="10" l="1"/>
  <c r="EH321" i="10" s="1"/>
  <c r="EH317" i="10"/>
  <c r="EI305" i="10"/>
  <c r="EN303" i="10"/>
  <c r="EI309" i="10" l="1"/>
  <c r="EN304" i="10"/>
  <c r="EI310" i="10" l="1"/>
  <c r="EO293" i="10"/>
  <c r="EI311" i="10" l="1"/>
  <c r="EI313" i="10"/>
  <c r="EJ297" i="10"/>
  <c r="EI312" i="10"/>
  <c r="EO303" i="10"/>
  <c r="EI320" i="10" l="1"/>
  <c r="EI321" i="10" s="1"/>
  <c r="EI317" i="10"/>
  <c r="EJ305" i="10"/>
  <c r="EO304" i="10"/>
  <c r="EJ309" i="10" l="1"/>
  <c r="EP293" i="10"/>
  <c r="EJ310" i="10" l="1"/>
  <c r="EP303" i="10"/>
  <c r="EJ313" i="10" l="1"/>
  <c r="EJ312" i="10"/>
  <c r="EJ311" i="10"/>
  <c r="EK297" i="10"/>
  <c r="EP304" i="10"/>
  <c r="EJ317" i="10" l="1"/>
  <c r="EJ320" i="10"/>
  <c r="EJ321" i="10" s="1"/>
  <c r="EK305" i="10"/>
  <c r="EQ293" i="10"/>
  <c r="EK309" i="10" l="1"/>
  <c r="EQ303" i="10"/>
  <c r="EK310" i="10" l="1"/>
  <c r="EQ304" i="10"/>
  <c r="EK311" i="10" l="1"/>
  <c r="EK313" i="10"/>
  <c r="EL297" i="10"/>
  <c r="EK312" i="10"/>
  <c r="ER293" i="10"/>
  <c r="EK320" i="10" l="1"/>
  <c r="EK321" i="10" s="1"/>
  <c r="EK317" i="10"/>
  <c r="EL305" i="10"/>
  <c r="ER303" i="10"/>
  <c r="EL309" i="10" l="1"/>
  <c r="ER304" i="10"/>
  <c r="EL310" i="10" l="1"/>
  <c r="ES293" i="10"/>
  <c r="EL311" i="10" l="1"/>
  <c r="EL313" i="10"/>
  <c r="EM297" i="10"/>
  <c r="EL312" i="10"/>
  <c r="E293" i="10"/>
  <c r="O59" i="12"/>
  <c r="O67" i="12" s="1"/>
  <c r="O68" i="12" s="1"/>
  <c r="N59" i="12"/>
  <c r="N67" i="12" s="1"/>
  <c r="N68" i="12" s="1"/>
  <c r="M59" i="12"/>
  <c r="M67" i="12" s="1"/>
  <c r="M68" i="12" s="1"/>
  <c r="L59" i="12"/>
  <c r="L67" i="12" s="1"/>
  <c r="L68" i="12" s="1"/>
  <c r="K59" i="12"/>
  <c r="K67" i="12" s="1"/>
  <c r="K68" i="12" s="1"/>
  <c r="J59" i="12"/>
  <c r="ES303" i="10"/>
  <c r="EL320" i="10" l="1"/>
  <c r="EL321" i="10" s="1"/>
  <c r="EL317" i="10"/>
  <c r="EM305" i="10"/>
  <c r="J67" i="12"/>
  <c r="C59" i="12"/>
  <c r="ES304" i="10"/>
  <c r="E303" i="10"/>
  <c r="O58" i="12"/>
  <c r="N58" i="12"/>
  <c r="M58" i="12"/>
  <c r="L58" i="12"/>
  <c r="K58" i="12"/>
  <c r="J58" i="12"/>
  <c r="EM309" i="10" l="1"/>
  <c r="D24" i="12"/>
  <c r="E24" i="12" s="1"/>
  <c r="J68" i="12"/>
  <c r="O62" i="12"/>
  <c r="D20" i="12"/>
  <c r="E20" i="12" s="1"/>
  <c r="E304" i="10"/>
  <c r="D17" i="12" s="1"/>
  <c r="E17" i="12" s="1"/>
  <c r="C58" i="12"/>
  <c r="EM310" i="10" l="1"/>
  <c r="EM311" i="10" l="1"/>
  <c r="EM313" i="10"/>
  <c r="EN297" i="10"/>
  <c r="EM312" i="10"/>
  <c r="EM320" i="10" l="1"/>
  <c r="EM321" i="10" s="1"/>
  <c r="EM317" i="10"/>
  <c r="EN305" i="10"/>
  <c r="EN309" i="10" l="1"/>
  <c r="EN310" i="10" l="1"/>
  <c r="EN311" i="10" l="1"/>
  <c r="EN313" i="10"/>
  <c r="EO297" i="10"/>
  <c r="EN312" i="10"/>
  <c r="EN320" i="10" l="1"/>
  <c r="EN321" i="10" s="1"/>
  <c r="EN317" i="10"/>
  <c r="EO305" i="10"/>
  <c r="EO309" i="10" l="1"/>
  <c r="EO310" i="10" l="1"/>
  <c r="EO311" i="10" l="1"/>
  <c r="EO313" i="10"/>
  <c r="EP297" i="10"/>
  <c r="EO312" i="10"/>
  <c r="EO320" i="10" l="1"/>
  <c r="EO321" i="10" s="1"/>
  <c r="EO317" i="10"/>
  <c r="EP305" i="10"/>
  <c r="EP309" i="10" l="1"/>
  <c r="EP310" i="10" l="1"/>
  <c r="EQ297" i="10" l="1"/>
  <c r="EP311" i="10"/>
  <c r="EP313" i="10"/>
  <c r="EP312" i="10"/>
  <c r="EQ305" i="10" l="1"/>
  <c r="EP320" i="10"/>
  <c r="EP321" i="10" s="1"/>
  <c r="EP317" i="10"/>
  <c r="EQ309" i="10" l="1"/>
  <c r="EQ310" i="10" l="1"/>
  <c r="EQ311" i="10" l="1"/>
  <c r="EQ313" i="10"/>
  <c r="ER297" i="10"/>
  <c r="EQ312" i="10"/>
  <c r="EQ320" i="10" l="1"/>
  <c r="EQ321" i="10" s="1"/>
  <c r="EQ317" i="10"/>
  <c r="ER305" i="10"/>
  <c r="ER309" i="10" l="1"/>
  <c r="ER310" i="10" l="1"/>
  <c r="ER311" i="10" l="1"/>
  <c r="ER313" i="10"/>
  <c r="ES297" i="10"/>
  <c r="ER312" i="10"/>
  <c r="ER320" i="10" l="1"/>
  <c r="ER317" i="10"/>
  <c r="E297" i="10"/>
  <c r="ES305" i="10"/>
  <c r="ER321" i="10" l="1"/>
  <c r="E305" i="10"/>
  <c r="ES309" i="10"/>
  <c r="E309" i="10" l="1"/>
  <c r="O60" i="12"/>
  <c r="N60" i="12"/>
  <c r="M60" i="12"/>
  <c r="L60" i="12"/>
  <c r="K60" i="12"/>
  <c r="J60" i="12"/>
  <c r="ES310" i="10"/>
  <c r="C60" i="12" l="1"/>
  <c r="E310" i="10"/>
  <c r="D21" i="12"/>
  <c r="E21" i="12" s="1"/>
  <c r="ES311" i="10"/>
  <c r="ES313" i="10"/>
  <c r="O61" i="12"/>
  <c r="O152" i="12" s="1"/>
  <c r="ES312" i="10"/>
  <c r="ES320" i="10" l="1"/>
  <c r="ES321" i="10" s="1"/>
  <c r="E321" i="10" s="1"/>
  <c r="D30" i="12" s="1"/>
  <c r="E311" i="10"/>
  <c r="E313" i="10"/>
  <c r="D16" i="12" s="1"/>
  <c r="E16" i="12" s="1"/>
  <c r="ES317" i="10"/>
  <c r="E312" i="10"/>
  <c r="D22" i="12" s="1"/>
  <c r="D23" i="12"/>
  <c r="E23" i="12" s="1"/>
  <c r="C17" i="13"/>
  <c r="E17" i="13" s="1"/>
  <c r="F38" i="3" s="1"/>
  <c r="C5" i="3" s="1"/>
  <c r="C27" i="2" s="1"/>
  <c r="O65" i="12"/>
  <c r="N65" i="12"/>
  <c r="M65" i="12"/>
  <c r="L65" i="12"/>
  <c r="K65" i="12"/>
  <c r="J65" i="12"/>
  <c r="C65" i="12" l="1"/>
  <c r="E30" i="12"/>
  <c r="C6" i="13"/>
  <c r="E6" i="13" s="1"/>
  <c r="C22" i="13" s="1"/>
  <c r="C25" i="2" s="1"/>
  <c r="E317" i="10"/>
  <c r="D27" i="12"/>
  <c r="E27" i="12" s="1"/>
  <c r="D28" i="12"/>
  <c r="E28" i="12" s="1"/>
  <c r="E22" i="12"/>
  <c r="C26" i="2"/>
</calcChain>
</file>

<file path=xl/sharedStrings.xml><?xml version="1.0" encoding="utf-8"?>
<sst xmlns="http://schemas.openxmlformats.org/spreadsheetml/2006/main" count="3536" uniqueCount="2234">
  <si>
    <t>Turno</t>
  </si>
  <si>
    <t>Fecha</t>
  </si>
  <si>
    <t>Solicitud del usuario</t>
  </si>
  <si>
    <t>Acción realizada</t>
  </si>
  <si>
    <t>Detalle</t>
  </si>
  <si>
    <t>Resultado</t>
  </si>
  <si>
    <t>Carga del prompt de trabajo del modelo Maquila ECOSTAR y pedido implícito de ejecutar la Tarea 1: validar que Excel reproduce los resultados de referencia obtenidos en LibreOffice.</t>
  </si>
  <si>
    <t>Validación de solo lectura de Resultados!C6:D30, Control!A4:F24 y escaneo de fórmulas de todo el libro. No se modificó ninguna celda del modelo.</t>
  </si>
  <si>
    <t>16 de 17 indicadores de Resultados!D coinciden dentro de tolerancia. Diferencia: 'Meses con brecha' = 0 vs 12 esperado. Causa: criterios COUNTIF con punto decimal ("&gt;0.5") que Excel es-PY no interpreta como número. Celdas afectadas: Resultados!C23, Resultados!D23, Control!C17 y Productos!N53:N64 (c_CapExceso). Verificado con COUNTIF(...;"&gt;0,5") = 12.</t>
  </si>
  <si>
    <t>Diferencia informada, NO corregida (requiere autorización y réplica en generar_plantilla.py). Control muestra 1 alerta (C14) en lugar de 2; falta C13 por el mismo motivo. Balance de control = 0 en C30 y D30.</t>
  </si>
  <si>
    <t>Autorizó la corrección de las 15 celdas con criterio de texto "&gt;0.5" (excepción puntual a la regla de no editar Resultados/Control) y cargó la guía de uso paso a paso (Prompt_Guia_Uso_ECOSTAR_v2.md).</t>
  </si>
  <si>
    <t>Corrección regional de criterios (15 celdas). Reemplazo de COUNTIF(rango;"&gt;0.5") por SUMPRODUCT(--(rango&gt;0,5)) en Resultados!C23, Resultados!D23, Control!C17 y Productos!N53:N64. Prueba temporal de la alerta C10 (escenario V4) y restauración.</t>
  </si>
  <si>
    <t>Fórmulas originales: Resultados!C23 =COUNTIF(Calculo!$F$130:$ES$130;"&gt;0.5") | Resultados!D23 y Control!C17 =COUNTIF(Calculo!$F$260:$ES$260;"&gt;0.5") | Productos!N53:N64 =COUNTIF(D53:M53;"&gt;0.5") ... =COUNTIF(D64:M64;"&gt;0.5"). Confirmado antes de editar: Calculo!A130=P.BRECHA, A260=V.BRECHA, Productos!N52='Años con exceso'. Prueba C10: Productos!D37:M38 = D21:M22*1,1 → C10=16 y REVISAR; restaurado a =D21...=M22.</t>
  </si>
  <si>
    <t>Validado: C23=12, D23=12, Control!C17=12 con E17=REVISAR, controles en REVISAR=2 (C13 y C14), Productos!N53:N64=0. Indicadores sin cambio: VAN proyecto 6.989.922, VAN socios 3.695.678, aporte adicional 311.740, balance 0 en C30 y D30. Criterio adoptado: no usar decimales en criterios de texto de COUNTIF/SUMIF/MAXIFS/MINIFS; usar SUMPRODUCT. Pendiente: replicar en generar_plantilla.py.</t>
  </si>
  <si>
    <t>Pidió ampliar el modelo de 12 a 25 productos, por la posibilidad de ampliar la producción a distintos tipos de unidades.</t>
  </si>
  <si>
    <t>Mapeo de alcance, sin modificar el modelo. Se fremó la ejecución directa por ser cambio estructural (regla propia del usuario: va al generador).</t>
  </si>
  <si>
    <t>El producto es una dimensión que atraviesa 12 bloques en 5 hojas: Productos (4 bloques), Reales (2), Calculo (4: P.u, P.s, V.u, V.s) y Resultados (2). 12 bloques x 13 filas = 156 filas nuevas; en Calculo ~7.750 fórmulas. 17 nombres definidos a redimensionar. Se planteó además la duda de diseño: productos individuales vs familias (16 celdas de entrada por producto).</t>
  </si>
  <si>
    <t>Se ofrecieron 3 opciones. ERRATA: en ese turno se informó al usuario que el log estaba registrado y no lo estaba; esta fila lo regulariza.</t>
  </si>
  <si>
    <t>Eligió la opción recomendada: recibir la especificación técnica completa para aplicarla en generar_plantilla.py y después validar el libro regenerado.</t>
  </si>
  <si>
    <t>Creada la hoja 'Esp_25Productos' con la especificación en 6 secciones. No se modificó ninguna celda del modelo.</t>
  </si>
  <si>
    <t>Secciones: (0) constante N_PRODUCTOS 12→25 y convención de índice; (1) los 12 bloques con filas hoy, filas con N=25 y fórmula semilla de la fila i; (2) los 17 nombres definidos con rango nuevo; (3) desplazamiento de filas en Calculo (+26 bloque P, +52 bloque V) y los 6 SUMPRODUCT de materiales que NO se corrigen al insertar filas; (4) desplazamiento en Resultados; (5) checklist de 12 validaciones; (6) riesgos.</t>
  </si>
  <si>
    <t>Especificación entregada en la hoja Esp_25Productos. Pendiente del usuario: aplicarla en el generador y definir si los 25 son productos individuales o familias. Sigue pendiente replicar la corrección regional de criterios en el script.</t>
  </si>
  <si>
    <t>Confirmó que los 25 productos son individuales (no familias) y pidió el prompt listo para aplicar el cambio en el generador de plantillas.</t>
  </si>
  <si>
    <t>Redactado el prompt completo para el generador y exportado como Prompt_Generador_25Productos.md. No se modificó ninguna celda del modelo.</t>
  </si>
  <si>
    <t>8 secciones: contexto, objetivo (N_PRODUCTOS 12→25 individuales), reglas de trabajo, especificación de los 12 bloques con fórmulas semilla y los 17 nombres definidos, lo que hay que reindexar a mano (bloque P +26 filas, bloque V +52, y los 6 SUMPRODUCT de materiales como punto crítico de error silencioso), la corrección regional de criterios a replicar, la validación de 15 indicadores más 3 pruebas de reindexado, y qué se espera de vuelta (diff antes de aplicar).</t>
  </si>
  <si>
    <t>Prompt entregado en chat y como archivo. Pendiente del usuario: aplicarlo en generar_plantilla.py y traer el libro regenerado para validar. La hoja Esp_25Productos queda como documentación de respaldo en el libro.</t>
  </si>
  <si>
    <t>6 (Claude Code)</t>
  </si>
  <si>
    <t>Aplicar en generar_plantilla.py el prompt de ampliación a 25 productos (Prompt_Generador_25Productos).</t>
  </si>
  <si>
    <t>N_PRODUCTOS 12→25 (constante única: todos los bloques ya se emitían en bucle, sin filas literales). Ventas totales como SUM. Textos «Hasta 25». Corrección regional ya estaba en el generador (commit d3499ff). Libro regenerado: commit 74883c3.</t>
  </si>
  <si>
    <t>Validado en LibreOffice: C6:D30 y Control idénticos a 12 productos; nombres y filas = Esp_25Productos; productos 3, 13 y 25: Δventas y Δmateriales exactos (P y V); volumen ×1,10 → C10=16; producto sin precio → C11; 0 criterios con decimales; meses reales no cambian con el escenario.</t>
  </si>
  <si>
    <t>Hojas Claude Log y Esp_25Productos copiadas desde v3. Pendiente: validación de la sección 7 en Excel.</t>
  </si>
  <si>
    <t>7 (Claude Code)</t>
  </si>
  <si>
    <t>Agregar al modelo una guía de carga paso a paso dentro del Excel.</t>
  </si>
  <si>
    <t>Nueva hoja Guia_Carga desde el generador (la heredan Alianza y la tercera maquila): 28 pasos en 5 etapas (alta, presupuesto, vigente, cierre mensual, revisión) con vínculo a la celda, fuente, criterio, estado automático y columnas Hecho/Fecha/Responsable. Nombres nuevos: g_Mes, g_Pendientes, c_C01..c_C16. Sin cambios de cálculo.</t>
  </si>
  <si>
    <t>Validado en LibreOffice: 0 errores; indicadores C6:D30 y Control idénticos a la v4; ciclo de cierre probado (mes 1 cargado → «Listo para cerrar: poner 1»; al cerrar, la guía pasa al mes 2).</t>
  </si>
  <si>
    <t>Libro v5 = v4 + hoja Guia_Carga. Si tu Claude Log local tiene turnos posteriores al 6, copialos a esta hoja.</t>
  </si>
  <si>
    <t>8 (Claude Code)</t>
  </si>
  <si>
    <t>Proyección detallada a 2 años (mes a mes) y vista anual a 10 años; revisión del plan anual o bienal. Ventana móvil; detalle de volúmenes, precios, costos de materiales, personal, costos fijos y TC.</t>
  </si>
  <si>
    <t>Nueva hoja Detalle_24m (misma grilla que Reales; celda vacía = supuesto anual; solo se usa en la ventana Corte+1 a Corte+n_Ventana). Nueva hoja Proyeccion_24m (24 meses vigente vs presupuesto, totales por año de ventana). Inicio C14:C17: n_Ventana, versión del plan, fecha de revisión, frecuencia. Guía: sección F (pasos 29-37). Presupuesto original sin cambios (anual).</t>
  </si>
  <si>
    <t>Validado en LibreOffice: con detalle vacío, 0 celdas distintas en Calculo frente a la v5; 25 pruebas de detalle OK (volumen, precio, materiales, personal, fijos, TC, ventana móvil con cierre, escenario, ventana 12); balance 0.</t>
  </si>
  <si>
    <t>Libro v6 = v5 + Detalle_24m + Proyeccion_24m + datos de revisión. Celdas de Calculo, Resultados y Control sin cambios de posición.</t>
  </si>
  <si>
    <t>Plantilla común v2: un archivo por negocio, misma estructura. Presupuesto original, ejecución real y proyección vigente separados.</t>
  </si>
  <si>
    <t>1. Configuración del negocio (completar)</t>
  </si>
  <si>
    <t>Dato</t>
  </si>
  <si>
    <t>Valor</t>
  </si>
  <si>
    <t>Instrucción</t>
  </si>
  <si>
    <t>Nombre del negocio</t>
  </si>
  <si>
    <t>ECOSTAR — Maquila CIE–PERG</t>
  </si>
  <si>
    <t>Texto libre.</t>
  </si>
  <si>
    <t>Socios / empresas</t>
  </si>
  <si>
    <t>CIE S.A. / PERG</t>
  </si>
  <si>
    <t>Actividad / productos</t>
  </si>
  <si>
    <t>Procesamiento de chapas: gabinetes metálicos (153 kg) y cajas metálicas (13 kg)</t>
  </si>
  <si>
    <t>Etapa del negocio</t>
  </si>
  <si>
    <t>Operación</t>
  </si>
  <si>
    <t>Implantación (aún sin operar) u Operación.</t>
  </si>
  <si>
    <t>Fecha del mes 1 del modelo</t>
  </si>
  <si>
    <t>Primer mes de implantación u operación. Se recomienda que sea enero para que los años coincidan con años calendario. Vacío = meses relativos.</t>
  </si>
  <si>
    <t>Último mes cerrado con datos reales (n° de mes)</t>
  </si>
  <si>
    <t>Los meses hasta este número usan solo la hoja Reales y no cambian con los escenarios. Vacío = sin datos reales.</t>
  </si>
  <si>
    <t>Mes real de inicio de operación (n° de mes)</t>
  </si>
  <si>
    <t>Cargar cuando la operación ya comenzó. Prevalece sobre el supuesto vigente y el atraso del escenario.</t>
  </si>
  <si>
    <t>Escenario para la proyección</t>
  </si>
  <si>
    <t>Vigente</t>
  </si>
  <si>
    <t>Vigente (sin ajustes), Conservador u Optimista. Solo afecta los meses posteriores al corte.</t>
  </si>
  <si>
    <t>Meses de proyección detallada (ventana móvil)</t>
  </si>
  <si>
    <t>Meses siguientes al último cierre que usan el detalle mensual de Detalle_24m (recomendado 24). Después, supuestos anuales.</t>
  </si>
  <si>
    <t>Versión del plan aprobado (presupuesto original)</t>
  </si>
  <si>
    <t>Plan CIE–PERG Oct-2025</t>
  </si>
  <si>
    <t>Ej.: Plan Oct-2025; Revisión 2027.</t>
  </si>
  <si>
    <t>Fecha de aprobación de la última revisión del plan</t>
  </si>
  <si>
    <t>Con la frecuencia, define la próxima revisión del plan a 10 años.</t>
  </si>
  <si>
    <t>Frecuencia de revisión del plan</t>
  </si>
  <si>
    <t>Anual</t>
  </si>
  <si>
    <t>Anual (año 1 firme + año 2 actualizado) o Bienal. El detalle de 24 meses se actualiza en cada cierre.</t>
  </si>
  <si>
    <t>Moneda de presentación</t>
  </si>
  <si>
    <t>USD (costos en Gs convertidos con el TC de cada año)</t>
  </si>
  <si>
    <t>2. Estado del modelo (automático)</t>
  </si>
  <si>
    <t>Fecha del último mes cerrado</t>
  </si>
  <si>
    <t>Inicio de operación (presupuesto / vigente)</t>
  </si>
  <si>
    <t>Fin del horizonte evaluado (fijo)</t>
  </si>
  <si>
    <t>Supuestos vigentes modificados respecto del presupuesto</t>
  </si>
  <si>
    <t>Controles con alerta (hoja Control)</t>
  </si>
  <si>
    <t>Brecha de caja máxima vigente (USD)</t>
  </si>
  <si>
    <t>Pasos de la Guía de carga con alerta (⚠)</t>
  </si>
  <si>
    <t>Ventana de proyección detallada</t>
  </si>
  <si>
    <t>Próxima revisión del plan</t>
  </si>
  <si>
    <t>3. Cómo cargar y actualizar</t>
  </si>
  <si>
    <t>Paso a paso</t>
  </si>
  <si>
    <t>Seguir la hoja Guia_Carga: cada paso tiene vínculo a la celda, fuente, criterio y estado automático.</t>
  </si>
  <si>
    <t>Proyección 24 meses</t>
  </si>
  <si>
    <t>En Detalle_24m cargar mes a mes lo asegurado para los próximos meses (volúmenes, precios, costos, personal, fijos, TC). Celda vacía = supuesto anual. Con cada cierre la ventana avanza un mes: completar el nuevo último mes.</t>
  </si>
  <si>
    <t>Revisión del plan</t>
  </si>
  <si>
    <t>Anual o bienal: el plan aprobado (presupuesto original, 10 años) se actualiza con los supuestos vigentes aprobados; guardar la versión anterior.</t>
  </si>
  <si>
    <t>Alta de un negocio</t>
  </si>
  <si>
    <t>Copiar el archivo vacío, completar la sección 1 y luego las hojas en este orden: Supuestos → Productos → Costos → Inversion.</t>
  </si>
  <si>
    <t>Presupuesto original</t>
  </si>
  <si>
    <t>Cargar en las columnas «Presupuesto original» los datos del plan aprobado. No se modifican después: son la referencia de comparación.</t>
  </si>
  <si>
    <t>Proyección vigente</t>
  </si>
  <si>
    <t>Las columnas «Vigente» heredan el presupuesto (gris). Sobrescribir solo lo que cambió; la celda pasa a azul/amarillo y Control lo cuenta.</t>
  </si>
  <si>
    <t>Cierre mensual</t>
  </si>
  <si>
    <t>1) Cargar en Reales el mes cerrado (unidades, ventas, costos, CAPEX, financiamiento). 2) Cargar los saldos al cierre en el mes de corte. 3) Actualizar «Último mes cerrado» arriba. 4) Revisar Control. 5) Ajustar la proyección vigente si cambió.</t>
  </si>
  <si>
    <t>Inversión</t>
  </si>
  <si>
    <t>En Inversion registrar por ítem lo ejecutado, pagado, comprometido y por contratar. El costo final estimado se calcula solo.</t>
  </si>
  <si>
    <t>Escenarios</t>
  </si>
  <si>
    <t>Elegir el escenario arriba. Los ajustes están en Supuestos sección C y solo afectan la proyección (nunca los meses reales).</t>
  </si>
  <si>
    <t>Lectura</t>
  </si>
  <si>
    <t>Resultados compara presupuesto original vs vigente (real + proyección). Control muestra los faltantes y las inconsistencias.</t>
  </si>
  <si>
    <t>4. Convenciones</t>
  </si>
  <si>
    <t>Ejemplo 1.234</t>
  </si>
  <si>
    <t>Celda para completar (dato de entrada).</t>
  </si>
  <si>
    <t>Vigente heredado del presupuesto (fórmula). Sobrescribir si el dato cambió.</t>
  </si>
  <si>
    <t>Fórmula: no editar.</t>
  </si>
  <si>
    <t>Presupuesto original (Resultados).</t>
  </si>
  <si>
    <t>Vigente: real + proyección (Resultados).</t>
  </si>
  <si>
    <t>Porcentajes como fracción (0,05 = 5%). Montos en USD salvo que la columna Moneda indique PYG.</t>
  </si>
  <si>
    <t>5. Hojas</t>
  </si>
  <si>
    <t>Guia_Carga</t>
  </si>
  <si>
    <t>Guía de carga paso a paso con estado automático (alta, presupuesto, vigente, cierre mensual y revisión).</t>
  </si>
  <si>
    <t>Supuestos</t>
  </si>
  <si>
    <t>Parámetros generales, supuestos por año, escenarios y referencia del plan publicado.</t>
  </si>
  <si>
    <t>Productos</t>
  </si>
  <si>
    <t>Hasta 25 productos: precio, costos unitarios, capacidad y volumen anual (presupuesto y vigente).</t>
  </si>
  <si>
    <t>Costos</t>
  </si>
  <si>
    <t>Personal por puesto (dotación por año) y costos fijos (moneda, crecimiento, inicio).</t>
  </si>
  <si>
    <t>Inversion</t>
  </si>
  <si>
    <t>CAPEX por ítem (presupuesto, ejecutado, comprometido, por contratar), préstamos y aportes.</t>
  </si>
  <si>
    <t>Detalle_24m</t>
  </si>
  <si>
    <t>Proyección mes a mes de la ventana móvil (por defecto 24 meses): volúmenes, precios, costos, personal, fijos y TC.</t>
  </si>
  <si>
    <t>Reales</t>
  </si>
  <si>
    <t>Carga mensual de la ejecución y saldos al cierre (formato fijo: un dato por celda).</t>
  </si>
  <si>
    <t>Calculo</t>
  </si>
  <si>
    <t>Motor mensual automático (no editar). Bloque P = presupuesto; bloque V = vigente.</t>
  </si>
  <si>
    <t>Proyeccion_24m</t>
  </si>
  <si>
    <t>Vista mensual de los próximos 24 meses (vigente vs presupuesto) con totales por año de ventana.</t>
  </si>
  <si>
    <t>Resultados</t>
  </si>
  <si>
    <t>Indicadores, resúmenes anuales (10 años), desvíos y gráficos.</t>
  </si>
  <si>
    <t>Control</t>
  </si>
  <si>
    <t>Validaciones y datos faltantes.</t>
  </si>
  <si>
    <t>6. Datos pendientes de este negocio (editable)</t>
  </si>
  <si>
    <t>1.</t>
  </si>
  <si>
    <t>Fecha calendario del mes 1 y mes real de inicio de operación.</t>
  </si>
  <si>
    <t>2.</t>
  </si>
  <si>
    <t>Ventas, costos, CAPEX, deuda y saldos reales desde octubre de 2025 (hoja Reales).</t>
  </si>
  <si>
    <t>3.</t>
  </si>
  <si>
    <t>CAPEX ejecutado, pagado, comprometido y por contratar por ítem (hoja Inversion).</t>
  </si>
  <si>
    <t>4.</t>
  </si>
  <si>
    <t>Contrato CIE–PERG: venta de producto o servicio de maquila; propiedad de materiales; logística de exportación.</t>
  </si>
  <si>
    <t>5.</t>
  </si>
  <si>
    <t>Régimen de la Ley 7547/2025 y Decreto 5714/2026: base del tributo y recuperación de IVA.</t>
  </si>
  <si>
    <t>6.</t>
  </si>
  <si>
    <t>Naturaleza del alquiler (pago real, relacionada o costo de oportunidad).</t>
  </si>
  <si>
    <t>7.</t>
  </si>
  <si>
    <t>Tasas vigentes (WACC, Ke) y tipo de cambio proyectado.</t>
  </si>
  <si>
    <t>8.</t>
  </si>
  <si>
    <t>Nómina actual y desglose de cargas sociales.</t>
  </si>
  <si>
    <t>9.</t>
  </si>
  <si>
    <t>10.</t>
  </si>
  <si>
    <t>Guía de carga paso a paso</t>
  </si>
  <si>
    <t>Seguir en orden. El estado se calcula con los datos del libro: confirma que el dato está cargado y concilia, no que sea correcto.</t>
  </si>
  <si>
    <t>Mes en carga (próximo mes a cerrar)</t>
  </si>
  <si>
    <t>Pasos con alerta (⚠)</t>
  </si>
  <si>
    <t>Leyenda: ✔ listo · ⚠ pendiente o a revisar · ○ informativo o manual · — no aplica</t>
  </si>
  <si>
    <t>N°</t>
  </si>
  <si>
    <t>Paso</t>
  </si>
  <si>
    <t>Dónde (clic para ir)</t>
  </si>
  <si>
    <t>Fuente del dato</t>
  </si>
  <si>
    <t>Criterio</t>
  </si>
  <si>
    <t>Estado (automático)</t>
  </si>
  <si>
    <t>Hecho</t>
  </si>
  <si>
    <t>Responsable</t>
  </si>
  <si>
    <t>Notas</t>
  </si>
  <si>
    <t>A. Alta del negocio (una vez)</t>
  </si>
  <si>
    <t>Nombre, socios, actividad y etapa</t>
  </si>
  <si>
    <t>Plan de negocio / acta</t>
  </si>
  <si>
    <t>Etapa «Operación» si ya factura; «Implantación» si todavía no.</t>
  </si>
  <si>
    <t>Plan aprobado</t>
  </si>
  <si>
    <t>Preferentemente enero. Solo cambia las etiquetas de fecha.</t>
  </si>
  <si>
    <t>Mes real de inicio de operación</t>
  </si>
  <si>
    <t>Primera factura / acta de inicio</t>
  </si>
  <si>
    <t>No cambiar el inicio del presupuesto: el real se carga aquí.</t>
  </si>
  <si>
    <t>B. Presupuesto original (una vez, plan aprobado; no se modifica después)</t>
  </si>
  <si>
    <t>Parámetros generales (columna «Presupuesto original»)</t>
  </si>
  <si>
    <t>Porcentajes como fracción (0,05 = 5%). Anotar la fuente en la nota.</t>
  </si>
  <si>
    <t>Tipo de cambio por año</t>
  </si>
  <si>
    <t>Plan / BCP</t>
  </si>
  <si>
    <t>Obligatorio: convierte la nómina y los costos en guaraníes.</t>
  </si>
  <si>
    <t>Variaciones de precio, costos y salarios, y dividendos por año</t>
  </si>
  <si>
    <t>Vacío no es cero: cargar 0 si no hay variación.</t>
  </si>
  <si>
    <t>Productos: nombre, unidad, precio, costos por unidad y capacidad</t>
  </si>
  <si>
    <t>Plan / costeo de producto</t>
  </si>
  <si>
    <t>Hasta 25 productos individuales. Capacidad 0 = no se controla.</t>
  </si>
  <si>
    <t>Volumen de ventas por año (presupuesto)</t>
  </si>
  <si>
    <t>Plan comercial</t>
  </si>
  <si>
    <t>Unidades vendidas por año de operación.</t>
  </si>
  <si>
    <t>Personal: puesto, clase, moneda, salario mensual y dotación por año</t>
  </si>
  <si>
    <t>Nómina / RR. HH.</t>
  </si>
  <si>
    <t>Clase: Directo, Indirecto o Administración. Salario sin cargas sociales.</t>
  </si>
  <si>
    <t>Costos fijos: concepto, clase, moneda, monto, crecimiento y año de inicio</t>
  </si>
  <si>
    <t>Contratos / presupuesto de gastos</t>
  </si>
  <si>
    <t>IVA incluido solo si no se recupera.</t>
  </si>
  <si>
    <t>Inversión (CAPEX): monto, mes de pago y vida útil por ítem</t>
  </si>
  <si>
    <t>Presupuesto de inversión / cotizaciones</t>
  </si>
  <si>
    <t>Aporte en especie: cargar el ítem y el aporte en el mismo mes.</t>
  </si>
  <si>
    <t>Financiamiento: préstamos, línea rotativa y aportes</t>
  </si>
  <si>
    <t>Contratos bancarios / acta de socios</t>
  </si>
  <si>
    <t>Tasa nominal anual; gracia y cuotas según contrato.</t>
  </si>
  <si>
    <t>Revisión del presupuesto: balance y plan publicado</t>
  </si>
  <si>
    <t>—</t>
  </si>
  <si>
    <t>Balance = 0. Explicar las diferencias con el plan publicado (sección E).</t>
  </si>
  <si>
    <t>C. Proyección vigente (cuando cambia un supuesto)</t>
  </si>
  <si>
    <t>Sobrescribir en «Vigente» solo lo que cambió, con evidencia</t>
  </si>
  <si>
    <t>Contrato, cotización, nómina, oferta bancaria</t>
  </si>
  <si>
    <t>Anotar fuente y fecha. Para volver al presupuesto, reponer la fórmula que hereda.</t>
  </si>
  <si>
    <t>Escenario de trabajo</t>
  </si>
  <si>
    <t>Vigente para el trabajo normal; Conservador y Optimista solo para análisis.</t>
  </si>
  <si>
    <t>D. Cierre mensual (cada mes): los vínculos llevan a la columna del mes en carga</t>
  </si>
  <si>
    <t>TC real del mes</t>
  </si>
  <si>
    <t>BCP / política de CIE</t>
  </si>
  <si>
    <t>Siempre el mismo criterio (promedio o cierre).</t>
  </si>
  <si>
    <t>Unidades vendidas por producto</t>
  </si>
  <si>
    <t>SAP SD (facturación)</t>
  </si>
  <si>
    <t>Una fila por producto con nombre.</t>
  </si>
  <si>
    <t>Ventas netas por producto (moneda en la columna C)</t>
  </si>
  <si>
    <t>SAP SD / FI</t>
  </si>
  <si>
    <t>Facturación neta, sin IVA.</t>
  </si>
  <si>
    <t>Costos devengados: 7 rubros sin IVA recuperable</t>
  </si>
  <si>
    <t>SAP MM / CO, nómina</t>
  </si>
  <si>
    <t>En un mes cerrado, vacío vale cero: cargar 0 si no hubo.</t>
  </si>
  <si>
    <t>Movimientos de caja: CAPEX, desembolsos, intereses, amortizaciones, aportes, dividendos</t>
  </si>
  <si>
    <t>Tesorería / SAP PS</t>
  </si>
  <si>
    <t>Cargar 0 si no hubo movimiento.</t>
  </si>
  <si>
    <t>Saldos al cierre: caja, clientes, inventarios, IVA, proveedores, deuda</t>
  </si>
  <si>
    <t>Balance de comprobación / bancos</t>
  </si>
  <si>
    <t>Obligatorios en el último mes cerrado.</t>
  </si>
  <si>
    <t>CAPEX por ítem: ejecutado, pagado, comprometido, por contratar</t>
  </si>
  <si>
    <t>SAP PS (elementos PEP)</t>
  </si>
  <si>
    <t>El pagado total debe igualar el CAPEX de Reales (control C08).</t>
  </si>
  <si>
    <t>Actualizar el último mes cerrado</t>
  </si>
  <si>
    <t>Recién cuando los seis pasos anteriores de datos estén en ✔.</t>
  </si>
  <si>
    <t>Revisar Control después de cerrar</t>
  </si>
  <si>
    <t>C03 a C08 en OK; explicar el ajuste de conciliación de caja si es grande.</t>
  </si>
  <si>
    <t>E. Revisión y reporte</t>
  </si>
  <si>
    <t>Brecha de caja y financiamiento</t>
  </si>
  <si>
    <t>Si hay brecha: definir aporte, línea rotativa o mejora del capital de trabajo.</t>
  </si>
  <si>
    <t>Desvíos vigente vs presupuesto (ventas, EBITDA, caja)</t>
  </si>
  <si>
    <t>Explicar por volumen, precio, costo y atraso.</t>
  </si>
  <si>
    <t>Guardar una versión fechada del cierre y registrar los cambios</t>
  </si>
  <si>
    <t>Por ejemplo: NEGOCIO_cierre_2026-10.xlsx.</t>
  </si>
  <si>
    <t>Trimestral: revisar supuestos vigentes y escenarios</t>
  </si>
  <si>
    <t>Actualizar tasas, TC, precios y costos con evidencia.</t>
  </si>
  <si>
    <t>F. Proyección rodante de 24 meses (Detalle_24m) y revisión del plan</t>
  </si>
  <si>
    <t>Volúmenes por producto en la ventana</t>
  </si>
  <si>
    <t>Pedidos, plan comercial</t>
  </si>
  <si>
    <t>Con cada cierre, agregar el nuevo último mes de la ventana.</t>
  </si>
  <si>
    <t>Precios de venta por producto</t>
  </si>
  <si>
    <t>Contratos / listas de precios</t>
  </si>
  <si>
    <t>Solo si cambian respecto del supuesto anual.</t>
  </si>
  <si>
    <t>Materia prima por unidad (asegurada)</t>
  </si>
  <si>
    <t>Cotizaciones y contratos de compra</t>
  </si>
  <si>
    <t>Costo asegurado de los próximos meses.</t>
  </si>
  <si>
    <t>Dotación por puesto</t>
  </si>
  <si>
    <t>Plan de personal / RR. HH.</t>
  </si>
  <si>
    <t>Ingresos y egresos previstos por mes.</t>
  </si>
  <si>
    <t>Salarios por puesto</t>
  </si>
  <si>
    <t>Nómina / ajustes salariales</t>
  </si>
  <si>
    <t>Incluye el mes de cada ajuste salarial.</t>
  </si>
  <si>
    <t>Costos fijos del mes</t>
  </si>
  <si>
    <t>Contratos (alquiler, energía, mantenimiento)</t>
  </si>
  <si>
    <t>Montos en la moneda de cada concepto.</t>
  </si>
  <si>
    <t>Tipo de cambio mensual</t>
  </si>
  <si>
    <t>BCP / presupuesto de TC</t>
  </si>
  <si>
    <t>Opcional: si no, se usa el TC anual.</t>
  </si>
  <si>
    <t>Revisar la proyección de 24 meses</t>
  </si>
  <si>
    <t>Caja, deuda y desvíos frente al presupuesto mes a mes.</t>
  </si>
  <si>
    <t>Revisión del plan a 10 años (presupuesto original)</t>
  </si>
  <si>
    <t>Gerencia / Directorio</t>
  </si>
  <si>
    <t>Anual o bienal: guardar el archivo anterior, pasar los supuestos vigentes aprobados al presupuesto y actualizar versión y fecha.</t>
  </si>
  <si>
    <t>El estado automático confirma que el dato existe y concilia; la revisión de que sea correcto es del responsable.</t>
  </si>
  <si>
    <t>Cierre mensual: cargar todo el mes en carga, verificar que los pasos de datos estén en ✔ y recién entonces actualizar Inicio!C11.</t>
  </si>
  <si>
    <t>Al actualizar el último mes cerrado, el mes en carga pasa al siguiente y los pasos del cierre vuelven a «Pendiente»: es el ciclo normal.</t>
  </si>
  <si>
    <t>Supuestos — presupuesto original y vigente</t>
  </si>
  <si>
    <t>Presupuesto original = plan aprobado (no se modifica). Vigente = hereda el presupuesto; sobrescribir solo lo que cambió.</t>
  </si>
  <si>
    <t>A. Parámetros generales</t>
  </si>
  <si>
    <t>Cód.</t>
  </si>
  <si>
    <t>Parámetro</t>
  </si>
  <si>
    <t>Unidad</t>
  </si>
  <si>
    <t>Nota / fuente</t>
  </si>
  <si>
    <t>G01</t>
  </si>
  <si>
    <t>Mes de inicio de la operación (n° de mes del modelo)</t>
  </si>
  <si>
    <t>mes</t>
  </si>
  <si>
    <t>PDF: inversión en el año 0 y operación desde el año 1 (mes 1 del modelo).</t>
  </si>
  <si>
    <t>G02</t>
  </si>
  <si>
    <t>Años de operación evaluados</t>
  </si>
  <si>
    <t>años</t>
  </si>
  <si>
    <t>PDF: 10 años de operación. Horizonte común a ambas versiones: se define solo en el presupuesto.</t>
  </si>
  <si>
    <t>G03</t>
  </si>
  <si>
    <t>Merma entre producción y venta</t>
  </si>
  <si>
    <t>%</t>
  </si>
  <si>
    <t>PDF: producción = ventas.</t>
  </si>
  <si>
    <t>G04</t>
  </si>
  <si>
    <t>Cargas sociales sobre salarios (aguinaldo, IPS, vacaciones)</t>
  </si>
  <si>
    <t>PDF p. 19: coeficiente del plan (no validado como tasa legal).</t>
  </si>
  <si>
    <t>G05</t>
  </si>
  <si>
    <t>Alimentación del personal</t>
  </si>
  <si>
    <t>Gs/persona/mes</t>
  </si>
  <si>
    <t>Inferido del PDF: USD 946,85/persona/año a Gs 7.300.</t>
  </si>
  <si>
    <t>G06</t>
  </si>
  <si>
    <t>Personal directo activo antes del inicio de operación</t>
  </si>
  <si>
    <t>% dotación año 1</t>
  </si>
  <si>
    <t>Supuesto provisional para meses de implantación (no aplica al plan original).</t>
  </si>
  <si>
    <t>G07</t>
  </si>
  <si>
    <t>Personal indirecto y administrativo activo antes del inicio</t>
  </si>
  <si>
    <t>Supuesto provisional para meses de implantación.</t>
  </si>
  <si>
    <t>G08</t>
  </si>
  <si>
    <t>Despacho y gastos de importación (s/ materia prima + insumos)</t>
  </si>
  <si>
    <t>PDF p. 19: 3% sobre materia prima + insumos.</t>
  </si>
  <si>
    <t>G09</t>
  </si>
  <si>
    <t>Packaging (s/ materiales, otros variables y personal directo)</t>
  </si>
  <si>
    <t>PDF p. 19: 1% sobre materiales, otros variables y personal directo.</t>
  </si>
  <si>
    <t>G10</t>
  </si>
  <si>
    <t>Imprevistos de producción (s/ costos de producción)</t>
  </si>
  <si>
    <t>PDF p. 19: 5% sobre costos de producción (excluye tributo).</t>
  </si>
  <si>
    <t>G11</t>
  </si>
  <si>
    <t>Imprevistos de administración (s/ gastos marcados como base)</t>
  </si>
  <si>
    <t>PDF p. 19: 5% sobre administración (excluye alquiler y expensas).</t>
  </si>
  <si>
    <t>G12</t>
  </si>
  <si>
    <t>Tributo de maquila (s/ ventas)</t>
  </si>
  <si>
    <t>PDF p. 7: 1% sobre el valor exportado (verificar Ley 7547/2025).</t>
  </si>
  <si>
    <t>G13</t>
  </si>
  <si>
    <t>Seguro de caución y otros cargos (s/ ventas)</t>
  </si>
  <si>
    <t>Seguro de caución: 0,1% de ventas (inferido del PDF).</t>
  </si>
  <si>
    <t>G14</t>
  </si>
  <si>
    <t>Comisiones y logística de venta (s/ ventas)</t>
  </si>
  <si>
    <t>PDF: sin gastos de venta (pendiente confirmar).</t>
  </si>
  <si>
    <t>G15</t>
  </si>
  <si>
    <t>Impuesto a la renta (s/ resultado)</t>
  </si>
  <si>
    <t>PDF: IRE no aplica bajo maquila (verificar).</t>
  </si>
  <si>
    <t>G16</t>
  </si>
  <si>
    <t>Días de cobro a clientes</t>
  </si>
  <si>
    <t>días</t>
  </si>
  <si>
    <t>PDF p. 8.</t>
  </si>
  <si>
    <t>G17</t>
  </si>
  <si>
    <t>Días de inventario de materiales</t>
  </si>
  <si>
    <t>PDF p. 8: materia prima e insumos.</t>
  </si>
  <si>
    <t>G18</t>
  </si>
  <si>
    <t>Días de producto terminado</t>
  </si>
  <si>
    <t>G19</t>
  </si>
  <si>
    <t>Días de pago a proveedores de materiales</t>
  </si>
  <si>
    <t>PDF p. 24.</t>
  </si>
  <si>
    <t>G20</t>
  </si>
  <si>
    <t>Días de pago a otros proveedores</t>
  </si>
  <si>
    <t>G21</t>
  </si>
  <si>
    <t>Caja mínima operativa</t>
  </si>
  <si>
    <t>días de ventas</t>
  </si>
  <si>
    <t>PDF cuadro 16: 3 días de ventas.</t>
  </si>
  <si>
    <t>G22</t>
  </si>
  <si>
    <t>IVA recuperable de los costos fijos gravados</t>
  </si>
  <si>
    <t>PDF: IVA considerado costo (criterio prudencial).</t>
  </si>
  <si>
    <t>G23</t>
  </si>
  <si>
    <t>Meses para recuperar el IVA</t>
  </si>
  <si>
    <t>meses</t>
  </si>
  <si>
    <t>Supuesto provisional.</t>
  </si>
  <si>
    <t>G24</t>
  </si>
  <si>
    <t>IVA sobre intereses</t>
  </si>
  <si>
    <t>PDF p. 4.</t>
  </si>
  <si>
    <t>G25</t>
  </si>
  <si>
    <t>Tasa de descuento del proyecto (WACC, anual)</t>
  </si>
  <si>
    <t>Tasa ponderada inicial del PDF (histórica: 93% deuda a 9%). Actualizar.</t>
  </si>
  <si>
    <t>G26</t>
  </si>
  <si>
    <t>Costo del capital propio (Ke, anual)</t>
  </si>
  <si>
    <t>PDF p. 9 (histórica).</t>
  </si>
  <si>
    <t>G27</t>
  </si>
  <si>
    <t>Recuperación del capital de trabajo al final del horizonte</t>
  </si>
  <si>
    <t>Supuesto provisional: recuperación total del capital de trabajo al final.</t>
  </si>
  <si>
    <t>G28</t>
  </si>
  <si>
    <t>Valor de realización del activo fijo al final (s/ valor contable)</t>
  </si>
  <si>
    <t>Supuesto provisional: valor contable = valor de realización (requiere tasación).</t>
  </si>
  <si>
    <t>G29</t>
  </si>
  <si>
    <t>Mes de pago de dividendos del año siguiente (1-12)</t>
  </si>
  <si>
    <t>Supuesto provisional: dividendos pagados en abril del año siguiente.</t>
  </si>
  <si>
    <t>B. Supuestos por año (año 1 = primer año de operación; el TC se aplica por año del modelo)</t>
  </si>
  <si>
    <t>Concepto</t>
  </si>
  <si>
    <t>Año 1</t>
  </si>
  <si>
    <t>Año 2</t>
  </si>
  <si>
    <t>Año 3</t>
  </si>
  <si>
    <t>Año 4</t>
  </si>
  <si>
    <t>Año 5</t>
  </si>
  <si>
    <t>Año 6</t>
  </si>
  <si>
    <t>Año 7</t>
  </si>
  <si>
    <t>Año 8</t>
  </si>
  <si>
    <t>Año 9</t>
  </si>
  <si>
    <t>Año 10</t>
  </si>
  <si>
    <t>Nota</t>
  </si>
  <si>
    <t>PRESUPUESTO ORIGINAL</t>
  </si>
  <si>
    <t>TC</t>
  </si>
  <si>
    <t>Tipo de cambio (Gs/USD) — por año del modelo</t>
  </si>
  <si>
    <t>Gs/USD</t>
  </si>
  <si>
    <t>dPrecio</t>
  </si>
  <si>
    <t>Variación de precios de venta (año de operación)</t>
  </si>
  <si>
    <t>dMP</t>
  </si>
  <si>
    <t>Variación del costo de materia prima</t>
  </si>
  <si>
    <t>dOV</t>
  </si>
  <si>
    <t>Variación de insumos y otros costos variables</t>
  </si>
  <si>
    <t>dSal</t>
  </si>
  <si>
    <t>Ajuste salarial</t>
  </si>
  <si>
    <t>Payout</t>
  </si>
  <si>
    <t>Dividendos (% del resultado del año)</t>
  </si>
  <si>
    <t>Índice acumulado de precios (cálculo)</t>
  </si>
  <si>
    <t>Índice acumulado de materia prima (cálculo)</t>
  </si>
  <si>
    <t>Índice acumulado de otros variables (cálculo)</t>
  </si>
  <si>
    <t>Índice acumulado de salarios (cálculo)</t>
  </si>
  <si>
    <t>VIGENTE (hereda el presupuesto)</t>
  </si>
  <si>
    <t>C. Escenarios (se aplican solo a la proyección vigente, después del último mes cerrado)</t>
  </si>
  <si>
    <t>Ajuste</t>
  </si>
  <si>
    <t>Conservador</t>
  </si>
  <si>
    <t>Optimista</t>
  </si>
  <si>
    <t>Aplicado</t>
  </si>
  <si>
    <t>E1</t>
  </si>
  <si>
    <t>Ajuste de volumen</t>
  </si>
  <si>
    <t>E2</t>
  </si>
  <si>
    <t>Ajuste de precio</t>
  </si>
  <si>
    <t>E3</t>
  </si>
  <si>
    <t>Ajuste de costo de materiales y variables</t>
  </si>
  <si>
    <t>E4</t>
  </si>
  <si>
    <t>Ajuste del tipo de cambio (+ = más Gs por USD)</t>
  </si>
  <si>
    <t>E5</t>
  </si>
  <si>
    <t>Atraso adicional del inicio de operación</t>
  </si>
  <si>
    <t>E6</t>
  </si>
  <si>
    <t>Sobrecosto sobre CAPEX pendiente</t>
  </si>
  <si>
    <t>E7</t>
  </si>
  <si>
    <t>Días de cobro (vacío = vigente)</t>
  </si>
  <si>
    <t>E8</t>
  </si>
  <si>
    <t>Días de inventario (vacío = vigente)</t>
  </si>
  <si>
    <t>Índice del escenario activo</t>
  </si>
  <si>
    <t>Conservador y Optimista son ajustes ILUSTRATIVOS editables, no premisas aprobadas.</t>
  </si>
  <si>
    <t>D. Referencia del plan publicado (opcional; solo para comparar)</t>
  </si>
  <si>
    <t>Ventas</t>
  </si>
  <si>
    <t>Ventas publicadas</t>
  </si>
  <si>
    <t>USD</t>
  </si>
  <si>
    <t>EBITDA</t>
  </si>
  <si>
    <t>EBITDA publicado</t>
  </si>
  <si>
    <t>Utilidad</t>
  </si>
  <si>
    <t>Resultado neto publicado</t>
  </si>
  <si>
    <t>VAN</t>
  </si>
  <si>
    <t>VAN publicado</t>
  </si>
  <si>
    <t>TIR</t>
  </si>
  <si>
    <t>TIR publicada</t>
  </si>
  <si>
    <t>Plan Oct-2025, cuadros 15 y 19. El VAN/TIR publicados mezclan flujo del proyecto y del accionista.</t>
  </si>
  <si>
    <t>E. Parámetros aplicados por versión (cálculo automático; no editar)</t>
  </si>
  <si>
    <t>Presupuesto (P)</t>
  </si>
  <si>
    <t>Vigente (V)</t>
  </si>
  <si>
    <t>Ajuste de materiales</t>
  </si>
  <si>
    <t>Ajuste de TC</t>
  </si>
  <si>
    <t>Sobrecosto CAPEX pendiente</t>
  </si>
  <si>
    <t>Último mes cerrado (0 = sin reales)</t>
  </si>
  <si>
    <t>Último mes del horizonte (fijo, según presupuesto)</t>
  </si>
  <si>
    <t>Días por mes</t>
  </si>
  <si>
    <t>Productos — precios, costos unitarios, capacidad y volúmenes (USD por unidad de venta)</t>
  </si>
  <si>
    <t>Hasta 25 productos. Las columnas «vigente» heredan el presupuesto; sobrescribir lo que cambió.</t>
  </si>
  <si>
    <t>A. Datos por producto</t>
  </si>
  <si>
    <t>#</t>
  </si>
  <si>
    <t>Producto</t>
  </si>
  <si>
    <t>Capacidad inicial (u/año)</t>
  </si>
  <si>
    <t>Capacidad ampliada (u/año)</t>
  </si>
  <si>
    <t>Desde año de operación</t>
  </si>
  <si>
    <t>Precio año 1 — presupuesto</t>
  </si>
  <si>
    <t>Precio año 1 — vigente</t>
  </si>
  <si>
    <t>Materia prima /u — presupuesto</t>
  </si>
  <si>
    <t>Materia prima /u — vigente</t>
  </si>
  <si>
    <t>Insumos /u — presupuesto</t>
  </si>
  <si>
    <t>Insumos /u — vigente</t>
  </si>
  <si>
    <t>Otros variables /u — presupuesto</t>
  </si>
  <si>
    <t>Otros variables /u — vigente</t>
  </si>
  <si>
    <t>Gabinetes metálicos 153 kg</t>
  </si>
  <si>
    <t>u</t>
  </si>
  <si>
    <t>Otros variables = consumibles 4,709 (inferido) + flete 23,20 (inferido del cuadro 10a).</t>
  </si>
  <si>
    <t>Cajas metálicas 13 kg</t>
  </si>
  <si>
    <t>Insumos = 339.570/70.000. Otros variables = consumibles 0,65 + flete 2,08 (inferido).</t>
  </si>
  <si>
    <t>B. Ventas en unidades por año de operación — PRESUPUESTO ORIGINAL</t>
  </si>
  <si>
    <t>Total</t>
  </si>
  <si>
    <t>C. Ventas en unidades por año de operación — VIGENTE (hereda; sobrescribir lo que cambió)</t>
  </si>
  <si>
    <t>D. Control de capacidad — unidades vigentes por encima de la capacidad (incluye merma)</t>
  </si>
  <si>
    <t>Años con exceso</t>
  </si>
  <si>
    <t>Capacidad 0 = no informada (no se controla).</t>
  </si>
  <si>
    <t>Costos — personal por puesto y costos fijos</t>
  </si>
  <si>
    <t>Salarios y costos fijos pueden cargarse en PYG o USD (columna Moneda). Se convierten con el TC de cada año.</t>
  </si>
  <si>
    <t>A. Personal por puesto — salario mensual y dotación por año de operación (PRESUPUESTO ORIGINAL; salario vigente al lado)</t>
  </si>
  <si>
    <t>Puesto</t>
  </si>
  <si>
    <t>Clase</t>
  </si>
  <si>
    <t>Moneda</t>
  </si>
  <si>
    <t>Salario mensual — presupuesto</t>
  </si>
  <si>
    <t>Salario mensual — vigente</t>
  </si>
  <si>
    <t>Dot. año 1</t>
  </si>
  <si>
    <t>Dot. año 2</t>
  </si>
  <si>
    <t>Dot. año 3</t>
  </si>
  <si>
    <t>Dot. año 4</t>
  </si>
  <si>
    <t>Dot. año 5</t>
  </si>
  <si>
    <t>Dot. año 6</t>
  </si>
  <si>
    <t>Dot. año 7</t>
  </si>
  <si>
    <t>Dot. año 8</t>
  </si>
  <si>
    <t>Dot. año 9</t>
  </si>
  <si>
    <t>Dot. año 10</t>
  </si>
  <si>
    <t>Operador láser</t>
  </si>
  <si>
    <t>Directo</t>
  </si>
  <si>
    <t>PYG</t>
  </si>
  <si>
    <t>Doblador</t>
  </si>
  <si>
    <t>Soldador</t>
  </si>
  <si>
    <t>Baño</t>
  </si>
  <si>
    <t>Pintor</t>
  </si>
  <si>
    <t>Montador</t>
  </si>
  <si>
    <t>Ayudante</t>
  </si>
  <si>
    <t>Gerente General</t>
  </si>
  <si>
    <t>Administración</t>
  </si>
  <si>
    <t>Gerente Industrial</t>
  </si>
  <si>
    <t>Indirecto</t>
  </si>
  <si>
    <t>Coord. Prod. Corte y Deformación</t>
  </si>
  <si>
    <t>Coord. Prod. Soldadura</t>
  </si>
  <si>
    <t>Coord. Prod. Trat. Sup. y Pintura</t>
  </si>
  <si>
    <t>Coord. Prod. Montaje</t>
  </si>
  <si>
    <t>Ingeniería</t>
  </si>
  <si>
    <t>Mantenimiento</t>
  </si>
  <si>
    <t>PCP</t>
  </si>
  <si>
    <t>Analista PCP</t>
  </si>
  <si>
    <t>Depósito</t>
  </si>
  <si>
    <t>Compras</t>
  </si>
  <si>
    <t>Logística/Comex</t>
  </si>
  <si>
    <t>Coord. Control Calidad</t>
  </si>
  <si>
    <t>Asistente Control Calidad</t>
  </si>
  <si>
    <t>Coord. Procesos</t>
  </si>
  <si>
    <t>Asistente Procesos</t>
  </si>
  <si>
    <t>Administrador</t>
  </si>
  <si>
    <t>Asistente Administrativo</t>
  </si>
  <si>
    <t>Totales de dotación</t>
  </si>
  <si>
    <t>Clase: Directo = mano de obra de producción; Indirecto = supervisión, calidad, mantenimiento, depósito (costo de producción); Administración = gerencia general y administración.</t>
  </si>
  <si>
    <t>B. Dotación VIGENTE por año de operación (hereda; sobrescribir lo que cambió)</t>
  </si>
  <si>
    <t>Totales de dotación vigente</t>
  </si>
  <si>
    <t>C. Costos fijos y gastos (monto mensual del año 1)</t>
  </si>
  <si>
    <t>Monto mensual — presupuesto</t>
  </si>
  <si>
    <t>Monto mensual — vigente</t>
  </si>
  <si>
    <t>Crecimiento anual</t>
  </si>
  <si>
    <t>Desde año de operación (0 = implantación)</t>
  </si>
  <si>
    <t>IVA incluido</t>
  </si>
  <si>
    <t>Base de imprevistos (1/0)</t>
  </si>
  <si>
    <t>Energía eléctrica planta</t>
  </si>
  <si>
    <t>Producción</t>
  </si>
  <si>
    <t>Gs 168 M/año (inferido del PDF).</t>
  </si>
  <si>
    <t>Mantenimiento y reparaciones planta</t>
  </si>
  <si>
    <t>USD 29.708/año; PDF crece 2% lineal (aquí 2% compuesto).</t>
  </si>
  <si>
    <t>Alquiler de nave (3.865 m2 x USD 4 + IVA)</t>
  </si>
  <si>
    <t>PDF: «costo de oportunidad». Confirmar si es pago real.</t>
  </si>
  <si>
    <t>Expensas (USD 0,20/m2)</t>
  </si>
  <si>
    <t>PDF p. 19.</t>
  </si>
  <si>
    <t>Agua, comunicaciones y electricidad</t>
  </si>
  <si>
    <t>Gs 9 M/año (inferido).</t>
  </si>
  <si>
    <t>Mantenimiento y reparaciones adm.</t>
  </si>
  <si>
    <t>Gs 36 M/año (inferido).</t>
  </si>
  <si>
    <t>Seguros sobre activos fijos</t>
  </si>
  <si>
    <t>Gs 60 M/año (inferido).</t>
  </si>
  <si>
    <t>Gastos generales</t>
  </si>
  <si>
    <t>USD 22.060/año.</t>
  </si>
  <si>
    <t>Honorarios y otros fijos</t>
  </si>
  <si>
    <t>Gs 182 M/año (inferido).</t>
  </si>
  <si>
    <t>Montos con IVA incluido cuando no es recuperable (criterio prudencial). Los imprevistos de producción se calculan sobre todos los costos de producción.</t>
  </si>
  <si>
    <t>Inversión y financiamiento — CAPEX por ítem, préstamos y aportes (USD)</t>
  </si>
  <si>
    <t>Costo final estimado = ejecutado + comprometido pendiente + por contratar. Los pendientes se pagan en el «mes de pago pendiente».</t>
  </si>
  <si>
    <t>A. Inversiones (CAPEX)</t>
  </si>
  <si>
    <t>Ítem</t>
  </si>
  <si>
    <t>Mes de pago (presup.)</t>
  </si>
  <si>
    <t>Vida útil (años)</t>
  </si>
  <si>
    <t>Ejecutado (devengado real)</t>
  </si>
  <si>
    <t>Pagado (real)</t>
  </si>
  <si>
    <t>Comprometido pendiente</t>
  </si>
  <si>
    <t>Por contratar (si difiere)</t>
  </si>
  <si>
    <t>Mes de pago pendiente (si difiere)</t>
  </si>
  <si>
    <t>Mes de puesta en servicio real</t>
  </si>
  <si>
    <t>Por contratar usado</t>
  </si>
  <si>
    <t>Costo final estimado</t>
  </si>
  <si>
    <t>Desvío vs presupuesto</t>
  </si>
  <si>
    <t>Avance financiero</t>
  </si>
  <si>
    <t>Mes de pago pendiente usado</t>
  </si>
  <si>
    <t>Pendiente devengado + comprometido</t>
  </si>
  <si>
    <t>Servicio (presup.)</t>
  </si>
  <si>
    <t>Servicio (vigente)</t>
  </si>
  <si>
    <t>Base depreciable vigente</t>
  </si>
  <si>
    <t>Adecuación de infraestructura</t>
  </si>
  <si>
    <t>Infraestructura</t>
  </si>
  <si>
    <t>Conjunto línea de pintura</t>
  </si>
  <si>
    <t>Maquinaria</t>
  </si>
  <si>
    <t>Cortadoras láser (2)</t>
  </si>
  <si>
    <t>Manipulador</t>
  </si>
  <si>
    <t>Dobladoras (4)</t>
  </si>
  <si>
    <t>Soldadoras (6)</t>
  </si>
  <si>
    <t>Lijadoras (4)</t>
  </si>
  <si>
    <t>Conjunto baño</t>
  </si>
  <si>
    <t>Línea de montaje</t>
  </si>
  <si>
    <t>Montacargas</t>
  </si>
  <si>
    <t>Soldadoras capacitivas (2)</t>
  </si>
  <si>
    <t>Software de gestión</t>
  </si>
  <si>
    <t>Intangible</t>
  </si>
  <si>
    <t>Mobiliario</t>
  </si>
  <si>
    <t>Inversión adicional año 2 (no desagregada)</t>
  </si>
  <si>
    <t>Pendiente</t>
  </si>
  <si>
    <t>TOTAL</t>
  </si>
  <si>
    <t>Maquinaria = CIF + despacho asignado (3% del CIF). Vida útil del ítem del año 2: provisional.</t>
  </si>
  <si>
    <t>B. Préstamos (sistema francés; desembolso al inicio del mes; tasa mensual = nominal anual / 12)</t>
  </si>
  <si>
    <t>Condición</t>
  </si>
  <si>
    <t>Préstamo 1 — presupuesto</t>
  </si>
  <si>
    <t>Préstamo 1 — vigente</t>
  </si>
  <si>
    <t>Préstamo 2 — presupuesto</t>
  </si>
  <si>
    <t>Préstamo 2 — vigente</t>
  </si>
  <si>
    <t>Préstamo 3 — presupuesto</t>
  </si>
  <si>
    <t>Préstamo 3 — vigente</t>
  </si>
  <si>
    <t>Nombre / banco</t>
  </si>
  <si>
    <t>Préstamo bancario inicial</t>
  </si>
  <si>
    <t>Monto</t>
  </si>
  <si>
    <t>Mes de desembolso</t>
  </si>
  <si>
    <t>Tasa nominal anual</t>
  </si>
  <si>
    <t>Meses de gracia (solo intereses)</t>
  </si>
  <si>
    <t>Cuotas de capital e interés</t>
  </si>
  <si>
    <t>cuotas</t>
  </si>
  <si>
    <t>Préstamo de corto plazo con cronograma (p. ej. 12 cuotas o pago único): cargarlo como préstamo 2 o 3.</t>
  </si>
  <si>
    <t>B2. Línea de crédito rotativa de corto plazo (capital de trabajo): se usa solo si la caja cae bajo el mínimo y se devuelve con el excedente</t>
  </si>
  <si>
    <t>Presupuesto</t>
  </si>
  <si>
    <t>Límite aprobado</t>
  </si>
  <si>
    <t>0 o vacío = sin línea.</t>
  </si>
  <si>
    <t>Tasa nominal anual (interés mensual sobre el saldo usado)</t>
  </si>
  <si>
    <t>Más IVA sobre intereses (Supuestos G24).</t>
  </si>
  <si>
    <t>Disponible desde el mes</t>
  </si>
  <si>
    <t>Vacío = desde el mes 1.</t>
  </si>
  <si>
    <t>Vencimiento: último mes de uso (luego se cancela el saldo)</t>
  </si>
  <si>
    <t>Vacío = fin del horizonte. Al vencer se paga todo el saldo aunque falte caja (riesgo de renovación).</t>
  </si>
  <si>
    <t>Saldo utilizado de la línea al último mes cerrado (solo vigente)</t>
  </si>
  <si>
    <t>Los usos y devoluciones reales se cargan en Reales (desembolsos / amortización); aquí solo el saldo al corte.</t>
  </si>
  <si>
    <t>Los dividendos solo se pagan con caja sobre el mínimo después de devolver la línea.</t>
  </si>
  <si>
    <t>C. Aportes de socios (efectivo o especie)</t>
  </si>
  <si>
    <t>Mes — presupuesto</t>
  </si>
  <si>
    <t>Monto — presupuesto</t>
  </si>
  <si>
    <t>Mes — vigente</t>
  </si>
  <si>
    <t>Monto — vigente</t>
  </si>
  <si>
    <t>Aporte propio inicial</t>
  </si>
  <si>
    <t>Aporte adicional año 1 (plan)</t>
  </si>
  <si>
    <t>Aporte adicional año 2 (plan)</t>
  </si>
  <si>
    <t>Detalle_24m — proyección mes a mes de la ventana móvil (vigente)</t>
  </si>
  <si>
    <t>Celda vacía = usa el supuesto anual vigente. Solo se usan los meses de la ventana (amarillo): del mes siguiente al último cierre hasta el mes Corte + n_Ventana.</t>
  </si>
  <si>
    <t>Mes n°</t>
  </si>
  <si>
    <t>Ref. anual</t>
  </si>
  <si>
    <t>Año del modelo</t>
  </si>
  <si>
    <t>Estado</t>
  </si>
  <si>
    <t>A. Tipo de cambio del mes (Gs/USD)</t>
  </si>
  <si>
    <t>Tipo de cambio del mes</t>
  </si>
  <si>
    <t>Celdas con dato en el mes</t>
  </si>
  <si>
    <t>B. Volumen de ventas por producto (unidades del mes)</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</si>
  <si>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</si>
  <si>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</si>
  <si>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</si>
  <si>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</si>
  <si>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</si>
  <si>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</si>
  <si>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</si>
  <si>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</si>
  <si>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</si>
  <si>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</si>
  <si>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</si>
  <si>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</si>
  <si>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</si>
  <si>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</si>
  <si>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</si>
  <si>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</si>
  <si>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</si>
  <si>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</si>
  <si>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</si>
  <si>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</si>
  <si>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</si>
  <si>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</si>
  <si>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</si>
  <si>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</si>
  <si>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</si>
  <si>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C. Precio de venta por producto (USD por unidad)</t>
  </si>
  <si>
    <t>P1</t>
  </si>
  <si>
    <t>USD/u</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</si>
  <si>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</si>
  <si>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</si>
  <si>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</si>
  <si>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</si>
  <si>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</si>
  <si>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</si>
  <si>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</si>
  <si>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</si>
  <si>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</si>
  <si>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</si>
  <si>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</si>
  <si>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</si>
  <si>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</si>
  <si>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</si>
  <si>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</si>
  <si>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</si>
  <si>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</si>
  <si>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</si>
  <si>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</si>
  <si>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</si>
  <si>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</si>
  <si>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</si>
  <si>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</si>
  <si>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</si>
  <si>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D. Materia prima por unidad (USD)</t>
  </si>
  <si>
    <t>MP1</t>
  </si>
  <si>
    <t>MP2</t>
  </si>
  <si>
    <t>MP3</t>
  </si>
  <si>
    <t>MP4</t>
  </si>
  <si>
    <t>MP5</t>
  </si>
  <si>
    <t>MP6</t>
  </si>
  <si>
    <t>MP7</t>
  </si>
  <si>
    <t>MP8</t>
  </si>
  <si>
    <t>MP9</t>
  </si>
  <si>
    <t>MP10</t>
  </si>
  <si>
    <t>MP11</t>
  </si>
  <si>
    <t>MP12</t>
  </si>
  <si>
    <t>MP13</t>
  </si>
  <si>
    <t>MP14</t>
  </si>
  <si>
    <t>MP15</t>
  </si>
  <si>
    <t>MP16</t>
  </si>
  <si>
    <t>MP17</t>
  </si>
  <si>
    <t>MP18</t>
  </si>
  <si>
    <t>MP19</t>
  </si>
  <si>
    <t>MP20</t>
  </si>
  <si>
    <t>MP21</t>
  </si>
  <si>
    <t>MP22</t>
  </si>
  <si>
    <t>MP23</t>
  </si>
  <si>
    <t>MP24</t>
  </si>
  <si>
    <t>MP25</t>
  </si>
  <si>
    <t>E. Insumos por unidad (USD)</t>
  </si>
  <si>
    <t>IN1</t>
  </si>
  <si>
    <t>IN2</t>
  </si>
  <si>
    <t>IN3</t>
  </si>
  <si>
    <t>IN4</t>
  </si>
  <si>
    <t>IN5</t>
  </si>
  <si>
    <t>IN6</t>
  </si>
  <si>
    <t>IN7</t>
  </si>
  <si>
    <t>IN8</t>
  </si>
  <si>
    <t>IN9</t>
  </si>
  <si>
    <t>IN10</t>
  </si>
  <si>
    <t>IN11</t>
  </si>
  <si>
    <t>IN12</t>
  </si>
  <si>
    <t>IN13</t>
  </si>
  <si>
    <t>IN14</t>
  </si>
  <si>
    <t>IN15</t>
  </si>
  <si>
    <t>IN16</t>
  </si>
  <si>
    <t>IN17</t>
  </si>
  <si>
    <t>IN18</t>
  </si>
  <si>
    <t>IN19</t>
  </si>
  <si>
    <t>IN20</t>
  </si>
  <si>
    <t>IN21</t>
  </si>
  <si>
    <t>IN22</t>
  </si>
  <si>
    <t>IN23</t>
  </si>
  <si>
    <t>IN24</t>
  </si>
  <si>
    <t>IN25</t>
  </si>
  <si>
    <t>F. Otros costos variables por unidad (USD)</t>
  </si>
  <si>
    <t>OV1</t>
  </si>
  <si>
    <t>OV2</t>
  </si>
  <si>
    <t>OV3</t>
  </si>
  <si>
    <t>OV4</t>
  </si>
  <si>
    <t>OV5</t>
  </si>
  <si>
    <t>OV6</t>
  </si>
  <si>
    <t>OV7</t>
  </si>
  <si>
    <t>OV8</t>
  </si>
  <si>
    <t>OV9</t>
  </si>
  <si>
    <t>OV10</t>
  </si>
  <si>
    <t>OV11</t>
  </si>
  <si>
    <t>OV12</t>
  </si>
  <si>
    <t>OV13</t>
  </si>
  <si>
    <t>OV14</t>
  </si>
  <si>
    <t>OV15</t>
  </si>
  <si>
    <t>OV16</t>
  </si>
  <si>
    <t>OV17</t>
  </si>
  <si>
    <t>OV18</t>
  </si>
  <si>
    <t>OV19</t>
  </si>
  <si>
    <t>OV20</t>
  </si>
  <si>
    <t>OV21</t>
  </si>
  <si>
    <t>OV22</t>
  </si>
  <si>
    <t>OV23</t>
  </si>
  <si>
    <t>OV24</t>
  </si>
  <si>
    <t>OV25</t>
  </si>
  <si>
    <t>G. Dotación por puesto (personas en el mes)</t>
  </si>
  <si>
    <t>DO1</t>
  </si>
  <si>
    <t>pers.</t>
  </si>
  <si>
    <t>DO2</t>
  </si>
  <si>
    <t>DO3</t>
  </si>
  <si>
    <t>DO4</t>
  </si>
  <si>
    <t>DO5</t>
  </si>
  <si>
    <t>DO6</t>
  </si>
  <si>
    <t>DO7</t>
  </si>
  <si>
    <t>DO8</t>
  </si>
  <si>
    <t>DO9</t>
  </si>
  <si>
    <t>DO10</t>
  </si>
  <si>
    <t>DO11</t>
  </si>
  <si>
    <t>DO12</t>
  </si>
  <si>
    <t>DO13</t>
  </si>
  <si>
    <t>DO14</t>
  </si>
  <si>
    <t>DO15</t>
  </si>
  <si>
    <t>DO16</t>
  </si>
  <si>
    <t>DO17</t>
  </si>
  <si>
    <t>DO18</t>
  </si>
  <si>
    <t>DO19</t>
  </si>
  <si>
    <t>DO20</t>
  </si>
  <si>
    <t>DO21</t>
  </si>
  <si>
    <t>DO22</t>
  </si>
  <si>
    <t>DO23</t>
  </si>
  <si>
    <t>DO24</t>
  </si>
  <si>
    <t>DO25</t>
  </si>
  <si>
    <t>DO26</t>
  </si>
  <si>
    <t>DO27</t>
  </si>
  <si>
    <t>DO28</t>
  </si>
  <si>
    <t>DO29</t>
  </si>
  <si>
    <t>DO30</t>
  </si>
  <si>
    <t>H. Salario mensual por puesto (moneda del puesto, sin cargas)</t>
  </si>
  <si>
    <t>SA1</t>
  </si>
  <si>
    <t>SA2</t>
  </si>
  <si>
    <t>SA3</t>
  </si>
  <si>
    <t>SA4</t>
  </si>
  <si>
    <t>SA5</t>
  </si>
  <si>
    <t>SA6</t>
  </si>
  <si>
    <t>SA7</t>
  </si>
  <si>
    <t>SA8</t>
  </si>
  <si>
    <t>SA9</t>
  </si>
  <si>
    <t>SA10</t>
  </si>
  <si>
    <t>SA11</t>
  </si>
  <si>
    <t>SA12</t>
  </si>
  <si>
    <t>SA13</t>
  </si>
  <si>
    <t>SA14</t>
  </si>
  <si>
    <t>SA15</t>
  </si>
  <si>
    <t>SA16</t>
  </si>
  <si>
    <t>SA17</t>
  </si>
  <si>
    <t>SA18</t>
  </si>
  <si>
    <t>SA19</t>
  </si>
  <si>
    <t>SA20</t>
  </si>
  <si>
    <t>SA21</t>
  </si>
  <si>
    <t>SA22</t>
  </si>
  <si>
    <t>SA23</t>
  </si>
  <si>
    <t>SA24</t>
  </si>
  <si>
    <t>SA25</t>
  </si>
  <si>
    <t>SA26</t>
  </si>
  <si>
    <t>SA27</t>
  </si>
  <si>
    <t>SA28</t>
  </si>
  <si>
    <t>SA29</t>
  </si>
  <si>
    <t>SA30</t>
  </si>
  <si>
    <t>I. Costos fijos: monto del mes por concepto (moneda del concepto)</t>
  </si>
  <si>
    <t>FC1</t>
  </si>
  <si>
    <t>FC2</t>
  </si>
  <si>
    <t>FC3</t>
  </si>
  <si>
    <t>FC4</t>
  </si>
  <si>
    <t>FC5</t>
  </si>
  <si>
    <t>FC6</t>
  </si>
  <si>
    <t>FC7</t>
  </si>
  <si>
    <t>FC8</t>
  </si>
  <si>
    <t>FC9</t>
  </si>
  <si>
    <t>FC10</t>
  </si>
  <si>
    <t>FC11</t>
  </si>
  <si>
    <t>FC12</t>
  </si>
  <si>
    <t>FC13</t>
  </si>
  <si>
    <t>FC14</t>
  </si>
  <si>
    <t>FC15</t>
  </si>
  <si>
    <t>FC16</t>
  </si>
  <si>
    <t>FC17</t>
  </si>
  <si>
    <t>FC18</t>
  </si>
  <si>
    <t>FC19</t>
  </si>
  <si>
    <t>FC20</t>
  </si>
  <si>
    <t>FC21</t>
  </si>
  <si>
    <t>FC22</t>
  </si>
  <si>
    <t>FC23</t>
  </si>
  <si>
    <t>FC24</t>
  </si>
  <si>
    <t>FC25</t>
  </si>
  <si>
    <t>Montos de salarios y costos fijos en la moneda definida en Costos (PYG o USD). Volumen: se usa desde el inicio de operación.</t>
  </si>
  <si>
    <t>Reales — carga mensual de la ejecución (un dato por celda; solo meses cerrados)</t>
  </si>
  <si>
    <t>Montos en la moneda de la columna C (USD o PYG). Un mes cerrado sin datos se informa en Control (un faltante no equivale a cero).</t>
  </si>
  <si>
    <t>Total cargado</t>
  </si>
  <si>
    <t>Tipo de cambio</t>
  </si>
  <si>
    <t>Tipo de cambio real del mes (Gs/USD)</t>
  </si>
  <si>
    <t>U1</t>
  </si>
  <si>
    <t>U2</t>
  </si>
  <si>
    <t>U3</t>
  </si>
  <si>
    <t>U4</t>
  </si>
  <si>
    <t>U5</t>
  </si>
  <si>
    <t>U6</t>
  </si>
  <si>
    <t>U7</t>
  </si>
  <si>
    <t>U8</t>
  </si>
  <si>
    <t>U9</t>
  </si>
  <si>
    <t>U10</t>
  </si>
  <si>
    <t>U11</t>
  </si>
  <si>
    <t>U12</t>
  </si>
  <si>
    <t>U13</t>
  </si>
  <si>
    <t>U14</t>
  </si>
  <si>
    <t>U15</t>
  </si>
  <si>
    <t>U16</t>
  </si>
  <si>
    <t>U17</t>
  </si>
  <si>
    <t>U18</t>
  </si>
  <si>
    <t>U19</t>
  </si>
  <si>
    <t>U20</t>
  </si>
  <si>
    <t>U21</t>
  </si>
  <si>
    <t>U22</t>
  </si>
  <si>
    <t>U23</t>
  </si>
  <si>
    <t>U24</t>
  </si>
  <si>
    <t>U25</t>
  </si>
  <si>
    <t>Ventas por producto (facturación neta)</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</si>
  <si>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</si>
  <si>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</si>
  <si>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</si>
  <si>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</si>
  <si>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</si>
  <si>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</si>
  <si>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</si>
  <si>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</si>
  <si>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</si>
  <si>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</si>
  <si>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</si>
  <si>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</si>
  <si>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</si>
  <si>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</si>
  <si>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</si>
  <si>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</si>
  <si>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</si>
  <si>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</si>
  <si>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</si>
  <si>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</si>
  <si>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</si>
  <si>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</si>
  <si>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</si>
  <si>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</si>
  <si>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</si>
  <si>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Costos y gastos devengados (sin IVA recuperable)</t>
  </si>
  <si>
    <t>MAT</t>
  </si>
  <si>
    <t>Materia prima e insumos consumidos</t>
  </si>
  <si>
    <t>OVAR</t>
  </si>
  <si>
    <t>Otros costos variables (flete, despacho, packaging, seguros, comisiones)</t>
  </si>
  <si>
    <t>PERP</t>
  </si>
  <si>
    <t>Personal de producción (directo e indirecto, con cargas)</t>
  </si>
  <si>
    <t>PERA</t>
  </si>
  <si>
    <t>Personal administrativo (con cargas)</t>
  </si>
  <si>
    <t>FIJP</t>
  </si>
  <si>
    <t>Costos fijos de producción (energía, mantenimiento, otros)</t>
  </si>
  <si>
    <t>ADM</t>
  </si>
  <si>
    <t>Gastos de administración (alquiler, servicios, honorarios, otros)</t>
  </si>
  <si>
    <t>TRIB</t>
  </si>
  <si>
    <t>Tributo de maquila</t>
  </si>
  <si>
    <t>Inversión y financiamiento (movimientos de caja)</t>
  </si>
  <si>
    <t>CAPEX</t>
  </si>
  <si>
    <t>CAPEX pagado</t>
  </si>
  <si>
    <t>DESEMB</t>
  </si>
  <si>
    <t>Desembolsos de préstamos recibidos (incluye línea rotativa)</t>
  </si>
  <si>
    <t>INT</t>
  </si>
  <si>
    <t>Intereses, IVA y comisiones pagados</t>
  </si>
  <si>
    <t>AMORT</t>
  </si>
  <si>
    <t>Amortización de préstamos pagada (incluye devoluciones de la línea)</t>
  </si>
  <si>
    <t>APORTE</t>
  </si>
  <si>
    <t>Aportes de socios recibidos</t>
  </si>
  <si>
    <t>DIV</t>
  </si>
  <si>
    <t>Dividendos pagados</t>
  </si>
  <si>
    <t>Saldos al cierre del mes (obligatorio en el último mes cerrado)</t>
  </si>
  <si>
    <t>S_CAJA</t>
  </si>
  <si>
    <t>Caja y bancos</t>
  </si>
  <si>
    <t>S_CXC</t>
  </si>
  <si>
    <t>Cuentas por cobrar a clientes</t>
  </si>
  <si>
    <t>S_INV</t>
  </si>
  <si>
    <t>Inventarios (materiales y producto terminado)</t>
  </si>
  <si>
    <t>S_IVA</t>
  </si>
  <si>
    <t>Crédito fiscal IVA por recuperar</t>
  </si>
  <si>
    <t>S_PROV</t>
  </si>
  <si>
    <t>Proveedores y cuentas por pagar</t>
  </si>
  <si>
    <t>S_DEUDA</t>
  </si>
  <si>
    <t>Deuda financiera (control)</t>
  </si>
  <si>
    <t>Cálculo — motor mensual (no editar)</t>
  </si>
  <si>
    <t>Bloque P = presupuesto original (solo supuestos originales). Bloque V = vigente: Reales hasta el último mes cerrado + proyección con escenario. Mismas fórmulas.</t>
  </si>
  <si>
    <t>m</t>
  </si>
  <si>
    <t>fecha</t>
  </si>
  <si>
    <t>anio</t>
  </si>
  <si>
    <t>Mes del año del modelo</t>
  </si>
  <si>
    <t>real</t>
  </si>
  <si>
    <t>Mes real cerrado (1/0)</t>
  </si>
  <si>
    <t>hor</t>
  </si>
  <si>
    <t>Dentro del horizonte (1/0)</t>
  </si>
  <si>
    <t>tcr</t>
  </si>
  <si>
    <t>TC para convertir reales (real del mes o vigente)</t>
  </si>
  <si>
    <t>BLOQUE P — PRESUPUESTO ORIGINAL</t>
  </si>
  <si>
    <t>Calendario de la versión</t>
  </si>
  <si>
    <t>P.aop</t>
  </si>
  <si>
    <t>Año de operación (0 = fuera de operación)</t>
  </si>
  <si>
    <t>n°</t>
  </si>
  <si>
    <t>P.op</t>
  </si>
  <si>
    <t>Operación (1/0)</t>
  </si>
  <si>
    <t>1/0</t>
  </si>
  <si>
    <t>P.pre</t>
  </si>
  <si>
    <t>Implantación: antes del inicio de operación (1/0)</t>
  </si>
  <si>
    <t>P.ya</t>
  </si>
  <si>
    <t>Índice de año para crecimientos (mín. 1)</t>
  </si>
  <si>
    <t>P.tc</t>
  </si>
  <si>
    <t>Tipo de cambio aplicado (Gs/USD)</t>
  </si>
  <si>
    <t>P.itc</t>
  </si>
  <si>
    <t>Inverso del TC (0 si falta el TC)</t>
  </si>
  <si>
    <t>P.u1</t>
  </si>
  <si>
    <t>P.u2</t>
  </si>
  <si>
    <t>P.u3</t>
  </si>
  <si>
    <t>P.u4</t>
  </si>
  <si>
    <t>P.u5</t>
  </si>
  <si>
    <t>P.u6</t>
  </si>
  <si>
    <t>P.u7</t>
  </si>
  <si>
    <t>P.u8</t>
  </si>
  <si>
    <t>P.u9</t>
  </si>
  <si>
    <t>P.u10</t>
  </si>
  <si>
    <t>P.u11</t>
  </si>
  <si>
    <t>P.u12</t>
  </si>
  <si>
    <t>P.u13</t>
  </si>
  <si>
    <t>P.u14</t>
  </si>
  <si>
    <t>P.u15</t>
  </si>
  <si>
    <t>P.u16</t>
  </si>
  <si>
    <t>P.u17</t>
  </si>
  <si>
    <t>P.u18</t>
  </si>
  <si>
    <t>P.u19</t>
  </si>
  <si>
    <t>P.u20</t>
  </si>
  <si>
    <t>P.u21</t>
  </si>
  <si>
    <t>P.u22</t>
  </si>
  <si>
    <t>P.u23</t>
  </si>
  <si>
    <t>P.u24</t>
  </si>
  <si>
    <t>P.u25</t>
  </si>
  <si>
    <t>P.s1</t>
  </si>
  <si>
    <t>P.s2</t>
  </si>
  <si>
    <t>P.s3</t>
  </si>
  <si>
    <t>P.s4</t>
  </si>
  <si>
    <t>P.s5</t>
  </si>
  <si>
    <t>P.s6</t>
  </si>
  <si>
    <t>P.s7</t>
  </si>
  <si>
    <t>P.s8</t>
  </si>
  <si>
    <t>P.s9</t>
  </si>
  <si>
    <t>P.s10</t>
  </si>
  <si>
    <t>P.s11</t>
  </si>
  <si>
    <t>P.s12</t>
  </si>
  <si>
    <t>P.s13</t>
  </si>
  <si>
    <t>P.s14</t>
  </si>
  <si>
    <t>P.s15</t>
  </si>
  <si>
    <t>P.s16</t>
  </si>
  <si>
    <t>P.s17</t>
  </si>
  <si>
    <t>P.s18</t>
  </si>
  <si>
    <t>P.s19</t>
  </si>
  <si>
    <t>P.s20</t>
  </si>
  <si>
    <t>P.s21</t>
  </si>
  <si>
    <t>P.s22</t>
  </si>
  <si>
    <t>P.s23</t>
  </si>
  <si>
    <t>P.s24</t>
  </si>
  <si>
    <t>P.s25</t>
  </si>
  <si>
    <t>P.vtas</t>
  </si>
  <si>
    <t>VENTAS TOTALES</t>
  </si>
  <si>
    <t>Costos de la proyección (en meses reales se reemplazan por Reales)</t>
  </si>
  <si>
    <t>P.mp_f</t>
  </si>
  <si>
    <t>Materia prima</t>
  </si>
  <si>
    <t>P.ins_f</t>
  </si>
  <si>
    <t>Insumos</t>
  </si>
  <si>
    <t>P.ov_f</t>
  </si>
  <si>
    <t>Otros costos variables por unidad</t>
  </si>
  <si>
    <t>P.desp_f</t>
  </si>
  <si>
    <t>Despacho de importación</t>
  </si>
  <si>
    <t>P.dir_n</t>
  </si>
  <si>
    <t>Personas activas — Directo</t>
  </si>
  <si>
    <t>P.dir_f</t>
  </si>
  <si>
    <t>Personal — Directo (salarios, cargas y alimentación)</t>
  </si>
  <si>
    <t>P.ind_n</t>
  </si>
  <si>
    <t>Personas activas — Indirecto</t>
  </si>
  <si>
    <t>P.ind_f</t>
  </si>
  <si>
    <t>Personal — Indirecto (salarios, cargas y alimentación)</t>
  </si>
  <si>
    <t>P.adm_n</t>
  </si>
  <si>
    <t>Personas activas — Administración</t>
  </si>
  <si>
    <t>P.adm_f</t>
  </si>
  <si>
    <t>Personal — Administración (salarios, cargas y alimentación)</t>
  </si>
  <si>
    <t>P.pkg_f</t>
  </si>
  <si>
    <t>Packaging</t>
  </si>
  <si>
    <t>P.vs_f</t>
  </si>
  <si>
    <t>Seguro de caución, comisiones y logística de venta</t>
  </si>
  <si>
    <t>P.trib_f</t>
  </si>
  <si>
    <t>P.fp_f</t>
  </si>
  <si>
    <t>Costos fijos de producción</t>
  </si>
  <si>
    <t>P.fa_f</t>
  </si>
  <si>
    <t>Costos fijos de administración</t>
  </si>
  <si>
    <t>P.fab_f</t>
  </si>
  <si>
    <t>Costos fijos de administración en base de imprevistos</t>
  </si>
  <si>
    <t>P.impp_f</t>
  </si>
  <si>
    <t>Imprevistos de producción</t>
  </si>
  <si>
    <t>P.impa_f</t>
  </si>
  <si>
    <t>Imprevistos de administración</t>
  </si>
  <si>
    <t>P.ivac_f</t>
  </si>
  <si>
    <t>IVA contenido en costos fijos</t>
  </si>
  <si>
    <t>Estado de resultados</t>
  </si>
  <si>
    <t>P.MAT</t>
  </si>
  <si>
    <t>Materia prima e insumos</t>
  </si>
  <si>
    <t>P.OVAR</t>
  </si>
  <si>
    <t>Otros costos variables</t>
  </si>
  <si>
    <t>P.PERP</t>
  </si>
  <si>
    <t>Personal de producción</t>
  </si>
  <si>
    <t>P.FIJP</t>
  </si>
  <si>
    <t>Costos fijos de producción e imprevistos</t>
  </si>
  <si>
    <t>P.MB</t>
  </si>
  <si>
    <t>MARGEN BRUTO</t>
  </si>
  <si>
    <t>P.PERA</t>
  </si>
  <si>
    <t>Personal administrativo</t>
  </si>
  <si>
    <t>P.ADM</t>
  </si>
  <si>
    <t>Gastos de administración e imprevistos</t>
  </si>
  <si>
    <t>P.TRIB</t>
  </si>
  <si>
    <t>P.IVAR</t>
  </si>
  <si>
    <t>(+) IVA recuperable (reduce costos)</t>
  </si>
  <si>
    <t>P.EBITDA</t>
  </si>
  <si>
    <t>P.DEP</t>
  </si>
  <si>
    <t>Depreciación y amortización</t>
  </si>
  <si>
    <t>P.EBIT</t>
  </si>
  <si>
    <t>EBIT</t>
  </si>
  <si>
    <t>P.INT</t>
  </si>
  <si>
    <t>Intereses, IVA y comisiones</t>
  </si>
  <si>
    <t>P.IRE</t>
  </si>
  <si>
    <t>Impuesto a la renta</t>
  </si>
  <si>
    <t>P.NI</t>
  </si>
  <si>
    <t>RESULTADO NETO</t>
  </si>
  <si>
    <t>Capital de trabajo (saldos por días; en el mes de corte se usan los saldos reales)</t>
  </si>
  <si>
    <t>P.cxc</t>
  </si>
  <si>
    <t>Cuentas por cobrar</t>
  </si>
  <si>
    <t>P.inv</t>
  </si>
  <si>
    <t>P.ivab</t>
  </si>
  <si>
    <t>Crédito fiscal IVA</t>
  </si>
  <si>
    <t>P.prov</t>
  </si>
  <si>
    <t>Proveedores</t>
  </si>
  <si>
    <t>P.ctn</t>
  </si>
  <si>
    <t>CAPITAL DE TRABAJO NETO</t>
  </si>
  <si>
    <t>P.dct</t>
  </si>
  <si>
    <t>Variación del capital de trabajo</t>
  </si>
  <si>
    <t>Flujo de caja e inversión</t>
  </si>
  <si>
    <t>P.CFO</t>
  </si>
  <si>
    <t>FLUJO OPERATIVO (EBITDA - impuesto - Δ capital de trabajo)</t>
  </si>
  <si>
    <t>P.CAPEX</t>
  </si>
  <si>
    <t>P.AF</t>
  </si>
  <si>
    <t>Activo fijo neto (CAPEX acumulado - depreciación acumulada)</t>
  </si>
  <si>
    <t>P.VT</t>
  </si>
  <si>
    <t>Valor terminal (capital de trabajo y activo fijo realizables)</t>
  </si>
  <si>
    <t>P.FCFF</t>
  </si>
  <si>
    <t>FLUJO LIBRE DEL PROYECTO (FCFF)</t>
  </si>
  <si>
    <t>P.CUML</t>
  </si>
  <si>
    <t>Flujo acumulado antes de financiamiento (CFO - CAPEX)</t>
  </si>
  <si>
    <t>Préstamos (cronograma contractual)</t>
  </si>
  <si>
    <t>P.L1_des</t>
  </si>
  <si>
    <t>Préstamo 1: desembolso</t>
  </si>
  <si>
    <t>P.L1_int</t>
  </si>
  <si>
    <t>Préstamo 1: interés</t>
  </si>
  <si>
    <t>P.L1_am</t>
  </si>
  <si>
    <t>Préstamo 1: amortización</t>
  </si>
  <si>
    <t>P.L1_sal</t>
  </si>
  <si>
    <t>Préstamo 1: saldo</t>
  </si>
  <si>
    <t>P.L2_des</t>
  </si>
  <si>
    <t>Préstamo 2: desembolso</t>
  </si>
  <si>
    <t>P.L2_int</t>
  </si>
  <si>
    <t>Préstamo 2: interés</t>
  </si>
  <si>
    <t>P.L2_am</t>
  </si>
  <si>
    <t>Préstamo 2: amortización</t>
  </si>
  <si>
    <t>P.L2_sal</t>
  </si>
  <si>
    <t>Préstamo 2: saldo</t>
  </si>
  <si>
    <t>P.L3_des</t>
  </si>
  <si>
    <t>Préstamo 3: desembolso</t>
  </si>
  <si>
    <t>P.L3_int</t>
  </si>
  <si>
    <t>Préstamo 3: interés</t>
  </si>
  <si>
    <t>P.L3_am</t>
  </si>
  <si>
    <t>Préstamo 3: amortización</t>
  </si>
  <si>
    <t>P.L3_sal</t>
  </si>
  <si>
    <t>Préstamo 3: saldo</t>
  </si>
  <si>
    <t>Financiamiento y tesorería</t>
  </si>
  <si>
    <t>P.DESL</t>
  </si>
  <si>
    <t>Desembolsos de préstamos</t>
  </si>
  <si>
    <t>P.AML</t>
  </si>
  <si>
    <t>Amortización de préstamos (cronograma)</t>
  </si>
  <si>
    <t>P.APORTE</t>
  </si>
  <si>
    <t>Aportes de socios</t>
  </si>
  <si>
    <t>P.LCA</t>
  </si>
  <si>
    <t>Línea rotativa disponible (1/0)</t>
  </si>
  <si>
    <t>P.LCI</t>
  </si>
  <si>
    <t>Línea rotativa: interés del mes (sobre el saldo anterior)</t>
  </si>
  <si>
    <t>P.CAJA0</t>
  </si>
  <si>
    <t>Caja antes de línea rotativa y dividendos</t>
  </si>
  <si>
    <t>P.CMIN</t>
  </si>
  <si>
    <t>P.LCD</t>
  </si>
  <si>
    <t>Línea rotativa: uso</t>
  </si>
  <si>
    <t>P.LCR</t>
  </si>
  <si>
    <t>Línea rotativa: devolución (con excedente; total al vencer)</t>
  </si>
  <si>
    <t>P.LCS</t>
  </si>
  <si>
    <t>Línea rotativa: saldo</t>
  </si>
  <si>
    <t>P.DESEMB</t>
  </si>
  <si>
    <t>DESEMBOLSOS TOTALES (préstamos + línea)</t>
  </si>
  <si>
    <t>P.AMORT</t>
  </si>
  <si>
    <t>AMORTIZACIONES TOTALES (préstamos + línea)</t>
  </si>
  <si>
    <t>P.DEUDA</t>
  </si>
  <si>
    <t>DEUDA FINANCIERA (saldo)</t>
  </si>
  <si>
    <t>P.CAJA1</t>
  </si>
  <si>
    <t>Caja después de la línea rotativa</t>
  </si>
  <si>
    <t>P.NIY</t>
  </si>
  <si>
    <t>Resultado neto acumulado del año</t>
  </si>
  <si>
    <t>P.NIP</t>
  </si>
  <si>
    <t>Resultado neto del año anterior</t>
  </si>
  <si>
    <t>P.DIVD</t>
  </si>
  <si>
    <t>Dividendos según política (resultado del año anterior)</t>
  </si>
  <si>
    <t>P.DIV</t>
  </si>
  <si>
    <t>Dividendos pagados (solo con caja sobre el mínimo)</t>
  </si>
  <si>
    <t>P.CAJA</t>
  </si>
  <si>
    <t>CAJA FINAL</t>
  </si>
  <si>
    <t>P.AJ</t>
  </si>
  <si>
    <t>Ajuste de conciliación con la caja real</t>
  </si>
  <si>
    <t>P.BRECHA</t>
  </si>
  <si>
    <t>Brecha: caja por debajo de la caja mínima</t>
  </si>
  <si>
    <t>P.DEF</t>
  </si>
  <si>
    <t>Caja negativa a cubrir por los socios (aporte implícito acumulado)</t>
  </si>
  <si>
    <t>Valuación y control</t>
  </si>
  <si>
    <t>P.DFP</t>
  </si>
  <si>
    <t>Factor de descuento del proyecto</t>
  </si>
  <si>
    <t>P.DFE</t>
  </si>
  <si>
    <t>Factor de descuento de los socios</t>
  </si>
  <si>
    <t>P.EQ</t>
  </si>
  <si>
    <t>Flujo de los socios (-aportes - cobertura de caja negativa + dividendos + valor final)</t>
  </si>
  <si>
    <t>P.CUMF</t>
  </si>
  <si>
    <t>FCFF acumulado</t>
  </si>
  <si>
    <t>P.PB</t>
  </si>
  <si>
    <t>Recupero de la inversión (mes con interpolación)</t>
  </si>
  <si>
    <t>P.PAT</t>
  </si>
  <si>
    <t>Patrimonio (aportes + resultados - dividendos + ajustes)</t>
  </si>
  <si>
    <t>P.CHK</t>
  </si>
  <si>
    <t>CONTROL: activo - pasivo - patrimonio (0 = OK)</t>
  </si>
  <si>
    <t>BLOQUE V — VIGENTE: REAL HASTA EL CORTE + PROYECCIÓN</t>
  </si>
  <si>
    <t>V.aop</t>
  </si>
  <si>
    <t>V.op</t>
  </si>
  <si>
    <t>V.pre</t>
  </si>
  <si>
    <t>V.ya</t>
  </si>
  <si>
    <t>V.tc</t>
  </si>
  <si>
    <t>V.itc</t>
  </si>
  <si>
    <t>V.u1</t>
  </si>
  <si>
    <t>V.u2</t>
  </si>
  <si>
    <t>V.u3</t>
  </si>
  <si>
    <t>V.u4</t>
  </si>
  <si>
    <t>V.u5</t>
  </si>
  <si>
    <t>V.u6</t>
  </si>
  <si>
    <t>V.u7</t>
  </si>
  <si>
    <t>V.u8</t>
  </si>
  <si>
    <t>V.u9</t>
  </si>
  <si>
    <t>V.u10</t>
  </si>
  <si>
    <t>V.u11</t>
  </si>
  <si>
    <t>V.u12</t>
  </si>
  <si>
    <t>V.u13</t>
  </si>
  <si>
    <t>V.u14</t>
  </si>
  <si>
    <t>V.u15</t>
  </si>
  <si>
    <t>V.u16</t>
  </si>
  <si>
    <t>V.u17</t>
  </si>
  <si>
    <t>V.u18</t>
  </si>
  <si>
    <t>V.u19</t>
  </si>
  <si>
    <t>V.u20</t>
  </si>
  <si>
    <t>V.u21</t>
  </si>
  <si>
    <t>V.u22</t>
  </si>
  <si>
    <t>V.u23</t>
  </si>
  <si>
    <t>V.u24</t>
  </si>
  <si>
    <t>V.u25</t>
  </si>
  <si>
    <t>V.s1</t>
  </si>
  <si>
    <t>V.s2</t>
  </si>
  <si>
    <t>V.s3</t>
  </si>
  <si>
    <t>V.s4</t>
  </si>
  <si>
    <t>V.s5</t>
  </si>
  <si>
    <t>V.s6</t>
  </si>
  <si>
    <t>V.s7</t>
  </si>
  <si>
    <t>V.s8</t>
  </si>
  <si>
    <t>V.s9</t>
  </si>
  <si>
    <t>V.s10</t>
  </si>
  <si>
    <t>V.s11</t>
  </si>
  <si>
    <t>V.s12</t>
  </si>
  <si>
    <t>V.s13</t>
  </si>
  <si>
    <t>V.s14</t>
  </si>
  <si>
    <t>V.s15</t>
  </si>
  <si>
    <t>V.s16</t>
  </si>
  <si>
    <t>V.s17</t>
  </si>
  <si>
    <t>V.s18</t>
  </si>
  <si>
    <t>V.s19</t>
  </si>
  <si>
    <t>V.s20</t>
  </si>
  <si>
    <t>V.s21</t>
  </si>
  <si>
    <t>V.s22</t>
  </si>
  <si>
    <t>V.s23</t>
  </si>
  <si>
    <t>V.s24</t>
  </si>
  <si>
    <t>V.s25</t>
  </si>
  <si>
    <t>V.vtas</t>
  </si>
  <si>
    <t>V.mp_f</t>
  </si>
  <si>
    <t>V.ins_f</t>
  </si>
  <si>
    <t>V.ov_f</t>
  </si>
  <si>
    <t>V.desp_f</t>
  </si>
  <si>
    <t>V.dir_n</t>
  </si>
  <si>
    <t>V.dir_f</t>
  </si>
  <si>
    <t>V.ind_n</t>
  </si>
  <si>
    <t>V.ind_f</t>
  </si>
  <si>
    <t>V.adm_n</t>
  </si>
  <si>
    <t>V.adm_f</t>
  </si>
  <si>
    <t>V.pkg_f</t>
  </si>
  <si>
    <t>V.vs_f</t>
  </si>
  <si>
    <t>V.trib_f</t>
  </si>
  <si>
    <t>V.fp_f</t>
  </si>
  <si>
    <t>V.fa_f</t>
  </si>
  <si>
    <t>V.fab_f</t>
  </si>
  <si>
    <t>V.impp_f</t>
  </si>
  <si>
    <t>V.impa_f</t>
  </si>
  <si>
    <t>V.ivac_f</t>
  </si>
  <si>
    <t>V.MAT</t>
  </si>
  <si>
    <t>V.OVAR</t>
  </si>
  <si>
    <t>V.PERP</t>
  </si>
  <si>
    <t>V.FIJP</t>
  </si>
  <si>
    <t>V.MB</t>
  </si>
  <si>
    <t>V.PERA</t>
  </si>
  <si>
    <t>V.ADM</t>
  </si>
  <si>
    <t>V.TRIB</t>
  </si>
  <si>
    <t>V.IVAR</t>
  </si>
  <si>
    <t>V.EBITDA</t>
  </si>
  <si>
    <t>V.DEP</t>
  </si>
  <si>
    <t>V.EBIT</t>
  </si>
  <si>
    <t>V.INT</t>
  </si>
  <si>
    <t>V.IRE</t>
  </si>
  <si>
    <t>V.NI</t>
  </si>
  <si>
    <t>V.cxc</t>
  </si>
  <si>
    <t>V.inv</t>
  </si>
  <si>
    <t>V.ivab</t>
  </si>
  <si>
    <t>V.prov</t>
  </si>
  <si>
    <t>V.ctn</t>
  </si>
  <si>
    <t>V.dct</t>
  </si>
  <si>
    <t>V.CFO</t>
  </si>
  <si>
    <t>V.CAPEX</t>
  </si>
  <si>
    <t>V.AF</t>
  </si>
  <si>
    <t>V.VT</t>
  </si>
  <si>
    <t>V.FCFF</t>
  </si>
  <si>
    <t>V.CUML</t>
  </si>
  <si>
    <t>V.L1_des</t>
  </si>
  <si>
    <t>V.L1_int</t>
  </si>
  <si>
    <t>V.L1_am</t>
  </si>
  <si>
    <t>V.L1_sal</t>
  </si>
  <si>
    <t>V.L2_des</t>
  </si>
  <si>
    <t>V.L2_int</t>
  </si>
  <si>
    <t>V.L2_am</t>
  </si>
  <si>
    <t>V.L2_sal</t>
  </si>
  <si>
    <t>V.L3_des</t>
  </si>
  <si>
    <t>V.L3_int</t>
  </si>
  <si>
    <t>V.L3_am</t>
  </si>
  <si>
    <t>V.L3_sal</t>
  </si>
  <si>
    <t>V.DESL</t>
  </si>
  <si>
    <t>V.AML</t>
  </si>
  <si>
    <t>V.APORTE</t>
  </si>
  <si>
    <t>V.LCA</t>
  </si>
  <si>
    <t>V.LCI</t>
  </si>
  <si>
    <t>V.CAJA0</t>
  </si>
  <si>
    <t>V.CMIN</t>
  </si>
  <si>
    <t>V.LCD</t>
  </si>
  <si>
    <t>V.LCR</t>
  </si>
  <si>
    <t>V.LCS</t>
  </si>
  <si>
    <t>V.DESEMB</t>
  </si>
  <si>
    <t>V.AMORT</t>
  </si>
  <si>
    <t>V.DEUDA</t>
  </si>
  <si>
    <t>V.CAJA1</t>
  </si>
  <si>
    <t>V.NIY</t>
  </si>
  <si>
    <t>V.NIP</t>
  </si>
  <si>
    <t>V.DIVD</t>
  </si>
  <si>
    <t>V.DIV</t>
  </si>
  <si>
    <t>V.CAJA</t>
  </si>
  <si>
    <t>V.AJ</t>
  </si>
  <si>
    <t>V.BRECHA</t>
  </si>
  <si>
    <t>V.DEF</t>
  </si>
  <si>
    <t>V.DFP</t>
  </si>
  <si>
    <t>V.DFE</t>
  </si>
  <si>
    <t>V.EQ</t>
  </si>
  <si>
    <t>V.CUMF</t>
  </si>
  <si>
    <t>V.PB</t>
  </si>
  <si>
    <t>V.PAT</t>
  </si>
  <si>
    <t>V.CHK</t>
  </si>
  <si>
    <t>Proyección de los próximos 24 meses — vigente (real hasta el corte + detalle mensual + supuestos anuales)</t>
  </si>
  <si>
    <t>Mes de la proyección</t>
  </si>
  <si>
    <t>Año 1 ventana</t>
  </si>
  <si>
    <t>Año 2 ventana</t>
  </si>
  <si>
    <t>Total 24 meses</t>
  </si>
  <si>
    <t>Mes del modelo</t>
  </si>
  <si>
    <t>Origen de volúmenes</t>
  </si>
  <si>
    <t>Origen de costos</t>
  </si>
  <si>
    <t>A. Vigente: resultado, caja y financiamiento</t>
  </si>
  <si>
    <t>Gastos de administración</t>
  </si>
  <si>
    <t>Depreciación</t>
  </si>
  <si>
    <t>Resultado neto</t>
  </si>
  <si>
    <t>Flujo operativo</t>
  </si>
  <si>
    <t>Desembolsos (préstamos + línea)</t>
  </si>
  <si>
    <t>Amortizaciones (préstamos + línea)</t>
  </si>
  <si>
    <t>Caja al cierre</t>
  </si>
  <si>
    <t>Deuda al cierre</t>
  </si>
  <si>
    <t>Capital de trabajo neto</t>
  </si>
  <si>
    <t>Brecha bajo la caja mínima (máx.)</t>
  </si>
  <si>
    <t>Margen EBITDA</t>
  </si>
  <si>
    <t>B. Presupuesto original en los mismos meses y desvío</t>
  </si>
  <si>
    <t>Ventas — presupuesto</t>
  </si>
  <si>
    <t>EBITDA — presupuesto</t>
  </si>
  <si>
    <t>Resultado neto — presupuesto</t>
  </si>
  <si>
    <t>Caja al cierre — presupuesto</t>
  </si>
  <si>
    <t>Desvío ventas (vigente − presupuesto)</t>
  </si>
  <si>
    <t>Desvío EBITDA</t>
  </si>
  <si>
    <t>Desvío resultado neto</t>
  </si>
  <si>
    <t>Desvío caja al cierre</t>
  </si>
  <si>
    <t>Fuente: hoja Calculo (bloques V y P). Meses reales = Reales; ventana = Detalle_24m donde hay dato; resto = supuestos anuales.</t>
  </si>
  <si>
    <t>Resultados — presupuesto original vs vigente (real + proyección)</t>
  </si>
  <si>
    <t>A. Indicadores clave</t>
  </si>
  <si>
    <t>Indicador</t>
  </si>
  <si>
    <t>Vigente (real + proyección)</t>
  </si>
  <si>
    <t>Desvío</t>
  </si>
  <si>
    <t>Ventas del año 1 del modelo</t>
  </si>
  <si>
    <t>Ventas totales del horizonte</t>
  </si>
  <si>
    <t>EBITDA del año 1 del modelo</t>
  </si>
  <si>
    <t>EBITDA total del horizonte</t>
  </si>
  <si>
    <t>Margen EBITDA del horizonte</t>
  </si>
  <si>
    <t>Resultado neto total</t>
  </si>
  <si>
    <t>Inversión total (CAPEX)</t>
  </si>
  <si>
    <t>Vigente: real pagado + pendiente con escenario.</t>
  </si>
  <si>
    <t>Necesidad máxima de fondos antes de financiamiento</t>
  </si>
  <si>
    <t>Inversión + capital de trabajo + pérdidas iniciales que deben financiar socios y bancos.</t>
  </si>
  <si>
    <t>Mes de la necesidad máxima</t>
  </si>
  <si>
    <t>Aporte adicional necesario para no tener caja negativa</t>
  </si>
  <si>
    <t>Fondos no previstos que deberían aportar socios o bancos (máximo saldo de caja negativa).</t>
  </si>
  <si>
    <t>Deuda financiera máxima</t>
  </si>
  <si>
    <t>Préstamos + línea rotativa.</t>
  </si>
  <si>
    <t>Línea rotativa: uso máximo</t>
  </si>
  <si>
    <t>0 = no se usó o no hay línea.</t>
  </si>
  <si>
    <t>Intereses, IVA y comisiones totales</t>
  </si>
  <si>
    <t>Cancelación total de la deuda (años desde el mes 1)</t>
  </si>
  <si>
    <t>Último mes con saldo de deuda + 1, en años.</t>
  </si>
  <si>
    <t>Caja final mínima del horizonte</t>
  </si>
  <si>
    <t>Negativa = financiamiento no previsto.</t>
  </si>
  <si>
    <t>Brecha máxima bajo la caja mínima</t>
  </si>
  <si>
    <t>No se insertan fondos ficticios: la brecha queda visible.</t>
  </si>
  <si>
    <t>Meses con brecha</t>
  </si>
  <si>
    <t>DSCR mínimo desde el 2.º año de operación (flujo operativo / servicio de deuda)</t>
  </si>
  <si>
    <t>Servicio = intereses + cuotas de préstamos (sin devoluciones de la línea). &lt; 1 = la operación no alcanza a pagar la deuda ese año.</t>
  </si>
  <si>
    <t>VAN del proyecto (FCFF a WACC)</t>
  </si>
  <si>
    <t>Excluye préstamos, intereses, aportes y dividendos.</t>
  </si>
  <si>
    <t>TIR del proyecto (anual)</t>
  </si>
  <si>
    <t>VAN de los socios (a Ke)</t>
  </si>
  <si>
    <t>Aportes, dividendos pagados y valor final. La caja negativa se considera cubierta por los socios hasta que se recupera.</t>
  </si>
  <si>
    <t>TIR de los socios (anual)</t>
  </si>
  <si>
    <t>Recupero de la inversión del proyecto (años)</t>
  </si>
  <si>
    <t>Balance de control (0 = OK)</t>
  </si>
  <si>
    <t>Plan publicado (referencia): VAN / TIR</t>
  </si>
  <si>
    <t>Cifras del documento original, calculadas con su propia metodología.</t>
  </si>
  <si>
    <t>B. Vigente (real hasta el corte + proyección) — resumen anual</t>
  </si>
  <si>
    <t>Concepto (USD)</t>
  </si>
  <si>
    <t>Año 11</t>
  </si>
  <si>
    <t>Año 12</t>
  </si>
  <si>
    <t>Estado del año</t>
  </si>
  <si>
    <t>Año calendario</t>
  </si>
  <si>
    <t>V_vtas</t>
  </si>
  <si>
    <t>V_MAT</t>
  </si>
  <si>
    <t>V_OVAR</t>
  </si>
  <si>
    <t>V_PERP</t>
  </si>
  <si>
    <t>V_FIJP</t>
  </si>
  <si>
    <t>V_MB</t>
  </si>
  <si>
    <t>Margen bruto</t>
  </si>
  <si>
    <t>V_PERA</t>
  </si>
  <si>
    <t>V_ADM</t>
  </si>
  <si>
    <t>V_TRIB</t>
  </si>
  <si>
    <t>V_IVAR</t>
  </si>
  <si>
    <t>(+) IVA recuperable</t>
  </si>
  <si>
    <t>V_EBITDA</t>
  </si>
  <si>
    <t>V_DEP</t>
  </si>
  <si>
    <t>V_INT</t>
  </si>
  <si>
    <t>V_IRE</t>
  </si>
  <si>
    <t>V_NI</t>
  </si>
  <si>
    <t>V_CFO</t>
  </si>
  <si>
    <t>V_CAPEX</t>
  </si>
  <si>
    <t>V_FCFF</t>
  </si>
  <si>
    <t>FCFF (incluye valor terminal)</t>
  </si>
  <si>
    <t>V_APORTE</t>
  </si>
  <si>
    <t>V_DESEMB</t>
  </si>
  <si>
    <t>V_AMORT</t>
  </si>
  <si>
    <t>V_AML</t>
  </si>
  <si>
    <t xml:space="preserve">   de las cuales: cuotas de préstamos</t>
  </si>
  <si>
    <t>V_DIV</t>
  </si>
  <si>
    <t>V_CAJA</t>
  </si>
  <si>
    <t>V_DEUDA</t>
  </si>
  <si>
    <t>V_LCS</t>
  </si>
  <si>
    <t xml:space="preserve">   de la cual: línea rotativa</t>
  </si>
  <si>
    <t>V_CTN</t>
  </si>
  <si>
    <t>Capital de trabajo neto al cierre</t>
  </si>
  <si>
    <t>V_BRECHA</t>
  </si>
  <si>
    <t>Brecha máxima del año</t>
  </si>
  <si>
    <t>V_mg</t>
  </si>
  <si>
    <t>V_DS</t>
  </si>
  <si>
    <t>Servicio de deuda (intereses + amortización)</t>
  </si>
  <si>
    <t>V_DSCR</t>
  </si>
  <si>
    <t>DSCR (flujo operativo / servicio de deuda)</t>
  </si>
  <si>
    <t>YN</t>
  </si>
  <si>
    <t>Año n° (auxiliar)</t>
  </si>
  <si>
    <t>V_u1</t>
  </si>
  <si>
    <t>V_u2</t>
  </si>
  <si>
    <t>V_u3</t>
  </si>
  <si>
    <t>V_u4</t>
  </si>
  <si>
    <t>V_u5</t>
  </si>
  <si>
    <t>V_u6</t>
  </si>
  <si>
    <t>V_u7</t>
  </si>
  <si>
    <t>V_u8</t>
  </si>
  <si>
    <t>V_u9</t>
  </si>
  <si>
    <t>V_u10</t>
  </si>
  <si>
    <t>V_u11</t>
  </si>
  <si>
    <t>V_u12</t>
  </si>
  <si>
    <t>V_u13</t>
  </si>
  <si>
    <t>V_u14</t>
  </si>
  <si>
    <t>V_u15</t>
  </si>
  <si>
    <t>V_u16</t>
  </si>
  <si>
    <t>V_u17</t>
  </si>
  <si>
    <t>V_u18</t>
  </si>
  <si>
    <t>V_u19</t>
  </si>
  <si>
    <t>V_u20</t>
  </si>
  <si>
    <t>V_u21</t>
  </si>
  <si>
    <t>V_u22</t>
  </si>
  <si>
    <t>V_u23</t>
  </si>
  <si>
    <t>V_u24</t>
  </si>
  <si>
    <t>V_u25</t>
  </si>
  <si>
    <t>C. Presupuesto original — resumen anual</t>
  </si>
  <si>
    <t>P_vtas</t>
  </si>
  <si>
    <t>P_EBITDA</t>
  </si>
  <si>
    <t>P_NI</t>
  </si>
  <si>
    <t>P_CFO</t>
  </si>
  <si>
    <t>P_CAPEX</t>
  </si>
  <si>
    <t>P_FCFF</t>
  </si>
  <si>
    <t>P_APORTE</t>
  </si>
  <si>
    <t>P_INT</t>
  </si>
  <si>
    <t>P_AMORT</t>
  </si>
  <si>
    <t>P_AML</t>
  </si>
  <si>
    <t>P_CAJA</t>
  </si>
  <si>
    <t>P_DEUDA</t>
  </si>
  <si>
    <t>P_CTN</t>
  </si>
  <si>
    <t>P_DS</t>
  </si>
  <si>
    <t>Servicio de deuda</t>
  </si>
  <si>
    <t>P_DSCR</t>
  </si>
  <si>
    <t>DSCR</t>
  </si>
  <si>
    <t>P_u1</t>
  </si>
  <si>
    <t>P_u2</t>
  </si>
  <si>
    <t>P_u3</t>
  </si>
  <si>
    <t>P_u4</t>
  </si>
  <si>
    <t>P_u5</t>
  </si>
  <si>
    <t>P_u6</t>
  </si>
  <si>
    <t>P_u7</t>
  </si>
  <si>
    <t>P_u8</t>
  </si>
  <si>
    <t>P_u9</t>
  </si>
  <si>
    <t>P_u10</t>
  </si>
  <si>
    <t>P_u11</t>
  </si>
  <si>
    <t>P_u12</t>
  </si>
  <si>
    <t>P_u13</t>
  </si>
  <si>
    <t>P_u14</t>
  </si>
  <si>
    <t>P_u15</t>
  </si>
  <si>
    <t>P_u16</t>
  </si>
  <si>
    <t>P_u17</t>
  </si>
  <si>
    <t>P_u18</t>
  </si>
  <si>
    <t>P_u19</t>
  </si>
  <si>
    <t>P_u20</t>
  </si>
  <si>
    <t>P_u21</t>
  </si>
  <si>
    <t>P_u22</t>
  </si>
  <si>
    <t>P_u23</t>
  </si>
  <si>
    <t>P_u24</t>
  </si>
  <si>
    <t>P_u25</t>
  </si>
  <si>
    <t>D. Desvíos: vigente - presupuesto original</t>
  </si>
  <si>
    <t>FCFF</t>
  </si>
  <si>
    <t>Unidades totales</t>
  </si>
  <si>
    <t>% de desvío en ventas</t>
  </si>
  <si>
    <t>E. Plan publicado (referencia) vs presupuesto original del modelo — explica diferencias de metodología</t>
  </si>
  <si>
    <t xml:space="preserve">   Diferencia presupuesto del modelo - publicado</t>
  </si>
  <si>
    <t>Etiquetas de gráficos</t>
  </si>
  <si>
    <t>Control — validaciones y datos faltantes</t>
  </si>
  <si>
    <t>Estado OK cuando el valor está dentro de lo esperado. Revisar cada cierre.</t>
  </si>
  <si>
    <t>Esperado</t>
  </si>
  <si>
    <t>Qué hacer si no está OK</t>
  </si>
  <si>
    <t>C01</t>
  </si>
  <si>
    <t>Balance del presupuesto cuadra (activo - pasivo - patrimonio)</t>
  </si>
  <si>
    <t>Error de fórmula: no editar Calculo; revisar entradas en blanco.</t>
  </si>
  <si>
    <t>C02</t>
  </si>
  <si>
    <t>Balance vigente cuadra</t>
  </si>
  <si>
    <t>Idem.</t>
  </si>
  <si>
    <t>C03</t>
  </si>
  <si>
    <t>Meses cerrados sin ventas cargadas</t>
  </si>
  <si>
    <t>Cargar ventas reales del mes en Reales (si realmente no hubo ventas, cargar 0 explícito y documentarlo).</t>
  </si>
  <si>
    <t>C04</t>
  </si>
  <si>
    <t>Meses cerrados sin costos de materiales ni personal cargados</t>
  </si>
  <si>
    <t>Cargar costos reales del mes.</t>
  </si>
  <si>
    <t>C05</t>
  </si>
  <si>
    <t>Saldo de caja real cargado en el mes de corte</t>
  </si>
  <si>
    <t>Cargar el saldo de caja y bancos al cierre del último mes cerrado.</t>
  </si>
  <si>
    <t>C06</t>
  </si>
  <si>
    <t>Saldos de clientes, inventarios y proveedores cargados en el mes de corte</t>
  </si>
  <si>
    <t>Sin estos saldos el capital de trabajo se estima por días.</t>
  </si>
  <si>
    <t>C07</t>
  </si>
  <si>
    <t>Diferencia de deuda: real al corte - calculada</t>
  </si>
  <si>
    <t>Cargar desembolsos y amortizaciones reales o ajustar las condiciones vigentes del préstamo.</t>
  </si>
  <si>
    <t>C08</t>
  </si>
  <si>
    <t>CAPEX: pagado por ítem (Inversion) - CAPEX real mensual (Reales)</t>
  </si>
  <si>
    <t>Ambos registros deben conciliar.</t>
  </si>
  <si>
    <t>C09</t>
  </si>
  <si>
    <t>Tipo de cambio cargado en todos los años (presupuesto y vigente)</t>
  </si>
  <si>
    <t>Completar el TC por año en Supuestos B (los costos en PYG se convierten con él).</t>
  </si>
  <si>
    <t>C10</t>
  </si>
  <si>
    <t>Productos con volumen vigente por encima de la capacidad (años)</t>
  </si>
  <si>
    <t>Revisar volumen o registrar la ampliación de capacidad (Productos A).</t>
  </si>
  <si>
    <t>C11</t>
  </si>
  <si>
    <t>Productos con volumen y sin precio vigente</t>
  </si>
  <si>
    <t>Completar el precio.</t>
  </si>
  <si>
    <t>C12</t>
  </si>
  <si>
    <t>Préstamos del presupuesto cancelados dentro del horizonte</t>
  </si>
  <si>
    <t>Revisar plazo o el horizonte.</t>
  </si>
  <si>
    <t>C13</t>
  </si>
  <si>
    <t>Brecha de caja vigente (meses bajo la caja mínima)</t>
  </si>
  <si>
    <t>Definir aportes, financiamiento o mejoras de capital de trabajo (alerta, no error de fórmula).</t>
  </si>
  <si>
    <t>C14</t>
  </si>
  <si>
    <t>Negocio en operación: mes real de inicio y último mes cerrado cargados</t>
  </si>
  <si>
    <t>Completar en Inicio el mes real de inicio de operación y cargar los meses cerrados en Reales.</t>
  </si>
  <si>
    <t>C15</t>
  </si>
  <si>
    <t>Horizonte dentro de la rejilla de 144 meses (mes de inicio ≤ 25 con 10 años)</t>
  </si>
  <si>
    <t>Reducir los años evaluados o el mes de inicio (la rejilla tiene 144 meses).</t>
  </si>
  <si>
    <t>C16</t>
  </si>
  <si>
    <t>Supuestos vigentes modificados respecto del presupuesto (informativo)</t>
  </si>
  <si>
    <t>≥ 0</t>
  </si>
  <si>
    <t>Documentar en la nota de cada supuesto el motivo del cambio.</t>
  </si>
  <si>
    <t>Controles en REVISAR</t>
  </si>
  <si>
    <t>Celdas vigentes sobrescritas (difieren del presupuesto)</t>
  </si>
  <si>
    <t>Deuda del presupuesto al final del horizonte</t>
  </si>
  <si>
    <t>Especificación técnica — ampliación de 12 a 25 productos (generar_plantilla.py)</t>
  </si>
  <si>
    <t>Mapeo del libro Modelo_Maquila_ECOSTAR_v3.xlsx. Documentación para el generador: no modifica el modelo.</t>
  </si>
  <si>
    <t>0. Parámetro y convención</t>
  </si>
  <si>
    <t>N_PRODUCTOS</t>
  </si>
  <si>
    <t>Constante única del generador. Todos los bloques de abajo se emiten en bucle i = 1..N. Cada bloque crece en 13 filas.</t>
  </si>
  <si>
    <t>Índice i</t>
  </si>
  <si>
    <t>i = número de producto (1..25). Donde abajo aparece «i», el generador sustituye el índice; donde aparece «fila(i)», la fila inicial del bloque + (i-1).</t>
  </si>
  <si>
    <t>Regla de criterios</t>
  </si>
  <si>
    <t>Prohibido usar decimales dentro de criterios de texto de COUNTIF/SUMIF/COUNTIFS/MAXIFS/MINIFS: con coma decimal (es-PY) Excel los lee mal sin dar error. Usar SUMPRODUCT con comparación numérica.</t>
  </si>
  <si>
    <t>1. Los 12 bloques por producto</t>
  </si>
  <si>
    <t>Bloque</t>
  </si>
  <si>
    <t>Hoja</t>
  </si>
  <si>
    <t>Filas hoy</t>
  </si>
  <si>
    <t>Filas con N=25</t>
  </si>
  <si>
    <t>Fórmula semilla de la fila i (sintaxis invariante)</t>
  </si>
  <si>
    <t>6:17</t>
  </si>
  <si>
    <t>6:30</t>
  </si>
  <si>
    <t>Entradas: B=nombre, C=unidad, D=cap. inicial, E=cap. ampliada, F=desde año, G=precio pres., I=MP pres., K=INS pres., M=OV pres., O=nota. Heredan: H{f}==G{f}, J{f}==I{f}, L{f}==K{f}, N{f}==M{f}</t>
  </si>
  <si>
    <t>16 celdas de entrada por producto. Actualizar el texto de A2 de la hoja: «Hasta 25 productos».</t>
  </si>
  <si>
    <t>B. Volumen presupuesto</t>
  </si>
  <si>
    <t>21:32</t>
  </si>
  <si>
    <t>34:58</t>
  </si>
  <si>
    <t>B{f}==IF(B{6+i-1}="","",B{6+i-1}) ; C{f} idem con C ; D{f}:M{f} entradas (años 1-10) ; N{f}==SUM(D{f}:M{f})</t>
  </si>
  <si>
    <t>Título pasa a fila 32, encabezado 33, fila Total a 59.</t>
  </si>
  <si>
    <t>C. Volumen vigente</t>
  </si>
  <si>
    <t>37:48</t>
  </si>
  <si>
    <t>63:87</t>
  </si>
  <si>
    <t>B{f} y C{f} heredan del bloque A ; D{f}==D{fila B(i)} … M{f}==M{fila B(i)} ; N{f}==SUM(D{f}:M{f})</t>
  </si>
  <si>
    <t>Título 61, encabezado 62, Total 88. La herencia celda a celda es lo que permite restaurar una prueba.</t>
  </si>
  <si>
    <t>D. Control de capacidad</t>
  </si>
  <si>
    <t>53:64</t>
  </si>
  <si>
    <t>92:116</t>
  </si>
  <si>
    <t>D{f}==IF(IF(AND(N($F{a})&gt;0,1&gt;=$F{a}),N($E{a}),N($D{a}))=0,0,MAX(0,D{v}/(1-V_Merma)-IF(AND(N($F{a})&gt;0,1&gt;=$F{a}),N($E{a}),N($D{a})))) donde a=fila bloque A, v=fila bloque C; el literal del año va de 1 a 10 por columna D..M ; N{f}==SUMPRODUCT(--(D{f}:M{f}&gt;0.5))</t>
  </si>
  <si>
    <t>Título 90, encabezado 91, nota 117. OJO: aquí estaba el COUNTIF con "&gt;0.5" corregido el 02/10/2026.</t>
  </si>
  <si>
    <t>Unidades vendidas</t>
  </si>
  <si>
    <t>12:23</t>
  </si>
  <si>
    <t>12:36</t>
  </si>
  <si>
    <t>A{f}="U"&amp;i ; B{f}==IF(INDEX(Prod_Nombre,i)="","Producto i (unidades)",INDEX(Prod_Nombre,i)&amp;" (unidades)") ; C{f}="u" ; D{f}==SUM(F{f}:ES{f}) ; F{f}:ES{f} entradas mensuales</t>
  </si>
  <si>
    <t>El código A debe llegar a U25.</t>
  </si>
  <si>
    <t>Ventas netas</t>
  </si>
  <si>
    <t>25:36</t>
  </si>
  <si>
    <t>38:62</t>
  </si>
  <si>
    <t>A{f}="S"&amp;i ; B{f}==IF(INDEX(Prod_Nombre,i)="","Producto i (ventas)",INDEX(Prod_Nombre,i)&amp;" (ventas)") ; C{f}="USD" o "PYG" (entrada) ; D{f}==SUM(F{f}:ES{f})</t>
  </si>
  <si>
    <t>Título del bloque pasa a fila 37. La columna C define la moneda que lee el motor.</t>
  </si>
  <si>
    <t>P.u1..P.uN (unidades, presupuesto)</t>
  </si>
  <si>
    <t>21:45</t>
  </si>
  <si>
    <t>A{f}="P.u"&amp;i ; B{f}==IF(INDEX(Prod_Nombre,i)="","Producto i",INDEX(Prod_Nombre,i))&amp;" — unidades" ; C{f}="u" ; E{f}==SUM(F{f}:ES{f}) ; F{f}==IF(F$15=1,@INDEX(Vol_O,i,F$14)/12*(1+P_dVol),0) y replicar F..ES</t>
  </si>
  <si>
    <t>El índice i va dentro de INDEX(Vol_O,i,…): es la fila del rango nombrado, no la fila de la hoja.</t>
  </si>
  <si>
    <t>P.s1..P.sN (ventas, presupuesto)</t>
  </si>
  <si>
    <t>33:44</t>
  </si>
  <si>
    <t>46:70</t>
  </si>
  <si>
    <t>A{f}="P.s"&amp;i ; B{f} idem con «— ventas USD» ; C{f}="USD" ; F{f}==F${fila P.u(i)}*INDEX(Precio_O,i)*@INDEX(IdxPrecio_O,1,MIN(10,F$17))*(1+P_dPrecio)</t>
  </si>
  <si>
    <t>Cada fila de ventas referencia su fila de unidades por posición relativa, no absoluta.</t>
  </si>
  <si>
    <t>V.u1..V.uN (unidades, vigente)</t>
  </si>
  <si>
    <t>151:162</t>
  </si>
  <si>
    <t>177:201</t>
  </si>
  <si>
    <t>A{f}="V.u"&amp;i ; F{f}==IF(F$8=1,N(Reales!F{fila U(i)}),IF(F$145=1,@INDEX(Vol_V,i,F$144)/12*(1+V_dVol),0))</t>
  </si>
  <si>
    <t>F$8 y F$145 son filas de bandera del bloque V: se desplazan +26 (ver sección 3).</t>
  </si>
  <si>
    <t>V.s1..V.sN (ventas, vigente)</t>
  </si>
  <si>
    <t>163:174</t>
  </si>
  <si>
    <t>202:226</t>
  </si>
  <si>
    <t>A{f}="V.s"&amp;i ; F{f}==IF(F$8=1,IF(Reales!$C${fila S(i)}="PYG",IF(F$10&gt;0,N(Reales!F{fila S(i)})/F$10,0),N(Reales!F{fila S(i)})),F${fila V.u(i)}*INDEX(Precio_V,i)*@INDEX(IdxPrecio_V,1,MIN(10,F$147))*(1+V_dPrecio))</t>
  </si>
  <si>
    <t>Es la fórmula más larga: mezcla real (Reales, con conversión PYG) y proyección. Tres referencias distintas a Reales por fila.</t>
  </si>
  <si>
    <t>Unidades por producto (vigente)</t>
  </si>
  <si>
    <t>71:82</t>
  </si>
  <si>
    <t>71:95</t>
  </si>
  <si>
    <t>A{f}="V_u"&amp;i ; B{f}==IF(INDEX(Prod_Nombre,i)="","Producto i",INDEX(Prod_Nombre,i)) ; C{f}==SUM(D{f}:O{f}) ; D{f}==SUMIFS(Calculo!$F${fila V.u(i)}:$ES${fila V.u(i)},Calculo!$F$6:$ES$6,1) y columnas E..M con el año 2..10</t>
  </si>
  <si>
    <t>El literal del año en el criterio es entero: no aplica el problema del punto decimal.</t>
  </si>
  <si>
    <t>Unidades por producto (presupuesto)</t>
  </si>
  <si>
    <t>104:115</t>
  </si>
  <si>
    <t>117:141</t>
  </si>
  <si>
    <t>A{f}="P_u"&amp;i ; mismo patrón que el anterior apuntando a Calculo!$F${fila P.u(i)}</t>
  </si>
  <si>
    <t>Bloque gemelo del presupuesto.</t>
  </si>
  <si>
    <t>2. Nombres definidos a redimensionar (17)</t>
  </si>
  <si>
    <t>Nombre</t>
  </si>
  <si>
    <t>Hoy</t>
  </si>
  <si>
    <t>Con N=25</t>
  </si>
  <si>
    <t>Uso</t>
  </si>
  <si>
    <t>Prod_Nombre</t>
  </si>
  <si>
    <t>Productos!$B$6:$B$17</t>
  </si>
  <si>
    <t>Productos!$B$6:$B$30</t>
  </si>
  <si>
    <t>Etiquetas en Calculo, Reales y Resultados</t>
  </si>
  <si>
    <t>Precio_O / Precio_V</t>
  </si>
  <si>
    <t>$G$6:$G$17 / $H$6:$H$17</t>
  </si>
  <si>
    <t>$G$6:$G$30 / $H$6:$H$30</t>
  </si>
  <si>
    <t>P.s / V.s y control C11</t>
  </si>
  <si>
    <t>MP_O / MP_V</t>
  </si>
  <si>
    <t>$I$6:$I$17 / $J$6:$J$17</t>
  </si>
  <si>
    <t>$I$6:$I$30 / $J$6:$J$30</t>
  </si>
  <si>
    <t>SUMPRODUCT de materia prima</t>
  </si>
  <si>
    <t>INS_O / INS_V</t>
  </si>
  <si>
    <t>$K$6:$K$17 / $L$6:$L$17</t>
  </si>
  <si>
    <t>$K$6:$K$30 / $L$6:$L$30</t>
  </si>
  <si>
    <t>SUMPRODUCT de insumos</t>
  </si>
  <si>
    <t>OV_O / OV_V</t>
  </si>
  <si>
    <t>$M$6:$M$17 / $N$6:$N$17</t>
  </si>
  <si>
    <t>$M$6:$M$30 / $N$6:$N$30</t>
  </si>
  <si>
    <t>SUMPRODUCT de otros variables</t>
  </si>
  <si>
    <t>Cap_Ini / Cap_Amp / Cap_Anio</t>
  </si>
  <si>
    <t>$D$6:$D$17 / $E$6:$E$17 / $F$6:$F$17</t>
  </si>
  <si>
    <t>$D$6:$D$30 / $E$6:$E$30 / $F$6:$F$30</t>
  </si>
  <si>
    <t>Control de capacidad</t>
  </si>
  <si>
    <t>Vol_O</t>
  </si>
  <si>
    <t>Productos!$D$21:$M$32</t>
  </si>
  <si>
    <t>Productos!$D$34:$M$58</t>
  </si>
  <si>
    <t>Matriz 25 x 10. INDEX(Vol_O,i,año)</t>
  </si>
  <si>
    <t>Vol_V</t>
  </si>
  <si>
    <t>Productos!$D$37:$M$48</t>
  </si>
  <si>
    <t>Productos!$D$63:$M$87</t>
  </si>
  <si>
    <t>Matriz 25 x 10. INDEX(Vol_V,i,año)</t>
  </si>
  <si>
    <t>VolTot_O / VolTot_V</t>
  </si>
  <si>
    <t>$N$21:$N$32 / $N$37:$N$48</t>
  </si>
  <si>
    <t>$N$34:$N$58 / $N$63:$N$87</t>
  </si>
  <si>
    <t>Control C11 (volumen sin precio)</t>
  </si>
  <si>
    <t>c_CapExceso</t>
  </si>
  <si>
    <t>Productos!$N$53:$N$64</t>
  </si>
  <si>
    <t>Productos!$N$92:$N$116</t>
  </si>
  <si>
    <t>Control C10 (alerta de capacidad)</t>
  </si>
  <si>
    <t>3. Desplazamiento de filas en Calculo (lo que rompe si no se reindexa)</t>
  </si>
  <si>
    <t>Fila hoy</t>
  </si>
  <si>
    <t>Fila con N=25</t>
  </si>
  <si>
    <t>Quién la referencia de forma absoluta</t>
  </si>
  <si>
    <t>Bloque P: todas las filas 46 a 150</t>
  </si>
  <si>
    <t>46 — 150</t>
  </si>
  <si>
    <t>+26 filas</t>
  </si>
  <si>
    <t>Resultados C6:C30, Control, y las banderas F$14 / F$15 / F$17 internas</t>
  </si>
  <si>
    <t>Bloque V: todas las filas 176 a 269</t>
  </si>
  <si>
    <t>176 — 269</t>
  </si>
  <si>
    <t>+52 filas</t>
  </si>
  <si>
    <t>Resultados D6:D30, Control C05:C17</t>
  </si>
  <si>
    <t>P.vtas (ventas totales presupuesto)</t>
  </si>
  <si>
    <t>45</t>
  </si>
  <si>
    <t>71</t>
  </si>
  <si>
    <t>Resultados C6, C7, C10 — y la propia fórmula pasa de F$33+..+F$44 a SUM(F$46:F$70)</t>
  </si>
  <si>
    <t>V.vtas (ventas totales vigente)</t>
  </si>
  <si>
    <t>175</t>
  </si>
  <si>
    <t>227</t>
  </si>
  <si>
    <t>Resultados D6, D7, D10, Control C03 — misma conversión a SUM(F$202:F$226)</t>
  </si>
  <si>
    <t>P.mp_f / P.ins_f / P.ov_f</t>
  </si>
  <si>
    <t>47 / 48 / 49</t>
  </si>
  <si>
    <t>73 / 74 / 75</t>
  </si>
  <si>
    <t>CRÍTICO: el rango interno SUMPRODUCT(F21:F32,MP_O) debe pasar a SUMPRODUCT(F21:F45,MP_O). Insertar filas NO lo corrige.</t>
  </si>
  <si>
    <t>V.mp_f / V.ins_f / V.ov_f</t>
  </si>
  <si>
    <t>177 / 178 / 179</t>
  </si>
  <si>
    <t>229 / 230 / 231</t>
  </si>
  <si>
    <t>CRÍTICO: SUMPRODUCT(F151:F162,MP_V) debe pasar a SUMPRODUCT(F177:F201,MP_V).</t>
  </si>
  <si>
    <t>P.BRECHA / V.BRECHA</t>
  </si>
  <si>
    <t>130 / 260</t>
  </si>
  <si>
    <t>156 / 312</t>
  </si>
  <si>
    <t>Resultados C22:C23, D22:D23 y Control C17 (las 3 celdas corregidas el 02/10/2026)</t>
  </si>
  <si>
    <t>Balance de control P / V</t>
  </si>
  <si>
    <t>139 / 269</t>
  </si>
  <si>
    <t>165 / 321</t>
  </si>
  <si>
    <t>Resultados C30 / D30. Debe seguir dando 0.</t>
  </si>
  <si>
    <t>4. Desplazamiento en Resultados</t>
  </si>
  <si>
    <t>Filas 83 a 103 (resúmenes anuales del presupuesto)</t>
  </si>
  <si>
    <t>83 — 103</t>
  </si>
  <si>
    <t>Incluye Servicio de deuda (101→114) y DSCR (102→115), que C24 referencia como D101:O101 y D102:O102.</t>
  </si>
  <si>
    <t>Filas 117 en adelante (Desvíos y Plan publicado)</t>
  </si>
  <si>
    <t>117 — 142</t>
  </si>
  <si>
    <t>Las fórmulas de desvío de unidades pasan de SUM(C71:C82)-SUM(C104:C115) a SUM(C71:C95)-SUM(C117:C141).</t>
  </si>
  <si>
    <t>Filas 38 a 69 (resúmenes anuales vigentes)</t>
  </si>
  <si>
    <t>38 — 69</t>
  </si>
  <si>
    <t>sin cambio</t>
  </si>
  <si>
    <t>Quedan arriba del primer bloque por producto. C24/D24 siguen apuntando a D67:O67 y D68:O68.</t>
  </si>
  <si>
    <t>Rangos de los gráficos</t>
  </si>
  <si>
    <t>revisar</t>
  </si>
  <si>
    <t>Los gráficos de Resultados toman filas de los resúmenes anuales: verificar que apunten a las filas nuevas.</t>
  </si>
  <si>
    <t>5. Checklist de validación del libro regenerado</t>
  </si>
  <si>
    <t>Verificación</t>
  </si>
  <si>
    <t>Valor esperado</t>
  </si>
  <si>
    <t>Productos 1 y 2 cargados igual que hoy; productos 3 a 25 vacíos</t>
  </si>
  <si>
    <t>Todos los indicadores de Resultados idénticos al caso base</t>
  </si>
  <si>
    <t>81.222.448</t>
  </si>
  <si>
    <t>EBITDA total / año 1</t>
  </si>
  <si>
    <t>16.309.504 / 509.970</t>
  </si>
  <si>
    <t>VAN proyecto / TIR proyecto</t>
  </si>
  <si>
    <t>6.989.922 / 34,93%</t>
  </si>
  <si>
    <t>VAN socios / TIR socios</t>
  </si>
  <si>
    <t>3.695.678 / 43,63%</t>
  </si>
  <si>
    <t>Aporte adicional necesario</t>
  </si>
  <si>
    <t>311.740 USD</t>
  </si>
  <si>
    <t>Brecha máxima / meses con brecha</t>
  </si>
  <si>
    <t>373.701 / 12</t>
  </si>
  <si>
    <t>Balance de control presupuesto / vigente</t>
  </si>
  <si>
    <t>0 / 0</t>
  </si>
  <si>
    <t>2 (C13 brecha de caja y C14 sin reales)</t>
  </si>
  <si>
    <t>Prueba de capacidad: volumen vigente x 1,10 en los 25 productos</t>
  </si>
  <si>
    <t>C10 pasa a REVISAR; restaurar y volver a 0</t>
  </si>
  <si>
    <t>Prueba de producto nuevo: cargar producto 3 con precio y volumen</t>
  </si>
  <si>
    <t>Las ventas totales deben subir exactamente en precio x volumen x años</t>
  </si>
  <si>
    <t>Ningún criterio de texto con punto o coma decimal en todo el libro</t>
  </si>
  <si>
    <t>0 coincidencias al buscar "&gt;0.5" y "&gt;0,5"</t>
  </si>
  <si>
    <t>6. Riesgos y decisiones abiertas</t>
  </si>
  <si>
    <t>25 productos = 400 celdas de entrada en Productos (16 por producto) + 50 filas de carga mensual en Reales. Si los SKU comparten precio y estructura de costo, conviene modelar por familia.</t>
  </si>
  <si>
    <t>Rendimiento</t>
  </si>
  <si>
    <t>Calculo pasa de 269 a ~321 filas x 149 columnas: unas 7.750 fórmulas nuevas. Conviene dejar el cálculo en automático y medir el tiempo de recalculo tras regenerar.</t>
  </si>
  <si>
    <t>Alcance</t>
  </si>
  <si>
    <t>Pendiente definir si los 25 son productos individuales o familias de agregación. La especificación es válida para los dos casos.</t>
  </si>
  <si>
    <t>Herencia</t>
  </si>
  <si>
    <t>Al regenerar, Alianza del Acero y la tercera maquila heredan los 25 slots. Verificar que sus datos cargados sigan en los productos 1..n correctos.</t>
  </si>
  <si>
    <t>9 (Claude en Excel)</t>
  </si>
  <si>
    <t>Validar en Excel el modelo v6 siguiendo el plan de evaluación paso a paso (Prompt_Claude_Excel_ECOSTAR_v6.md). Paso 0 — Preparación.</t>
  </si>
  <si>
    <t>Verificación de estructura y modo de cálculo; recálculo completo (fullRebuild) y lectura de Resultados!D6:D30.</t>
  </si>
  <si>
    <t>14 hojas presentes y en el orden esperado; cálculo en Automático; Claude Log con historial hasta el turno 8. Inicio: C13=Vigente, C14=24, C15=Plan CIE–PERG Oct-2025, C17=Anual; C10, C11, C12 y C16 vacías. Sin modificaciones al libro.</t>
  </si>
  <si>
    <t>Paso 0 OK. Caso base confirmado tras recálculo: VAN del proyecto 6.989.922 y balance 0. A la espera de «seguir» para el Paso 1.</t>
  </si>
  <si>
    <t>10 (Claude en Excel)</t>
  </si>
  <si>
    <t>Paso 1 — Integridad del libro base: comparar los 25 indicadores de Resultados!D6:D30 con los valores validados en LibreOffice, revisar Control y los nombres definidos.</t>
  </si>
  <si>
    <t>Lectura (sin edición) de Resultados!B6:D30 y Control!A5:F22; verificación de los nombres Prod_Nombre, Vol_O, Vol_V y c_CapExceso; barrido de fórmulas de las 14 hojas buscando criterios de texto con decimales.</t>
  </si>
  <si>
    <t>19 de 19 indicadores con valor esperado coinciden dentro de tolerancia (±1 USD / ±0,01). Control: solo C13 (brecha de caja, 12 meses) y C14 (mes real de inicio sin cargar) en REVISAR; fila 22 = 2. Nombres a 25 productos: Prod_Nombre=Productos!B6:B30, Vol_O=D34:M58, Vol_V=D63:M87, c_CapExceso=N92:N116. Criterios de texto con decimales en fórmulas: 0 (las 6 coincidencias del barrido son texto de Claude Log y Esp_25Productos, no fórmulas).</t>
  </si>
  <si>
    <t>Paso 1 OK, sin diferencias. Libro sin modificaciones; VAN del proyecto 6.989.922 y balance 0. A la espera de «seguir» para el Paso 2 (X2, X3, V4).</t>
  </si>
  <si>
    <t>11 (Claude en Excel)</t>
  </si>
  <si>
    <t>Paso 2 — Estructura de 25 productos: ejecutar los escenarios X2, X3 y V4 (X1 omitido por ser opcional y modificar el presupuesto).</t>
  </si>
  <si>
    <t>X2: alta de 3 productos de prueba en las filas 8, 18 y 30 (B, C y H/J/L/N vigentes) con volúmenes vigentes D65:M65=1.200, D75:M75=600, D87:M87=300. X3: B30='Sin precio', C30='u', J30=10, D87:M87=500 (H30 sin tocar). V4: D63:M64 = D34:M35 × 1,10. Un caso por vez, con restauración intermedia.</t>
  </si>
  <si>
    <t>Originales anotados antes de editar: B8/B18/B30 y C8/C18/C30 vacías; H/J/L/N de las filas 8, 18 y 30 con fórmulas =G/=I/=K/=M; D63:M63 ==D34.., D64:M64 ==D35.., D65:M65 ==D36.., D75:M75 ==D46.., D87:M87 ==D58... RESULTADOS: X2 ventas 83.419.512,36 (delta +2.197.064,63), materia prima + insumos +933.279,30, VAN proyecto 7.641.309,22, VAN socios 4.132.976,38, aporte 197.575,03, 6 meses con brecha, DSCR 0,53. X3 ventas 81.222.447,72, VAN proyecto 6.951.414,83, VAN socios 3.672.044,15, aporte 324.969,77, Control C11 en REVISAR con 1. V4 ventas 89.344.692,49, VAN proyecto 8.556.852,51, VAN socios 4.713.190,90, aporte 290.460,36, 8 meses, DSCR 0,58, Control C10 en REVISAR con 16. Presupuesto (Resultados columna C) sin cambios en los tres casos; balance 0.</t>
  </si>
  <si>
    <t>Paso 2 OK, 0 diferencias (23 de 23 comprobaciones). Restauración verificada por relectura de fórmulas: filas 8/18/30 y D63:M65, D75:M75, D87:M87 con sus fórmulas originales. Caso base: ventas 81.222.447,72, VAN proyecto 6.989.921,76, VAN socios 3.695.678,09, balance 0, controles en REVISAR = 2. A la espera de «seguir» para el Paso 3.</t>
  </si>
  <si>
    <t>12 (Claude en Excel)</t>
  </si>
  <si>
    <t>Paso 3 — Meses reales congelados: cargar 6 meses reales, Inversion G:H e Inicio!C11=6; evaluar escenario Vigente y Conservador.</t>
  </si>
  <si>
    <t>Carga en Reales F:K de TC, unidades, ventas, costos, movimientos de caja y saldos del mes 6; Inversion G6:H16 = presupuesto D6:D16 y G17:H17 = 35.833,91; Inicio!C11 = 6. Luego Inicio!C13 = Conservador y vuelta a Vigente.</t>
  </si>
  <si>
    <t>Vigente: ventas meses 1-6 = 254.000 y mes 7 = 404.166,67; caja mes 6 = 1.500.000; ajuste de conciliación mes 6 = -68.081,11; ventas año 1 = 3.949.000; EBITDA año 1 = 331.853,11; aporte adicional 557.910,57; 30 meses con brecha; VAN proyecto 6.858.765,62; VAN socios 3.546.902,66; balance 0. Conservador: meses 1-6 sin cambio (ventas 254.000, EBITDA 12.811,35, caja 1.500.000); ventas mes 7 = 345.562,50; VAN proyecto 31.572,84; VAN socios -1.330.307,86; aporte 3.286.963,70; CAPEX 767.548,50; balance 0.</t>
  </si>
  <si>
    <t>Paso 3 OK, 0 diferencias (19 de 19 comprobaciones). Restaurado: Reales F10:K84 e Inversion G6:H17 vacíos, Inicio!C11 vacía, C13 = Vigente; VAN del proyecto 6.989.921,76 y balance 0.</t>
  </si>
  <si>
    <t>13 (Claude en Excel)</t>
  </si>
  <si>
    <t>Paso 3b — Volumen y guía: cargar Q1 y Q2 en los 24 meses de Detalle_24m y probar el conteo de meses faltantes.</t>
  </si>
  <si>
    <t>Detalle_24m F14:AC14 = 1.100 y F15:AC15 = 6.500. Segunda prueba: borrado de AC14:AC15 (mes 24).</t>
  </si>
  <si>
    <t>V.u1 (Calculo fila 177) = 1.100 en los meses 1-24 y 1.500 en el mes 25; V.u2 (fila 178) = 6.500 en los meses 1-24. Proyeccion_24m: primer mes 446.500; año 1 / año 2 / total = 5.358.000 / 5.411.580 / 10.769.580; EBITDA año 1 = 679.293,21; fila 7 = 'Detalle' en los 24 meses. Guia_Carga paso 29 (F43) = '✔ 24 meses detallados'. Sin el mes 24: '⚠ 23 de 24 meses: completar hasta el mes 24'.</t>
  </si>
  <si>
    <t>Paso 3b OK, 0 diferencias (10 de 10 comprobaciones). Detalle_24m restaurado; paso 29 vuelve a '○ Usa supuestos anuales'; VAN 6.989.921,76 y balance 0.</t>
  </si>
  <si>
    <t>14 (Claude en Excel)</t>
  </si>
  <si>
    <t>Paso 3c — Precio, costos y TC: cinco casos en Detalle_24m, uno por vez, con restauración intermedia.</t>
  </si>
  <si>
    <t>Precio P1 = 280 en F42:Q42; MP1 = 90 en F70:AC70; DO1 = 6 y SA1 = 5.000.000 en F154:AC154 y F187:AC187; FC1 = 20.000.000 en F220:AC220; TC = 8.000 en F10:AC10.</t>
  </si>
  <si>
    <t>Precio: V.s1 = 280.000 en los meses 1-12 y 340.875 en el mes 13; ventas año 1 de la ventana = 4.970.000. Materia prima: V.mp_f mes 1 = 133.225 (base 125.875, +7.350) y mes 13 = 168.630,75 (base 160.476,38, +8.154,38); mes 25 sin cambio; EBITDA año 1 = 413.655,61. Personal: V.dir_n mes 1 = 45 (base 43) y V.dir_f mes 1 = 34.999,77 (base 32.622,23, +2.377,55); EBITDA año 1 = 479.713,36. Costo fijo: V.fp_f mes 1 = 5.215,40 (base 4.393,48, +821,92); EBITDA año 1 = 499.613,84. TC: V.tc = 8.000 en los meses 1-24 y 7.300 en el mes 25; V.PERA mes 1 = 8.175,99; ventas sin cambio (4.850.000 / 6.181.200 / 11.031.200); EBITDA año 1 = 584.427,34. Balance 0 en los cinco casos.</t>
  </si>
  <si>
    <t>Paso 3c OK, 0 diferencias (16 de 16 comprobaciones). Detalle_24m restaurado tras cada caso; VAN del proyecto 6.989.921,76.</t>
  </si>
  <si>
    <t>15 (Claude en Excel)</t>
  </si>
  <si>
    <t>Paso 3d — Escenario sobre el detalle, ventana de 12 meses y ventana móvil con reales.</t>
  </si>
  <si>
    <t>Caso 1: Q1 = 1.100 en los meses 1-24 con Inicio!C13 = Conservador. Caso 2: Q1 = 1.100 con Inicio!C14 = 12. Caso 3: reales del paso 3 cargados (Inicio!C11 = 6) y Q1 = 1.100 en los meses 1-36 (F14:AO14).</t>
  </si>
  <si>
    <t>Conservador: V.u1 = 0 en los meses 1-3 (atraso de 3 meses), 990 en los meses 4-24 y 1.125 en el mes 25. Ventana 12: V.u1 = 1.100 en los meses 1-12 y 1.250 en los meses 13-24. Ventana móvil: V.u1 = 600 en los meses 1-6 (reales), 1.100 en los meses 7-30 y 1.500 en los meses 31-36; Proyeccion_24m arranca en el mes 7 con primer mes 431.166,67; año 1 / año 2 / total = 5.432.170 / 5.953.414,70 / 11.385.584,70. Balance 0 en los tres casos.</t>
  </si>
  <si>
    <t>Paso 3d OK, 0 diferencias (15 de 15 comprobaciones). Restauración final verificada: Detalle_24m sin datos, Reales e Inversion G:H vacíos, Inicio!C11 vacía, C13 = Vigente y C14 = 24; ventas 81.222.447,72, VAN proyecto 6.989.921,76, VAN socios 3.695.678,09, balance 0 y controles en REVISAR = 2.</t>
  </si>
  <si>
    <t>16 (Claude en Excel)</t>
  </si>
  <si>
    <t>Pasos 4 a 7 — Catálogo de escenarios: financiamiento y cobranza (F1-F8), costos (C1-C4), ventas (V1-V5) y plan desfavorable (P1-P3).</t>
  </si>
  <si>
    <t>F: Inversion!E32 (3.800.000 / 1.800.000) y Supuestos!E21 (180 / 0) y sus combinaciones. C: Productos!J6:J7, L6:L7, N6:N7 = I/K/M × 1,10 / 1,20 / 1,30; C4 suma Costos!F6:F31 = E × 1,30 y F75:F83 = E × 2. V: Productos!D63:M64 = D34:M35 × 0,90 / 0,80 / 0,70 / 1,10 y V5 con D63:F63 = 15.000/15.000/21.000 y D64:F64 = 90.000/90.000/120.000. P1: volumen × 0,70 + H6:H7 = G × 0,95 + Supuestos!E6 = 7 + Inversion!J6:J19 = D × 1,15. P2 y P3: Inicio!C13 = Conservador / Optimista.</t>
  </si>
  <si>
    <t>20 escenarios corridos, uno por vez, con restauración de fórmulas entre casos. Los 9 indicadores comparados por escenario (ventas, VAN proyecto, VAN socios, aporte adicional, meses con brecha, intereses, años de cancelación, DSCR mínimo y balance) coinciden con los valores de LibreOffice dentro de tolerancia. Hitos: F3 VAN proyecto 6.230.649,83; C2 VAN proyecto 249.504,40; V3 ventas 56.855.713,41; P2 VAN proyecto -486.490,30. Balance 0 en los 20 casos.</t>
  </si>
  <si>
    <t>Pasos 4 a 7 OK, 0 diferencias (180 comprobaciones). Caso base restaurado tras cada grupo: VAN del proyecto 6.989.921,76 y balance 0.</t>
  </si>
  <si>
    <t>17 (Claude en Excel)</t>
  </si>
  <si>
    <t>Pasos 8 a 10 — Plazo del préstamo (L1-L4), corto vs largo plazo (K1-K8) y tipo de cambio (T1-T3).</t>
  </si>
  <si>
    <t>L: Inversion!E36 = 30 / 78; E35 = 12 con E36 = 84; L4 con E32 = 0 y línea 4.000.000 al 9%. K: E32 = 3.250.000; préstamo 2 en G32:G36 (500.000, mes 25, 10%, gracia 0, 12 cuotas); líneas rotativas de 1.000.000, 3.000.000 y 4.000.000 al 10%, 7,99% y 11,24%, con y sin vencimiento en el mes 24. T: Supuestos!D51:M51 = 8.760 / 6.145 / 5.840.</t>
  </si>
  <si>
    <t>15 escenarios corridos, uno por vez. Los 9 indicadores coinciden en los 15. Hitos: L1 cancela en 3,0 años con intereses 508.038,98; K5 aporte adicional 2.191.678,81 y cancela en 2,08 años; K7 VAN socios 3.806.552,07; T1 VAN proyecto 7.989.367,27; T3 VAN proyecto 5.490.753,49. El VAN del proyecto se mantiene en 6.989.921,76 en todos los casos de financiamiento (F1-F2, L1-L4, K1-K8), como corresponde a un FCFF. Balance 0 en los 15 casos.</t>
  </si>
  <si>
    <t>Pasos 8 a 10 OK, 0 diferencias (135 comprobaciones). Supuestos!D51:M51 restaurada a =D39..=M39; Inversion E32:E36, G32:G36 y E41:E44 con sus fórmulas =D../=F.. originales.</t>
  </si>
  <si>
    <t>18 (Claude en Excel)</t>
  </si>
  <si>
    <t>Paso 11 — Informe final de la validación del modelo v6 en Excel y cierre.</t>
  </si>
  <si>
    <t>Consolidación de los pasos 0, 1, 2, 3, 3b, 3c, 3d y 4 a 10; verificación final de restauración con recálculo completo (fullRebuild).</t>
  </si>
  <si>
    <t>Total: 39 escenarios del catálogo (E00 base, F1-F8, C1-C4, V1-V5, P1-P3, L1-L4, K1-K8, T1-T3, X2, X3) más las pruebas de operación y de proyección rodante (3, 3b, 3c, 3d). Todas las comprobaciones coinciden con los valores validados en LibreOffice dentro de la tolerancia (±1 USD, ±0,01). X1 no se ejecutó por ser opcional y modificar el presupuesto. INCIDENCIA: al limpiar Detalle_24m con un rango amplio (F10:AO250) se borraron las fórmulas de las 9 filas contadoras 'Celdas con dato en el mes' (11, 39, 67, 95, 123, 151, 184, 217 y 245) en las columnas F a AO. Se restauraron copiando el patrón =COUNT(...) desde la columna AP de cada fila; verificado: 1.296 celdas con fórmula (9 filas × 144 meses) y Guia_Carga paso 29 vuelve a '○ Usa supuestos anuales'.</t>
  </si>
  <si>
    <t>CONCLUSIÓN: Excel reproduce los resultados de LibreOffice en la v6, sin diferencias. Libro restaurado y verificado: ventas 81.222.447,72; VAN proyecto 6.989.921,76; VAN socios 3.695.678,09; balance 0; controles en REVISAR = 2 (C13 y C14); Detalle_24m y Reales sin datos; Inicio!C11 vacía, C13 = Vigente, C14 = 24; Inversion G:H y J vacías.</t>
  </si>
  <si>
    <t>INFORME DE CIERRE — VALIDACIÓN DEL MODELO MAQUILA ECOSTAR v6 EN MICROSOFT EXCEL</t>
  </si>
  <si>
    <t>Destinatario: equipo responsable del generador modelo/plantilla/generar_plantilla.py · Emisor: Derlis Morinigo, Planificación Financiera, CIE S.A. · Fecha: 2026-10-27</t>
  </si>
  <si>
    <t>Libro evaluado: Modelo_Maquila_ECOSTAR_v6.prueba.xlsx (copia de pruebas de la v6). Referencia: validación en LibreOffice del 2026-10-27 sobre el mismo libro (39 escenarios / 495 comprobaciones, 7 pruebas de operación, 60 comprobaciones de proyección de 24 meses).</t>
  </si>
  <si>
    <t>1. ENTORNO</t>
  </si>
  <si>
    <t>Aplicación</t>
  </si>
  <si>
    <t>Microsoft Excel</t>
  </si>
  <si>
    <t>Versión</t>
  </si>
  <si>
    <t>16.0.20527.20088</t>
  </si>
  <si>
    <t>Plataforma</t>
  </si>
  <si>
    <t>PC (Windows)</t>
  </si>
  <si>
    <t>Idioma de la interfaz</t>
  </si>
  <si>
    <t>es-ES</t>
  </si>
  <si>
    <t>Idioma de edición / cultura del libro</t>
  </si>
  <si>
    <t>es-PY</t>
  </si>
  <si>
    <t>Separador decimal</t>
  </si>
  <si>
    <t>coma (,)</t>
  </si>
  <si>
    <t>Separador de miles</t>
  </si>
  <si>
    <t>punto (.)</t>
  </si>
  <si>
    <t>Separador de fecha</t>
  </si>
  <si>
    <t>barra (/)</t>
  </si>
  <si>
    <t>Separador de listas en fórmulas</t>
  </si>
  <si>
    <t>punto y coma (;) — derivado de la cultura es-PY</t>
  </si>
  <si>
    <t>Modo de cálculo</t>
  </si>
  <si>
    <t>Automático (verificado al inicio y al cierre)</t>
  </si>
  <si>
    <t>ExcelApi disponible</t>
  </si>
  <si>
    <t>Libros vinculados / vínculos externos</t>
  </si>
  <si>
    <t>Avisos de referencia circular</t>
  </si>
  <si>
    <t>Ninguno</t>
  </si>
  <si>
    <t>Avisos de funciones no disponibles</t>
  </si>
  <si>
    <t>Errores en celdas (#¡VALOR!, #¿NOMBRE?, #¡REF!, #N/A, #¡DIV/0!, #¡NUM!, #¡NULO!, #DESBORDAMIENTO!, #CALC!)</t>
  </si>
  <si>
    <t>0 en las 14 hojas. Barrido sobre el rango usado completo de cada hoja</t>
  </si>
  <si>
    <t>Recálculo aplicado</t>
  </si>
  <si>
    <t>Completo con reconstrucción de dependencias (fullRebuild) al inicio y al cierre</t>
  </si>
  <si>
    <t>Rangos usados al cierre</t>
  </si>
  <si>
    <t>Claude Log A1:F19 · Inicio A1:D74 · Guia_Carga A1:J55 · Supuestos A1:N121 · Productos A1:O117 · Costos A1:Q100 · Inversion A1:U59 · Detalle_24m A1:ES247 · Reales A1:ES84 · Calculo A1:ES321 · Proyeccion_24m A1:AC46 · Resultados A1:O168 · Control A1:F24 · Esp_25Productos A1:H73</t>
  </si>
  <si>
    <t>2. RESUMEN POR PASO</t>
  </si>
  <si>
    <t>Qué se probó</t>
  </si>
  <si>
    <t>Comprobaciones</t>
  </si>
  <si>
    <t>OK</t>
  </si>
  <si>
    <t>Diferencias</t>
  </si>
  <si>
    <t>Restaurado</t>
  </si>
  <si>
    <t>Preparación: 14 hojas en orden, Claude Log hasta el turno 8, modo de cálculo automático, recálculo</t>
  </si>
  <si>
    <t>n/a (sin cambios)</t>
  </si>
  <si>
    <t>Integridad del libro base: Resultados!D6:D30, controles en REVISAR, criterios de texto con decimales, nombres a 25 productos</t>
  </si>
  <si>
    <t>Estructura de 25 productos: X2, X3 y V4</t>
  </si>
  <si>
    <t>sí</t>
  </si>
  <si>
    <t>Meses reales congelados: 6 meses en Reales, Inversion G:H, Inicio!C11=6; escenarios Vigente y Conservador</t>
  </si>
  <si>
    <t>3b</t>
  </si>
  <si>
    <t>Volumen y guía: Q1 y Q2 en los 24 meses de Detalle_24m; conteo de meses faltantes</t>
  </si>
  <si>
    <t>3c</t>
  </si>
  <si>
    <t>Precio, materia prima, personal, costo fijo y TC en Detalle_24m (5 casos)</t>
  </si>
  <si>
    <t>3d</t>
  </si>
  <si>
    <t>Escenario sobre el detalle, ventana de 12 meses y ventana móvil con reales</t>
  </si>
  <si>
    <t>Financiamiento y cobranza: F1, F2, F3, F4, F5, F6, F7, F8</t>
  </si>
  <si>
    <t>Costos: C1, C2, C3, C4</t>
  </si>
  <si>
    <t>Ventas: V1, V2, V3, V4, V5</t>
  </si>
  <si>
    <t>Plan desfavorable: P1, P2, P3</t>
  </si>
  <si>
    <t>Plazo del préstamo: L1, L2, L3, L4</t>
  </si>
  <si>
    <t>Corto vs largo plazo: K1, K2, K3, K4, K5, K6, K7, K8</t>
  </si>
  <si>
    <t>Tipo de cambio: T1, T2, T3</t>
  </si>
  <si>
    <t>Informe final, verificación de restauración y cierre en Claude Log</t>
  </si>
  <si>
    <t>X1 no se ejecutó. Motivo: declarado opcional en el prompt, modifica las columnas de presupuesto y ya fue validado en LibreOffice.</t>
  </si>
  <si>
    <t>3. DIFERENCIAS</t>
  </si>
  <si>
    <t>Paso/escenario</t>
  </si>
  <si>
    <t>Hoja!celda</t>
  </si>
  <si>
    <t>Excel</t>
  </si>
  <si>
    <t>Diferencia</t>
  </si>
  <si>
    <t>Hipótesis de la causa</t>
  </si>
  <si>
    <t>Ninguna</t>
  </si>
  <si>
    <t>No se registró ninguna diferencia fuera de la tolerancia declarada (±1 USD en montos, ±0.01 en ratios y tasas).</t>
  </si>
  <si>
    <t>4. INDICADORES DEL PASO 1 — Resultados!D6:D30 (columna vigente, libro base sin reales, escenario Vigente)</t>
  </si>
  <si>
    <t>Celda</t>
  </si>
  <si>
    <t>D6</t>
  </si>
  <si>
    <t>no especificado en el prompt</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</si>
  <si>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</si>
  <si>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</si>
  <si>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</si>
  <si>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</si>
  <si>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</si>
  <si>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</si>
  <si>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</si>
  <si>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</si>
  <si>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</si>
  <si>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</si>
  <si>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</si>
  <si>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</si>
  <si>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</si>
  <si>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</si>
  <si>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</si>
  <si>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</si>
  <si>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</si>
  <si>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</si>
  <si>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</si>
  <si>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</si>
  <si>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</si>
  <si>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</si>
  <si>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</si>
  <si>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</si>
  <si>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Controles en REVISAR (Control!C22 = 2)</t>
  </si>
  <si>
    <t>Id</t>
  </si>
  <si>
    <t>Fila</t>
  </si>
  <si>
    <t>Coincide con lo esperado: en REVISAR solo C13 y C14.</t>
  </si>
  <si>
    <t>Criterios de texto con decimales en COUNTIF/SUMIF/COUNTIFS/SUMIFS/MAXIFS/MINIFS</t>
  </si>
  <si>
    <t>El barrido de fórmulas de las 14 hojas devolvió 6 coincidencias del patrón, todas en texto descriptivo de Claude Log y Esp_25Productos, ninguna en una fórmula. Resultados!D23 usa SUMPRODUCT(--(...&gt;0.5)), comparación numérica: la corrección regional está aplicada.</t>
  </si>
  <si>
    <t>Nombres definidos</t>
  </si>
  <si>
    <t>Rango esperado</t>
  </si>
  <si>
    <t>Rango en Excel</t>
  </si>
  <si>
    <t>Productos!B6:B30</t>
  </si>
  <si>
    <t>Productos!D34:M58</t>
  </si>
  <si>
    <t>Productos!D63:M87</t>
  </si>
  <si>
    <t>Productos!N92:N116</t>
  </si>
  <si>
    <t>5. CATÁLOGO DE ESCENARIOS (pasos 2 y 4 a 10) — todos los valores leídos de Resultados columna D después de cada corrida</t>
  </si>
  <si>
    <t>VAN proyecto</t>
  </si>
  <si>
    <t>VAN socios</t>
  </si>
  <si>
    <t>Aporte adicional</t>
  </si>
  <si>
    <t>Meses bajo caja mín.</t>
  </si>
  <si>
    <t>Intereses</t>
  </si>
  <si>
    <t>Cancela (años)</t>
  </si>
  <si>
    <t>DSCR mín.</t>
  </si>
  <si>
    <t>Balance</t>
  </si>
  <si>
    <t>E00</t>
  </si>
  <si>
    <t>F1</t>
  </si>
  <si>
    <t>F2</t>
  </si>
  <si>
    <t>F3</t>
  </si>
  <si>
    <t>F4</t>
  </si>
  <si>
    <t>F5</t>
  </si>
  <si>
    <t>F6</t>
  </si>
  <si>
    <t>F7</t>
  </si>
  <si>
    <t>F8</t>
  </si>
  <si>
    <t>C1</t>
  </si>
  <si>
    <t>C2</t>
  </si>
  <si>
    <t>C3</t>
  </si>
  <si>
    <t>C4</t>
  </si>
  <si>
    <t>V1</t>
  </si>
  <si>
    <t>V2</t>
  </si>
  <si>
    <t>V3</t>
  </si>
  <si>
    <t>V4</t>
  </si>
  <si>
    <t>V5</t>
  </si>
  <si>
    <t>L1</t>
  </si>
  <si>
    <t>L2</t>
  </si>
  <si>
    <t>L3</t>
  </si>
  <si>
    <t>L4</t>
  </si>
  <si>
    <t>K1</t>
  </si>
  <si>
    <t>K2</t>
  </si>
  <si>
    <t>K3</t>
  </si>
  <si>
    <t>K4</t>
  </si>
  <si>
    <t>K5</t>
  </si>
  <si>
    <t>K6</t>
  </si>
  <si>
    <t>K7</t>
  </si>
  <si>
    <t>K8</t>
  </si>
  <si>
    <t>T1</t>
  </si>
  <si>
    <t>T2</t>
  </si>
  <si>
    <t>T3</t>
  </si>
  <si>
    <t>X1</t>
  </si>
  <si>
    <t>no corrido</t>
  </si>
  <si>
    <t>X2</t>
  </si>
  <si>
    <t>X3</t>
  </si>
  <si>
    <t>Nota X1</t>
  </si>
  <si>
    <t>Motivo de omisión: declarado opcional en el prompt («muy laboriosa a mano y ya se validó en LibreOffice»); modifica las columnas de presupuesto, que el prompt define como no editables fuera de esa prueba. No se ejecutó para no alterar el bloque P de la copia de pruebas.</t>
  </si>
  <si>
    <t>6. PASOS 3, 3b, 3c Y 3d — detalle de comprobaciones</t>
  </si>
  <si>
    <t>Caso</t>
  </si>
  <si>
    <t>Hoja!celda o fila</t>
  </si>
  <si>
    <t>3 · Vigente — ventas mes 1</t>
  </si>
  <si>
    <t>Calculo!F227</t>
  </si>
  <si>
    <t>3 · Vigente — ventas mes 2</t>
  </si>
  <si>
    <t>Calculo!G227</t>
  </si>
  <si>
    <t>3 · Vigente — ventas mes 3</t>
  </si>
  <si>
    <t>Calculo!H227</t>
  </si>
  <si>
    <t>3 · Vigente — ventas mes 4</t>
  </si>
  <si>
    <t>Calculo!I227</t>
  </si>
  <si>
    <t>3 · Vigente — ventas mes 5</t>
  </si>
  <si>
    <t>Calculo!J227</t>
  </si>
  <si>
    <t>3 · Vigente — ventas mes 6</t>
  </si>
  <si>
    <t>Calculo!K227</t>
  </si>
  <si>
    <t>3 · Vigente — ventas mes 7</t>
  </si>
  <si>
    <t>Calculo!L227</t>
  </si>
  <si>
    <t>3 · Vigente — caja mes 6</t>
  </si>
  <si>
    <t>Calculo!K310</t>
  </si>
  <si>
    <t>3 · Vigente — ajuste de conciliación mes 6</t>
  </si>
  <si>
    <t>Calculo!K311</t>
  </si>
  <si>
    <t>3 · Vigente — ventas año 1</t>
  </si>
  <si>
    <t>Resultados!D6</t>
  </si>
  <si>
    <t>3 · Vigente — EBITDA año 1</t>
  </si>
  <si>
    <t>Resultados!D8</t>
  </si>
  <si>
    <t>3 · Vigente — aporte adicional</t>
  </si>
  <si>
    <t>Resultados!D16</t>
  </si>
  <si>
    <t>3 · Vigente — meses con brecha</t>
  </si>
  <si>
    <t>Resultados!D23</t>
  </si>
  <si>
    <t>3 · Vigente — VAN del proyecto</t>
  </si>
  <si>
    <t>Resultados!D25</t>
  </si>
  <si>
    <t>3 · Vigente — VAN de los socios</t>
  </si>
  <si>
    <t>Resultados!D27</t>
  </si>
  <si>
    <t>3 · Vigente — balance</t>
  </si>
  <si>
    <t>Resultados!D30</t>
  </si>
  <si>
    <t>3 · Conservador — ventas meses 1 a 6</t>
  </si>
  <si>
    <t>Calculo!F227:K227</t>
  </si>
  <si>
    <t>254000 (sin cambio)</t>
  </si>
  <si>
    <t>254000 en los 6 meses</t>
  </si>
  <si>
    <t>3 · Conservador — EBITDA meses 1 a 6</t>
  </si>
  <si>
    <t>Calculo!F258:K258</t>
  </si>
  <si>
    <t>12811.3513513514 en los 6 meses</t>
  </si>
  <si>
    <t>3 · Conservador — caja mes 6</t>
  </si>
  <si>
    <t>1500000 (sin cambio)</t>
  </si>
  <si>
    <t>3 · Conservador — ventas mes 7</t>
  </si>
  <si>
    <t>3 · Conservador — VAN del proyecto</t>
  </si>
  <si>
    <t>3 · Conservador — VAN de los socios</t>
  </si>
  <si>
    <t>3 · Conservador — aporte adicional</t>
  </si>
  <si>
    <t>3 · Conservador — CAPEX</t>
  </si>
  <si>
    <t>Resultados!D12</t>
  </si>
  <si>
    <t>3 · Conservador — balance</t>
  </si>
  <si>
    <t>3b · V.u1 meses 1 a 24</t>
  </si>
  <si>
    <t>Calculo fila 177, F:AC</t>
  </si>
  <si>
    <t>1100 en los 24 meses (valor único)</t>
  </si>
  <si>
    <t>3b · V.u1 mes 25</t>
  </si>
  <si>
    <t>Calculo!AD177</t>
  </si>
  <si>
    <t>3b · V.u2 meses 1 a 24</t>
  </si>
  <si>
    <t>Calculo fila 178, F:AC</t>
  </si>
  <si>
    <t>6500 en los 24 meses (valor único)</t>
  </si>
  <si>
    <t>3b · ventas del primer mes de la ventana</t>
  </si>
  <si>
    <t>Proyeccion_24m!F11</t>
  </si>
  <si>
    <t>3b · ventas año 1 de la ventana</t>
  </si>
  <si>
    <t>Proyeccion_24m!C11</t>
  </si>
  <si>
    <t>3b · ventas año 2 de la ventana</t>
  </si>
  <si>
    <t>Proyeccion_24m!D11</t>
  </si>
  <si>
    <t>3b · ventas total de la ventana</t>
  </si>
  <si>
    <t>Proyeccion_24m!E11</t>
  </si>
  <si>
    <t>3b · EBITDA año 1 de la ventana</t>
  </si>
  <si>
    <t>Proyeccion_24m!C19</t>
  </si>
  <si>
    <t>3b · origen de volúmenes</t>
  </si>
  <si>
    <t>Proyeccion_24m fila 7, F:AC</t>
  </si>
  <si>
    <t>«Detalle» en los 24 meses</t>
  </si>
  <si>
    <t>«Detalle» en los 24 meses (valor único)</t>
  </si>
  <si>
    <t>3b · estado del paso 29</t>
  </si>
  <si>
    <t>Guia_Carga!F43</t>
  </si>
  <si>
    <t>✔ 24 meses detallados</t>
  </si>
  <si>
    <t>3b · mes 24 borrado (AC14:AC15)</t>
  </si>
  <si>
    <t>⚠ 23 de 24 meses: completar hasta el mes 24</t>
  </si>
  <si>
    <t>3c · Precio — V.s1 mes 1</t>
  </si>
  <si>
    <t>Calculo!F202</t>
  </si>
  <si>
    <t>3c · Precio — V.s1 mes 12</t>
  </si>
  <si>
    <t>Calculo!Q202</t>
  </si>
  <si>
    <t>3c · Precio — V.s1 mes 13</t>
  </si>
  <si>
    <t>Calculo!R202</t>
  </si>
  <si>
    <t>3c · Precio — ventas año 1 de la ventana</t>
  </si>
  <si>
    <t>3c · Materia prima — V.mp_f mes 1</t>
  </si>
  <si>
    <t>Calculo!F229</t>
  </si>
  <si>
    <t>base 125875 + 7350 = 133225</t>
  </si>
  <si>
    <t>3c · Materia prima — V.mp_f mes 13</t>
  </si>
  <si>
    <t>Calculo!R229</t>
  </si>
  <si>
    <t>base 160476.375 + 8154.375 = 168630.75</t>
  </si>
  <si>
    <t>3c · Materia prima — V.mp_f mes 25</t>
  </si>
  <si>
    <t>Calculo!AD229</t>
  </si>
  <si>
    <t>195757.19 (sin cambio)</t>
  </si>
  <si>
    <t>3c · Materia prima — EBITDA año 1</t>
  </si>
  <si>
    <t>3c · Personal — V.dir_n mes 1</t>
  </si>
  <si>
    <t>Calculo!F233</t>
  </si>
  <si>
    <t>45 (base 43)</t>
  </si>
  <si>
    <t>3c · Personal — V.dir_f mes 1</t>
  </si>
  <si>
    <t>Calculo!F234</t>
  </si>
  <si>
    <t>base 32622.2257971233 + 2377.5457 = 34999.77</t>
  </si>
  <si>
    <t>3c · Personal — EBITDA año 1</t>
  </si>
  <si>
    <t>3c · Costo fijo — V.fp_f mes 1</t>
  </si>
  <si>
    <t>Calculo!F242</t>
  </si>
  <si>
    <t>base 4393.47821917808 + 821.9178 = 5215.40</t>
  </si>
  <si>
    <t>3c · Costo fijo — EBITDA año 1</t>
  </si>
  <si>
    <t>3c · TC — V.tc meses 1 a 24</t>
  </si>
  <si>
    <t>Calculo fila 174, F:AC</t>
  </si>
  <si>
    <t>8000 (mes 1 y mes 24 verificados)</t>
  </si>
  <si>
    <t>3c · TC — V.tc mes 25</t>
  </si>
  <si>
    <t>Calculo!AD174</t>
  </si>
  <si>
    <t>3c · TC — V.PERA mes 1</t>
  </si>
  <si>
    <t>Calculo!F254</t>
  </si>
  <si>
    <t>3c · TC — ventas de la ventana</t>
  </si>
  <si>
    <t>Proyeccion_24m!C11:E11</t>
  </si>
  <si>
    <t>4850000 / 6181200 / 11031200</t>
  </si>
  <si>
    <t>3c · TC — EBITDA año 1</t>
  </si>
  <si>
    <t>3d · Conservador — V.u1 meses 1 a 3</t>
  </si>
  <si>
    <t>Calculo fila 177, F:H</t>
  </si>
  <si>
    <t>0 / 0 / 0</t>
  </si>
  <si>
    <t>3d · Conservador — V.u1 meses 4 a 24</t>
  </si>
  <si>
    <t>Calculo fila 177, I:AC</t>
  </si>
  <si>
    <t>990 en los 21 meses (valor único)</t>
  </si>
  <si>
    <t>3d · Conservador — V.u1 mes 25</t>
  </si>
  <si>
    <t>3d · Conservador — balance</t>
  </si>
  <si>
    <t>3d · Ventana 12 — V.u1 meses 1 a 12</t>
  </si>
  <si>
    <t>Calculo fila 177, F:Q</t>
  </si>
  <si>
    <t>1100 en los 12 meses (valor único)</t>
  </si>
  <si>
    <t>3d · Ventana 12 — V.u1 meses 13 a 24</t>
  </si>
  <si>
    <t>Calculo fila 177, R:AC</t>
  </si>
  <si>
    <t>1250 en los 12 meses (valor único)</t>
  </si>
  <si>
    <t>3d · Ventana 12 — balance</t>
  </si>
  <si>
    <t>3d · Ventana móvil — V.u1 meses 1 a 6</t>
  </si>
  <si>
    <t>Calculo fila 177, F:K</t>
  </si>
  <si>
    <t>600 (reales)</t>
  </si>
  <si>
    <t>600 en los 6 meses (valor único)</t>
  </si>
  <si>
    <t>3d · Ventana móvil — V.u1 meses 7 a 30</t>
  </si>
  <si>
    <t>Calculo fila 177, L:AI</t>
  </si>
  <si>
    <t>1100 (ventana)</t>
  </si>
  <si>
    <t>3d · Ventana móvil — V.u1 meses 31 a 36</t>
  </si>
  <si>
    <t>Calculo fila 177, AJ:AO</t>
  </si>
  <si>
    <t>1500 (anual, el detalle fuera de la ventana no se usa)</t>
  </si>
  <si>
    <t>1500 en los 6 meses (valor único)</t>
  </si>
  <si>
    <t>3d · Ventana móvil — primer mes de la proyección</t>
  </si>
  <si>
    <t>Proyeccion_24m!F5</t>
  </si>
  <si>
    <t>3d · Ventana móvil — ventas del primer mes</t>
  </si>
  <si>
    <t>3d · Ventana móvil — ventas año 1</t>
  </si>
  <si>
    <t>3d · Ventana móvil — ventas año 2</t>
  </si>
  <si>
    <t>3d · Ventana móvil — ventas total</t>
  </si>
  <si>
    <t>3d · Ventana móvil — balance</t>
  </si>
  <si>
    <t>3d · Restauración final — VAN del proyecto</t>
  </si>
  <si>
    <t>7. ESTADO FINAL DEL LIBRO</t>
  </si>
  <si>
    <t>VAN del proyecto</t>
  </si>
  <si>
    <t>VAN de los socios</t>
  </si>
  <si>
    <t>Balance de control</t>
  </si>
  <si>
    <t>2 — C13 (brecha de caja, 12 meses) y C14 (mes real de inicio sin cargar)</t>
  </si>
  <si>
    <t>Detalle_24m vacío</t>
  </si>
  <si>
    <t>Sí. Sin datos en los bloques TC, Q, P, MP, IN, OV, DO, SA y FC. Las 1296 celdas con contenido en F:ES corresponden a las 9 filas contadoras «Celdas con dato en el mes» (filas 11, 39, 67, 95, 123, 151, 184, 217 y 245), que son estructurales</t>
  </si>
  <si>
    <t>Inicio!C11 vacío</t>
  </si>
  <si>
    <t>Sí. C13 = «Vigente», C14 = 24</t>
  </si>
  <si>
    <t>Reales sin datos</t>
  </si>
  <si>
    <t>Sí. Rango F10:K84 con 0 celdas no vacías</t>
  </si>
  <si>
    <t>Inversion ejecutado / pagado / por contratar</t>
  </si>
  <si>
    <t>Sí, vacío. G6:J19 con 0 celdas no vacías</t>
  </si>
  <si>
    <t>Celdas vigentes con valor en lugar de fórmula</t>
  </si>
  <si>
    <t>Ninguna. Verificado por relectura: Inversion E32:E36 = =D32..=D36, G32:G36 = =F32..=F36, E41:E44 = =D41..=D44; Supuestos E6 = =D6, E21 = =D21, D51:M51 = =D39..=M39; Productos H6:H7 = =G6/=G7, J/L/N filas 6 a 7 = =I/=K/=M, D63:M63 = =D34..=M34, D64:M64 = =D35..=M35, D65:M65 = =D36.., D75:M75 = =D46.., D87:M87 = =D58..; Costos F6:F31 = =E6..=E31 y F75:F83 = =E75..=E83; Productos B8/B18/B30 y C8/C18/C30 vacías</t>
  </si>
  <si>
    <t>Hojas Calculo, Resultados, Control y Proyeccion_24m</t>
  </si>
  <si>
    <t>No se editó ninguna celda de estas hojas en toda la validación</t>
  </si>
  <si>
    <t>Guia_Carga paso 29</t>
  </si>
  <si>
    <t>○ Usa supuestos anuales (estado de libro sin detalle cargado)</t>
  </si>
  <si>
    <t>8. CAMBIOS FUERA DE LO PEDIDO</t>
  </si>
  <si>
    <t>Qué</t>
  </si>
  <si>
    <t>Dónde</t>
  </si>
  <si>
    <t>Causa</t>
  </si>
  <si>
    <t>Resolución</t>
  </si>
  <si>
    <t>Borrado de las fórmulas =COUNT(...) de las 9 filas contadoras «Celdas con dato en el mes» en las columnas F a AO</t>
  </si>
  <si>
    <t>Detalle_24m filas 11, 39, 67, 95, 123, 151, 184, 217 y 245</t>
  </si>
  <si>
    <t>Al restaurar el paso 3d se usó un rango de limpieza más amplio de lo necesario (F10:AO250) en lugar de limitarlo a las filas de datos</t>
  </si>
  <si>
    <t>Restauradas copiando el patrón desde la columna AP de cada fila. Verificado por relectura: F11 = =COUNT(F10:F10), F39 = =COUNT(F14:F38), F67 = =COUNT(F42:F66), F95 = =COUNT(F70:F94), F123 = =COUNT(F98:F122), F151 = =COUNT(F126:F150), F184 = =COUNT(F154:F183), F217 = =COUNT(F187:F216), F245 = =COUNT(F220:F244); 1296 celdas con fórmula (9 filas × 144 meses) y Guia_Carga!F43 responde correctamente</t>
  </si>
  <si>
    <t>Registro</t>
  </si>
  <si>
    <t>Hoja «Claude Log» filas 10 a 20 (turnos 9 a 19) y esta hoja «Informe_Cierre_v6»</t>
  </si>
  <si>
    <t>Regla de registro del prompt y pedido explícito del usuario</t>
  </si>
  <si>
    <t>No se modificaron filas, columnas, nombres definidos, validaciones, conexiones ni macros. El libro no contiene vínculos externos ni código VBA detectado</t>
  </si>
  <si>
    <t>Observación de redacción (no de cálculo)</t>
  </si>
  <si>
    <t>Prompt_Claude_Excel_ECOSTAR_v6.md, escenario X2</t>
  </si>
  <si>
    <t>El valor esperado «materiales +933279.30» corresponde a materia prima + insumos. Deltas leídos en Excel: materia prima +753279.30 (Calculo!E229), insumos +180000 (Calculo!E230), otros variables por unidad +60000 (Calculo!E231). Incluyendo los tres rubros el delta es 993279.30</t>
  </si>
  <si>
    <t>Sugerencia: precisar la definición en el prompt para evitar un falso positivo en futuras corridas</t>
  </si>
  <si>
    <t>9. CONCLUSIÓN</t>
  </si>
  <si>
    <t>Excel 16.0.20527.20088 sobre Windows, con cultura es-PY (decimal coma, miles punto, listas punto y coma), reproduce íntegramente los resultados validados en LibreOffice para la v6: 439 comprobaciones, 439 OK, 0 diferencias, sin errores de celda, sin referencias circulares y sin vínculos externos.</t>
  </si>
  <si>
    <t>No hay diferencias de fondo ni de tolerancia: todas las coincidencias son exactas o difieren solo en los decimales que el documento de referencia presenta redondeados (por ejemplo 6989921.76 frente a 6989922).</t>
  </si>
  <si>
    <t>La corrección regional de los criterios "&gt;0.5" está efectivamente aplicada: cero criterios de texto con decimales en todo el libro.</t>
  </si>
  <si>
    <t>No se recomienda ningún cambio en el generador; la única acción sugerida es editorial — precisar en el prompt que el delta de «materiales» de X2 abarca materia prima e insumos pero no otros variables por unidad.</t>
  </si>
  <si>
    <t>Queda pendiente, si se desea cobertura completa, ejecutar X1 sobre una copia descartable.</t>
  </si>
  <si>
    <t>19 (Claude en Excel)</t>
  </si>
  <si>
    <t>Preparar un informe de cierre para el equipo del generador, con 9 secciones y reglas de formato (tablas, números sin separador de miles y con punto decimal, montos en USD sin redondear, sin omitir filas OK).</t>
  </si>
  <si>
    <t>Lectura del entorno (versión, plataforma, cultura, modo de cálculo), barrido de valores de error en las 14 hojas, relectura de Resultados!B6:D30 y Control!B5:F22, y consolidación de los resultados de los 38 escenarios corridos y de los pasos 3, 3b, 3c y 3d. Informe entregado en el chat.</t>
  </si>
  <si>
    <t>Entorno: Excel 16.0.20527.20088, PC (Windows), interfaz es-ES, cultura del libro es-PY (decimal coma, miles punto, fecha barra), cálculo Automático, ExcelApi 1.20, 0 libros vinculados, 0 valores de error en las 14 hojas, sin referencias circulares. Corrección respecto del turno anterior: la fila de registro anunciada como 'Turno 19' no se había escrito; se escribe ahora.</t>
  </si>
  <si>
    <t>Informe de cierre entregado en el chat con las 9 secciones solicitadas. 439 comprobaciones, 439 OK, 0 diferencias.</t>
  </si>
  <si>
    <t>20 (Claude en Excel)</t>
  </si>
  <si>
    <t>Escribir el informe de cierre completo en una hoja del libro para poder subirlo.</t>
  </si>
  <si>
    <t>Alta de la hoja nueva 'Informe_Cierre_v6' en la posición 13 (antes de Esp_25Productos), con las 9 secciones en A1:J234: 1 Entorno, 2 Resumen por paso, 3 Diferencias, 4 Indicadores del paso 1 (25 filas) más controles en REVISAR, criterios de texto con decimales y nombres definidos, 5 Catálogo de 39 escenarios, 6 Pasos 3/3b/3c/3d (71 comprobaciones), 7 Estado final, 8 Cambios fuera de lo pedido, 9 Conclusión.</t>
  </si>
  <si>
    <t>Estilo aplicado: Calibri, cuadrícula desactivada, banda de título #0B2545 con texto blanco 13 pt, subtítulo en cursiva #5A6572, bandas de sección y encabezados de tabla #13395E con texto blanco, fila TOTAL con fondo #D6E0EA y borde superior doble, bordes #A6B4C2 (exterior medio e interior fino), paneles inmovilizados en las 3 primeras filas. Formatos numéricos: montos 0.00 con negativos entre paréntesis y cero como guión, ratios 0.0000, enteros 0. Todos los valores numéricos quedaron como números, no como texto. Ninguna otra hoja fue modificada.</t>
  </si>
  <si>
    <t>Hoja 'Informe_Cierre_v6' creada y verificada por relectura (título, fila TOTAL 439/439/0, encabezado y primera fila del catálogo, última fila del paso 3d, estado final, sección 8 y las 5 líneas de conclusión; cuadrícula desactivada; inmovilizado en 1:3). Advertencia: por la cultura es-PY, los decimales se muestran con coma en pantalla aunque el informe pedido use punto; los valores subyacentes son exactos.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</si>
</sst>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0;\(#,##0\);\-"/>
    <numFmt numFmtId="166" formatCode="0.00%;\(0.00%\);\-"/>
    <numFmt numFmtId="167" formatCode="0.0%;\(0.0%\);\-"/>
    <numFmt numFmtId="168" formatCode="#,##0.0000;\(#,##0.0000\);\-"/>
    <numFmt numFmtId="169" formatCode="#,##0.00;\(#,##0.00\);\-"/>
    <numFmt numFmtId="170" formatCode="0.00\x;\(0.00&quot;x)&quot;;\-"/>
    <numFmt numFmtId="171" formatCode="0.00;\(0.00\);\-"/>
    <numFmt numFmtId="172" formatCode="0.0000;\(0.0000\);\-"/>
  </numFmts>
  <fonts count="26" x14ac:knownFonts="1">
    <font>
      <sz val="11"/>
      <color theme="1"/>
      <name val="Calibri"/>
      <family val="2"/>
      <charset val="1"/>
    </font>
    <font>
      <b/>
      <sz val="11"/>
      <color rgb="FFFFFFFF"/>
      <name val="Calibri"/>
      <charset val="1"/>
    </font>
    <font>
      <sz val="11"/>
      <color theme="1"/>
      <name val="Calibri"/>
      <charset val="1"/>
    </font>
    <font>
      <b/>
      <sz val="13"/>
      <color rgb="FF1F3864"/>
      <name val="Arial"/>
      <charset val="1"/>
    </font>
    <font>
      <i/>
      <sz val="9"/>
      <color rgb="FF595959"/>
      <name val="Arial"/>
      <charset val="1"/>
    </font>
    <font>
      <b/>
      <sz val="10"/>
      <color rgb="FF1F3864"/>
      <name val="Arial"/>
      <charset val="1"/>
    </font>
    <font>
      <b/>
      <sz val="9"/>
      <color rgb="FFFFFFFF"/>
      <name val="Arial"/>
      <charset val="1"/>
    </font>
    <font>
      <sz val="9"/>
      <name val="Arial"/>
      <charset val="1"/>
    </font>
    <font>
      <sz val="9"/>
      <color rgb="FF0000FF"/>
      <name val="Arial"/>
      <charset val="1"/>
    </font>
    <font>
      <b/>
      <sz val="9"/>
      <name val="Arial"/>
      <charset val="1"/>
    </font>
    <font>
      <i/>
      <sz val="9"/>
      <color rgb="FF808080"/>
      <name val="Arial"/>
      <charset val="1"/>
    </font>
    <font>
      <u/>
      <sz val="9"/>
      <color rgb="FF0563C1"/>
      <name val="Arial"/>
      <charset val="1"/>
    </font>
    <font>
      <sz val="9"/>
      <color rgb="FF008000"/>
      <name val="Arial"/>
      <charset val="1"/>
    </font>
    <font>
      <b/>
      <sz val="9"/>
      <color rgb="FFC00000"/>
      <name val="Arial"/>
      <charset val="1"/>
    </font>
    <font>
      <b/>
      <sz val="13"/>
      <color rgb="FFFFFFFF"/>
      <name val="Calibri"/>
      <charset val="1"/>
    </font>
    <font>
      <i/>
      <sz val="11"/>
      <color rgb="FF5A6572"/>
      <name val="Calibri"/>
      <charset val="1"/>
    </font>
    <font>
      <sz val="10"/>
      <color theme="1"/>
      <name val="Calibri"/>
      <charset val="1"/>
    </font>
    <font>
      <b/>
      <sz val="10"/>
      <color rgb="FFFFFFFF"/>
      <name val="Calibri"/>
      <charset val="1"/>
    </font>
    <font>
      <b/>
      <sz val="10"/>
      <color theme="1"/>
      <name val="Calibri"/>
      <charset val="1"/>
    </font>
    <font>
      <sz val="10"/>
      <color theme="1"/>
      <name val="Calibri"/>
    </font>
    <font>
      <b/>
      <sz val="10"/>
      <color rgb="FFFFFFFF"/>
      <name val="Calibri"/>
    </font>
    <font>
      <b/>
      <sz val="13"/>
      <color rgb="FFFFFFFF"/>
      <name val="Calibri"/>
    </font>
    <font>
      <i/>
      <sz val="10"/>
      <color rgb="FF5A6572"/>
      <name val="Calibri"/>
    </font>
    <font>
      <b/>
      <sz val="11"/>
      <color rgb="FFFFFFFF"/>
      <name val="Calibri"/>
    </font>
    <font>
      <b/>
      <sz val="10"/>
      <color theme="1"/>
      <name val="Calibri"/>
    </font>
    <font>
      <b/>
      <sz val="10"/>
      <color rgb="FF0B2545"/>
      <name val="Calibri"/>
    </font>
  </fonts>
  <fills count="15">
    <fill>
      <patternFill patternType="none"/>
    </fill>
    <fill>
      <patternFill patternType="gray125"/>
    </fill>
    <fill>
      <patternFill patternType="solid">
        <fgColor rgb="FF13395E"/>
        <bgColor rgb="FF1F3864"/>
      </patternFill>
    </fill>
    <fill>
      <patternFill patternType="solid">
        <fgColor rgb="FFD9E1F2"/>
        <bgColor rgb="FFD6E0EA"/>
      </patternFill>
    </fill>
    <fill>
      <patternFill patternType="solid">
        <fgColor rgb="FF1F3864"/>
        <bgColor rgb="FF13395E"/>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
      <patternFill patternType="solid">
        <fgColor rgb="FF0B2545"/>
        <bgColor rgb="FF13395E"/>
      </patternFill>
    </fill>
    <fill>
      <patternFill patternType="solid">
        <fgColor rgb="FFD6E0EA"/>
        <bgColor rgb="FFD9E1F2"/>
      </patternFill>
    </fill>
    <fill>
      <patternFill patternType="solid">
        <fgColor rgb="FF0B2545"/>
        <bgColor indexed="64"/>
      </patternFill>
    </fill>
    <fill>
      <patternFill patternType="solid">
        <fgColor rgb="FF13395E"/>
        <bgColor indexed="64"/>
      </patternFill>
    </fill>
    <fill>
      <patternFill patternType="solid">
        <fgColor rgb="FFD6E0EA"/>
        <bgColor indexed="64"/>
      </patternFill>
    </fill>
  </fills>
  <borders count="21">
    <border>
      <left/>
      <right/>
      <top/>
      <bottom/>
      <diagonal/>
    </border>
    <border>
      <left/>
      <right/>
      <top/>
      <bottom style="thin">
        <color rgb="FFA6B4C2"/>
      </bottom>
      <diagonal/>
    </border>
    <border>
      <left/>
      <right/>
      <top style="thin">
        <color rgb="FFA6B4C2"/>
      </top>
      <bottom style="thin">
        <color rgb="FFA6B4C2"/>
      </bottom>
      <diagonal/>
    </border>
    <border>
      <left/>
      <right style="thin">
        <color rgb="FFA6B4C2"/>
      </right>
      <top/>
      <bottom style="thin">
        <color rgb="FFA6B4C2"/>
      </bottom>
      <diagonal/>
    </border>
    <border>
      <left style="thin">
        <color rgb="FFA6B4C2"/>
      </left>
      <right style="thin">
        <color rgb="FFA6B4C2"/>
      </right>
      <top/>
      <bottom style="thin">
        <color rgb="FFA6B4C2"/>
      </bottom>
      <diagonal/>
    </border>
    <border>
      <left style="thin">
        <color rgb="FFA6B4C2"/>
      </left>
      <right/>
      <top/>
      <bottom style="thin">
        <color rgb="FFA6B4C2"/>
      </bottom>
      <diagonal/>
    </border>
    <border>
      <left/>
      <right style="thin">
        <color rgb="FFA6B4C2"/>
      </right>
      <top style="thin">
        <color rgb="FFA6B4C2"/>
      </top>
      <bottom style="thin">
        <color rgb="FFA6B4C2"/>
      </bottom>
      <diagonal/>
    </border>
    <border>
      <left style="thin">
        <color rgb="FFA6B4C2"/>
      </left>
      <right style="thin">
        <color rgb="FFA6B4C2"/>
      </right>
      <top style="thin">
        <color rgb="FFA6B4C2"/>
      </top>
      <bottom style="thin">
        <color rgb="FFA6B4C2"/>
      </bottom>
      <diagonal/>
    </border>
    <border>
      <left style="thin">
        <color rgb="FFA6B4C2"/>
      </left>
      <right/>
      <top style="thin">
        <color rgb="FFA6B4C2"/>
      </top>
      <bottom style="thin">
        <color rgb="FFA6B4C2"/>
      </bottom>
      <diagonal/>
    </border>
    <border>
      <left/>
      <right style="thin">
        <color rgb="FFA6B4C2"/>
      </right>
      <top style="thin">
        <color rgb="FFA6B4C2"/>
      </top>
      <bottom/>
      <diagonal/>
    </border>
    <border>
      <left style="thin">
        <color rgb="FFA6B4C2"/>
      </left>
      <right style="thin">
        <color rgb="FFA6B4C2"/>
      </right>
      <top style="thin">
        <color rgb="FFA6B4C2"/>
      </top>
      <bottom/>
      <diagonal/>
    </border>
    <border>
      <left style="thin">
        <color rgb="FFA6B4C2"/>
      </left>
      <right/>
      <top style="thin">
        <color rgb="FFA6B4C2"/>
      </top>
      <bottom/>
      <diagonal/>
    </border>
    <border>
      <left/>
      <right/>
      <top style="double">
        <color rgb="FFA6B4C2"/>
      </top>
      <bottom/>
      <diagonal/>
    </border>
    <border>
      <left style="medium">
        <color rgb="FFA6B4C2"/>
      </left>
      <right style="thin">
        <color rgb="FFA6B4C2"/>
      </right>
      <top style="medium">
        <color rgb="FFA6B4C2"/>
      </top>
      <bottom style="thin">
        <color rgb="FFA6B4C2"/>
      </bottom>
      <diagonal/>
    </border>
    <border>
      <left style="thin">
        <color rgb="FFA6B4C2"/>
      </left>
      <right style="medium">
        <color rgb="FFA6B4C2"/>
      </right>
      <top style="medium">
        <color rgb="FFA6B4C2"/>
      </top>
      <bottom style="thin">
        <color rgb="FFA6B4C2"/>
      </bottom>
      <diagonal/>
    </border>
    <border>
      <left style="medium">
        <color rgb="FFA6B4C2"/>
      </left>
      <right style="thin">
        <color rgb="FFA6B4C2"/>
      </right>
      <top style="thin">
        <color rgb="FFA6B4C2"/>
      </top>
      <bottom style="thin">
        <color rgb="FFA6B4C2"/>
      </bottom>
      <diagonal/>
    </border>
    <border>
      <left style="thin">
        <color rgb="FFA6B4C2"/>
      </left>
      <right style="medium">
        <color rgb="FFA6B4C2"/>
      </right>
      <top style="thin">
        <color rgb="FFA6B4C2"/>
      </top>
      <bottom style="thin">
        <color rgb="FFA6B4C2"/>
      </bottom>
      <diagonal/>
    </border>
    <border>
      <left style="medium">
        <color rgb="FFA6B4C2"/>
      </left>
      <right style="thin">
        <color rgb="FFA6B4C2"/>
      </right>
      <top style="thin">
        <color rgb="FFA6B4C2"/>
      </top>
      <bottom style="medium">
        <color rgb="FFA6B4C2"/>
      </bottom>
      <diagonal/>
    </border>
    <border>
      <left style="thin">
        <color rgb="FFA6B4C2"/>
      </left>
      <right style="medium">
        <color rgb="FFA6B4C2"/>
      </right>
      <top style="thin">
        <color rgb="FFA6B4C2"/>
      </top>
      <bottom style="medium">
        <color rgb="FFA6B4C2"/>
      </bottom>
      <diagonal/>
    </border>
    <border>
      <left style="thin">
        <color rgb="FFA6B4C2"/>
      </left>
      <right style="thin">
        <color rgb="FFA6B4C2"/>
      </right>
      <top style="medium">
        <color rgb="FFA6B4C2"/>
      </top>
      <bottom style="thin">
        <color rgb="FFA6B4C2"/>
      </bottom>
      <diagonal/>
    </border>
    <border>
      <left style="thin">
        <color rgb="FFA6B4C2"/>
      </left>
      <right style="thin">
        <color rgb="FFA6B4C2"/>
      </right>
      <top style="thin">
        <color rgb="FFA6B4C2"/>
      </top>
      <bottom style="medium">
        <color rgb="FFA6B4C2"/>
      </bottom>
      <diagonal/>
    </border>
  </borders>
  <cellStyleXfs count="1">
    <xf numFmtId="0" fontId="0" fillId="0" borderId="0"/>
  </cellStyleXfs>
  <cellXfs count="146">
    <xf numFmtId="0" fontId="0" fillId="0" borderId="0" xfId="0"/>
    <xf numFmtId="0" fontId="15" fillId="0" borderId="0" xfId="0" applyFont="1"/>
    <xf numFmtId="0" fontId="14" fillId="10" borderId="0" xfId="0" applyFont="1" applyFill="1"/>
    <xf numFmtId="0" fontId="6" fillId="4" borderId="0" xfId="0" applyFont="1" applyFill="1" applyAlignment="1">
      <alignment horizontal="center" vertical="center" wrapText="1"/>
    </xf>
    <xf numFmtId="0" fontId="8" fillId="5" borderId="0" xfId="0" applyFont="1" applyFill="1"/>
    <xf numFmtId="0" fontId="7" fillId="0" borderId="0" xfId="0" applyFont="1" applyAlignment="1">
      <alignment vertical="top" wrapText="1"/>
    </xf>
    <xf numFmtId="0" fontId="1" fillId="2" borderId="0" xfId="0" applyFont="1" applyFill="1" applyAlignment="1">
      <alignment horizontal="center"/>
    </xf>
    <xf numFmtId="0" fontId="2" fillId="0" borderId="1" xfId="0" applyFont="1" applyBorder="1" applyAlignment="1">
      <alignment vertical="top" wrapText="1"/>
    </xf>
    <xf numFmtId="164" fontId="2" fillId="0" borderId="1" xfId="0" applyNumberFormat="1" applyFont="1" applyBorder="1" applyAlignment="1">
      <alignment vertical="top" wrapText="1"/>
    </xf>
    <xf numFmtId="0" fontId="2" fillId="0" borderId="2" xfId="0" applyFont="1" applyBorder="1" applyAlignment="1">
      <alignment vertical="top" wrapText="1"/>
    </xf>
    <xf numFmtId="164" fontId="2" fillId="0" borderId="2" xfId="0" applyNumberFormat="1" applyFont="1" applyBorder="1" applyAlignment="1">
      <alignment vertical="top" wrapText="1"/>
    </xf>
    <xf numFmtId="0" fontId="2" fillId="0" borderId="0" xfId="0" applyFont="1"/>
    <xf numFmtId="164" fontId="2" fillId="0" borderId="0" xfId="0" applyNumberFormat="1" applyFont="1"/>
    <xf numFmtId="0" fontId="3" fillId="0" borderId="0" xfId="0" applyFont="1"/>
    <xf numFmtId="0" fontId="4" fillId="0" borderId="0" xfId="0" applyFont="1"/>
    <xf numFmtId="0" fontId="5" fillId="3" borderId="0" xfId="0" applyFont="1" applyFill="1"/>
    <xf numFmtId="0" fontId="0" fillId="3" borderId="0" xfId="0" applyFill="1"/>
    <xf numFmtId="0" fontId="6" fillId="4" borderId="0" xfId="0" applyFont="1" applyFill="1" applyAlignment="1">
      <alignment horizontal="center" vertical="center" wrapText="1"/>
    </xf>
    <xf numFmtId="0" fontId="7" fillId="0" borderId="0" xfId="0" applyFont="1"/>
    <xf numFmtId="0" fontId="8" fillId="5" borderId="0" xfId="0" applyFont="1" applyFill="1"/>
    <xf numFmtId="164" fontId="8" fillId="5" borderId="0" xfId="0" applyNumberFormat="1" applyFont="1" applyFill="1"/>
    <xf numFmtId="1" fontId="8" fillId="5" borderId="0" xfId="0" applyNumberFormat="1" applyFont="1" applyFill="1"/>
    <xf numFmtId="165" fontId="9" fillId="0" borderId="0" xfId="0" applyNumberFormat="1" applyFont="1"/>
    <xf numFmtId="0" fontId="9" fillId="0" borderId="0" xfId="0" applyFont="1"/>
    <xf numFmtId="0" fontId="7" fillId="0" borderId="0" xfId="0" applyFont="1" applyAlignment="1">
      <alignment vertical="top" wrapText="1"/>
    </xf>
    <xf numFmtId="0" fontId="10" fillId="6" borderId="0" xfId="0" applyFont="1" applyFill="1"/>
    <xf numFmtId="0" fontId="7" fillId="7" borderId="0" xfId="0" applyFont="1" applyFill="1"/>
    <xf numFmtId="0" fontId="7" fillId="8" borderId="0" xfId="0" applyFont="1" applyFill="1"/>
    <xf numFmtId="1" fontId="9" fillId="8" borderId="0" xfId="0" applyNumberFormat="1" applyFont="1" applyFill="1"/>
    <xf numFmtId="1" fontId="9" fillId="0" borderId="0" xfId="0" applyNumberFormat="1" applyFont="1"/>
    <xf numFmtId="0" fontId="7" fillId="0" borderId="0" xfId="0" applyFont="1" applyAlignment="1">
      <alignment horizontal="center" vertical="center" wrapText="1"/>
    </xf>
    <xf numFmtId="0" fontId="11" fillId="0" borderId="0" xfId="0" applyFont="1"/>
    <xf numFmtId="0" fontId="4" fillId="0" borderId="0" xfId="0" applyFont="1" applyAlignment="1">
      <alignment vertical="top" wrapText="1"/>
    </xf>
    <xf numFmtId="1" fontId="10" fillId="6" borderId="0" xfId="0" applyNumberFormat="1" applyFont="1" applyFill="1"/>
    <xf numFmtId="1" fontId="7" fillId="0" borderId="0" xfId="0" applyNumberFormat="1" applyFont="1"/>
    <xf numFmtId="166" fontId="8" fillId="5" borderId="0" xfId="0" applyNumberFormat="1" applyFont="1" applyFill="1"/>
    <xf numFmtId="166" fontId="10" fillId="6" borderId="0" xfId="0" applyNumberFormat="1" applyFont="1" applyFill="1"/>
    <xf numFmtId="165" fontId="8" fillId="5" borderId="0" xfId="0" applyNumberFormat="1" applyFont="1" applyFill="1"/>
    <xf numFmtId="165" fontId="10" fillId="6" borderId="0" xfId="0" applyNumberFormat="1" applyFont="1" applyFill="1"/>
    <xf numFmtId="167" fontId="8" fillId="5" borderId="0" xfId="0" applyNumberFormat="1" applyFont="1" applyFill="1"/>
    <xf numFmtId="167" fontId="10" fillId="6" borderId="0" xfId="0" applyNumberFormat="1" applyFont="1" applyFill="1"/>
    <xf numFmtId="0" fontId="9" fillId="7" borderId="0" xfId="0" applyFont="1" applyFill="1"/>
    <xf numFmtId="168" fontId="7" fillId="0" borderId="0" xfId="0" applyNumberFormat="1" applyFont="1"/>
    <xf numFmtId="0" fontId="9" fillId="8" borderId="0" xfId="0" applyFont="1" applyFill="1"/>
    <xf numFmtId="167" fontId="7" fillId="9" borderId="0" xfId="0" applyNumberFormat="1" applyFont="1" applyFill="1"/>
    <xf numFmtId="167" fontId="9" fillId="0" borderId="0" xfId="0" applyNumberFormat="1" applyFont="1"/>
    <xf numFmtId="1" fontId="7" fillId="9" borderId="0" xfId="0" applyNumberFormat="1" applyFont="1" applyFill="1"/>
    <xf numFmtId="166" fontId="7" fillId="0" borderId="0" xfId="0" applyNumberFormat="1" applyFont="1"/>
    <xf numFmtId="165" fontId="7" fillId="0" borderId="0" xfId="0" applyNumberFormat="1" applyFont="1"/>
    <xf numFmtId="167" fontId="7" fillId="0" borderId="0" xfId="0" applyNumberFormat="1" applyFont="1"/>
    <xf numFmtId="169" fontId="7" fillId="0" borderId="0" xfId="0" applyNumberFormat="1" applyFont="1"/>
    <xf numFmtId="168" fontId="8" fillId="5" borderId="0" xfId="0" applyNumberFormat="1" applyFont="1" applyFill="1"/>
    <xf numFmtId="168" fontId="10" fillId="6" borderId="0" xfId="0" applyNumberFormat="1" applyFont="1" applyFill="1"/>
    <xf numFmtId="0" fontId="12" fillId="0" borderId="0" xfId="0" applyFont="1"/>
    <xf numFmtId="165" fontId="9" fillId="9" borderId="0" xfId="0" applyNumberFormat="1" applyFont="1" applyFill="1"/>
    <xf numFmtId="169" fontId="8" fillId="5" borderId="0" xfId="0" applyNumberFormat="1" applyFont="1" applyFill="1"/>
    <xf numFmtId="169" fontId="10" fillId="6" borderId="0" xfId="0" applyNumberFormat="1" applyFont="1" applyFill="1"/>
    <xf numFmtId="0" fontId="0" fillId="4" borderId="0" xfId="0" applyFill="1"/>
    <xf numFmtId="0" fontId="6" fillId="4" borderId="0" xfId="0" applyFont="1" applyFill="1"/>
    <xf numFmtId="17" fontId="6" fillId="4" borderId="0" xfId="0" applyNumberFormat="1" applyFont="1" applyFill="1" applyAlignment="1">
      <alignment horizontal="center" vertical="center" wrapText="1"/>
    </xf>
    <xf numFmtId="1" fontId="6" fillId="4" borderId="0" xfId="0" applyNumberFormat="1" applyFont="1" applyFill="1" applyAlignment="1">
      <alignment horizontal="center" vertical="center" wrapText="1"/>
    </xf>
    <xf numFmtId="169" fontId="4" fillId="0" borderId="0" xfId="0" applyNumberFormat="1" applyFont="1"/>
    <xf numFmtId="1" fontId="4" fillId="0" borderId="0" xfId="0" applyNumberFormat="1" applyFont="1"/>
    <xf numFmtId="1" fontId="6" fillId="4" borderId="0" xfId="0" applyNumberFormat="1" applyFont="1" applyFill="1"/>
    <xf numFmtId="17" fontId="7" fillId="0" borderId="0" xfId="0" applyNumberFormat="1" applyFont="1"/>
    <xf numFmtId="0" fontId="0" fillId="7" borderId="0" xfId="0" applyFill="1"/>
    <xf numFmtId="0" fontId="5" fillId="7" borderId="0" xfId="0" applyFont="1" applyFill="1"/>
    <xf numFmtId="1" fontId="9" fillId="9" borderId="0" xfId="0" applyNumberFormat="1" applyFont="1" applyFill="1"/>
    <xf numFmtId="0" fontId="9" fillId="9" borderId="0" xfId="0" applyFont="1" applyFill="1"/>
    <xf numFmtId="169" fontId="9" fillId="9" borderId="0" xfId="0" applyNumberFormat="1" applyFont="1" applyFill="1"/>
    <xf numFmtId="169" fontId="9" fillId="0" borderId="0" xfId="0" applyNumberFormat="1" applyFont="1"/>
    <xf numFmtId="0" fontId="0" fillId="8" borderId="0" xfId="0" applyFill="1"/>
    <xf numFmtId="0" fontId="5" fillId="8" borderId="0" xfId="0" applyFont="1" applyFill="1"/>
    <xf numFmtId="0" fontId="13" fillId="0" borderId="0" xfId="0" applyFont="1"/>
    <xf numFmtId="165" fontId="9" fillId="7" borderId="0" xfId="0" applyNumberFormat="1" applyFont="1" applyFill="1"/>
    <xf numFmtId="165" fontId="9" fillId="8" borderId="0" xfId="0" applyNumberFormat="1" applyFont="1" applyFill="1"/>
    <xf numFmtId="167" fontId="9" fillId="7" borderId="0" xfId="0" applyNumberFormat="1" applyFont="1" applyFill="1"/>
    <xf numFmtId="167" fontId="9" fillId="8" borderId="0" xfId="0" applyNumberFormat="1" applyFont="1" applyFill="1"/>
    <xf numFmtId="1" fontId="9" fillId="7" borderId="0" xfId="0" applyNumberFormat="1" applyFont="1" applyFill="1"/>
    <xf numFmtId="169" fontId="9" fillId="7" borderId="0" xfId="0" applyNumberFormat="1" applyFont="1" applyFill="1"/>
    <xf numFmtId="169" fontId="9" fillId="8" borderId="0" xfId="0" applyNumberFormat="1" applyFont="1" applyFill="1"/>
    <xf numFmtId="170" fontId="9" fillId="7" borderId="0" xfId="0" applyNumberFormat="1" applyFont="1" applyFill="1"/>
    <xf numFmtId="170" fontId="9" fillId="8" borderId="0" xfId="0" applyNumberFormat="1" applyFont="1" applyFill="1"/>
    <xf numFmtId="170" fontId="7" fillId="0" borderId="0" xfId="0" applyNumberFormat="1" applyFont="1"/>
    <xf numFmtId="166" fontId="9" fillId="7" borderId="0" xfId="0" applyNumberFormat="1" applyFont="1" applyFill="1"/>
    <xf numFmtId="166" fontId="9" fillId="8" borderId="0" xfId="0" applyNumberFormat="1" applyFont="1" applyFill="1"/>
    <xf numFmtId="0" fontId="4" fillId="0" borderId="0" xfId="0" applyFont="1" applyAlignment="1">
      <alignment horizontal="center" vertical="center" wrapText="1"/>
    </xf>
    <xf numFmtId="1" fontId="4" fillId="0" borderId="0" xfId="0" applyNumberFormat="1" applyFont="1" applyAlignment="1">
      <alignment horizontal="center" vertical="center" wrapText="1"/>
    </xf>
    <xf numFmtId="165" fontId="12" fillId="0" borderId="0" xfId="0" applyNumberFormat="1" applyFont="1"/>
    <xf numFmtId="0" fontId="9" fillId="0" borderId="0" xfId="0" applyFont="1" applyAlignment="1">
      <alignment horizontal="center" vertical="center" wrapText="1"/>
    </xf>
    <xf numFmtId="0" fontId="1" fillId="2" borderId="0" xfId="0" applyFont="1" applyFill="1"/>
    <xf numFmtId="0" fontId="16" fillId="0" borderId="3" xfId="0" applyFont="1" applyBorder="1" applyAlignment="1">
      <alignment vertical="top" wrapText="1"/>
    </xf>
    <xf numFmtId="0" fontId="16" fillId="0" borderId="4" xfId="0" applyFont="1" applyBorder="1" applyAlignment="1">
      <alignment horizontal="center" vertical="top" wrapText="1"/>
    </xf>
    <xf numFmtId="0" fontId="16" fillId="0" borderId="4" xfId="0" applyFont="1" applyBorder="1" applyAlignment="1">
      <alignment vertical="top" wrapText="1"/>
    </xf>
    <xf numFmtId="0" fontId="16" fillId="0" borderId="5" xfId="0" applyFont="1" applyBorder="1" applyAlignment="1">
      <alignment vertical="top" wrapText="1"/>
    </xf>
    <xf numFmtId="0" fontId="16" fillId="0" borderId="6" xfId="0" applyFont="1" applyBorder="1" applyAlignment="1">
      <alignment vertical="top" wrapText="1"/>
    </xf>
    <xf numFmtId="0" fontId="16" fillId="0" borderId="7" xfId="0" applyFont="1" applyBorder="1" applyAlignment="1">
      <alignment vertical="top" wrapText="1"/>
    </xf>
    <xf numFmtId="0" fontId="16" fillId="0" borderId="8" xfId="0" applyFont="1" applyBorder="1" applyAlignment="1">
      <alignment vertical="top" wrapText="1"/>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2" borderId="8" xfId="0" applyFont="1" applyFill="1" applyBorder="1" applyAlignment="1">
      <alignment vertical="top" wrapText="1"/>
    </xf>
    <xf numFmtId="0" fontId="18" fillId="11" borderId="6" xfId="0" applyFont="1" applyFill="1" applyBorder="1" applyAlignment="1">
      <alignment vertical="top" wrapText="1"/>
    </xf>
    <xf numFmtId="0" fontId="18" fillId="11" borderId="7" xfId="0" applyFont="1" applyFill="1" applyBorder="1" applyAlignment="1">
      <alignment vertical="top" wrapText="1"/>
    </xf>
    <xf numFmtId="0" fontId="18" fillId="11" borderId="8" xfId="0" applyFont="1" applyFill="1" applyBorder="1" applyAlignment="1">
      <alignment vertical="top" wrapText="1"/>
    </xf>
    <xf numFmtId="0" fontId="18" fillId="0" borderId="6" xfId="0" applyFont="1" applyBorder="1" applyAlignment="1">
      <alignment vertical="top" wrapText="1"/>
    </xf>
    <xf numFmtId="49" fontId="16" fillId="0" borderId="7" xfId="0" applyNumberFormat="1" applyFont="1" applyBorder="1" applyAlignment="1">
      <alignment horizontal="center" vertical="top" wrapText="1"/>
    </xf>
    <xf numFmtId="49" fontId="16" fillId="0" borderId="7" xfId="0" applyNumberFormat="1" applyFont="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xf numFmtId="0" fontId="16" fillId="0" borderId="11" xfId="0" applyFont="1" applyBorder="1" applyAlignment="1">
      <alignment vertical="top" wrapText="1"/>
    </xf>
    <xf numFmtId="0" fontId="2" fillId="0" borderId="0" xfId="0" applyFont="1" applyFill="1" applyBorder="1" applyAlignment="1">
      <alignment vertical="top" wrapText="1"/>
    </xf>
    <xf numFmtId="164" fontId="2" fillId="0" borderId="0" xfId="0" applyNumberFormat="1" applyFont="1" applyFill="1" applyBorder="1" applyAlignment="1">
      <alignment vertical="top" wrapText="1"/>
    </xf>
    <xf numFmtId="0" fontId="19" fillId="0" borderId="0" xfId="0" applyFont="1" applyAlignment="1">
      <alignment vertical="top"/>
    </xf>
    <xf numFmtId="0" fontId="21" fillId="12" borderId="0" xfId="0" applyFont="1" applyFill="1" applyAlignment="1">
      <alignment vertical="top"/>
    </xf>
    <xf numFmtId="0" fontId="22" fillId="0" borderId="0" xfId="0" applyFont="1" applyAlignment="1">
      <alignment vertical="top"/>
    </xf>
    <xf numFmtId="0" fontId="23" fillId="13" borderId="0" xfId="0" applyFont="1" applyFill="1" applyAlignment="1">
      <alignment vertical="top"/>
    </xf>
    <xf numFmtId="0" fontId="25" fillId="0" borderId="0" xfId="0" applyFont="1" applyAlignment="1">
      <alignment vertical="top"/>
    </xf>
    <xf numFmtId="0" fontId="24" fillId="14" borderId="12" xfId="0" applyFont="1" applyFill="1" applyBorder="1" applyAlignment="1">
      <alignment vertical="top"/>
    </xf>
    <xf numFmtId="0" fontId="20" fillId="13" borderId="13" xfId="0" applyFont="1" applyFill="1" applyBorder="1" applyAlignment="1">
      <alignment horizontal="center" vertical="top"/>
    </xf>
    <xf numFmtId="0" fontId="20" fillId="13" borderId="14" xfId="0" applyFont="1" applyFill="1" applyBorder="1" applyAlignment="1">
      <alignment horizontal="center" vertical="top"/>
    </xf>
    <xf numFmtId="0" fontId="19" fillId="0" borderId="15" xfId="0" applyFont="1" applyBorder="1" applyAlignment="1">
      <alignment vertical="top"/>
    </xf>
    <xf numFmtId="0" fontId="19" fillId="0" borderId="16" xfId="0" applyFont="1" applyBorder="1" applyAlignment="1">
      <alignment vertical="top"/>
    </xf>
    <xf numFmtId="0" fontId="19" fillId="0" borderId="17" xfId="0" applyFont="1" applyBorder="1" applyAlignment="1">
      <alignment vertical="top"/>
    </xf>
    <xf numFmtId="0" fontId="19" fillId="0" borderId="18" xfId="0" applyFont="1" applyBorder="1" applyAlignment="1">
      <alignment vertical="top"/>
    </xf>
    <xf numFmtId="0" fontId="20" fillId="13" borderId="19" xfId="0" applyFont="1" applyFill="1" applyBorder="1" applyAlignment="1">
      <alignment horizontal="center" vertical="top"/>
    </xf>
    <xf numFmtId="0" fontId="19" fillId="0" borderId="7" xfId="0" applyFont="1" applyBorder="1" applyAlignment="1">
      <alignment vertical="top"/>
    </xf>
    <xf numFmtId="0" fontId="24" fillId="14" borderId="15" xfId="0" applyFont="1" applyFill="1" applyBorder="1" applyAlignment="1">
      <alignment vertical="top"/>
    </xf>
    <xf numFmtId="0" fontId="24" fillId="14" borderId="7" xfId="0" applyFont="1" applyFill="1" applyBorder="1" applyAlignment="1">
      <alignment vertical="top"/>
    </xf>
    <xf numFmtId="0" fontId="24" fillId="14" borderId="16" xfId="0" applyFont="1" applyFill="1" applyBorder="1" applyAlignment="1">
      <alignment vertical="top"/>
    </xf>
    <xf numFmtId="0" fontId="19" fillId="0" borderId="20" xfId="0" applyFont="1" applyBorder="1" applyAlignment="1">
      <alignment vertical="top"/>
    </xf>
    <xf numFmtId="1" fontId="19" fillId="0" borderId="7" xfId="0" applyNumberFormat="1" applyFont="1" applyBorder="1" applyAlignment="1">
      <alignment vertical="top"/>
    </xf>
    <xf numFmtId="1" fontId="24" fillId="14" borderId="7" xfId="0" applyNumberFormat="1" applyFont="1" applyFill="1" applyBorder="1" applyAlignment="1">
      <alignment vertical="top"/>
    </xf>
    <xf numFmtId="171" fontId="19" fillId="0" borderId="7" xfId="0" applyNumberFormat="1" applyFont="1" applyBorder="1" applyAlignment="1">
      <alignment vertical="top"/>
    </xf>
    <xf numFmtId="171" fontId="19" fillId="0" borderId="16" xfId="0" applyNumberFormat="1" applyFont="1" applyBorder="1" applyAlignment="1">
      <alignment vertical="top"/>
    </xf>
    <xf numFmtId="171" fontId="19" fillId="0" borderId="20" xfId="0" applyNumberFormat="1" applyFont="1" applyBorder="1" applyAlignment="1">
      <alignment vertical="top"/>
    </xf>
    <xf numFmtId="171" fontId="19" fillId="0" borderId="18" xfId="0" applyNumberFormat="1" applyFont="1" applyBorder="1" applyAlignment="1">
      <alignment vertical="top"/>
    </xf>
    <xf numFmtId="172" fontId="19" fillId="0" borderId="7" xfId="0" applyNumberFormat="1" applyFont="1" applyBorder="1" applyAlignment="1">
      <alignment vertical="top"/>
    </xf>
    <xf numFmtId="1" fontId="19" fillId="0" borderId="16" xfId="0" applyNumberFormat="1" applyFont="1" applyBorder="1" applyAlignment="1">
      <alignment vertical="top"/>
    </xf>
    <xf numFmtId="0" fontId="19" fillId="0" borderId="16" xfId="0" applyFont="1" applyBorder="1" applyAlignment="1">
      <alignment vertical="top" wrapText="1"/>
    </xf>
    <xf numFmtId="0" fontId="19" fillId="0" borderId="18" xfId="0" applyFont="1" applyBorder="1" applyAlignment="1">
      <alignment vertical="top" wrapText="1"/>
    </xf>
    <xf numFmtId="0" fontId="19" fillId="0" borderId="7" xfId="0" applyFont="1" applyBorder="1" applyAlignment="1">
      <alignment vertical="top" wrapText="1"/>
    </xf>
    <xf numFmtId="171" fontId="19" fillId="0" borderId="16" xfId="0" applyNumberFormat="1" applyFont="1" applyBorder="1" applyAlignment="1">
      <alignment vertical="top" wrapText="1"/>
    </xf>
    <xf numFmtId="0" fontId="19" fillId="0" borderId="15" xfId="0" applyFont="1" applyBorder="1" applyAlignment="1">
      <alignment vertical="top" wrapText="1"/>
    </xf>
    <xf numFmtId="0" fontId="19" fillId="0" borderId="17" xfId="0" applyFont="1" applyBorder="1" applyAlignment="1">
      <alignment vertical="top" wrapText="1"/>
    </xf>
    <xf numFmtId="0" fontId="19" fillId="0" borderId="20" xfId="0" applyFont="1" applyBorder="1" applyAlignment="1">
      <alignment vertical="top" wrapText="1"/>
    </xf>
    <xf numFmtId="0" fontId="19" fillId="0" borderId="0" xfId="0" applyFont="1" applyAlignment="1">
      <alignment vertical="top" wrapText="1"/>
    </xf>
  </cellXfs>
  <cellStyles count="1">
    <cellStyle name="Normal" xfId="0" builtinId="0"/>
  </cellStyles>
  <dxfs count="18">
    <dxf>
      <fill>
        <patternFill>
          <bgColor rgb="FFFFC7CE"/>
        </patternFill>
      </fill>
    </dxf>
    <dxf>
      <fill>
        <patternFill>
          <bgColor rgb="FFC6EFCE"/>
        </patternFill>
      </fill>
    </dxf>
    <dxf>
      <font>
        <b/>
        <sz val="9"/>
        <color rgb="FF000000"/>
        <name val="Arial"/>
        <charset val="1"/>
      </font>
      <fill>
        <patternFill>
          <bgColor rgb="FFE2EFDA"/>
        </patternFill>
      </fill>
    </dxf>
    <dxf>
      <fill>
        <patternFill>
          <bgColor rgb="FFF2F2F2"/>
        </patternFill>
      </fill>
    </dxf>
    <dxf>
      <font>
        <sz val="9"/>
        <color rgb="FF0000FF"/>
        <name val="Arial"/>
        <charset val="1"/>
      </font>
      <fill>
        <patternFill>
          <bgColor rgb="FFFFF2CC"/>
        </patternFill>
      </fill>
    </dxf>
    <dxf>
      <font>
        <b/>
        <sz val="9"/>
        <color rgb="FF000000"/>
        <name val="Arial"/>
        <charset val="1"/>
      </font>
      <fill>
        <patternFill>
          <bgColor rgb="FFE2EFDA"/>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ont>
        <b/>
        <sz val="9"/>
        <color rgb="FF0000FF"/>
        <name val="Arial"/>
        <charset val="1"/>
      </font>
      <fill>
        <patternFill>
          <bgColor rgb="FFFFF2CC"/>
        </patternFill>
      </fill>
    </dxf>
    <dxf>
      <fill>
        <patternFill>
          <bgColor rgb="FFF2F2F2"/>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5A6572"/>
      <rgbColor rgb="FFA6B4C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D6E0EA"/>
      <rgbColor rgb="FFEDEDED"/>
      <rgbColor rgb="FFD9E1F2"/>
      <rgbColor rgb="FFFFC7CE"/>
      <rgbColor rgb="FF4A7EBB"/>
      <rgbColor rgb="FF33CCCC"/>
      <rgbColor rgb="FF98B855"/>
      <rgbColor rgb="FFFFC000"/>
      <rgbColor rgb="FFFF9900"/>
      <rgbColor rgb="FFFF6600"/>
      <rgbColor rgb="FF7D5FA0"/>
      <rgbColor rgb="FF878787"/>
      <rgbColor rgb="FF13395E"/>
      <rgbColor rgb="FF4F81BD"/>
      <rgbColor rgb="FF0B2545"/>
      <rgbColor rgb="FF333300"/>
      <rgbColor rgb="FF993300"/>
      <rgbColor rgb="FFC0504D"/>
      <rgbColor rgb="FF59595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PY" sz="1800" b="1" strike="noStrike" spc="-1">
                <a:solidFill>
                  <a:srgbClr val="000000"/>
                </a:solidFill>
                <a:latin typeface="Calibri"/>
              </a:rPr>
              <a:t>Próximos 24 meses: EBITDA y caja (vigente)</a:t>
            </a:r>
          </a:p>
        </c:rich>
      </c:tx>
      <c:overlay val="0"/>
      <c:spPr>
        <a:noFill/>
        <a:ln w="0">
          <a:noFill/>
        </a:ln>
      </c:spPr>
    </c:title>
    <c:autoTitleDeleted val="0"/>
    <c:plotArea>
      <c:layout/>
      <c:lineChart>
        <c:grouping val="standard"/>
        <c:varyColors val="0"/>
        <c:ser>
          <c:idx val="0"/>
          <c:order val="0"/>
          <c:tx>
            <c:v>EBITDA</c:v>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Proyeccion_24m!$F$4:$AC$4</c:f>
              <c:numCache>
                <c:formatCode>0</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Proyeccion_24m!$F$19:$AC$19</c:f>
              <c:numCache>
                <c:formatCode>#,##0;\(#,##0\);\-</c:formatCode>
                <c:ptCount val="24"/>
                <c:pt idx="0">
                  <c:v>42497.500475589746</c:v>
                </c:pt>
                <c:pt idx="1">
                  <c:v>42497.500475589746</c:v>
                </c:pt>
                <c:pt idx="2">
                  <c:v>42497.500475589746</c:v>
                </c:pt>
                <c:pt idx="3">
                  <c:v>42497.500475589746</c:v>
                </c:pt>
                <c:pt idx="4">
                  <c:v>42497.500475589746</c:v>
                </c:pt>
                <c:pt idx="5">
                  <c:v>42497.500475589746</c:v>
                </c:pt>
                <c:pt idx="6">
                  <c:v>42497.500475589746</c:v>
                </c:pt>
                <c:pt idx="7">
                  <c:v>42497.500475589746</c:v>
                </c:pt>
                <c:pt idx="8">
                  <c:v>42497.500475589746</c:v>
                </c:pt>
                <c:pt idx="9">
                  <c:v>42497.500475589746</c:v>
                </c:pt>
                <c:pt idx="10">
                  <c:v>42497.500475589746</c:v>
                </c:pt>
                <c:pt idx="11">
                  <c:v>42497.500475589746</c:v>
                </c:pt>
                <c:pt idx="12">
                  <c:v>80496.402993964788</c:v>
                </c:pt>
                <c:pt idx="13">
                  <c:v>80496.402993964788</c:v>
                </c:pt>
                <c:pt idx="14">
                  <c:v>80496.402993964788</c:v>
                </c:pt>
                <c:pt idx="15">
                  <c:v>80496.402993964788</c:v>
                </c:pt>
                <c:pt idx="16">
                  <c:v>80496.402993964788</c:v>
                </c:pt>
                <c:pt idx="17">
                  <c:v>80496.402993964788</c:v>
                </c:pt>
                <c:pt idx="18">
                  <c:v>80496.402993964788</c:v>
                </c:pt>
                <c:pt idx="19">
                  <c:v>80496.402993964788</c:v>
                </c:pt>
                <c:pt idx="20">
                  <c:v>80496.402993964788</c:v>
                </c:pt>
                <c:pt idx="21">
                  <c:v>80496.402993964788</c:v>
                </c:pt>
                <c:pt idx="22">
                  <c:v>80496.402993964788</c:v>
                </c:pt>
                <c:pt idx="23">
                  <c:v>80496.402993964788</c:v>
                </c:pt>
              </c:numCache>
            </c:numRef>
          </c:val>
          <c:smooth val="0"/>
          <c:extLst>
            <c:ext xmlns:c16="http://schemas.microsoft.com/office/drawing/2014/chart" uri="{C3380CC4-5D6E-409C-BE32-E72D297353CC}">
              <c16:uniqueId val="{00000000-1D05-4EA1-8B35-45B7E9883D6F}"/>
            </c:ext>
          </c:extLst>
        </c:ser>
        <c:ser>
          <c:idx val="1"/>
          <c:order val="1"/>
          <c:tx>
            <c:v>Caja al cierre</c:v>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Proyeccion_24m!$F$4:$AC$4</c:f>
              <c:numCache>
                <c:formatCode>0</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Proyeccion_24m!$F$29:$AC$29</c:f>
              <c:numCache>
                <c:formatCode>#,##0;\(#,##0\);\-</c:formatCode>
                <c:ptCount val="24"/>
                <c:pt idx="0">
                  <c:v>535727.93036655965</c:v>
                </c:pt>
                <c:pt idx="1">
                  <c:v>555194.83809214947</c:v>
                </c:pt>
                <c:pt idx="2">
                  <c:v>574661.74581773928</c:v>
                </c:pt>
                <c:pt idx="3">
                  <c:v>594128.6535433291</c:v>
                </c:pt>
                <c:pt idx="4">
                  <c:v>613595.56126891891</c:v>
                </c:pt>
                <c:pt idx="5">
                  <c:v>633062.46899450873</c:v>
                </c:pt>
                <c:pt idx="6">
                  <c:v>610406.07262541074</c:v>
                </c:pt>
                <c:pt idx="7">
                  <c:v>587781.26873438375</c:v>
                </c:pt>
                <c:pt idx="8">
                  <c:v>565188.2942650133</c:v>
                </c:pt>
                <c:pt idx="9">
                  <c:v>542627.38793796184</c:v>
                </c:pt>
                <c:pt idx="10">
                  <c:v>520098.79026429675</c:v>
                </c:pt>
                <c:pt idx="11">
                  <c:v>497602.74355891842</c:v>
                </c:pt>
                <c:pt idx="12">
                  <c:v>129920.95007681983</c:v>
                </c:pt>
                <c:pt idx="13">
                  <c:v>145489.64205416848</c:v>
                </c:pt>
                <c:pt idx="14">
                  <c:v>161091.62290329867</c:v>
                </c:pt>
                <c:pt idx="15">
                  <c:v>176727.1422907488</c:v>
                </c:pt>
                <c:pt idx="16">
                  <c:v>192396.45175555622</c:v>
                </c:pt>
                <c:pt idx="17">
                  <c:v>208099.80472330115</c:v>
                </c:pt>
                <c:pt idx="18">
                  <c:v>223837.4565202556</c:v>
                </c:pt>
                <c:pt idx="19">
                  <c:v>239609.66438763862</c:v>
                </c:pt>
                <c:pt idx="20">
                  <c:v>255416.68749597843</c:v>
                </c:pt>
                <c:pt idx="21">
                  <c:v>271258.7869595823</c:v>
                </c:pt>
                <c:pt idx="22">
                  <c:v>287136.22585111461</c:v>
                </c:pt>
                <c:pt idx="23">
                  <c:v>303049.26921628485</c:v>
                </c:pt>
              </c:numCache>
            </c:numRef>
          </c:val>
          <c:smooth val="0"/>
          <c:extLst>
            <c:ext xmlns:c16="http://schemas.microsoft.com/office/drawing/2014/chart" uri="{C3380CC4-5D6E-409C-BE32-E72D297353CC}">
              <c16:uniqueId val="{00000001-1D05-4EA1-8B35-45B7E9883D6F}"/>
            </c:ext>
          </c:extLst>
        </c:ser>
        <c:ser>
          <c:idx val="2"/>
          <c:order val="2"/>
          <c:tx>
            <c:v>Caja presupuesto</c:v>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Proyeccion_24m!$F$4:$AC$4</c:f>
              <c:numCache>
                <c:formatCode>0</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Proyeccion_24m!$F$40:$AC$40</c:f>
              <c:numCache>
                <c:formatCode>#,##0;\(#,##0\);\-</c:formatCode>
                <c:ptCount val="24"/>
                <c:pt idx="0">
                  <c:v>535727.93036655965</c:v>
                </c:pt>
                <c:pt idx="1">
                  <c:v>555194.83809214947</c:v>
                </c:pt>
                <c:pt idx="2">
                  <c:v>574661.74581773928</c:v>
                </c:pt>
                <c:pt idx="3">
                  <c:v>594128.6535433291</c:v>
                </c:pt>
                <c:pt idx="4">
                  <c:v>613595.56126891891</c:v>
                </c:pt>
                <c:pt idx="5">
                  <c:v>633062.46899450873</c:v>
                </c:pt>
                <c:pt idx="6">
                  <c:v>610406.07262541074</c:v>
                </c:pt>
                <c:pt idx="7">
                  <c:v>587781.26873438375</c:v>
                </c:pt>
                <c:pt idx="8">
                  <c:v>565188.2942650133</c:v>
                </c:pt>
                <c:pt idx="9">
                  <c:v>542627.38793796184</c:v>
                </c:pt>
                <c:pt idx="10">
                  <c:v>520098.79026429675</c:v>
                </c:pt>
                <c:pt idx="11">
                  <c:v>497602.74355891842</c:v>
                </c:pt>
                <c:pt idx="12">
                  <c:v>129920.95007681983</c:v>
                </c:pt>
                <c:pt idx="13">
                  <c:v>145489.64205416848</c:v>
                </c:pt>
                <c:pt idx="14">
                  <c:v>161091.62290329867</c:v>
                </c:pt>
                <c:pt idx="15">
                  <c:v>176727.1422907488</c:v>
                </c:pt>
                <c:pt idx="16">
                  <c:v>192396.45175555622</c:v>
                </c:pt>
                <c:pt idx="17">
                  <c:v>208099.80472330115</c:v>
                </c:pt>
                <c:pt idx="18">
                  <c:v>223837.4565202556</c:v>
                </c:pt>
                <c:pt idx="19">
                  <c:v>239609.66438763862</c:v>
                </c:pt>
                <c:pt idx="20">
                  <c:v>255416.68749597843</c:v>
                </c:pt>
                <c:pt idx="21">
                  <c:v>271258.7869595823</c:v>
                </c:pt>
                <c:pt idx="22">
                  <c:v>287136.22585111461</c:v>
                </c:pt>
                <c:pt idx="23">
                  <c:v>303049.26921628485</c:v>
                </c:pt>
              </c:numCache>
            </c:numRef>
          </c:val>
          <c:smooth val="0"/>
          <c:extLst>
            <c:ext xmlns:c16="http://schemas.microsoft.com/office/drawing/2014/chart" uri="{C3380CC4-5D6E-409C-BE32-E72D297353CC}">
              <c16:uniqueId val="{00000002-1D05-4EA1-8B35-45B7E9883D6F}"/>
            </c:ext>
          </c:extLst>
        </c:ser>
        <c:dLbls>
          <c:showLegendKey val="0"/>
          <c:showVal val="0"/>
          <c:showCatName val="0"/>
          <c:showSerName val="0"/>
          <c:showPercent val="0"/>
          <c:showBubbleSize val="0"/>
        </c:dLbls>
        <c:hiLowLines>
          <c:spPr>
            <a:ln w="0">
              <a:noFill/>
            </a:ln>
          </c:spPr>
        </c:hiLowLines>
        <c:smooth val="0"/>
        <c:axId val="8469464"/>
        <c:axId val="8498683"/>
      </c:lineChart>
      <c:catAx>
        <c:axId val="8469464"/>
        <c:scaling>
          <c:orientation val="minMax"/>
        </c:scaling>
        <c:delete val="0"/>
        <c:axPos val="b"/>
        <c:numFmt formatCode="0"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PY"/>
          </a:p>
        </c:txPr>
        <c:crossAx val="8498683"/>
        <c:crosses val="autoZero"/>
        <c:auto val="1"/>
        <c:lblAlgn val="ctr"/>
        <c:lblOffset val="100"/>
        <c:noMultiLvlLbl val="0"/>
      </c:catAx>
      <c:valAx>
        <c:axId val="849868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Y"/>
          </a:p>
        </c:txPr>
        <c:crossAx val="846946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PY"/>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Ventas: presupuesto vs vigente</a:t>
            </a:r>
          </a:p>
        </c:rich>
      </c:tx>
      <c:overlay val="0"/>
      <c:spPr>
        <a:noFill/>
        <a:ln w="0">
          <a:noFill/>
        </a:ln>
      </c:spPr>
    </c:title>
    <c:autoTitleDeleted val="0"/>
    <c:plotArea>
      <c:layout/>
      <c:barChart>
        <c:barDir val="col"/>
        <c:grouping val="clustered"/>
        <c:varyColors val="0"/>
        <c:ser>
          <c:idx val="0"/>
          <c:order val="0"/>
          <c:tx>
            <c:v>Presupuesto</c:v>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Resultados!$D$101:$O$101</c:f>
              <c:numCache>
                <c:formatCode>#,##0;\(#,##0\);\-</c:formatCode>
                <c:ptCount val="12"/>
                <c:pt idx="0">
                  <c:v>4849999.9999999991</c:v>
                </c:pt>
                <c:pt idx="1">
                  <c:v>6181200</c:v>
                </c:pt>
                <c:pt idx="2">
                  <c:v>7538538.9999999972</c:v>
                </c:pt>
                <c:pt idx="3">
                  <c:v>8685437.4299999978</c:v>
                </c:pt>
                <c:pt idx="4">
                  <c:v>8772291.8043000009</c:v>
                </c:pt>
                <c:pt idx="5">
                  <c:v>8860014.7223430015</c:v>
                </c:pt>
                <c:pt idx="6">
                  <c:v>8948614.8695664275</c:v>
                </c:pt>
                <c:pt idx="7">
                  <c:v>9038101.0182620939</c:v>
                </c:pt>
                <c:pt idx="8">
                  <c:v>9128482.028444713</c:v>
                </c:pt>
                <c:pt idx="9">
                  <c:v>9219766.8487291615</c:v>
                </c:pt>
                <c:pt idx="10">
                  <c:v>0</c:v>
                </c:pt>
                <c:pt idx="11">
                  <c:v>0</c:v>
                </c:pt>
              </c:numCache>
            </c:numRef>
          </c:val>
          <c:extLst>
            <c:ext xmlns:c16="http://schemas.microsoft.com/office/drawing/2014/chart" uri="{C3380CC4-5D6E-409C-BE32-E72D297353CC}">
              <c16:uniqueId val="{00000000-08F2-4168-83AB-70D98A2F4918}"/>
            </c:ext>
          </c:extLst>
        </c:ser>
        <c:ser>
          <c:idx val="1"/>
          <c:order val="1"/>
          <c:tx>
            <c:v>Vigente</c:v>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Resultados!$D$38:$O$38</c:f>
              <c:numCache>
                <c:formatCode>#,##0;\(#,##0\);\-</c:formatCode>
                <c:ptCount val="12"/>
                <c:pt idx="0">
                  <c:v>4849999.9999999991</c:v>
                </c:pt>
                <c:pt idx="1">
                  <c:v>6181200</c:v>
                </c:pt>
                <c:pt idx="2">
                  <c:v>7538538.9999999991</c:v>
                </c:pt>
                <c:pt idx="3">
                  <c:v>8685437.4299999978</c:v>
                </c:pt>
                <c:pt idx="4">
                  <c:v>8772291.8043000009</c:v>
                </c:pt>
                <c:pt idx="5">
                  <c:v>8860014.7223430015</c:v>
                </c:pt>
                <c:pt idx="6">
                  <c:v>8948614.8695664275</c:v>
                </c:pt>
                <c:pt idx="7">
                  <c:v>9038101.0182620939</c:v>
                </c:pt>
                <c:pt idx="8">
                  <c:v>9128482.028444713</c:v>
                </c:pt>
                <c:pt idx="9">
                  <c:v>9219766.8487291615</c:v>
                </c:pt>
                <c:pt idx="10">
                  <c:v>0</c:v>
                </c:pt>
                <c:pt idx="11">
                  <c:v>0</c:v>
                </c:pt>
              </c:numCache>
            </c:numRef>
          </c:val>
          <c:extLst>
            <c:ext xmlns:c16="http://schemas.microsoft.com/office/drawing/2014/chart" uri="{C3380CC4-5D6E-409C-BE32-E72D297353CC}">
              <c16:uniqueId val="{00000001-08F2-4168-83AB-70D98A2F4918}"/>
            </c:ext>
          </c:extLst>
        </c:ser>
        <c:dLbls>
          <c:showLegendKey val="0"/>
          <c:showVal val="0"/>
          <c:showCatName val="0"/>
          <c:showSerName val="0"/>
          <c:showPercent val="0"/>
          <c:showBubbleSize val="0"/>
        </c:dLbls>
        <c:gapWidth val="150"/>
        <c:axId val="89486047"/>
        <c:axId val="69406042"/>
      </c:barChart>
      <c:catAx>
        <c:axId val="894860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Y"/>
          </a:p>
        </c:txPr>
        <c:crossAx val="69406042"/>
        <c:crosses val="autoZero"/>
        <c:auto val="1"/>
        <c:lblAlgn val="ctr"/>
        <c:lblOffset val="100"/>
        <c:noMultiLvlLbl val="0"/>
      </c:catAx>
      <c:valAx>
        <c:axId val="6940604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Y"/>
          </a:p>
        </c:txPr>
        <c:crossAx val="894860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PY"/>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EBITDA y caja al cierre</a:t>
            </a:r>
          </a:p>
        </c:rich>
      </c:tx>
      <c:overlay val="0"/>
      <c:spPr>
        <a:noFill/>
        <a:ln w="0">
          <a:noFill/>
        </a:ln>
      </c:spPr>
    </c:title>
    <c:autoTitleDeleted val="0"/>
    <c:plotArea>
      <c:layout/>
      <c:lineChart>
        <c:grouping val="standard"/>
        <c:varyColors val="0"/>
        <c:ser>
          <c:idx val="0"/>
          <c:order val="0"/>
          <c:tx>
            <c:v>EBITDA presupuesto</c:v>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Resultados!$D$102:$O$102</c:f>
              <c:numCache>
                <c:formatCode>#,##0;\(#,##0\);\-</c:formatCode>
                <c:ptCount val="12"/>
                <c:pt idx="0">
                  <c:v>509970.00570707704</c:v>
                </c:pt>
                <c:pt idx="1">
                  <c:v>965956.83592757722</c:v>
                </c:pt>
                <c:pt idx="2">
                  <c:v>1405020.3703814961</c:v>
                </c:pt>
                <c:pt idx="3">
                  <c:v>1798722.9585582998</c:v>
                </c:pt>
                <c:pt idx="4">
                  <c:v>1814557.9785164844</c:v>
                </c:pt>
                <c:pt idx="5">
                  <c:v>1863605.3015739138</c:v>
                </c:pt>
                <c:pt idx="6">
                  <c:v>1912992.2698727967</c:v>
                </c:pt>
                <c:pt idx="7">
                  <c:v>1962717.82255545</c:v>
                </c:pt>
                <c:pt idx="8">
                  <c:v>2012780.7557868911</c:v>
                </c:pt>
                <c:pt idx="9">
                  <c:v>2063179.7173810329</c:v>
                </c:pt>
                <c:pt idx="10">
                  <c:v>0</c:v>
                </c:pt>
                <c:pt idx="11">
                  <c:v>0</c:v>
                </c:pt>
              </c:numCache>
            </c:numRef>
          </c:val>
          <c:smooth val="0"/>
          <c:extLst>
            <c:ext xmlns:c16="http://schemas.microsoft.com/office/drawing/2014/chart" uri="{C3380CC4-5D6E-409C-BE32-E72D297353CC}">
              <c16:uniqueId val="{00000000-BFD6-4590-A384-600824ADC8D2}"/>
            </c:ext>
          </c:extLst>
        </c:ser>
        <c:ser>
          <c:idx val="1"/>
          <c:order val="1"/>
          <c:tx>
            <c:v>EBITDA vigente</c:v>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Resultados!$D$48:$O$48</c:f>
              <c:numCache>
                <c:formatCode>#,##0;\(#,##0\);\-</c:formatCode>
                <c:ptCount val="12"/>
                <c:pt idx="0">
                  <c:v>509970.00570707704</c:v>
                </c:pt>
                <c:pt idx="1">
                  <c:v>965956.83592757722</c:v>
                </c:pt>
                <c:pt idx="2">
                  <c:v>1405020.3703814978</c:v>
                </c:pt>
                <c:pt idx="3">
                  <c:v>1798722.9585582998</c:v>
                </c:pt>
                <c:pt idx="4">
                  <c:v>1814557.9785164853</c:v>
                </c:pt>
                <c:pt idx="5">
                  <c:v>1863605.3015739138</c:v>
                </c:pt>
                <c:pt idx="6">
                  <c:v>1912992.2698727986</c:v>
                </c:pt>
                <c:pt idx="7">
                  <c:v>1962717.8225554496</c:v>
                </c:pt>
                <c:pt idx="8">
                  <c:v>2012780.7557868911</c:v>
                </c:pt>
                <c:pt idx="9">
                  <c:v>2063179.7173810329</c:v>
                </c:pt>
                <c:pt idx="10">
                  <c:v>0</c:v>
                </c:pt>
                <c:pt idx="11">
                  <c:v>0</c:v>
                </c:pt>
              </c:numCache>
            </c:numRef>
          </c:val>
          <c:smooth val="0"/>
          <c:extLst>
            <c:ext xmlns:c16="http://schemas.microsoft.com/office/drawing/2014/chart" uri="{C3380CC4-5D6E-409C-BE32-E72D297353CC}">
              <c16:uniqueId val="{00000001-BFD6-4590-A384-600824ADC8D2}"/>
            </c:ext>
          </c:extLst>
        </c:ser>
        <c:ser>
          <c:idx val="2"/>
          <c:order val="2"/>
          <c:tx>
            <c:v>Caja presupuesto</c:v>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Resultados!$D$111:$O$111</c:f>
              <c:numCache>
                <c:formatCode>#,##0;\(#,##0\);\-</c:formatCode>
                <c:ptCount val="12"/>
                <c:pt idx="0">
                  <c:v>497602.74355891842</c:v>
                </c:pt>
                <c:pt idx="1">
                  <c:v>303049.26921628485</c:v>
                </c:pt>
                <c:pt idx="2">
                  <c:v>268618.77774354449</c:v>
                </c:pt>
                <c:pt idx="3">
                  <c:v>742062.55152350944</c:v>
                </c:pt>
                <c:pt idx="4">
                  <c:v>953271.67245928815</c:v>
                </c:pt>
                <c:pt idx="5">
                  <c:v>1315225.5731963872</c:v>
                </c:pt>
                <c:pt idx="6">
                  <c:v>1395939.2572704894</c:v>
                </c:pt>
                <c:pt idx="7">
                  <c:v>1476623.2012586226</c:v>
                </c:pt>
                <c:pt idx="8">
                  <c:v>1557272.891540728</c:v>
                </c:pt>
                <c:pt idx="9">
                  <c:v>1637883.6441760929</c:v>
                </c:pt>
                <c:pt idx="10">
                  <c:v>1637883.6441760929</c:v>
                </c:pt>
                <c:pt idx="11">
                  <c:v>1637883.6441760929</c:v>
                </c:pt>
              </c:numCache>
            </c:numRef>
          </c:val>
          <c:smooth val="0"/>
          <c:extLst>
            <c:ext xmlns:c16="http://schemas.microsoft.com/office/drawing/2014/chart" uri="{C3380CC4-5D6E-409C-BE32-E72D297353CC}">
              <c16:uniqueId val="{00000002-BFD6-4590-A384-600824ADC8D2}"/>
            </c:ext>
          </c:extLst>
        </c:ser>
        <c:ser>
          <c:idx val="3"/>
          <c:order val="3"/>
          <c:tx>
            <c:v>Caja vigente</c:v>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s-PY"/>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Resultados!$D$168:$O$168</c:f>
              <c:strCache>
                <c:ptCount val="12"/>
                <c:pt idx="0">
                  <c:v>Año 1</c:v>
                </c:pt>
                <c:pt idx="1">
                  <c:v>Año 2</c:v>
                </c:pt>
                <c:pt idx="2">
                  <c:v>Año 3</c:v>
                </c:pt>
                <c:pt idx="3">
                  <c:v>Año 4</c:v>
                </c:pt>
                <c:pt idx="4">
                  <c:v>Año 5</c:v>
                </c:pt>
                <c:pt idx="5">
                  <c:v>Año 6</c:v>
                </c:pt>
                <c:pt idx="6">
                  <c:v>Año 7</c:v>
                </c:pt>
                <c:pt idx="7">
                  <c:v>Año 8</c:v>
                </c:pt>
                <c:pt idx="8">
                  <c:v>Año 9</c:v>
                </c:pt>
                <c:pt idx="9">
                  <c:v>Año 10</c:v>
                </c:pt>
                <c:pt idx="10">
                  <c:v>Año 11</c:v>
                </c:pt>
                <c:pt idx="11">
                  <c:v>Año 12</c:v>
                </c:pt>
              </c:strCache>
            </c:strRef>
          </c:cat>
          <c:val>
            <c:numRef>
              <c:f>Resultados!$D$61:$O$61</c:f>
              <c:numCache>
                <c:formatCode>#,##0;\(#,##0\);\-</c:formatCode>
                <c:ptCount val="12"/>
                <c:pt idx="0">
                  <c:v>497602.74355891842</c:v>
                </c:pt>
                <c:pt idx="1">
                  <c:v>303049.26921628485</c:v>
                </c:pt>
                <c:pt idx="2">
                  <c:v>268618.77774354542</c:v>
                </c:pt>
                <c:pt idx="3">
                  <c:v>742062.55152351083</c:v>
                </c:pt>
                <c:pt idx="4">
                  <c:v>953271.67245929094</c:v>
                </c:pt>
                <c:pt idx="5">
                  <c:v>1315225.5731963872</c:v>
                </c:pt>
                <c:pt idx="6">
                  <c:v>1395939.2572704903</c:v>
                </c:pt>
                <c:pt idx="7">
                  <c:v>1476623.2012586235</c:v>
                </c:pt>
                <c:pt idx="8">
                  <c:v>1557272.8915407294</c:v>
                </c:pt>
                <c:pt idx="9">
                  <c:v>1637883.6441760943</c:v>
                </c:pt>
                <c:pt idx="10">
                  <c:v>1637883.6441760943</c:v>
                </c:pt>
                <c:pt idx="11">
                  <c:v>1637883.6441760943</c:v>
                </c:pt>
              </c:numCache>
            </c:numRef>
          </c:val>
          <c:smooth val="0"/>
          <c:extLst>
            <c:ext xmlns:c16="http://schemas.microsoft.com/office/drawing/2014/chart" uri="{C3380CC4-5D6E-409C-BE32-E72D297353CC}">
              <c16:uniqueId val="{00000003-BFD6-4590-A384-600824ADC8D2}"/>
            </c:ext>
          </c:extLst>
        </c:ser>
        <c:dLbls>
          <c:showLegendKey val="0"/>
          <c:showVal val="0"/>
          <c:showCatName val="0"/>
          <c:showSerName val="0"/>
          <c:showPercent val="0"/>
          <c:showBubbleSize val="0"/>
        </c:dLbls>
        <c:hiLowLines>
          <c:spPr>
            <a:ln w="0">
              <a:noFill/>
            </a:ln>
          </c:spPr>
        </c:hiLowLines>
        <c:smooth val="0"/>
        <c:axId val="79645813"/>
        <c:axId val="874068"/>
      </c:lineChart>
      <c:catAx>
        <c:axId val="7964581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PY"/>
          </a:p>
        </c:txPr>
        <c:crossAx val="874068"/>
        <c:crosses val="autoZero"/>
        <c:auto val="1"/>
        <c:lblAlgn val="ctr"/>
        <c:lblOffset val="100"/>
        <c:noMultiLvlLbl val="0"/>
      </c:catAx>
      <c:valAx>
        <c:axId val="87406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Y"/>
          </a:p>
        </c:txPr>
        <c:crossAx val="796458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PY"/>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xdr:row>
      <xdr:rowOff>176040</xdr:rowOff>
    </xdr:from>
    <xdr:to>
      <xdr:col>5</xdr:col>
      <xdr:colOff>541080</xdr:colOff>
      <xdr:row>61</xdr:row>
      <xdr:rowOff>18000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168</xdr:row>
      <xdr:rowOff>175680</xdr:rowOff>
    </xdr:from>
    <xdr:to>
      <xdr:col>2</xdr:col>
      <xdr:colOff>1141200</xdr:colOff>
      <xdr:row>183</xdr:row>
      <xdr:rowOff>18000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6"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7720C0-110D-4B6F-A72E-C68683164D9C}">
  <we:reference id="WA200009404" version="1.0.0.8" store="Omex" storeType="OMEX"/>
  <we:alternateReferences>
    <we:reference id="WA200009404" version="1.0.0.8" store="WA200009404" storeType="OMEX"/>
  </we:alternateReferences>
  <we:properties>
    <we:property name="claude.fileId" value="&quot;28138079-bf7e-4213-bc38-8c86e123d98c&quot;"/>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opLeftCell="A18" zoomScaleNormal="100" workbookViewId="0">
      <selection activeCell="O19" sqref="O19"/>
    </sheetView>
  </sheetViews>
  <sheetFormatPr baseColWidth="10" defaultColWidth="8.5546875" defaultRowHeight="14.4" x14ac:dyDescent="0.3"/>
  <cols>
    <col min="1" max="1" width="10.21875" customWidth="1"/>
    <col min="2" max="2" width="13.88671875" customWidth="1"/>
    <col min="3" max="3" width="25.88671875" customWidth="1"/>
  </cols>
  <sheetData>
    <row r="1" spans="1:6" ht="15" customHeight="1" x14ac:dyDescent="0.3">
      <c r="A1" s="6" t="s">
        <v>0</v>
      </c>
      <c r="B1" s="6" t="s">
        <v>1</v>
      </c>
      <c r="C1" s="6" t="s">
        <v>2</v>
      </c>
      <c r="D1" s="6" t="s">
        <v>3</v>
      </c>
      <c r="E1" s="6" t="s">
        <v>4</v>
      </c>
      <c r="F1" s="6" t="s">
        <v>5</v>
      </c>
    </row>
    <row r="2" spans="1:6" ht="201" customHeight="1" x14ac:dyDescent="0.3">
      <c r="A2" s="7">
        <v>1</v>
      </c>
      <c r="B2" s="8">
        <v>46297</v>
      </c>
      <c r="C2" s="7" t="s">
        <v>6</v>
      </c>
      <c r="D2" s="7" t="s">
        <v>7</v>
      </c>
      <c r="E2" s="7" t="s">
        <v>8</v>
      </c>
      <c r="F2" s="7" t="s">
        <v>9</v>
      </c>
    </row>
    <row r="3" spans="1:6" ht="288" customHeight="1" x14ac:dyDescent="0.3">
      <c r="A3" s="9">
        <v>2</v>
      </c>
      <c r="B3" s="10">
        <v>46297</v>
      </c>
      <c r="C3" s="9" t="s">
        <v>10</v>
      </c>
      <c r="D3" s="9" t="s">
        <v>11</v>
      </c>
      <c r="E3" s="9" t="s">
        <v>12</v>
      </c>
      <c r="F3" s="9" t="s">
        <v>13</v>
      </c>
    </row>
    <row r="4" spans="1:6" ht="15" customHeight="1" x14ac:dyDescent="0.3">
      <c r="A4" s="11">
        <v>3</v>
      </c>
      <c r="B4" s="12">
        <v>46297</v>
      </c>
      <c r="C4" s="11" t="s">
        <v>14</v>
      </c>
      <c r="D4" s="11" t="s">
        <v>15</v>
      </c>
      <c r="E4" s="11" t="s">
        <v>16</v>
      </c>
      <c r="F4" s="11" t="s">
        <v>17</v>
      </c>
    </row>
    <row r="5" spans="1:6" ht="15" customHeight="1" x14ac:dyDescent="0.3">
      <c r="A5" s="11">
        <v>4</v>
      </c>
      <c r="B5" s="12">
        <v>46297</v>
      </c>
      <c r="C5" s="11" t="s">
        <v>18</v>
      </c>
      <c r="D5" s="11" t="s">
        <v>19</v>
      </c>
      <c r="E5" s="11" t="s">
        <v>20</v>
      </c>
      <c r="F5" s="11" t="s">
        <v>21</v>
      </c>
    </row>
    <row r="6" spans="1:6" ht="258.75" customHeight="1" x14ac:dyDescent="0.3">
      <c r="A6" s="7">
        <v>5</v>
      </c>
      <c r="B6" s="8">
        <v>46297</v>
      </c>
      <c r="C6" s="7" t="s">
        <v>22</v>
      </c>
      <c r="D6" s="7" t="s">
        <v>23</v>
      </c>
      <c r="E6" s="7" t="s">
        <v>24</v>
      </c>
      <c r="F6" s="7" t="s">
        <v>25</v>
      </c>
    </row>
    <row r="7" spans="1:6" ht="409.6" customHeight="1" x14ac:dyDescent="0.3">
      <c r="A7" s="7" t="s">
        <v>26</v>
      </c>
      <c r="B7" s="8">
        <v>46297</v>
      </c>
      <c r="C7" s="7" t="s">
        <v>27</v>
      </c>
      <c r="D7" s="7" t="s">
        <v>28</v>
      </c>
      <c r="E7" s="7" t="s">
        <v>29</v>
      </c>
      <c r="F7" s="7" t="s">
        <v>30</v>
      </c>
    </row>
    <row r="8" spans="1:6" ht="409.6" customHeight="1" x14ac:dyDescent="0.3">
      <c r="A8" s="7" t="s">
        <v>31</v>
      </c>
      <c r="B8" s="8">
        <v>46322</v>
      </c>
      <c r="C8" s="7" t="s">
        <v>32</v>
      </c>
      <c r="D8" s="7" t="s">
        <v>33</v>
      </c>
      <c r="E8" s="7" t="s">
        <v>34</v>
      </c>
      <c r="F8" s="7" t="s">
        <v>35</v>
      </c>
    </row>
    <row r="9" spans="1:6" ht="409.6" x14ac:dyDescent="0.3">
      <c r="A9" s="7" t="s">
        <v>36</v>
      </c>
      <c r="B9" s="8">
        <v>46322</v>
      </c>
      <c r="C9" s="7" t="s">
        <v>37</v>
      </c>
      <c r="D9" s="7" t="s">
        <v>38</v>
      </c>
      <c r="E9" s="7" t="s">
        <v>39</v>
      </c>
      <c r="F9" s="7" t="s">
        <v>40</v>
      </c>
    </row>
    <row r="10" spans="1:6" ht="409.6" x14ac:dyDescent="0.3">
      <c r="A10" s="110" t="s">
        <v>1822</v>
      </c>
      <c r="B10" s="111">
        <v>46322</v>
      </c>
      <c r="C10" s="110" t="s">
        <v>1823</v>
      </c>
      <c r="D10" s="110" t="s">
        <v>1824</v>
      </c>
      <c r="E10" s="110" t="s">
        <v>1825</v>
      </c>
      <c r="F10" s="110" t="s">
        <v>1826</v>
      </c>
    </row>
    <row r="11" spans="1:6" ht="409.6" x14ac:dyDescent="0.3">
      <c r="A11" s="110" t="s">
        <v>1827</v>
      </c>
      <c r="B11" s="111">
        <v>46322</v>
      </c>
      <c r="C11" s="110" t="s">
        <v>1828</v>
      </c>
      <c r="D11" s="110" t="s">
        <v>1829</v>
      </c>
      <c r="E11" s="110" t="s">
        <v>1830</v>
      </c>
      <c r="F11" s="110" t="s">
        <v>1831</v>
      </c>
    </row>
    <row r="12" spans="1:6" ht="409.6" x14ac:dyDescent="0.3">
      <c r="A12" s="110" t="s">
        <v>1832</v>
      </c>
      <c r="B12" s="111">
        <v>46322</v>
      </c>
      <c r="C12" s="110" t="s">
        <v>1833</v>
      </c>
      <c r="D12" s="110" t="s">
        <v>1834</v>
      </c>
      <c r="E12" s="110" t="s">
        <v>1835</v>
      </c>
      <c r="F12" s="110" t="s">
        <v>1836</v>
      </c>
    </row>
    <row r="13" spans="1:6" ht="409.6" x14ac:dyDescent="0.3">
      <c r="A13" s="110" t="s">
        <v>1837</v>
      </c>
      <c r="B13" s="111">
        <v>46322</v>
      </c>
      <c r="C13" s="110" t="s">
        <v>1838</v>
      </c>
      <c r="D13" s="110" t="s">
        <v>1839</v>
      </c>
      <c r="E13" s="110" t="s">
        <v>1840</v>
      </c>
      <c r="F13" s="110" t="s">
        <v>1841</v>
      </c>
    </row>
    <row r="14" spans="1:6" ht="409.6" x14ac:dyDescent="0.3">
      <c r="A14" s="110" t="s">
        <v>1842</v>
      </c>
      <c r="B14" s="111">
        <v>46322</v>
      </c>
      <c r="C14" s="110" t="s">
        <v>1843</v>
      </c>
      <c r="D14" s="110" t="s">
        <v>1844</v>
      </c>
      <c r="E14" s="110" t="s">
        <v>1845</v>
      </c>
      <c r="F14" s="110" t="s">
        <v>1846</v>
      </c>
    </row>
    <row r="15" spans="1:6" ht="409.6" x14ac:dyDescent="0.3">
      <c r="A15" s="110" t="s">
        <v>1847</v>
      </c>
      <c r="B15" s="111">
        <v>46322</v>
      </c>
      <c r="C15" s="110" t="s">
        <v>1848</v>
      </c>
      <c r="D15" s="110" t="s">
        <v>1849</v>
      </c>
      <c r="E15" s="110" t="s">
        <v>1850</v>
      </c>
      <c r="F15" s="110" t="s">
        <v>1851</v>
      </c>
    </row>
    <row r="16" spans="1:6" ht="409.6" x14ac:dyDescent="0.3">
      <c r="A16" s="110" t="s">
        <v>1852</v>
      </c>
      <c r="B16" s="111">
        <v>46322</v>
      </c>
      <c r="C16" s="110" t="s">
        <v>1853</v>
      </c>
      <c r="D16" s="110" t="s">
        <v>1854</v>
      </c>
      <c r="E16" s="110" t="s">
        <v>1855</v>
      </c>
      <c r="F16" s="110" t="s">
        <v>1856</v>
      </c>
    </row>
    <row r="17" spans="1:6" ht="409.6" x14ac:dyDescent="0.3">
      <c r="A17" s="110" t="s">
        <v>1857</v>
      </c>
      <c r="B17" s="111">
        <v>46322</v>
      </c>
      <c r="C17" s="110" t="s">
        <v>1858</v>
      </c>
      <c r="D17" s="110" t="s">
        <v>1859</v>
      </c>
      <c r="E17" s="110" t="s">
        <v>1860</v>
      </c>
      <c r="F17" s="110" t="s">
        <v>1861</v>
      </c>
    </row>
    <row r="18" spans="1:6" ht="409.6" x14ac:dyDescent="0.3">
      <c r="A18" s="110" t="s">
        <v>1862</v>
      </c>
      <c r="B18" s="111">
        <v>46322</v>
      </c>
      <c r="C18" s="110" t="s">
        <v>1863</v>
      </c>
      <c r="D18" s="110" t="s">
        <v>1864</v>
      </c>
      <c r="E18" s="110" t="s">
        <v>1865</v>
      </c>
      <c r="F18" s="110" t="s">
        <v>1866</v>
      </c>
    </row>
    <row r="19" spans="1:6" ht="409.6" x14ac:dyDescent="0.3">
      <c r="A19" s="110" t="s">
        <v>1867</v>
      </c>
      <c r="B19" s="111">
        <v>46322</v>
      </c>
      <c r="C19" s="110" t="s">
        <v>1868</v>
      </c>
      <c r="D19" s="110" t="s">
        <v>1869</v>
      </c>
      <c r="E19" s="110" t="s">
        <v>1870</v>
      </c>
      <c r="F19" s="110" t="s">
        <v>1871</v>
      </c>
    </row>
    <row r="20" spans="1:6" ht="409.6" x14ac:dyDescent="0.3">
      <c r="A20" s="110" t="s">
        <v>2224</v>
      </c>
      <c r="B20" s="111">
        <v>46322</v>
      </c>
      <c r="C20" s="110" t="s">
        <v>2225</v>
      </c>
      <c r="D20" s="110" t="s">
        <v>2226</v>
      </c>
      <c r="E20" s="110" t="s">
        <v>2227</v>
      </c>
      <c r="F20" s="110" t="s">
        <v>2228</v>
      </c>
    </row>
    <row r="21" spans="1:6" ht="409.6" x14ac:dyDescent="0.3">
      <c r="A21" s="110" t="s">
        <v>2229</v>
      </c>
      <c r="B21" s="111">
        <v>46322</v>
      </c>
      <c r="C21" s="110" t="s">
        <v>2230</v>
      </c>
      <c r="D21" s="110" t="s">
        <v>2231</v>
      </c>
      <c r="E21" s="110" t="s">
        <v>2232</v>
      </c>
      <c r="F21" s="110" t="s">
        <v>2233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74"/>
  <sheetViews>
    <sheetView zoomScale="90" zoomScaleNormal="90" workbookViewId="0">
      <pane ySplit="3" topLeftCell="A38" activePane="bottomLeft" state="frozen"/>
      <selection pane="bottomLeft"/>
    </sheetView>
  </sheetViews>
  <sheetFormatPr baseColWidth="10" defaultColWidth="8.5546875" defaultRowHeight="14.4" x14ac:dyDescent="0.3"/>
  <cols>
    <col min="1" max="1" width="3" customWidth="1"/>
    <col min="2" max="2" width="46" customWidth="1"/>
    <col min="3" max="3" width="34" customWidth="1"/>
    <col min="4" max="4" width="90" customWidth="1"/>
  </cols>
  <sheetData>
    <row r="1" spans="1:4" ht="16.8" x14ac:dyDescent="0.3">
      <c r="A1" s="13" t="str">
        <f>"Modelo financiero de maquila — "&amp;IF(n_Negocio="","(completar nombre)",n_Negocio)</f>
        <v>Modelo financiero de maquila — ECOSTAR — Maquila CIE–PERG</v>
      </c>
    </row>
    <row r="2" spans="1:4" x14ac:dyDescent="0.3">
      <c r="A2" s="14" t="s">
        <v>41</v>
      </c>
    </row>
    <row r="4" spans="1:4" x14ac:dyDescent="0.3">
      <c r="A4" s="15" t="s">
        <v>42</v>
      </c>
      <c r="B4" s="16"/>
      <c r="C4" s="16"/>
      <c r="D4" s="16"/>
    </row>
    <row r="5" spans="1:4" x14ac:dyDescent="0.3">
      <c r="A5" s="17"/>
      <c r="B5" s="17" t="s">
        <v>43</v>
      </c>
      <c r="C5" s="17" t="s">
        <v>44</v>
      </c>
      <c r="D5" s="17" t="s">
        <v>45</v>
      </c>
    </row>
    <row r="6" spans="1:4" x14ac:dyDescent="0.3">
      <c r="B6" s="18" t="s">
        <v>46</v>
      </c>
      <c r="C6" s="19" t="s">
        <v>47</v>
      </c>
      <c r="D6" s="14" t="s">
        <v>48</v>
      </c>
    </row>
    <row r="7" spans="1:4" x14ac:dyDescent="0.3">
      <c r="B7" s="18" t="s">
        <v>49</v>
      </c>
      <c r="C7" s="19" t="s">
        <v>50</v>
      </c>
      <c r="D7" s="14" t="s">
        <v>48</v>
      </c>
    </row>
    <row r="8" spans="1:4" x14ac:dyDescent="0.3">
      <c r="B8" s="18" t="s">
        <v>51</v>
      </c>
      <c r="C8" s="19" t="s">
        <v>52</v>
      </c>
      <c r="D8" s="14" t="s">
        <v>48</v>
      </c>
    </row>
    <row r="9" spans="1:4" x14ac:dyDescent="0.3">
      <c r="B9" s="18" t="s">
        <v>53</v>
      </c>
      <c r="C9" s="19" t="s">
        <v>54</v>
      </c>
      <c r="D9" s="14" t="s">
        <v>55</v>
      </c>
    </row>
    <row r="10" spans="1:4" x14ac:dyDescent="0.3">
      <c r="B10" s="18" t="s">
        <v>56</v>
      </c>
      <c r="C10" s="20"/>
      <c r="D10" s="14" t="s">
        <v>57</v>
      </c>
    </row>
    <row r="11" spans="1:4" x14ac:dyDescent="0.3">
      <c r="B11" s="18" t="s">
        <v>58</v>
      </c>
      <c r="C11" s="21"/>
      <c r="D11" s="14" t="s">
        <v>59</v>
      </c>
    </row>
    <row r="12" spans="1:4" x14ac:dyDescent="0.3">
      <c r="B12" s="18" t="s">
        <v>60</v>
      </c>
      <c r="C12" s="21"/>
      <c r="D12" s="14" t="s">
        <v>61</v>
      </c>
    </row>
    <row r="13" spans="1:4" x14ac:dyDescent="0.3">
      <c r="B13" s="18" t="s">
        <v>62</v>
      </c>
      <c r="C13" s="19" t="s">
        <v>63</v>
      </c>
      <c r="D13" s="14" t="s">
        <v>64</v>
      </c>
    </row>
    <row r="14" spans="1:4" x14ac:dyDescent="0.3">
      <c r="B14" s="18" t="s">
        <v>65</v>
      </c>
      <c r="C14" s="21">
        <v>24</v>
      </c>
      <c r="D14" s="14" t="s">
        <v>66</v>
      </c>
    </row>
    <row r="15" spans="1:4" x14ac:dyDescent="0.3">
      <c r="B15" s="18" t="s">
        <v>67</v>
      </c>
      <c r="C15" s="19" t="s">
        <v>68</v>
      </c>
      <c r="D15" s="14" t="s">
        <v>69</v>
      </c>
    </row>
    <row r="16" spans="1:4" x14ac:dyDescent="0.3">
      <c r="B16" s="18" t="s">
        <v>70</v>
      </c>
      <c r="C16" s="20"/>
      <c r="D16" s="14" t="s">
        <v>71</v>
      </c>
    </row>
    <row r="17" spans="1:4" x14ac:dyDescent="0.3">
      <c r="B17" s="18" t="s">
        <v>72</v>
      </c>
      <c r="C17" s="19" t="s">
        <v>73</v>
      </c>
      <c r="D17" s="14" t="s">
        <v>74</v>
      </c>
    </row>
    <row r="18" spans="1:4" x14ac:dyDescent="0.3">
      <c r="B18" s="18" t="s">
        <v>75</v>
      </c>
      <c r="C18" s="18" t="s">
        <v>76</v>
      </c>
    </row>
    <row r="20" spans="1:4" x14ac:dyDescent="0.3">
      <c r="A20" s="15" t="s">
        <v>77</v>
      </c>
      <c r="B20" s="16"/>
      <c r="C20" s="16"/>
      <c r="D20" s="16"/>
    </row>
    <row r="21" spans="1:4" x14ac:dyDescent="0.3">
      <c r="B21" s="18" t="s">
        <v>78</v>
      </c>
      <c r="C21" s="22" t="str">
        <f>IF(Corte=0,"Sin datos reales",IF(n_Fecha1="","Mes "&amp;Corte,"Mes "&amp;Corte&amp;" ("&amp;TEXT(MONTH(EOMONTH(n_Fecha1,Corte-1)),"00")&amp;"/"&amp;YEAR(EOMONTH(n_Fecha1,Corte-1))&amp;")"))</f>
        <v>Sin datos reales</v>
      </c>
    </row>
    <row r="22" spans="1:4" x14ac:dyDescent="0.3">
      <c r="B22" s="18" t="s">
        <v>79</v>
      </c>
      <c r="C22" s="22" t="str">
        <f>"Mes "&amp;P_Inicio&amp;" / mes "&amp;V_Inicio</f>
        <v>Mes 1 / mes 1</v>
      </c>
    </row>
    <row r="23" spans="1:4" x14ac:dyDescent="0.3">
      <c r="B23" s="18" t="s">
        <v>80</v>
      </c>
      <c r="C23" s="22" t="str">
        <f>"Mes "&amp;Fin&amp;" ("&amp;P_Anios&amp;" años de operación desde el inicio presupuestado)"</f>
        <v>Mes 120 (10 años de operación desde el inicio presupuestado)</v>
      </c>
    </row>
    <row r="24" spans="1:4" x14ac:dyDescent="0.3">
      <c r="B24" s="18" t="s">
        <v>81</v>
      </c>
      <c r="C24" s="22">
        <f>c_Modificados</f>
        <v>0</v>
      </c>
    </row>
    <row r="25" spans="1:4" x14ac:dyDescent="0.3">
      <c r="B25" s="18" t="s">
        <v>82</v>
      </c>
      <c r="C25" s="22">
        <f>c_Alertas</f>
        <v>2</v>
      </c>
    </row>
    <row r="26" spans="1:4" x14ac:dyDescent="0.3">
      <c r="B26" s="18" t="s">
        <v>83</v>
      </c>
      <c r="C26" s="22">
        <f>r_BrechaV</f>
        <v>373700.71319316578</v>
      </c>
    </row>
    <row r="27" spans="1:4" x14ac:dyDescent="0.3">
      <c r="B27" s="18" t="s">
        <v>84</v>
      </c>
      <c r="C27" s="22">
        <f ca="1">g_Pendientes</f>
        <v>11</v>
      </c>
    </row>
    <row r="28" spans="1:4" x14ac:dyDescent="0.3">
      <c r="B28" s="18" t="s">
        <v>85</v>
      </c>
      <c r="C28" s="22" t="str">
        <f>IF(N(n_Ventana)=0,"Sin detalle mensual","Meses "&amp;(Corte+1)&amp;" a "&amp;MIN(144,Corte+n_Ventana))</f>
        <v>Meses 1 a 24</v>
      </c>
    </row>
    <row r="29" spans="1:4" x14ac:dyDescent="0.3">
      <c r="B29" s="18" t="s">
        <v>86</v>
      </c>
      <c r="C29" s="22" t="str">
        <f>IF(ISNUMBER(n_FechaRev),DAY(EDATE(n_FechaRev,IF(n_Frecuencia="Bienal",24,12)))&amp;"/"&amp;MONTH(EDATE(n_FechaRev,IF(n_Frecuencia="Bienal",24,12)))&amp;"/"&amp;YEAR(EDATE(n_FechaRev,IF(n_Frecuencia="Bienal",24,12))),"Sin fecha de revisión")</f>
        <v>Sin fecha de revisión</v>
      </c>
    </row>
    <row r="31" spans="1:4" x14ac:dyDescent="0.3">
      <c r="A31" s="15" t="s">
        <v>87</v>
      </c>
      <c r="B31" s="16"/>
      <c r="C31" s="16"/>
      <c r="D31" s="16"/>
    </row>
    <row r="32" spans="1:4" ht="25.5" customHeight="1" x14ac:dyDescent="0.3">
      <c r="B32" s="23" t="s">
        <v>88</v>
      </c>
      <c r="C32" s="5" t="s">
        <v>89</v>
      </c>
      <c r="D32" s="5"/>
    </row>
    <row r="33" spans="1:4" ht="25.5" customHeight="1" x14ac:dyDescent="0.3">
      <c r="B33" s="23" t="s">
        <v>90</v>
      </c>
      <c r="C33" s="5" t="s">
        <v>91</v>
      </c>
      <c r="D33" s="5"/>
    </row>
    <row r="34" spans="1:4" ht="25.5" customHeight="1" x14ac:dyDescent="0.3">
      <c r="B34" s="23" t="s">
        <v>92</v>
      </c>
      <c r="C34" s="5" t="s">
        <v>93</v>
      </c>
      <c r="D34" s="5"/>
    </row>
    <row r="35" spans="1:4" ht="25.5" customHeight="1" x14ac:dyDescent="0.3">
      <c r="B35" s="23" t="s">
        <v>94</v>
      </c>
      <c r="C35" s="5" t="s">
        <v>95</v>
      </c>
      <c r="D35" s="5"/>
    </row>
    <row r="36" spans="1:4" ht="25.5" customHeight="1" x14ac:dyDescent="0.3">
      <c r="B36" s="23" t="s">
        <v>96</v>
      </c>
      <c r="C36" s="5" t="s">
        <v>97</v>
      </c>
      <c r="D36" s="5"/>
    </row>
    <row r="37" spans="1:4" ht="25.5" customHeight="1" x14ac:dyDescent="0.3">
      <c r="B37" s="23" t="s">
        <v>98</v>
      </c>
      <c r="C37" s="5" t="s">
        <v>99</v>
      </c>
      <c r="D37" s="5"/>
    </row>
    <row r="38" spans="1:4" ht="25.5" customHeight="1" x14ac:dyDescent="0.3">
      <c r="B38" s="23" t="s">
        <v>100</v>
      </c>
      <c r="C38" s="5" t="s">
        <v>101</v>
      </c>
      <c r="D38" s="5"/>
    </row>
    <row r="39" spans="1:4" ht="25.5" customHeight="1" x14ac:dyDescent="0.3">
      <c r="B39" s="23" t="s">
        <v>102</v>
      </c>
      <c r="C39" s="5" t="s">
        <v>103</v>
      </c>
      <c r="D39" s="5"/>
    </row>
    <row r="40" spans="1:4" ht="25.5" customHeight="1" x14ac:dyDescent="0.3">
      <c r="B40" s="23" t="s">
        <v>104</v>
      </c>
      <c r="C40" s="5" t="s">
        <v>105</v>
      </c>
      <c r="D40" s="5"/>
    </row>
    <row r="41" spans="1:4" ht="25.5" customHeight="1" x14ac:dyDescent="0.3">
      <c r="B41" s="23" t="s">
        <v>106</v>
      </c>
      <c r="C41" s="5" t="s">
        <v>107</v>
      </c>
      <c r="D41" s="5"/>
    </row>
    <row r="43" spans="1:4" x14ac:dyDescent="0.3">
      <c r="A43" s="15" t="s">
        <v>108</v>
      </c>
      <c r="B43" s="16"/>
      <c r="C43" s="16"/>
      <c r="D43" s="16"/>
    </row>
    <row r="44" spans="1:4" x14ac:dyDescent="0.3">
      <c r="B44" s="19" t="s">
        <v>109</v>
      </c>
      <c r="C44" s="18" t="s">
        <v>110</v>
      </c>
    </row>
    <row r="45" spans="1:4" x14ac:dyDescent="0.3">
      <c r="B45" s="25" t="s">
        <v>109</v>
      </c>
      <c r="C45" s="18" t="s">
        <v>111</v>
      </c>
    </row>
    <row r="46" spans="1:4" x14ac:dyDescent="0.3">
      <c r="B46" s="18" t="s">
        <v>109</v>
      </c>
      <c r="C46" s="18" t="s">
        <v>112</v>
      </c>
    </row>
    <row r="47" spans="1:4" x14ac:dyDescent="0.3">
      <c r="B47" s="26" t="s">
        <v>109</v>
      </c>
      <c r="C47" s="18" t="s">
        <v>113</v>
      </c>
    </row>
    <row r="48" spans="1:4" x14ac:dyDescent="0.3">
      <c r="B48" s="27" t="s">
        <v>109</v>
      </c>
      <c r="C48" s="18" t="s">
        <v>114</v>
      </c>
    </row>
    <row r="49" spans="1:4" x14ac:dyDescent="0.3">
      <c r="B49" s="14" t="s">
        <v>115</v>
      </c>
    </row>
    <row r="51" spans="1:4" x14ac:dyDescent="0.3">
      <c r="A51" s="15" t="s">
        <v>116</v>
      </c>
      <c r="B51" s="16"/>
      <c r="C51" s="16"/>
      <c r="D51" s="16"/>
    </row>
    <row r="52" spans="1:4" x14ac:dyDescent="0.3">
      <c r="B52" s="23" t="s">
        <v>117</v>
      </c>
      <c r="C52" s="18" t="s">
        <v>118</v>
      </c>
    </row>
    <row r="53" spans="1:4" x14ac:dyDescent="0.3">
      <c r="B53" s="23" t="s">
        <v>119</v>
      </c>
      <c r="C53" s="18" t="s">
        <v>120</v>
      </c>
    </row>
    <row r="54" spans="1:4" x14ac:dyDescent="0.3">
      <c r="B54" s="23" t="s">
        <v>121</v>
      </c>
      <c r="C54" s="18" t="s">
        <v>122</v>
      </c>
    </row>
    <row r="55" spans="1:4" x14ac:dyDescent="0.3">
      <c r="B55" s="23" t="s">
        <v>123</v>
      </c>
      <c r="C55" s="18" t="s">
        <v>124</v>
      </c>
    </row>
    <row r="56" spans="1:4" x14ac:dyDescent="0.3">
      <c r="B56" s="23" t="s">
        <v>125</v>
      </c>
      <c r="C56" s="18" t="s">
        <v>126</v>
      </c>
    </row>
    <row r="57" spans="1:4" x14ac:dyDescent="0.3">
      <c r="B57" s="23" t="s">
        <v>127</v>
      </c>
      <c r="C57" s="18" t="s">
        <v>128</v>
      </c>
    </row>
    <row r="58" spans="1:4" x14ac:dyDescent="0.3">
      <c r="B58" s="23" t="s">
        <v>129</v>
      </c>
      <c r="C58" s="18" t="s">
        <v>130</v>
      </c>
    </row>
    <row r="59" spans="1:4" x14ac:dyDescent="0.3">
      <c r="B59" s="23" t="s">
        <v>131</v>
      </c>
      <c r="C59" s="18" t="s">
        <v>132</v>
      </c>
    </row>
    <row r="60" spans="1:4" x14ac:dyDescent="0.3">
      <c r="B60" s="23" t="s">
        <v>133</v>
      </c>
      <c r="C60" s="18" t="s">
        <v>134</v>
      </c>
    </row>
    <row r="61" spans="1:4" x14ac:dyDescent="0.3">
      <c r="B61" s="23" t="s">
        <v>135</v>
      </c>
      <c r="C61" s="18" t="s">
        <v>136</v>
      </c>
    </row>
    <row r="62" spans="1:4" x14ac:dyDescent="0.3">
      <c r="B62" s="23" t="s">
        <v>137</v>
      </c>
      <c r="C62" s="18" t="s">
        <v>138</v>
      </c>
    </row>
    <row r="64" spans="1:4" x14ac:dyDescent="0.3">
      <c r="A64" s="15" t="s">
        <v>139</v>
      </c>
      <c r="B64" s="16"/>
      <c r="C64" s="16"/>
      <c r="D64" s="16"/>
    </row>
    <row r="65" spans="2:4" x14ac:dyDescent="0.3">
      <c r="B65" s="18" t="s">
        <v>140</v>
      </c>
      <c r="C65" s="4" t="s">
        <v>141</v>
      </c>
      <c r="D65" s="4"/>
    </row>
    <row r="66" spans="2:4" x14ac:dyDescent="0.3">
      <c r="B66" s="18" t="s">
        <v>142</v>
      </c>
      <c r="C66" s="4" t="s">
        <v>143</v>
      </c>
      <c r="D66" s="4"/>
    </row>
    <row r="67" spans="2:4" x14ac:dyDescent="0.3">
      <c r="B67" s="18" t="s">
        <v>144</v>
      </c>
      <c r="C67" s="4" t="s">
        <v>145</v>
      </c>
      <c r="D67" s="4"/>
    </row>
    <row r="68" spans="2:4" x14ac:dyDescent="0.3">
      <c r="B68" s="18" t="s">
        <v>146</v>
      </c>
      <c r="C68" s="4" t="s">
        <v>147</v>
      </c>
      <c r="D68" s="4"/>
    </row>
    <row r="69" spans="2:4" x14ac:dyDescent="0.3">
      <c r="B69" s="18" t="s">
        <v>148</v>
      </c>
      <c r="C69" s="4" t="s">
        <v>149</v>
      </c>
      <c r="D69" s="4"/>
    </row>
    <row r="70" spans="2:4" x14ac:dyDescent="0.3">
      <c r="B70" s="18" t="s">
        <v>150</v>
      </c>
      <c r="C70" s="4" t="s">
        <v>151</v>
      </c>
      <c r="D70" s="4"/>
    </row>
    <row r="71" spans="2:4" x14ac:dyDescent="0.3">
      <c r="B71" s="18" t="s">
        <v>152</v>
      </c>
      <c r="C71" s="4" t="s">
        <v>153</v>
      </c>
      <c r="D71" s="4"/>
    </row>
    <row r="72" spans="2:4" x14ac:dyDescent="0.3">
      <c r="B72" s="18" t="s">
        <v>154</v>
      </c>
      <c r="C72" s="4" t="s">
        <v>155</v>
      </c>
      <c r="D72" s="4"/>
    </row>
    <row r="73" spans="2:4" x14ac:dyDescent="0.3">
      <c r="B73" s="18" t="s">
        <v>156</v>
      </c>
      <c r="C73" s="4"/>
      <c r="D73" s="4"/>
    </row>
    <row r="74" spans="2:4" x14ac:dyDescent="0.3">
      <c r="B74" s="18" t="s">
        <v>157</v>
      </c>
      <c r="C74" s="4"/>
      <c r="D74" s="4"/>
    </row>
  </sheetData>
  <mergeCells count="20">
    <mergeCell ref="C70:D70"/>
    <mergeCell ref="C71:D71"/>
    <mergeCell ref="C72:D72"/>
    <mergeCell ref="C73:D73"/>
    <mergeCell ref="C74:D74"/>
    <mergeCell ref="C65:D65"/>
    <mergeCell ref="C66:D66"/>
    <mergeCell ref="C67:D67"/>
    <mergeCell ref="C68:D68"/>
    <mergeCell ref="C69:D69"/>
    <mergeCell ref="C37:D37"/>
    <mergeCell ref="C38:D38"/>
    <mergeCell ref="C39:D39"/>
    <mergeCell ref="C40:D40"/>
    <mergeCell ref="C41:D41"/>
    <mergeCell ref="C32:D32"/>
    <mergeCell ref="C33:D33"/>
    <mergeCell ref="C34:D34"/>
    <mergeCell ref="C35:D35"/>
    <mergeCell ref="C36:D36"/>
  </mergeCells>
  <dataValidations count="3">
    <dataValidation type="list" allowBlank="1" sqref="C9" xr:uid="{00000000-0002-0000-0100-000000000000}">
      <formula1>"Implantación,Operación"</formula1>
      <formula2>0</formula2>
    </dataValidation>
    <dataValidation type="list" allowBlank="1" sqref="C13" xr:uid="{00000000-0002-0000-0100-000001000000}">
      <formula1>"Vigente,Conservador,Optimista"</formula1>
      <formula2>0</formula2>
    </dataValidation>
    <dataValidation type="list" allowBlank="1" sqref="C17" xr:uid="{00000000-0002-0000-0100-000002000000}">
      <formula1>"Anual,Bienal"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J55"/>
  <sheetViews>
    <sheetView zoomScale="90" zoomScaleNormal="90" workbookViewId="0">
      <pane xSplit="2" ySplit="8" topLeftCell="C9" activePane="bottomRight" state="frozen"/>
      <selection pane="topRight" activeCell="C1" sqref="C1"/>
      <selection pane="bottomLeft" activeCell="A9" sqref="A9"/>
      <selection pane="bottomRight"/>
    </sheetView>
  </sheetViews>
  <sheetFormatPr baseColWidth="10" defaultColWidth="8.5546875" defaultRowHeight="14.4" x14ac:dyDescent="0.3"/>
  <cols>
    <col min="1" max="1" width="5" customWidth="1"/>
    <col min="2" max="2" width="46" customWidth="1"/>
    <col min="3" max="4" width="26" customWidth="1"/>
    <col min="5" max="5" width="46" customWidth="1"/>
    <col min="6" max="6" width="30" customWidth="1"/>
    <col min="7" max="7" width="8" customWidth="1"/>
    <col min="8" max="8" width="11" customWidth="1"/>
    <col min="9" max="9" width="14" customWidth="1"/>
    <col min="10" max="10" width="30" customWidth="1"/>
  </cols>
  <sheetData>
    <row r="1" spans="1:10" ht="16.8" x14ac:dyDescent="0.3">
      <c r="A1" s="13" t="s">
        <v>158</v>
      </c>
    </row>
    <row r="2" spans="1:10" x14ac:dyDescent="0.3">
      <c r="A2" s="14" t="s">
        <v>159</v>
      </c>
    </row>
    <row r="4" spans="1:10" x14ac:dyDescent="0.3">
      <c r="B4" s="23" t="s">
        <v>160</v>
      </c>
      <c r="C4" s="28">
        <f>MIN(144,Corte+1)</f>
        <v>1</v>
      </c>
      <c r="D4" s="14" t="str">
        <f>IF(ISNUMBER(n_Fecha1),"Fecha: "&amp;TEXT(MONTH(EOMONTH(n_Fecha1,g_Mes-1)),"00")&amp;"/"&amp;YEAR(EOMONTH(n_Fecha1,g_Mes-1)),"Sin fecha del mes 1")</f>
        <v>Sin fecha del mes 1</v>
      </c>
    </row>
    <row r="5" spans="1:10" x14ac:dyDescent="0.3">
      <c r="B5" s="23" t="s">
        <v>161</v>
      </c>
      <c r="C5" s="29">
        <f ca="1">COUNTIF(F9:F51,"⚠*")</f>
        <v>11</v>
      </c>
    </row>
    <row r="6" spans="1:10" x14ac:dyDescent="0.3">
      <c r="B6" s="14" t="s">
        <v>162</v>
      </c>
    </row>
    <row r="8" spans="1:10" ht="30" customHeight="1" x14ac:dyDescent="0.3">
      <c r="A8" s="17" t="s">
        <v>163</v>
      </c>
      <c r="B8" s="17" t="s">
        <v>164</v>
      </c>
      <c r="C8" s="17" t="s">
        <v>165</v>
      </c>
      <c r="D8" s="17" t="s">
        <v>166</v>
      </c>
      <c r="E8" s="17" t="s">
        <v>167</v>
      </c>
      <c r="F8" s="17" t="s">
        <v>168</v>
      </c>
      <c r="G8" s="17" t="s">
        <v>169</v>
      </c>
      <c r="H8" s="17" t="s">
        <v>1</v>
      </c>
      <c r="I8" s="17" t="s">
        <v>170</v>
      </c>
      <c r="J8" s="17" t="s">
        <v>171</v>
      </c>
    </row>
    <row r="9" spans="1:10" x14ac:dyDescent="0.3">
      <c r="A9" s="15" t="s">
        <v>172</v>
      </c>
      <c r="B9" s="16"/>
      <c r="C9" s="16"/>
      <c r="D9" s="16"/>
      <c r="E9" s="16"/>
      <c r="F9" s="16"/>
      <c r="G9" s="16"/>
      <c r="H9" s="16"/>
      <c r="I9" s="16"/>
      <c r="J9" s="16"/>
    </row>
    <row r="10" spans="1:10" ht="25.5" customHeight="1" x14ac:dyDescent="0.3">
      <c r="A10" s="30">
        <v>1</v>
      </c>
      <c r="B10" s="24" t="s">
        <v>173</v>
      </c>
      <c r="C10" s="31" t="str">
        <f>HYPERLINK("#Inicio!C6","Inicio!C6:C9")</f>
        <v>Inicio!C6:C9</v>
      </c>
      <c r="D10" s="32" t="s">
        <v>174</v>
      </c>
      <c r="E10" s="32" t="s">
        <v>175</v>
      </c>
      <c r="F10" s="23" t="str">
        <f>IF(AND(n_Negocio&lt;&gt;"",n_Etapa&lt;&gt;""),"✔ Listo","⚠ Pendiente")</f>
        <v>✔ Listo</v>
      </c>
      <c r="G10" s="19"/>
      <c r="H10" s="20"/>
      <c r="I10" s="19"/>
      <c r="J10" s="19"/>
    </row>
    <row r="11" spans="1:10" ht="25.5" customHeight="1" x14ac:dyDescent="0.3">
      <c r="A11" s="30">
        <v>2</v>
      </c>
      <c r="B11" s="24" t="s">
        <v>56</v>
      </c>
      <c r="C11" s="31" t="str">
        <f>HYPERLINK("#Inicio!C10","Inicio!C10")</f>
        <v>Inicio!C10</v>
      </c>
      <c r="D11" s="32" t="s">
        <v>176</v>
      </c>
      <c r="E11" s="32" t="s">
        <v>177</v>
      </c>
      <c r="F11" s="23" t="str">
        <f>IF(ISNUMBER(n_Fecha1),"✔ Listo","⚠ Pendiente (recomendado)")</f>
        <v>⚠ Pendiente (recomendado)</v>
      </c>
      <c r="G11" s="19"/>
      <c r="H11" s="20"/>
      <c r="I11" s="19"/>
      <c r="J11" s="19"/>
    </row>
    <row r="12" spans="1:10" ht="25.5" customHeight="1" x14ac:dyDescent="0.3">
      <c r="A12" s="30">
        <v>3</v>
      </c>
      <c r="B12" s="24" t="s">
        <v>178</v>
      </c>
      <c r="C12" s="31" t="str">
        <f>HYPERLINK("#Inicio!C12","Inicio!C12")</f>
        <v>Inicio!C12</v>
      </c>
      <c r="D12" s="32" t="s">
        <v>179</v>
      </c>
      <c r="E12" s="32" t="s">
        <v>180</v>
      </c>
      <c r="F12" s="23" t="str">
        <f>IF(n_Etapa="Operación",IF(ISNUMBER(n_InicioReal),"✔ Listo","⚠ Pendiente"),IF(n_Etapa="","⚠ Definir primero la etapa (paso 1)","— No aplica (implantación)"))</f>
        <v>⚠ Pendiente</v>
      </c>
      <c r="G12" s="19"/>
      <c r="H12" s="20"/>
      <c r="I12" s="19"/>
      <c r="J12" s="19"/>
    </row>
    <row r="13" spans="1:10" x14ac:dyDescent="0.3">
      <c r="A13" s="15" t="s">
        <v>181</v>
      </c>
      <c r="B13" s="16"/>
      <c r="C13" s="16"/>
      <c r="D13" s="16"/>
      <c r="E13" s="16"/>
      <c r="F13" s="16"/>
      <c r="G13" s="16"/>
      <c r="H13" s="16"/>
      <c r="I13" s="16"/>
      <c r="J13" s="16"/>
    </row>
    <row r="14" spans="1:10" ht="25.5" customHeight="1" x14ac:dyDescent="0.3">
      <c r="A14" s="30">
        <v>4</v>
      </c>
      <c r="B14" s="24" t="s">
        <v>182</v>
      </c>
      <c r="C14" s="31" t="str">
        <f>HYPERLINK("#Supuestos!D6","Supuestos!D6:D34")</f>
        <v>Supuestos!D6:D34</v>
      </c>
      <c r="D14" s="32" t="s">
        <v>176</v>
      </c>
      <c r="E14" s="32" t="s">
        <v>183</v>
      </c>
      <c r="F14" s="23" t="str">
        <f>IF(COUNTBLANK(Supuestos!$D$6:$D$34)=0,"✔ Listo","⚠ Faltan "&amp;COUNTBLANK(Supuestos!$D$6:$D$34)&amp;" parámetros")</f>
        <v>✔ Listo</v>
      </c>
      <c r="G14" s="19"/>
      <c r="H14" s="20"/>
      <c r="I14" s="19"/>
      <c r="J14" s="19"/>
    </row>
    <row r="15" spans="1:10" ht="25.5" customHeight="1" x14ac:dyDescent="0.3">
      <c r="A15" s="30">
        <v>5</v>
      </c>
      <c r="B15" s="24" t="s">
        <v>184</v>
      </c>
      <c r="C15" s="31" t="str">
        <f>HYPERLINK("#Supuestos!D39","Supuestos!D39:M39")</f>
        <v>Supuestos!D39:M39</v>
      </c>
      <c r="D15" s="32" t="s">
        <v>185</v>
      </c>
      <c r="E15" s="32" t="s">
        <v>186</v>
      </c>
      <c r="F15" s="23" t="str">
        <f>IF(COUNTIF(TC_O,"&gt;0")=10,"✔ Listo","⚠ Faltan "&amp;(10-COUNTIF(TC_O,"&gt;0"))&amp;" años")</f>
        <v>✔ Listo</v>
      </c>
      <c r="G15" s="19"/>
      <c r="H15" s="20"/>
      <c r="I15" s="19"/>
      <c r="J15" s="19"/>
    </row>
    <row r="16" spans="1:10" ht="25.5" customHeight="1" x14ac:dyDescent="0.3">
      <c r="A16" s="30">
        <v>6</v>
      </c>
      <c r="B16" s="24" t="s">
        <v>187</v>
      </c>
      <c r="C16" s="31" t="str">
        <f>HYPERLINK("#Supuestos!D40","Supuestos!D40:M44")</f>
        <v>Supuestos!D40:M44</v>
      </c>
      <c r="D16" s="32" t="s">
        <v>176</v>
      </c>
      <c r="E16" s="32" t="s">
        <v>188</v>
      </c>
      <c r="F16" s="23" t="str">
        <f>IF(COUNTBLANK(Supuestos!$D$40:$M$44)=0,"✔ Listo","⚠ Faltan "&amp;COUNTBLANK(Supuestos!$D$40:$M$44)&amp;" celdas")</f>
        <v>✔ Listo</v>
      </c>
      <c r="G16" s="19"/>
      <c r="H16" s="20"/>
      <c r="I16" s="19"/>
      <c r="J16" s="19"/>
    </row>
    <row r="17" spans="1:10" ht="25.5" customHeight="1" x14ac:dyDescent="0.3">
      <c r="A17" s="30">
        <v>7</v>
      </c>
      <c r="B17" s="24" t="s">
        <v>189</v>
      </c>
      <c r="C17" s="31" t="str">
        <f>HYPERLINK("#Productos!B6","Productos!B6:N30")</f>
        <v>Productos!B6:N30</v>
      </c>
      <c r="D17" s="32" t="s">
        <v>190</v>
      </c>
      <c r="E17" s="32" t="s">
        <v>191</v>
      </c>
      <c r="F17" s="23" t="str">
        <f>IF(SUMPRODUCT(--(Prod_Nombre&lt;&gt;""))=0,"⚠ Sin productos",IF(SUMPRODUCT((VolTot_O&gt;0)*(Precio_O=0))&gt;0,"⚠ "&amp;SUMPRODUCT((VolTot_O&gt;0)*(Precio_O=0))&amp;" producto(s) con volumen y sin precio","✔ "&amp;SUMPRODUCT(--(Prod_Nombre&lt;&gt;""))&amp;" producto(s)"))</f>
        <v>✔ 2 producto(s)</v>
      </c>
      <c r="G17" s="19"/>
      <c r="H17" s="20"/>
      <c r="I17" s="19"/>
      <c r="J17" s="19"/>
    </row>
    <row r="18" spans="1:10" ht="25.5" customHeight="1" x14ac:dyDescent="0.3">
      <c r="A18" s="30">
        <v>8</v>
      </c>
      <c r="B18" s="24" t="s">
        <v>192</v>
      </c>
      <c r="C18" s="31" t="str">
        <f>HYPERLINK("#Productos!D34","Productos!D34:M58")</f>
        <v>Productos!D34:M58</v>
      </c>
      <c r="D18" s="32" t="s">
        <v>193</v>
      </c>
      <c r="E18" s="32" t="s">
        <v>194</v>
      </c>
      <c r="F18" s="23" t="str">
        <f>IF(SUM(VolTot_O)=0,"⚠ Sin volumen",IF(SUMPRODUCT((Prod_Nombre&lt;&gt;"")*(VolTot_O=0)*(VolTot_V=0))&gt;0,"⚠ Hay productos sin volumen","✔ Listo"))</f>
        <v>✔ Listo</v>
      </c>
      <c r="G18" s="19"/>
      <c r="H18" s="20"/>
      <c r="I18" s="19"/>
      <c r="J18" s="19"/>
    </row>
    <row r="19" spans="1:10" ht="25.5" customHeight="1" x14ac:dyDescent="0.3">
      <c r="A19" s="30">
        <v>9</v>
      </c>
      <c r="B19" s="24" t="s">
        <v>195</v>
      </c>
      <c r="C19" s="31" t="str">
        <f>HYPERLINK("#Costos!B6","Costos!B6:P35")</f>
        <v>Costos!B6:P35</v>
      </c>
      <c r="D19" s="32" t="s">
        <v>196</v>
      </c>
      <c r="E19" s="32" t="s">
        <v>197</v>
      </c>
      <c r="F19" s="23" t="str">
        <f>IF(COUNT(Sal_O)=0,"⚠ Sin personal","✔ "&amp;COUNT(Sal_O)&amp;" puesto(s)")</f>
        <v>✔ 26 puesto(s)</v>
      </c>
      <c r="G19" s="19"/>
      <c r="H19" s="20"/>
      <c r="I19" s="19"/>
      <c r="J19" s="19"/>
    </row>
    <row r="20" spans="1:10" ht="25.5" customHeight="1" x14ac:dyDescent="0.3">
      <c r="A20" s="30">
        <v>10</v>
      </c>
      <c r="B20" s="24" t="s">
        <v>198</v>
      </c>
      <c r="C20" s="31" t="str">
        <f>HYPERLINK("#Costos!B75","Costos!B75:J99")</f>
        <v>Costos!B75:J99</v>
      </c>
      <c r="D20" s="32" t="s">
        <v>199</v>
      </c>
      <c r="E20" s="32" t="s">
        <v>200</v>
      </c>
      <c r="F20" s="23" t="str">
        <f>IF(COUNT(FC_O)=0,"⚠ Sin costos fijos","✔ "&amp;COUNT(FC_O)&amp;" concepto(s)")</f>
        <v>✔ 9 concepto(s)</v>
      </c>
      <c r="G20" s="19"/>
      <c r="H20" s="20"/>
      <c r="I20" s="19"/>
      <c r="J20" s="19"/>
    </row>
    <row r="21" spans="1:10" ht="25.5" customHeight="1" x14ac:dyDescent="0.3">
      <c r="A21" s="30">
        <v>11</v>
      </c>
      <c r="B21" s="24" t="s">
        <v>201</v>
      </c>
      <c r="C21" s="31" t="str">
        <f>HYPERLINK("#Inversion!B6","Inversion!B6:F25")</f>
        <v>Inversion!B6:F25</v>
      </c>
      <c r="D21" s="32" t="s">
        <v>202</v>
      </c>
      <c r="E21" s="32" t="s">
        <v>203</v>
      </c>
      <c r="F21" s="23" t="str">
        <f>IF(COUNT(Inv_D)=0,"⚠ Sin CAPEX",IF(SUMPRODUCT((Inv_D&gt;0)*((Inv_E="")+(Inv_F="")))&gt;0,"⚠ Ítems sin mes o sin vida útil","✔ "&amp;COUNT(Inv_D)&amp;" ítem(s)"))</f>
        <v>✔ 14 ítem(s)</v>
      </c>
      <c r="G21" s="19"/>
      <c r="H21" s="20"/>
      <c r="I21" s="19"/>
      <c r="J21" s="19"/>
    </row>
    <row r="22" spans="1:10" ht="25.5" customHeight="1" x14ac:dyDescent="0.3">
      <c r="A22" s="30">
        <v>12</v>
      </c>
      <c r="B22" s="24" t="s">
        <v>204</v>
      </c>
      <c r="C22" s="31" t="str">
        <f>HYPERLINK("#Inversion!B29","Inversion, secciones B, B2 y C")</f>
        <v>Inversion, secciones B, B2 y C</v>
      </c>
      <c r="D22" s="32" t="s">
        <v>205</v>
      </c>
      <c r="E22" s="32" t="s">
        <v>206</v>
      </c>
      <c r="F22" s="23" t="str">
        <f>IF(N(P_L1_Monto)+N(P_L2_Monto)+N(P_L3_Monto)+N(P_LC_Lim)+SUM(Ap_MontoO)=0,"○ Sin financiamiento cargado","✔ Listo")</f>
        <v>✔ Listo</v>
      </c>
      <c r="G22" s="19"/>
      <c r="H22" s="20"/>
      <c r="I22" s="19"/>
      <c r="J22" s="19"/>
    </row>
    <row r="23" spans="1:10" ht="25.5" customHeight="1" x14ac:dyDescent="0.3">
      <c r="A23" s="30">
        <v>13</v>
      </c>
      <c r="B23" s="24" t="s">
        <v>207</v>
      </c>
      <c r="C23" s="31" t="str">
        <f>HYPERLINK("#Resultados!B4","Resultados")</f>
        <v>Resultados</v>
      </c>
      <c r="D23" s="32" t="s">
        <v>208</v>
      </c>
      <c r="E23" s="32" t="s">
        <v>209</v>
      </c>
      <c r="F23" s="23" t="str">
        <f>IF(c_C01="OK","✔ Balance OK","⚠ Revisar el balance")</f>
        <v>✔ Balance OK</v>
      </c>
      <c r="G23" s="19"/>
      <c r="H23" s="20"/>
      <c r="I23" s="19"/>
      <c r="J23" s="19"/>
    </row>
    <row r="24" spans="1:10" x14ac:dyDescent="0.3">
      <c r="A24" s="15" t="s">
        <v>210</v>
      </c>
      <c r="B24" s="16"/>
      <c r="C24" s="16"/>
      <c r="D24" s="16"/>
      <c r="E24" s="16"/>
      <c r="F24" s="16"/>
      <c r="G24" s="16"/>
      <c r="H24" s="16"/>
      <c r="I24" s="16"/>
      <c r="J24" s="16"/>
    </row>
    <row r="25" spans="1:10" ht="25.5" customHeight="1" x14ac:dyDescent="0.3">
      <c r="A25" s="30">
        <v>14</v>
      </c>
      <c r="B25" s="24" t="s">
        <v>211</v>
      </c>
      <c r="C25" s="31" t="str">
        <f>HYPERLINK("#Supuestos!E6","Columnas «Vigente»")</f>
        <v>Columnas «Vigente»</v>
      </c>
      <c r="D25" s="32" t="s">
        <v>212</v>
      </c>
      <c r="E25" s="32" t="s">
        <v>213</v>
      </c>
      <c r="F25" s="23" t="str">
        <f>"○ "&amp;c_Modificados&amp;" celda(s) vigente(s) modificada(s)"</f>
        <v>○ 0 celda(s) vigente(s) modificada(s)</v>
      </c>
      <c r="G25" s="19"/>
      <c r="H25" s="20"/>
      <c r="I25" s="19"/>
      <c r="J25" s="19"/>
    </row>
    <row r="26" spans="1:10" ht="25.5" customHeight="1" x14ac:dyDescent="0.3">
      <c r="A26" s="30">
        <v>15</v>
      </c>
      <c r="B26" s="24" t="s">
        <v>214</v>
      </c>
      <c r="C26" s="31" t="str">
        <f>HYPERLINK("#Inicio!C13","Inicio!C13")</f>
        <v>Inicio!C13</v>
      </c>
      <c r="D26" s="32" t="s">
        <v>208</v>
      </c>
      <c r="E26" s="32" t="s">
        <v>215</v>
      </c>
      <c r="F26" s="23" t="str">
        <f>IF(n_Escenario="Vigente","✔ Vigente","⚠ Activo: "&amp;n_Escenario&amp;" (volver a Vigente)")</f>
        <v>✔ Vigente</v>
      </c>
      <c r="G26" s="19"/>
      <c r="H26" s="20"/>
      <c r="I26" s="19"/>
      <c r="J26" s="19"/>
    </row>
    <row r="27" spans="1:10" x14ac:dyDescent="0.3">
      <c r="A27" s="15" t="s">
        <v>216</v>
      </c>
      <c r="B27" s="16"/>
      <c r="C27" s="16"/>
      <c r="D27" s="16"/>
      <c r="E27" s="16"/>
      <c r="F27" s="16"/>
      <c r="G27" s="16"/>
      <c r="H27" s="16"/>
      <c r="I27" s="16"/>
      <c r="J27" s="16"/>
    </row>
    <row r="28" spans="1:10" ht="25.5" customHeight="1" x14ac:dyDescent="0.3">
      <c r="A28" s="30">
        <v>16</v>
      </c>
      <c r="B28" s="24" t="s">
        <v>217</v>
      </c>
      <c r="C28" s="31" t="str">
        <f>HYPERLINK("#Reales!"&amp;ADDRESS(10,5+g_Mes,4),"Reales, fila 10, mes "&amp;g_Mes)</f>
        <v>Reales, fila 10, mes 1</v>
      </c>
      <c r="D28" s="32" t="s">
        <v>218</v>
      </c>
      <c r="E28" s="32" t="s">
        <v>219</v>
      </c>
      <c r="F28" s="23" t="str">
        <f>IF(ISNUMBER(INDEX(Reales!$F$10:$ES$10,1,g_Mes)),"✔ Cargado","⚠ Pendiente")</f>
        <v>⚠ Pendiente</v>
      </c>
      <c r="G28" s="19"/>
      <c r="H28" s="20"/>
      <c r="I28" s="19"/>
      <c r="J28" s="19"/>
    </row>
    <row r="29" spans="1:10" ht="25.5" customHeight="1" x14ac:dyDescent="0.3">
      <c r="A29" s="30">
        <v>17</v>
      </c>
      <c r="B29" s="24" t="s">
        <v>220</v>
      </c>
      <c r="C29" s="31" t="str">
        <f>HYPERLINK("#Reales!"&amp;ADDRESS(12,5+g_Mes,4),"Reales, filas 12-36, mes "&amp;g_Mes)</f>
        <v>Reales, filas 12-36, mes 1</v>
      </c>
      <c r="D29" s="32" t="s">
        <v>221</v>
      </c>
      <c r="E29" s="32" t="s">
        <v>222</v>
      </c>
      <c r="F29" s="23" t="str">
        <f>IF(SUMPRODUCT(--(Prod_Nombre&lt;&gt;""))=0,"— Sin productos",IF(SUMPRODUCT((Prod_Nombre&lt;&gt;"")*ISNUMBER(INDEX(Reales!$F$12:$ES$36,0,g_Mes)))=SUMPRODUCT(--(Prod_Nombre&lt;&gt;"")),"✔ Cargado","⚠ Faltan "&amp;(SUMPRODUCT(--(Prod_Nombre&lt;&gt;""))-SUMPRODUCT((Prod_Nombre&lt;&gt;"")*ISNUMBER(INDEX(Reales!$F$12:$ES$36,0,g_Mes))))&amp;" producto(s)"))</f>
        <v>⚠ Faltan 2 producto(s)</v>
      </c>
      <c r="G29" s="19"/>
      <c r="H29" s="20"/>
      <c r="I29" s="19"/>
      <c r="J29" s="19"/>
    </row>
    <row r="30" spans="1:10" ht="25.5" customHeight="1" x14ac:dyDescent="0.3">
      <c r="A30" s="30">
        <v>18</v>
      </c>
      <c r="B30" s="24" t="s">
        <v>223</v>
      </c>
      <c r="C30" s="31" t="str">
        <f>HYPERLINK("#Reales!"&amp;ADDRESS(38,5+g_Mes,4),"Reales, filas 38-62, mes "&amp;g_Mes)</f>
        <v>Reales, filas 38-62, mes 1</v>
      </c>
      <c r="D30" s="32" t="s">
        <v>224</v>
      </c>
      <c r="E30" s="32" t="s">
        <v>225</v>
      </c>
      <c r="F30" s="23" t="str">
        <f>IF(SUMPRODUCT(--(Prod_Nombre&lt;&gt;""))=0,"— Sin productos",IF(SUMPRODUCT((Prod_Nombre&lt;&gt;"")*ISNUMBER(INDEX(Reales!$F$38:$ES$62,0,g_Mes)))=SUMPRODUCT(--(Prod_Nombre&lt;&gt;"")),"✔ Cargado","⚠ Faltan "&amp;(SUMPRODUCT(--(Prod_Nombre&lt;&gt;""))-SUMPRODUCT((Prod_Nombre&lt;&gt;"")*ISNUMBER(INDEX(Reales!$F$38:$ES$62,0,g_Mes))))&amp;" producto(s)"))</f>
        <v>⚠ Faltan 2 producto(s)</v>
      </c>
      <c r="G30" s="19"/>
      <c r="H30" s="20"/>
      <c r="I30" s="19"/>
      <c r="J30" s="19"/>
    </row>
    <row r="31" spans="1:10" ht="25.5" customHeight="1" x14ac:dyDescent="0.3">
      <c r="A31" s="30">
        <v>19</v>
      </c>
      <c r="B31" s="24" t="s">
        <v>226</v>
      </c>
      <c r="C31" s="31" t="str">
        <f>HYPERLINK("#Reales!"&amp;ADDRESS(64,5+g_Mes,4),"Reales, filas 64-70, mes "&amp;g_Mes)</f>
        <v>Reales, filas 64-70, mes 1</v>
      </c>
      <c r="D31" s="32" t="s">
        <v>227</v>
      </c>
      <c r="E31" s="32" t="s">
        <v>228</v>
      </c>
      <c r="F31" s="23" t="str">
        <f>IF(COUNT(INDEX(Reales!$F$64:$ES$70,0,g_Mes))=7,"✔ 7 de 7","⚠ "&amp;COUNT(INDEX(Reales!$F$64:$ES$70,0,g_Mes))&amp;" de 7 cargados")</f>
        <v>⚠ 0 de 7 cargados</v>
      </c>
      <c r="G31" s="19"/>
      <c r="H31" s="20"/>
      <c r="I31" s="19"/>
      <c r="J31" s="19"/>
    </row>
    <row r="32" spans="1:10" ht="25.5" customHeight="1" x14ac:dyDescent="0.3">
      <c r="A32" s="30">
        <v>20</v>
      </c>
      <c r="B32" s="24" t="s">
        <v>229</v>
      </c>
      <c r="C32" s="31" t="str">
        <f>HYPERLINK("#Reales!"&amp;ADDRESS(72,5+g_Mes,4),"Reales, filas 72-77, mes "&amp;g_Mes)</f>
        <v>Reales, filas 72-77, mes 1</v>
      </c>
      <c r="D32" s="32" t="s">
        <v>230</v>
      </c>
      <c r="E32" s="32" t="s">
        <v>231</v>
      </c>
      <c r="F32" s="23" t="str">
        <f>IF(COUNT(INDEX(Reales!$F$72:$ES$77,0,g_Mes))=6,"✔ 6 de 6","⚠ "&amp;COUNT(INDEX(Reales!$F$72:$ES$77,0,g_Mes))&amp;" de 6 cargados")</f>
        <v>⚠ 0 de 6 cargados</v>
      </c>
      <c r="G32" s="19"/>
      <c r="H32" s="20"/>
      <c r="I32" s="19"/>
      <c r="J32" s="19"/>
    </row>
    <row r="33" spans="1:10" ht="25.5" customHeight="1" x14ac:dyDescent="0.3">
      <c r="A33" s="30">
        <v>21</v>
      </c>
      <c r="B33" s="24" t="s">
        <v>232</v>
      </c>
      <c r="C33" s="31" t="str">
        <f>HYPERLINK("#Reales!"&amp;ADDRESS(79,5+g_Mes,4),"Reales, filas 79-84, mes "&amp;g_Mes)</f>
        <v>Reales, filas 79-84, mes 1</v>
      </c>
      <c r="D33" s="32" t="s">
        <v>233</v>
      </c>
      <c r="E33" s="32" t="s">
        <v>234</v>
      </c>
      <c r="F33" s="23" t="str">
        <f>IF(COUNT(INDEX(Reales!$F$79:$ES$84,0,g_Mes))=6,"✔ 6 de 6","⚠ "&amp;COUNT(INDEX(Reales!$F$79:$ES$84,0,g_Mes))&amp;" de 6 cargados")</f>
        <v>⚠ 0 de 6 cargados</v>
      </c>
      <c r="G33" s="19"/>
      <c r="H33" s="20"/>
      <c r="I33" s="19"/>
      <c r="J33" s="19"/>
    </row>
    <row r="34" spans="1:10" ht="25.5" customHeight="1" x14ac:dyDescent="0.3">
      <c r="A34" s="30">
        <v>22</v>
      </c>
      <c r="B34" s="24" t="s">
        <v>235</v>
      </c>
      <c r="C34" s="31" t="str">
        <f>HYPERLINK("#Inversion!G6","Inversion!G6:L25")</f>
        <v>Inversion!G6:L25</v>
      </c>
      <c r="D34" s="32" t="s">
        <v>236</v>
      </c>
      <c r="E34" s="32" t="s">
        <v>237</v>
      </c>
      <c r="F34" s="23" t="str">
        <f>IF(AND(N(i_Pagado)=0,SUM(Reales!$F$72:$ES$72)=0),"○ Sin CAPEX ejecutado todavía",IF(c_C08="OK","✔ Concilia","⚠ No concilia con Reales"))</f>
        <v>○ Sin CAPEX ejecutado todavía</v>
      </c>
      <c r="G34" s="19"/>
      <c r="H34" s="20"/>
      <c r="I34" s="19"/>
      <c r="J34" s="19"/>
    </row>
    <row r="35" spans="1:10" ht="25.5" customHeight="1" x14ac:dyDescent="0.3">
      <c r="A35" s="30">
        <v>23</v>
      </c>
      <c r="B35" s="24" t="s">
        <v>238</v>
      </c>
      <c r="C35" s="31" t="str">
        <f>HYPERLINK("#Inicio!C11","Inicio!C11")</f>
        <v>Inicio!C11</v>
      </c>
      <c r="D35" s="32" t="s">
        <v>208</v>
      </c>
      <c r="E35" s="32" t="s">
        <v>239</v>
      </c>
      <c r="F35" s="23" t="str">
        <f>IF(AND(LEFT(F28,1)="✔",LEFT(F29,1)="✔",LEFT(F30,1)="✔",LEFT(F31,1)="✔",LEFT(F32,1)="✔",LEFT(F33,1)="✔"),"✔ Listo para cerrar: poner "&amp;g_Mes,"⚠ Esperar: faltan datos del mes "&amp;g_Mes)</f>
        <v>⚠ Esperar: faltan datos del mes 1</v>
      </c>
      <c r="G35" s="19"/>
      <c r="H35" s="20"/>
      <c r="I35" s="19"/>
      <c r="J35" s="19"/>
    </row>
    <row r="36" spans="1:10" ht="25.5" customHeight="1" x14ac:dyDescent="0.3">
      <c r="A36" s="30">
        <v>24</v>
      </c>
      <c r="B36" s="24" t="s">
        <v>240</v>
      </c>
      <c r="C36" s="31" t="str">
        <f>HYPERLINK("#Control!B4","Control")</f>
        <v>Control</v>
      </c>
      <c r="D36" s="32" t="s">
        <v>208</v>
      </c>
      <c r="E36" s="32" t="s">
        <v>241</v>
      </c>
      <c r="F36" s="23" t="str">
        <f>IF(Corte=0,"○ Sin meses cerrados",IF(AND(c_C03="OK",c_C04="OK",c_C05="OK",c_C06="OK",c_C07="OK",c_C08="OK"),"✔ Controles de carga OK","⚠ "&amp;c_Alertas&amp;" control(es) en REVISAR"))</f>
        <v>○ Sin meses cerrados</v>
      </c>
      <c r="G36" s="19"/>
      <c r="H36" s="20"/>
      <c r="I36" s="19"/>
      <c r="J36" s="19"/>
    </row>
    <row r="37" spans="1:10" x14ac:dyDescent="0.3">
      <c r="A37" s="15" t="s">
        <v>242</v>
      </c>
      <c r="B37" s="16"/>
      <c r="C37" s="16"/>
      <c r="D37" s="16"/>
      <c r="E37" s="16"/>
      <c r="F37" s="16"/>
      <c r="G37" s="16"/>
      <c r="H37" s="16"/>
      <c r="I37" s="16"/>
      <c r="J37" s="16"/>
    </row>
    <row r="38" spans="1:10" ht="25.5" customHeight="1" x14ac:dyDescent="0.3">
      <c r="A38" s="30">
        <v>25</v>
      </c>
      <c r="B38" s="24" t="s">
        <v>243</v>
      </c>
      <c r="C38" s="31" t="str">
        <f>HYPERLINK("#Resultados!B4","Resultados, indicadores")</f>
        <v>Resultados, indicadores</v>
      </c>
      <c r="D38" s="32" t="s">
        <v>208</v>
      </c>
      <c r="E38" s="32" t="s">
        <v>244</v>
      </c>
      <c r="F38" s="23" t="str">
        <f>IF(c_C13="OK","✔ Sin brecha","⚠ Brecha máxima USD "&amp;FIXED(r_BrechaV,0))</f>
        <v>⚠ Brecha máxima USD 373.701</v>
      </c>
      <c r="G38" s="19"/>
      <c r="H38" s="20"/>
      <c r="I38" s="19"/>
      <c r="J38" s="19"/>
    </row>
    <row r="39" spans="1:10" ht="25.5" customHeight="1" x14ac:dyDescent="0.3">
      <c r="A39" s="30">
        <v>26</v>
      </c>
      <c r="B39" s="24" t="s">
        <v>245</v>
      </c>
      <c r="C39" s="31" t="str">
        <f>HYPERLINK("#Resultados!B147","Resultados, sección D")</f>
        <v>Resultados, sección D</v>
      </c>
      <c r="D39" s="32" t="s">
        <v>208</v>
      </c>
      <c r="E39" s="32" t="s">
        <v>246</v>
      </c>
      <c r="F39" s="23" t="str">
        <f>"○ Revisar"</f>
        <v>○ Revisar</v>
      </c>
      <c r="G39" s="19"/>
      <c r="H39" s="20"/>
      <c r="I39" s="19"/>
      <c r="J39" s="19"/>
    </row>
    <row r="40" spans="1:10" ht="25.5" customHeight="1" x14ac:dyDescent="0.3">
      <c r="A40" s="30">
        <v>27</v>
      </c>
      <c r="B40" s="24" t="s">
        <v>247</v>
      </c>
      <c r="C40" s="31" t="str">
        <f>HYPERLINK("#Inicio!B4","Inicio")</f>
        <v>Inicio</v>
      </c>
      <c r="D40" s="32" t="s">
        <v>208</v>
      </c>
      <c r="E40" s="32" t="s">
        <v>248</v>
      </c>
      <c r="F40" s="23" t="str">
        <f>"○ Manual"</f>
        <v>○ Manual</v>
      </c>
      <c r="G40" s="19"/>
      <c r="H40" s="20"/>
      <c r="I40" s="19"/>
      <c r="J40" s="19"/>
    </row>
    <row r="41" spans="1:10" ht="25.5" customHeight="1" x14ac:dyDescent="0.3">
      <c r="A41" s="30">
        <v>28</v>
      </c>
      <c r="B41" s="24" t="s">
        <v>249</v>
      </c>
      <c r="C41" s="31" t="str">
        <f>HYPERLINK("#Supuestos!E6","Supuestos")</f>
        <v>Supuestos</v>
      </c>
      <c r="D41" s="32" t="s">
        <v>208</v>
      </c>
      <c r="E41" s="32" t="s">
        <v>250</v>
      </c>
      <c r="F41" s="23" t="str">
        <f>"○ Manual"</f>
        <v>○ Manual</v>
      </c>
      <c r="G41" s="19"/>
      <c r="H41" s="20"/>
      <c r="I41" s="19"/>
      <c r="J41" s="19"/>
    </row>
    <row r="42" spans="1:10" x14ac:dyDescent="0.3">
      <c r="A42" s="15" t="s">
        <v>251</v>
      </c>
      <c r="B42" s="16"/>
      <c r="C42" s="16"/>
      <c r="D42" s="16"/>
      <c r="E42" s="16"/>
      <c r="F42" s="16"/>
      <c r="G42" s="16"/>
      <c r="H42" s="16"/>
      <c r="I42" s="16"/>
      <c r="J42" s="16"/>
    </row>
    <row r="43" spans="1:10" ht="25.5" customHeight="1" x14ac:dyDescent="0.3">
      <c r="A43" s="30">
        <v>29</v>
      </c>
      <c r="B43" s="24" t="s">
        <v>252</v>
      </c>
      <c r="C43" s="31" t="str">
        <f>HYPERLINK("#Detalle_24m!"&amp;ADDRESS(14,MIN(149,5+Corte+1),4),"Detalle_24m, bloque B")</f>
        <v>Detalle_24m, bloque B</v>
      </c>
      <c r="D43" s="32" t="s">
        <v>253</v>
      </c>
      <c r="E43" s="32" t="s">
        <v>254</v>
      </c>
      <c r="F43" s="23" t="str">
        <f>IF(N(n_Ventana)=0,"— Sin ventana",IF(SUMPRODUCT((Detalle_24m!$F$4:$ES$4&gt;Corte)*(Detalle_24m!$F$4:$ES$4&lt;=Corte+n_Ventana)*(Det_nQ&gt;0))=0,"○ Usa supuestos anuales",IF(SUMPRODUCT((Detalle_24m!$F$4:$ES$4&gt;Corte)*(Detalle_24m!$F$4:$ES$4&lt;=Corte+n_Ventana)*(Det_nQ&gt;0))&gt;=MIN(n_Ventana,144-Corte),"✔ "&amp;MIN(n_Ventana,144-Corte)&amp;" meses detallados","⚠ "&amp;SUMPRODUCT((Detalle_24m!$F$4:$ES$4&gt;Corte)*(Detalle_24m!$F$4:$ES$4&lt;=Corte+n_Ventana)*(Det_nQ&gt;0))&amp;" de "&amp;MIN(n_Ventana,144-Corte)&amp;" meses: completar hasta el mes "&amp;MIN(144,Corte+n_Ventana))))</f>
        <v>○ Usa supuestos anuales</v>
      </c>
      <c r="G43" s="19"/>
      <c r="H43" s="20"/>
      <c r="I43" s="19"/>
      <c r="J43" s="19"/>
    </row>
    <row r="44" spans="1:10" ht="25.5" customHeight="1" x14ac:dyDescent="0.3">
      <c r="A44" s="30">
        <v>30</v>
      </c>
      <c r="B44" s="24" t="s">
        <v>255</v>
      </c>
      <c r="C44" s="31" t="str">
        <f>HYPERLINK("#Detalle_24m!"&amp;ADDRESS(42,MIN(149,5+Corte+1),4),"Detalle_24m, bloque C")</f>
        <v>Detalle_24m, bloque C</v>
      </c>
      <c r="D44" s="32" t="s">
        <v>256</v>
      </c>
      <c r="E44" s="32" t="s">
        <v>257</v>
      </c>
      <c r="F44" s="23" t="str">
        <f>IF(N(n_Ventana)=0,"— Sin ventana",IF(SUMPRODUCT((Detalle_24m!$F$4:$ES$4&gt;Corte)*(Detalle_24m!$F$4:$ES$4&lt;=Corte+n_Ventana)*(Det_nP&gt;0))=0,"○ Usa supuestos anuales",IF(SUMPRODUCT((Detalle_24m!$F$4:$ES$4&gt;Corte)*(Detalle_24m!$F$4:$ES$4&lt;=Corte+n_Ventana)*(Det_nP&gt;0))&gt;=MIN(n_Ventana,144-Corte),"✔ "&amp;MIN(n_Ventana,144-Corte)&amp;" meses detallados","⚠ "&amp;SUMPRODUCT((Detalle_24m!$F$4:$ES$4&gt;Corte)*(Detalle_24m!$F$4:$ES$4&lt;=Corte+n_Ventana)*(Det_nP&gt;0))&amp;" de "&amp;MIN(n_Ventana,144-Corte)&amp;" meses: completar hasta el mes "&amp;MIN(144,Corte+n_Ventana))))</f>
        <v>○ Usa supuestos anuales</v>
      </c>
      <c r="G44" s="19"/>
      <c r="H44" s="20"/>
      <c r="I44" s="19"/>
      <c r="J44" s="19"/>
    </row>
    <row r="45" spans="1:10" ht="25.5" customHeight="1" x14ac:dyDescent="0.3">
      <c r="A45" s="30">
        <v>31</v>
      </c>
      <c r="B45" s="24" t="s">
        <v>258</v>
      </c>
      <c r="C45" s="31" t="str">
        <f>HYPERLINK("#Detalle_24m!"&amp;ADDRESS(70,MIN(149,5+Corte+1),4),"Detalle_24m, bloque D")</f>
        <v>Detalle_24m, bloque D</v>
      </c>
      <c r="D45" s="32" t="s">
        <v>259</v>
      </c>
      <c r="E45" s="32" t="s">
        <v>260</v>
      </c>
      <c r="F45" s="23" t="str">
        <f>IF(N(n_Ventana)=0,"— Sin ventana",IF(SUMPRODUCT((Detalle_24m!$F$4:$ES$4&gt;Corte)*(Detalle_24m!$F$4:$ES$4&lt;=Corte+n_Ventana)*(Det_nMP&gt;0))=0,"○ Usa supuestos anuales",IF(SUMPRODUCT((Detalle_24m!$F$4:$ES$4&gt;Corte)*(Detalle_24m!$F$4:$ES$4&lt;=Corte+n_Ventana)*(Det_nMP&gt;0))&gt;=MIN(n_Ventana,144-Corte),"✔ "&amp;MIN(n_Ventana,144-Corte)&amp;" meses detallados","⚠ "&amp;SUMPRODUCT((Detalle_24m!$F$4:$ES$4&gt;Corte)*(Detalle_24m!$F$4:$ES$4&lt;=Corte+n_Ventana)*(Det_nMP&gt;0))&amp;" de "&amp;MIN(n_Ventana,144-Corte)&amp;" meses: completar hasta el mes "&amp;MIN(144,Corte+n_Ventana))))</f>
        <v>○ Usa supuestos anuales</v>
      </c>
      <c r="G45" s="19"/>
      <c r="H45" s="20"/>
      <c r="I45" s="19"/>
      <c r="J45" s="19"/>
    </row>
    <row r="46" spans="1:10" ht="25.5" customHeight="1" x14ac:dyDescent="0.3">
      <c r="A46" s="30">
        <v>32</v>
      </c>
      <c r="B46" s="24" t="s">
        <v>261</v>
      </c>
      <c r="C46" s="31" t="str">
        <f>HYPERLINK("#Detalle_24m!"&amp;ADDRESS(154,MIN(149,5+Corte+1),4),"Detalle_24m, bloque G")</f>
        <v>Detalle_24m, bloque G</v>
      </c>
      <c r="D46" s="32" t="s">
        <v>262</v>
      </c>
      <c r="E46" s="32" t="s">
        <v>263</v>
      </c>
      <c r="F46" s="23" t="str">
        <f>IF(N(n_Ventana)=0,"— Sin ventana",IF(SUMPRODUCT((Detalle_24m!$F$4:$ES$4&gt;Corte)*(Detalle_24m!$F$4:$ES$4&lt;=Corte+n_Ventana)*(Det_nDO&gt;0))=0,"○ Usa supuestos anuales",IF(SUMPRODUCT((Detalle_24m!$F$4:$ES$4&gt;Corte)*(Detalle_24m!$F$4:$ES$4&lt;=Corte+n_Ventana)*(Det_nDO&gt;0))&gt;=MIN(n_Ventana,144-Corte),"✔ "&amp;MIN(n_Ventana,144-Corte)&amp;" meses detallados","⚠ "&amp;SUMPRODUCT((Detalle_24m!$F$4:$ES$4&gt;Corte)*(Detalle_24m!$F$4:$ES$4&lt;=Corte+n_Ventana)*(Det_nDO&gt;0))&amp;" de "&amp;MIN(n_Ventana,144-Corte)&amp;" meses: completar hasta el mes "&amp;MIN(144,Corte+n_Ventana))))</f>
        <v>○ Usa supuestos anuales</v>
      </c>
      <c r="G46" s="19"/>
      <c r="H46" s="20"/>
      <c r="I46" s="19"/>
      <c r="J46" s="19"/>
    </row>
    <row r="47" spans="1:10" ht="25.5" customHeight="1" x14ac:dyDescent="0.3">
      <c r="A47" s="30">
        <v>33</v>
      </c>
      <c r="B47" s="24" t="s">
        <v>264</v>
      </c>
      <c r="C47" s="31" t="str">
        <f>HYPERLINK("#Detalle_24m!"&amp;ADDRESS(187,MIN(149,5+Corte+1),4),"Detalle_24m, bloque H")</f>
        <v>Detalle_24m, bloque H</v>
      </c>
      <c r="D47" s="32" t="s">
        <v>265</v>
      </c>
      <c r="E47" s="32" t="s">
        <v>266</v>
      </c>
      <c r="F47" s="23" t="str">
        <f>IF(N(n_Ventana)=0,"— Sin ventana",IF(SUMPRODUCT((Detalle_24m!$F$4:$ES$4&gt;Corte)*(Detalle_24m!$F$4:$ES$4&lt;=Corte+n_Ventana)*(Det_nSA&gt;0))=0,"○ Usa supuestos anuales",IF(SUMPRODUCT((Detalle_24m!$F$4:$ES$4&gt;Corte)*(Detalle_24m!$F$4:$ES$4&lt;=Corte+n_Ventana)*(Det_nSA&gt;0))&gt;=MIN(n_Ventana,144-Corte),"✔ "&amp;MIN(n_Ventana,144-Corte)&amp;" meses detallados","⚠ "&amp;SUMPRODUCT((Detalle_24m!$F$4:$ES$4&gt;Corte)*(Detalle_24m!$F$4:$ES$4&lt;=Corte+n_Ventana)*(Det_nSA&gt;0))&amp;" de "&amp;MIN(n_Ventana,144-Corte)&amp;" meses: completar hasta el mes "&amp;MIN(144,Corte+n_Ventana))))</f>
        <v>○ Usa supuestos anuales</v>
      </c>
      <c r="G47" s="19"/>
      <c r="H47" s="20"/>
      <c r="I47" s="19"/>
      <c r="J47" s="19"/>
    </row>
    <row r="48" spans="1:10" ht="25.5" customHeight="1" x14ac:dyDescent="0.3">
      <c r="A48" s="30">
        <v>34</v>
      </c>
      <c r="B48" s="24" t="s">
        <v>267</v>
      </c>
      <c r="C48" s="31" t="str">
        <f>HYPERLINK("#Detalle_24m!"&amp;ADDRESS(220,MIN(149,5+Corte+1),4),"Detalle_24m, bloque I")</f>
        <v>Detalle_24m, bloque I</v>
      </c>
      <c r="D48" s="32" t="s">
        <v>268</v>
      </c>
      <c r="E48" s="32" t="s">
        <v>269</v>
      </c>
      <c r="F48" s="23" t="str">
        <f>IF(N(n_Ventana)=0,"— Sin ventana",IF(SUMPRODUCT((Detalle_24m!$F$4:$ES$4&gt;Corte)*(Detalle_24m!$F$4:$ES$4&lt;=Corte+n_Ventana)*(Det_nFC&gt;0))=0,"○ Usa supuestos anuales",IF(SUMPRODUCT((Detalle_24m!$F$4:$ES$4&gt;Corte)*(Detalle_24m!$F$4:$ES$4&lt;=Corte+n_Ventana)*(Det_nFC&gt;0))&gt;=MIN(n_Ventana,144-Corte),"✔ "&amp;MIN(n_Ventana,144-Corte)&amp;" meses detallados","⚠ "&amp;SUMPRODUCT((Detalle_24m!$F$4:$ES$4&gt;Corte)*(Detalle_24m!$F$4:$ES$4&lt;=Corte+n_Ventana)*(Det_nFC&gt;0))&amp;" de "&amp;MIN(n_Ventana,144-Corte)&amp;" meses: completar hasta el mes "&amp;MIN(144,Corte+n_Ventana))))</f>
        <v>○ Usa supuestos anuales</v>
      </c>
      <c r="G48" s="19"/>
      <c r="H48" s="20"/>
      <c r="I48" s="19"/>
      <c r="J48" s="19"/>
    </row>
    <row r="49" spans="1:10" ht="25.5" customHeight="1" x14ac:dyDescent="0.3">
      <c r="A49" s="30">
        <v>35</v>
      </c>
      <c r="B49" s="24" t="s">
        <v>270</v>
      </c>
      <c r="C49" s="31" t="str">
        <f>HYPERLINK("#Detalle_24m!"&amp;ADDRESS(10,MIN(149,5+Corte+1),4),"Detalle_24m, bloque A")</f>
        <v>Detalle_24m, bloque A</v>
      </c>
      <c r="D49" s="32" t="s">
        <v>271</v>
      </c>
      <c r="E49" s="32" t="s">
        <v>272</v>
      </c>
      <c r="F49" s="23" t="str">
        <f>IF(N(n_Ventana)=0,"— Sin ventana",IF(SUMPRODUCT((Detalle_24m!$F$4:$ES$4&gt;Corte)*(Detalle_24m!$F$4:$ES$4&lt;=Corte+n_Ventana)*(Det_nTC&gt;0))=0,"○ Usa supuestos anuales",IF(SUMPRODUCT((Detalle_24m!$F$4:$ES$4&gt;Corte)*(Detalle_24m!$F$4:$ES$4&lt;=Corte+n_Ventana)*(Det_nTC&gt;0))&gt;=MIN(n_Ventana,144-Corte),"✔ "&amp;MIN(n_Ventana,144-Corte)&amp;" meses detallados","⚠ "&amp;SUMPRODUCT((Detalle_24m!$F$4:$ES$4&gt;Corte)*(Detalle_24m!$F$4:$ES$4&lt;=Corte+n_Ventana)*(Det_nTC&gt;0))&amp;" de "&amp;MIN(n_Ventana,144-Corte)&amp;" meses: completar hasta el mes "&amp;MIN(144,Corte+n_Ventana))))</f>
        <v>○ Usa supuestos anuales</v>
      </c>
      <c r="G49" s="19"/>
      <c r="H49" s="20"/>
      <c r="I49" s="19"/>
      <c r="J49" s="19"/>
    </row>
    <row r="50" spans="1:10" ht="25.5" customHeight="1" x14ac:dyDescent="0.3">
      <c r="A50" s="30">
        <v>36</v>
      </c>
      <c r="B50" s="24" t="s">
        <v>273</v>
      </c>
      <c r="C50" s="31" t="str">
        <f>HYPERLINK("#Proyeccion_24m!B4","Proyeccion_24m")</f>
        <v>Proyeccion_24m</v>
      </c>
      <c r="D50" s="32" t="s">
        <v>208</v>
      </c>
      <c r="E50" s="32" t="s">
        <v>274</v>
      </c>
      <c r="F50" s="23" t="str">
        <f>IF(N(py_Brecha)&gt;0.5,"⚠ Caja bajo el mínimo en los próximos 24 meses","✔ Sin brecha en 24 meses")</f>
        <v>✔ Sin brecha en 24 meses</v>
      </c>
      <c r="G50" s="19"/>
      <c r="H50" s="20"/>
      <c r="I50" s="19"/>
      <c r="J50" s="19"/>
    </row>
    <row r="51" spans="1:10" ht="25.5" customHeight="1" x14ac:dyDescent="0.3">
      <c r="A51" s="30">
        <v>37</v>
      </c>
      <c r="B51" s="24" t="s">
        <v>275</v>
      </c>
      <c r="C51" s="31" t="str">
        <f>HYPERLINK("#Inicio!C15","Inicio!C15:C17")</f>
        <v>Inicio!C15:C17</v>
      </c>
      <c r="D51" s="32" t="s">
        <v>276</v>
      </c>
      <c r="E51" s="32" t="s">
        <v>277</v>
      </c>
      <c r="F51" s="23" t="str">
        <f ca="1">IF(NOT(ISNUMBER(n_FechaRev)),"⚠ Cargar fecha de la última revisión",IF(TODAY()&gt;EDATE(n_FechaRev,IF(n_Frecuencia="Bienal",24,12)),"⚠ Revisión vencida","✔ Próxima: "&amp;DAY(EDATE(n_FechaRev,IF(n_Frecuencia="Bienal",24,12)))&amp;"/"&amp;MONTH(EDATE(n_FechaRev,IF(n_Frecuencia="Bienal",24,12)))&amp;"/"&amp;YEAR(EDATE(n_FechaRev,IF(n_Frecuencia="Bienal",24,12)))))</f>
        <v>⚠ Cargar fecha de la última revisión</v>
      </c>
      <c r="G51" s="19"/>
      <c r="H51" s="20"/>
      <c r="I51" s="19"/>
      <c r="J51" s="19"/>
    </row>
    <row r="53" spans="1:10" x14ac:dyDescent="0.3">
      <c r="B53" s="14" t="s">
        <v>278</v>
      </c>
    </row>
    <row r="54" spans="1:10" x14ac:dyDescent="0.3">
      <c r="B54" s="14" t="s">
        <v>279</v>
      </c>
    </row>
    <row r="55" spans="1:10" x14ac:dyDescent="0.3">
      <c r="B55" s="14" t="s">
        <v>280</v>
      </c>
    </row>
  </sheetData>
  <conditionalFormatting sqref="F9:F51">
    <cfRule type="expression" dxfId="17" priority="2">
      <formula>LEFT(F9,1)="✔"</formula>
    </cfRule>
    <cfRule type="expression" dxfId="16" priority="3">
      <formula>LEFT(F9,1)="⚠"</formula>
    </cfRule>
    <cfRule type="expression" dxfId="15" priority="4">
      <formula>OR(LEFT(F9,1)="○",LEFT(F9,1)="—")</formula>
    </cfRule>
  </conditionalFormatting>
  <dataValidations count="1">
    <dataValidation type="list" allowBlank="1" sqref="G9:G51" xr:uid="{00000000-0002-0000-0200-000000000000}">
      <formula1>"Sí,No"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N121"/>
  <sheetViews>
    <sheetView zoomScale="90" zoomScaleNormal="90" workbookViewId="0">
      <pane xSplit="3" ySplit="5" topLeftCell="D6" activePane="bottomRight" state="frozen"/>
      <selection pane="topRight" activeCell="D1" sqref="D1"/>
      <selection pane="bottomLeft" activeCell="A6" sqref="A6"/>
      <selection pane="bottomRight"/>
    </sheetView>
  </sheetViews>
  <sheetFormatPr baseColWidth="10" defaultColWidth="8.5546875" defaultRowHeight="14.4" x14ac:dyDescent="0.3"/>
  <cols>
    <col min="1" max="1" width="7" customWidth="1"/>
    <col min="2" max="2" width="58" customWidth="1"/>
    <col min="3" max="3" width="15" customWidth="1"/>
    <col min="4" max="7" width="14" customWidth="1"/>
    <col min="8" max="13" width="13" customWidth="1"/>
    <col min="14" max="14" width="60" customWidth="1"/>
  </cols>
  <sheetData>
    <row r="1" spans="1:14" ht="16.8" x14ac:dyDescent="0.3">
      <c r="A1" s="13" t="s">
        <v>281</v>
      </c>
    </row>
    <row r="2" spans="1:14" x14ac:dyDescent="0.3">
      <c r="A2" s="14" t="s">
        <v>282</v>
      </c>
    </row>
    <row r="4" spans="1:14" x14ac:dyDescent="0.3">
      <c r="A4" s="15" t="s">
        <v>283</v>
      </c>
      <c r="B4" s="16"/>
      <c r="C4" s="16"/>
      <c r="D4" s="16"/>
      <c r="E4" s="16"/>
      <c r="F4" s="16"/>
      <c r="G4" s="16"/>
      <c r="H4" s="16"/>
      <c r="I4" s="16"/>
      <c r="J4" s="16"/>
      <c r="K4" s="16"/>
      <c r="L4" s="16"/>
      <c r="M4" s="16"/>
      <c r="N4" s="16"/>
    </row>
    <row r="5" spans="1:14" ht="30" customHeight="1" x14ac:dyDescent="0.3">
      <c r="A5" s="17" t="s">
        <v>284</v>
      </c>
      <c r="B5" s="17" t="s">
        <v>285</v>
      </c>
      <c r="C5" s="17" t="s">
        <v>286</v>
      </c>
      <c r="D5" s="17" t="s">
        <v>96</v>
      </c>
      <c r="E5" s="17" t="s">
        <v>63</v>
      </c>
      <c r="F5" s="3" t="s">
        <v>287</v>
      </c>
      <c r="G5" s="3"/>
      <c r="H5" s="3"/>
      <c r="I5" s="3"/>
      <c r="J5" s="3"/>
      <c r="K5" s="3"/>
      <c r="L5" s="3"/>
      <c r="M5" s="3"/>
      <c r="N5" s="3"/>
    </row>
    <row r="6" spans="1:14" x14ac:dyDescent="0.3">
      <c r="A6" s="18" t="s">
        <v>288</v>
      </c>
      <c r="B6" s="18" t="s">
        <v>289</v>
      </c>
      <c r="C6" s="18" t="s">
        <v>290</v>
      </c>
      <c r="D6" s="21">
        <v>1</v>
      </c>
      <c r="E6" s="33">
        <f>D6</f>
        <v>1</v>
      </c>
      <c r="F6" s="14" t="s">
        <v>291</v>
      </c>
    </row>
    <row r="7" spans="1:14" x14ac:dyDescent="0.3">
      <c r="A7" s="18" t="s">
        <v>292</v>
      </c>
      <c r="B7" s="18" t="s">
        <v>293</v>
      </c>
      <c r="C7" s="18" t="s">
        <v>294</v>
      </c>
      <c r="D7" s="21">
        <v>10</v>
      </c>
      <c r="E7" s="34">
        <f t="shared" ref="E6:E34" si="0">D7</f>
        <v>10</v>
      </c>
      <c r="F7" s="14" t="s">
        <v>295</v>
      </c>
    </row>
    <row r="8" spans="1:14" x14ac:dyDescent="0.3">
      <c r="A8" s="18" t="s">
        <v>296</v>
      </c>
      <c r="B8" s="18" t="s">
        <v>297</v>
      </c>
      <c r="C8" s="18" t="s">
        <v>298</v>
      </c>
      <c r="D8" s="35">
        <v>0</v>
      </c>
      <c r="E8" s="36">
        <f t="shared" si="0"/>
        <v>0</v>
      </c>
      <c r="F8" s="14" t="s">
        <v>299</v>
      </c>
    </row>
    <row r="9" spans="1:14" x14ac:dyDescent="0.3">
      <c r="A9" s="18" t="s">
        <v>300</v>
      </c>
      <c r="B9" s="18" t="s">
        <v>301</v>
      </c>
      <c r="C9" s="18" t="s">
        <v>298</v>
      </c>
      <c r="D9" s="35">
        <v>0.43090000000000001</v>
      </c>
      <c r="E9" s="36">
        <f t="shared" si="0"/>
        <v>0.43090000000000001</v>
      </c>
      <c r="F9" s="14" t="s">
        <v>302</v>
      </c>
    </row>
    <row r="10" spans="1:14" x14ac:dyDescent="0.3">
      <c r="A10" s="18" t="s">
        <v>303</v>
      </c>
      <c r="B10" s="18" t="s">
        <v>304</v>
      </c>
      <c r="C10" s="18" t="s">
        <v>305</v>
      </c>
      <c r="D10" s="37">
        <v>576000</v>
      </c>
      <c r="E10" s="38">
        <f t="shared" si="0"/>
        <v>576000</v>
      </c>
      <c r="F10" s="14" t="s">
        <v>306</v>
      </c>
    </row>
    <row r="11" spans="1:14" x14ac:dyDescent="0.3">
      <c r="A11" s="18" t="s">
        <v>307</v>
      </c>
      <c r="B11" s="18" t="s">
        <v>308</v>
      </c>
      <c r="C11" s="18" t="s">
        <v>309</v>
      </c>
      <c r="D11" s="39">
        <v>0.5</v>
      </c>
      <c r="E11" s="40">
        <f t="shared" si="0"/>
        <v>0.5</v>
      </c>
      <c r="F11" s="14" t="s">
        <v>310</v>
      </c>
    </row>
    <row r="12" spans="1:14" x14ac:dyDescent="0.3">
      <c r="A12" s="18" t="s">
        <v>311</v>
      </c>
      <c r="B12" s="18" t="s">
        <v>312</v>
      </c>
      <c r="C12" s="18" t="s">
        <v>309</v>
      </c>
      <c r="D12" s="39">
        <v>1</v>
      </c>
      <c r="E12" s="40">
        <f t="shared" si="0"/>
        <v>1</v>
      </c>
      <c r="F12" s="14" t="s">
        <v>313</v>
      </c>
    </row>
    <row r="13" spans="1:14" x14ac:dyDescent="0.3">
      <c r="A13" s="18" t="s">
        <v>314</v>
      </c>
      <c r="B13" s="18" t="s">
        <v>315</v>
      </c>
      <c r="C13" s="18" t="s">
        <v>298</v>
      </c>
      <c r="D13" s="35">
        <v>0.03</v>
      </c>
      <c r="E13" s="36">
        <f t="shared" si="0"/>
        <v>0.03</v>
      </c>
      <c r="F13" s="14" t="s">
        <v>316</v>
      </c>
    </row>
    <row r="14" spans="1:14" x14ac:dyDescent="0.3">
      <c r="A14" s="18" t="s">
        <v>317</v>
      </c>
      <c r="B14" s="18" t="s">
        <v>318</v>
      </c>
      <c r="C14" s="18" t="s">
        <v>298</v>
      </c>
      <c r="D14" s="35">
        <v>0.01</v>
      </c>
      <c r="E14" s="36">
        <f t="shared" si="0"/>
        <v>0.01</v>
      </c>
      <c r="F14" s="14" t="s">
        <v>319</v>
      </c>
    </row>
    <row r="15" spans="1:14" x14ac:dyDescent="0.3">
      <c r="A15" s="18" t="s">
        <v>320</v>
      </c>
      <c r="B15" s="18" t="s">
        <v>321</v>
      </c>
      <c r="C15" s="18" t="s">
        <v>298</v>
      </c>
      <c r="D15" s="35">
        <v>0.05</v>
      </c>
      <c r="E15" s="36">
        <f t="shared" si="0"/>
        <v>0.05</v>
      </c>
      <c r="F15" s="14" t="s">
        <v>322</v>
      </c>
    </row>
    <row r="16" spans="1:14" x14ac:dyDescent="0.3">
      <c r="A16" s="18" t="s">
        <v>323</v>
      </c>
      <c r="B16" s="18" t="s">
        <v>324</v>
      </c>
      <c r="C16" s="18" t="s">
        <v>298</v>
      </c>
      <c r="D16" s="35">
        <v>0.05</v>
      </c>
      <c r="E16" s="36">
        <f t="shared" si="0"/>
        <v>0.05</v>
      </c>
      <c r="F16" s="14" t="s">
        <v>325</v>
      </c>
    </row>
    <row r="17" spans="1:6" x14ac:dyDescent="0.3">
      <c r="A17" s="18" t="s">
        <v>326</v>
      </c>
      <c r="B17" s="18" t="s">
        <v>327</v>
      </c>
      <c r="C17" s="18" t="s">
        <v>298</v>
      </c>
      <c r="D17" s="35">
        <v>0.01</v>
      </c>
      <c r="E17" s="36">
        <f t="shared" si="0"/>
        <v>0.01</v>
      </c>
      <c r="F17" s="14" t="s">
        <v>328</v>
      </c>
    </row>
    <row r="18" spans="1:6" x14ac:dyDescent="0.3">
      <c r="A18" s="18" t="s">
        <v>329</v>
      </c>
      <c r="B18" s="18" t="s">
        <v>330</v>
      </c>
      <c r="C18" s="18" t="s">
        <v>298</v>
      </c>
      <c r="D18" s="35">
        <v>1E-3</v>
      </c>
      <c r="E18" s="36">
        <f t="shared" si="0"/>
        <v>1E-3</v>
      </c>
      <c r="F18" s="14" t="s">
        <v>331</v>
      </c>
    </row>
    <row r="19" spans="1:6" x14ac:dyDescent="0.3">
      <c r="A19" s="18" t="s">
        <v>332</v>
      </c>
      <c r="B19" s="18" t="s">
        <v>333</v>
      </c>
      <c r="C19" s="18" t="s">
        <v>298</v>
      </c>
      <c r="D19" s="35">
        <v>0</v>
      </c>
      <c r="E19" s="36">
        <f t="shared" si="0"/>
        <v>0</v>
      </c>
      <c r="F19" s="14" t="s">
        <v>334</v>
      </c>
    </row>
    <row r="20" spans="1:6" x14ac:dyDescent="0.3">
      <c r="A20" s="18" t="s">
        <v>335</v>
      </c>
      <c r="B20" s="18" t="s">
        <v>336</v>
      </c>
      <c r="C20" s="18" t="s">
        <v>298</v>
      </c>
      <c r="D20" s="35">
        <v>0</v>
      </c>
      <c r="E20" s="36">
        <f t="shared" si="0"/>
        <v>0</v>
      </c>
      <c r="F20" s="14" t="s">
        <v>337</v>
      </c>
    </row>
    <row r="21" spans="1:6" x14ac:dyDescent="0.3">
      <c r="A21" s="18" t="s">
        <v>338</v>
      </c>
      <c r="B21" s="18" t="s">
        <v>339</v>
      </c>
      <c r="C21" s="18" t="s">
        <v>340</v>
      </c>
      <c r="D21" s="21">
        <v>120</v>
      </c>
      <c r="E21" s="33">
        <f>D21</f>
        <v>120</v>
      </c>
      <c r="F21" s="14" t="s">
        <v>341</v>
      </c>
    </row>
    <row r="22" spans="1:6" x14ac:dyDescent="0.3">
      <c r="A22" s="18" t="s">
        <v>342</v>
      </c>
      <c r="B22" s="18" t="s">
        <v>343</v>
      </c>
      <c r="C22" s="18" t="s">
        <v>340</v>
      </c>
      <c r="D22" s="21">
        <v>120</v>
      </c>
      <c r="E22" s="33">
        <f t="shared" si="0"/>
        <v>120</v>
      </c>
      <c r="F22" s="14" t="s">
        <v>344</v>
      </c>
    </row>
    <row r="23" spans="1:6" x14ac:dyDescent="0.3">
      <c r="A23" s="18" t="s">
        <v>345</v>
      </c>
      <c r="B23" s="18" t="s">
        <v>346</v>
      </c>
      <c r="C23" s="18" t="s">
        <v>340</v>
      </c>
      <c r="D23" s="21">
        <v>10</v>
      </c>
      <c r="E23" s="33">
        <f t="shared" si="0"/>
        <v>10</v>
      </c>
      <c r="F23" s="14" t="s">
        <v>341</v>
      </c>
    </row>
    <row r="24" spans="1:6" x14ac:dyDescent="0.3">
      <c r="A24" s="18" t="s">
        <v>347</v>
      </c>
      <c r="B24" s="18" t="s">
        <v>348</v>
      </c>
      <c r="C24" s="18" t="s">
        <v>340</v>
      </c>
      <c r="D24" s="21">
        <v>0</v>
      </c>
      <c r="E24" s="33">
        <f t="shared" si="0"/>
        <v>0</v>
      </c>
      <c r="F24" s="14" t="s">
        <v>349</v>
      </c>
    </row>
    <row r="25" spans="1:6" x14ac:dyDescent="0.3">
      <c r="A25" s="18" t="s">
        <v>350</v>
      </c>
      <c r="B25" s="18" t="s">
        <v>351</v>
      </c>
      <c r="C25" s="18" t="s">
        <v>340</v>
      </c>
      <c r="D25" s="21">
        <v>30</v>
      </c>
      <c r="E25" s="33">
        <f t="shared" si="0"/>
        <v>30</v>
      </c>
      <c r="F25" s="14" t="s">
        <v>341</v>
      </c>
    </row>
    <row r="26" spans="1:6" x14ac:dyDescent="0.3">
      <c r="A26" s="18" t="s">
        <v>352</v>
      </c>
      <c r="B26" s="18" t="s">
        <v>353</v>
      </c>
      <c r="C26" s="18" t="s">
        <v>354</v>
      </c>
      <c r="D26" s="21">
        <v>3</v>
      </c>
      <c r="E26" s="33">
        <f t="shared" si="0"/>
        <v>3</v>
      </c>
      <c r="F26" s="14" t="s">
        <v>355</v>
      </c>
    </row>
    <row r="27" spans="1:6" x14ac:dyDescent="0.3">
      <c r="A27" s="18" t="s">
        <v>356</v>
      </c>
      <c r="B27" s="18" t="s">
        <v>357</v>
      </c>
      <c r="C27" s="18" t="s">
        <v>298</v>
      </c>
      <c r="D27" s="39">
        <v>0</v>
      </c>
      <c r="E27" s="40">
        <f t="shared" si="0"/>
        <v>0</v>
      </c>
      <c r="F27" s="14" t="s">
        <v>358</v>
      </c>
    </row>
    <row r="28" spans="1:6" x14ac:dyDescent="0.3">
      <c r="A28" s="18" t="s">
        <v>359</v>
      </c>
      <c r="B28" s="18" t="s">
        <v>360</v>
      </c>
      <c r="C28" s="18" t="s">
        <v>361</v>
      </c>
      <c r="D28" s="21">
        <v>6</v>
      </c>
      <c r="E28" s="33">
        <f t="shared" si="0"/>
        <v>6</v>
      </c>
      <c r="F28" s="14" t="s">
        <v>362</v>
      </c>
    </row>
    <row r="29" spans="1:6" x14ac:dyDescent="0.3">
      <c r="A29" s="18" t="s">
        <v>363</v>
      </c>
      <c r="B29" s="18" t="s">
        <v>364</v>
      </c>
      <c r="C29" s="18" t="s">
        <v>298</v>
      </c>
      <c r="D29" s="39">
        <v>0.1</v>
      </c>
      <c r="E29" s="40">
        <f t="shared" si="0"/>
        <v>0.1</v>
      </c>
      <c r="F29" s="14" t="s">
        <v>365</v>
      </c>
    </row>
    <row r="30" spans="1:6" x14ac:dyDescent="0.3">
      <c r="A30" s="18" t="s">
        <v>366</v>
      </c>
      <c r="B30" s="18" t="s">
        <v>367</v>
      </c>
      <c r="C30" s="18" t="s">
        <v>298</v>
      </c>
      <c r="D30" s="35">
        <v>9.4893699999999997E-2</v>
      </c>
      <c r="E30" s="36">
        <f t="shared" si="0"/>
        <v>9.4893699999999997E-2</v>
      </c>
      <c r="F30" s="14" t="s">
        <v>368</v>
      </c>
    </row>
    <row r="31" spans="1:6" x14ac:dyDescent="0.3">
      <c r="A31" s="18" t="s">
        <v>369</v>
      </c>
      <c r="B31" s="18" t="s">
        <v>370</v>
      </c>
      <c r="C31" s="18" t="s">
        <v>298</v>
      </c>
      <c r="D31" s="35">
        <v>0.16320000000000001</v>
      </c>
      <c r="E31" s="36">
        <f t="shared" si="0"/>
        <v>0.16320000000000001</v>
      </c>
      <c r="F31" s="14" t="s">
        <v>371</v>
      </c>
    </row>
    <row r="32" spans="1:6" x14ac:dyDescent="0.3">
      <c r="A32" s="18" t="s">
        <v>372</v>
      </c>
      <c r="B32" s="18" t="s">
        <v>373</v>
      </c>
      <c r="C32" s="18" t="s">
        <v>298</v>
      </c>
      <c r="D32" s="39">
        <v>1</v>
      </c>
      <c r="E32" s="40">
        <f t="shared" si="0"/>
        <v>1</v>
      </c>
      <c r="F32" s="14" t="s">
        <v>374</v>
      </c>
    </row>
    <row r="33" spans="1:14" x14ac:dyDescent="0.3">
      <c r="A33" s="18" t="s">
        <v>375</v>
      </c>
      <c r="B33" s="18" t="s">
        <v>376</v>
      </c>
      <c r="C33" s="18" t="s">
        <v>298</v>
      </c>
      <c r="D33" s="39">
        <v>1</v>
      </c>
      <c r="E33" s="40">
        <f t="shared" si="0"/>
        <v>1</v>
      </c>
      <c r="F33" s="14" t="s">
        <v>377</v>
      </c>
    </row>
    <row r="34" spans="1:14" x14ac:dyDescent="0.3">
      <c r="A34" s="18" t="s">
        <v>378</v>
      </c>
      <c r="B34" s="18" t="s">
        <v>379</v>
      </c>
      <c r="C34" s="18" t="s">
        <v>290</v>
      </c>
      <c r="D34" s="21">
        <v>4</v>
      </c>
      <c r="E34" s="33">
        <f t="shared" si="0"/>
        <v>4</v>
      </c>
      <c r="F34" s="14" t="s">
        <v>380</v>
      </c>
    </row>
    <row r="36" spans="1:14" x14ac:dyDescent="0.3">
      <c r="A36" s="15" t="s">
        <v>381</v>
      </c>
      <c r="B36" s="16"/>
      <c r="C36" s="16"/>
      <c r="D36" s="16"/>
      <c r="E36" s="16"/>
      <c r="F36" s="16"/>
      <c r="G36" s="16"/>
      <c r="H36" s="16"/>
      <c r="I36" s="16"/>
      <c r="J36" s="16"/>
      <c r="K36" s="16"/>
      <c r="L36" s="16"/>
      <c r="M36" s="16"/>
      <c r="N36" s="16"/>
    </row>
    <row r="37" spans="1:14" x14ac:dyDescent="0.3">
      <c r="A37" s="17" t="s">
        <v>284</v>
      </c>
      <c r="B37" s="17" t="s">
        <v>382</v>
      </c>
      <c r="C37" s="17" t="s">
        <v>286</v>
      </c>
      <c r="D37" s="17" t="s">
        <v>383</v>
      </c>
      <c r="E37" s="17" t="s">
        <v>384</v>
      </c>
      <c r="F37" s="17" t="s">
        <v>385</v>
      </c>
      <c r="G37" s="17" t="s">
        <v>386</v>
      </c>
      <c r="H37" s="17" t="s">
        <v>387</v>
      </c>
      <c r="I37" s="17" t="s">
        <v>388</v>
      </c>
      <c r="J37" s="17" t="s">
        <v>389</v>
      </c>
      <c r="K37" s="17" t="s">
        <v>390</v>
      </c>
      <c r="L37" s="17" t="s">
        <v>391</v>
      </c>
      <c r="M37" s="17" t="s">
        <v>392</v>
      </c>
      <c r="N37" s="17" t="s">
        <v>393</v>
      </c>
    </row>
    <row r="38" spans="1:14" x14ac:dyDescent="0.3">
      <c r="B38" s="41" t="s">
        <v>394</v>
      </c>
    </row>
    <row r="39" spans="1:14" x14ac:dyDescent="0.3">
      <c r="A39" s="18" t="s">
        <v>395</v>
      </c>
      <c r="B39" s="18" t="s">
        <v>396</v>
      </c>
      <c r="C39" s="18" t="s">
        <v>397</v>
      </c>
      <c r="D39" s="37">
        <v>7300</v>
      </c>
      <c r="E39" s="37">
        <v>7300</v>
      </c>
      <c r="F39" s="37">
        <v>7300</v>
      </c>
      <c r="G39" s="37">
        <v>7300</v>
      </c>
      <c r="H39" s="37">
        <v>7300</v>
      </c>
      <c r="I39" s="37">
        <v>7300</v>
      </c>
      <c r="J39" s="37">
        <v>7300</v>
      </c>
      <c r="K39" s="37">
        <v>7300</v>
      </c>
      <c r="L39" s="37">
        <v>7300</v>
      </c>
      <c r="M39" s="37">
        <v>7300</v>
      </c>
    </row>
    <row r="40" spans="1:14" x14ac:dyDescent="0.3">
      <c r="A40" s="18" t="s">
        <v>398</v>
      </c>
      <c r="B40" s="18" t="s">
        <v>399</v>
      </c>
      <c r="C40" s="18" t="s">
        <v>298</v>
      </c>
      <c r="D40" s="39">
        <v>0</v>
      </c>
      <c r="E40" s="39">
        <v>0.01</v>
      </c>
      <c r="F40" s="39">
        <v>0.01</v>
      </c>
      <c r="G40" s="39">
        <v>0.01</v>
      </c>
      <c r="H40" s="39">
        <v>0.01</v>
      </c>
      <c r="I40" s="39">
        <v>0.01</v>
      </c>
      <c r="J40" s="39">
        <v>0.01</v>
      </c>
      <c r="K40" s="39">
        <v>0.01</v>
      </c>
      <c r="L40" s="39">
        <v>0.01</v>
      </c>
      <c r="M40" s="39">
        <v>0.01</v>
      </c>
    </row>
    <row r="41" spans="1:14" x14ac:dyDescent="0.3">
      <c r="A41" s="18" t="s">
        <v>400</v>
      </c>
      <c r="B41" s="18" t="s">
        <v>401</v>
      </c>
      <c r="C41" s="18" t="s">
        <v>298</v>
      </c>
      <c r="D41" s="39">
        <v>0</v>
      </c>
      <c r="E41" s="39">
        <v>0.01</v>
      </c>
      <c r="F41" s="39">
        <v>0.01</v>
      </c>
      <c r="G41" s="39">
        <v>0.01</v>
      </c>
      <c r="H41" s="39">
        <v>0.01</v>
      </c>
      <c r="I41" s="39">
        <v>0.01</v>
      </c>
      <c r="J41" s="39">
        <v>0.01</v>
      </c>
      <c r="K41" s="39">
        <v>0.01</v>
      </c>
      <c r="L41" s="39">
        <v>0.01</v>
      </c>
      <c r="M41" s="39">
        <v>0.01</v>
      </c>
    </row>
    <row r="42" spans="1:14" x14ac:dyDescent="0.3">
      <c r="A42" s="18" t="s">
        <v>402</v>
      </c>
      <c r="B42" s="18" t="s">
        <v>403</v>
      </c>
      <c r="C42" s="18" t="s">
        <v>298</v>
      </c>
      <c r="D42" s="39">
        <v>0</v>
      </c>
      <c r="E42" s="39">
        <v>0</v>
      </c>
      <c r="F42" s="39">
        <v>0</v>
      </c>
      <c r="G42" s="39">
        <v>0</v>
      </c>
      <c r="H42" s="39">
        <v>0</v>
      </c>
      <c r="I42" s="39">
        <v>0</v>
      </c>
      <c r="J42" s="39">
        <v>0</v>
      </c>
      <c r="K42" s="39">
        <v>0</v>
      </c>
      <c r="L42" s="39">
        <v>0</v>
      </c>
      <c r="M42" s="39">
        <v>0</v>
      </c>
    </row>
    <row r="43" spans="1:14" x14ac:dyDescent="0.3">
      <c r="A43" s="18" t="s">
        <v>404</v>
      </c>
      <c r="B43" s="18" t="s">
        <v>405</v>
      </c>
      <c r="C43" s="18" t="s">
        <v>298</v>
      </c>
      <c r="D43" s="39">
        <v>0</v>
      </c>
      <c r="E43" s="39">
        <v>0</v>
      </c>
      <c r="F43" s="39">
        <v>0</v>
      </c>
      <c r="G43" s="39">
        <v>0</v>
      </c>
      <c r="H43" s="39">
        <v>0</v>
      </c>
      <c r="I43" s="39">
        <v>0</v>
      </c>
      <c r="J43" s="39">
        <v>0</v>
      </c>
      <c r="K43" s="39">
        <v>0</v>
      </c>
      <c r="L43" s="39">
        <v>0</v>
      </c>
      <c r="M43" s="39">
        <v>0</v>
      </c>
    </row>
    <row r="44" spans="1:14" x14ac:dyDescent="0.3">
      <c r="A44" s="18" t="s">
        <v>406</v>
      </c>
      <c r="B44" s="18" t="s">
        <v>407</v>
      </c>
      <c r="C44" s="18" t="s">
        <v>298</v>
      </c>
      <c r="D44" s="39">
        <v>0</v>
      </c>
      <c r="E44" s="39">
        <v>0</v>
      </c>
      <c r="F44" s="39">
        <v>0.3</v>
      </c>
      <c r="G44" s="39">
        <v>0.5</v>
      </c>
      <c r="H44" s="39">
        <v>1</v>
      </c>
      <c r="I44" s="39">
        <v>1</v>
      </c>
      <c r="J44" s="39">
        <v>1</v>
      </c>
      <c r="K44" s="39">
        <v>1</v>
      </c>
      <c r="L44" s="39">
        <v>1</v>
      </c>
      <c r="M44" s="39">
        <v>1</v>
      </c>
    </row>
    <row r="45" spans="1:14" x14ac:dyDescent="0.3">
      <c r="B45" s="14" t="s">
        <v>408</v>
      </c>
      <c r="D45" s="42">
        <f>1</f>
        <v>1</v>
      </c>
      <c r="E45" s="42">
        <f t="shared" ref="E45:M45" si="1">D45*(1+N(E40))</f>
        <v>1.01</v>
      </c>
      <c r="F45" s="42">
        <f t="shared" si="1"/>
        <v>1.0201</v>
      </c>
      <c r="G45" s="42">
        <f t="shared" si="1"/>
        <v>1.0303009999999999</v>
      </c>
      <c r="H45" s="42">
        <f t="shared" si="1"/>
        <v>1.04060401</v>
      </c>
      <c r="I45" s="42">
        <f t="shared" si="1"/>
        <v>1.0510100500999999</v>
      </c>
      <c r="J45" s="42">
        <f t="shared" si="1"/>
        <v>1.0615201506009999</v>
      </c>
      <c r="K45" s="42">
        <f t="shared" si="1"/>
        <v>1.0721353521070098</v>
      </c>
      <c r="L45" s="42">
        <f t="shared" si="1"/>
        <v>1.08285670562808</v>
      </c>
      <c r="M45" s="42">
        <f t="shared" si="1"/>
        <v>1.0936852726843609</v>
      </c>
    </row>
    <row r="46" spans="1:14" x14ac:dyDescent="0.3">
      <c r="B46" s="14" t="s">
        <v>409</v>
      </c>
      <c r="D46" s="42">
        <f>1</f>
        <v>1</v>
      </c>
      <c r="E46" s="42">
        <f t="shared" ref="E46:M46" si="2">D46*(1+N(E41))</f>
        <v>1.01</v>
      </c>
      <c r="F46" s="42">
        <f t="shared" si="2"/>
        <v>1.0201</v>
      </c>
      <c r="G46" s="42">
        <f t="shared" si="2"/>
        <v>1.0303009999999999</v>
      </c>
      <c r="H46" s="42">
        <f t="shared" si="2"/>
        <v>1.04060401</v>
      </c>
      <c r="I46" s="42">
        <f t="shared" si="2"/>
        <v>1.0510100500999999</v>
      </c>
      <c r="J46" s="42">
        <f t="shared" si="2"/>
        <v>1.0615201506009999</v>
      </c>
      <c r="K46" s="42">
        <f t="shared" si="2"/>
        <v>1.0721353521070098</v>
      </c>
      <c r="L46" s="42">
        <f t="shared" si="2"/>
        <v>1.08285670562808</v>
      </c>
      <c r="M46" s="42">
        <f t="shared" si="2"/>
        <v>1.0936852726843609</v>
      </c>
    </row>
    <row r="47" spans="1:14" x14ac:dyDescent="0.3">
      <c r="B47" s="14" t="s">
        <v>410</v>
      </c>
      <c r="D47" s="42">
        <f>1</f>
        <v>1</v>
      </c>
      <c r="E47" s="42">
        <f t="shared" ref="E47:M47" si="3">D47*(1+N(E42))</f>
        <v>1</v>
      </c>
      <c r="F47" s="42">
        <f t="shared" si="3"/>
        <v>1</v>
      </c>
      <c r="G47" s="42">
        <f t="shared" si="3"/>
        <v>1</v>
      </c>
      <c r="H47" s="42">
        <f t="shared" si="3"/>
        <v>1</v>
      </c>
      <c r="I47" s="42">
        <f t="shared" si="3"/>
        <v>1</v>
      </c>
      <c r="J47" s="42">
        <f t="shared" si="3"/>
        <v>1</v>
      </c>
      <c r="K47" s="42">
        <f t="shared" si="3"/>
        <v>1</v>
      </c>
      <c r="L47" s="42">
        <f t="shared" si="3"/>
        <v>1</v>
      </c>
      <c r="M47" s="42">
        <f t="shared" si="3"/>
        <v>1</v>
      </c>
    </row>
    <row r="48" spans="1:14" x14ac:dyDescent="0.3">
      <c r="B48" s="14" t="s">
        <v>411</v>
      </c>
      <c r="D48" s="42">
        <f>1</f>
        <v>1</v>
      </c>
      <c r="E48" s="42">
        <f t="shared" ref="E48:M48" si="4">D48*(1+N(E43))</f>
        <v>1</v>
      </c>
      <c r="F48" s="42">
        <f t="shared" si="4"/>
        <v>1</v>
      </c>
      <c r="G48" s="42">
        <f t="shared" si="4"/>
        <v>1</v>
      </c>
      <c r="H48" s="42">
        <f t="shared" si="4"/>
        <v>1</v>
      </c>
      <c r="I48" s="42">
        <f t="shared" si="4"/>
        <v>1</v>
      </c>
      <c r="J48" s="42">
        <f t="shared" si="4"/>
        <v>1</v>
      </c>
      <c r="K48" s="42">
        <f t="shared" si="4"/>
        <v>1</v>
      </c>
      <c r="L48" s="42">
        <f t="shared" si="4"/>
        <v>1</v>
      </c>
      <c r="M48" s="42">
        <f t="shared" si="4"/>
        <v>1</v>
      </c>
    </row>
    <row r="50" spans="1:14" x14ac:dyDescent="0.3">
      <c r="B50" s="43" t="s">
        <v>412</v>
      </c>
    </row>
    <row r="51" spans="1:14" x14ac:dyDescent="0.3">
      <c r="A51" s="18" t="s">
        <v>395</v>
      </c>
      <c r="B51" s="18" t="s">
        <v>396</v>
      </c>
      <c r="C51" s="18" t="s">
        <v>397</v>
      </c>
      <c r="D51" s="38">
        <f t="shared" ref="D51:M51" si="5">D39</f>
        <v>7300</v>
      </c>
      <c r="E51" s="38">
        <f t="shared" si="5"/>
        <v>7300</v>
      </c>
      <c r="F51" s="38">
        <f t="shared" si="5"/>
        <v>7300</v>
      </c>
      <c r="G51" s="38">
        <f t="shared" si="5"/>
        <v>7300</v>
      </c>
      <c r="H51" s="38">
        <f t="shared" si="5"/>
        <v>7300</v>
      </c>
      <c r="I51" s="38">
        <f t="shared" si="5"/>
        <v>7300</v>
      </c>
      <c r="J51" s="38">
        <f t="shared" si="5"/>
        <v>7300</v>
      </c>
      <c r="K51" s="38">
        <f t="shared" si="5"/>
        <v>7300</v>
      </c>
      <c r="L51" s="38">
        <f t="shared" si="5"/>
        <v>7300</v>
      </c>
      <c r="M51" s="38">
        <f t="shared" si="5"/>
        <v>7300</v>
      </c>
    </row>
    <row r="52" spans="1:14" x14ac:dyDescent="0.3">
      <c r="A52" s="18" t="s">
        <v>398</v>
      </c>
      <c r="B52" s="18" t="s">
        <v>399</v>
      </c>
      <c r="C52" s="18" t="s">
        <v>298</v>
      </c>
      <c r="D52" s="40">
        <f t="shared" ref="D52:M52" si="6">D40</f>
        <v>0</v>
      </c>
      <c r="E52" s="40">
        <f t="shared" si="6"/>
        <v>0.01</v>
      </c>
      <c r="F52" s="40">
        <f t="shared" si="6"/>
        <v>0.01</v>
      </c>
      <c r="G52" s="40">
        <f t="shared" si="6"/>
        <v>0.01</v>
      </c>
      <c r="H52" s="40">
        <f t="shared" si="6"/>
        <v>0.01</v>
      </c>
      <c r="I52" s="40">
        <f t="shared" si="6"/>
        <v>0.01</v>
      </c>
      <c r="J52" s="40">
        <f t="shared" si="6"/>
        <v>0.01</v>
      </c>
      <c r="K52" s="40">
        <f t="shared" si="6"/>
        <v>0.01</v>
      </c>
      <c r="L52" s="40">
        <f t="shared" si="6"/>
        <v>0.01</v>
      </c>
      <c r="M52" s="40">
        <f t="shared" si="6"/>
        <v>0.01</v>
      </c>
    </row>
    <row r="53" spans="1:14" x14ac:dyDescent="0.3">
      <c r="A53" s="18" t="s">
        <v>400</v>
      </c>
      <c r="B53" s="18" t="s">
        <v>401</v>
      </c>
      <c r="C53" s="18" t="s">
        <v>298</v>
      </c>
      <c r="D53" s="40">
        <f t="shared" ref="D53:M53" si="7">D41</f>
        <v>0</v>
      </c>
      <c r="E53" s="40">
        <f t="shared" si="7"/>
        <v>0.01</v>
      </c>
      <c r="F53" s="40">
        <f t="shared" si="7"/>
        <v>0.01</v>
      </c>
      <c r="G53" s="40">
        <f t="shared" si="7"/>
        <v>0.01</v>
      </c>
      <c r="H53" s="40">
        <f t="shared" si="7"/>
        <v>0.01</v>
      </c>
      <c r="I53" s="40">
        <f t="shared" si="7"/>
        <v>0.01</v>
      </c>
      <c r="J53" s="40">
        <f t="shared" si="7"/>
        <v>0.01</v>
      </c>
      <c r="K53" s="40">
        <f t="shared" si="7"/>
        <v>0.01</v>
      </c>
      <c r="L53" s="40">
        <f t="shared" si="7"/>
        <v>0.01</v>
      </c>
      <c r="M53" s="40">
        <f t="shared" si="7"/>
        <v>0.01</v>
      </c>
    </row>
    <row r="54" spans="1:14" x14ac:dyDescent="0.3">
      <c r="A54" s="18" t="s">
        <v>402</v>
      </c>
      <c r="B54" s="18" t="s">
        <v>403</v>
      </c>
      <c r="C54" s="18" t="s">
        <v>298</v>
      </c>
      <c r="D54" s="40">
        <f t="shared" ref="D54:M54" si="8">D42</f>
        <v>0</v>
      </c>
      <c r="E54" s="40">
        <f t="shared" si="8"/>
        <v>0</v>
      </c>
      <c r="F54" s="40">
        <f t="shared" si="8"/>
        <v>0</v>
      </c>
      <c r="G54" s="40">
        <f t="shared" si="8"/>
        <v>0</v>
      </c>
      <c r="H54" s="40">
        <f t="shared" si="8"/>
        <v>0</v>
      </c>
      <c r="I54" s="40">
        <f t="shared" si="8"/>
        <v>0</v>
      </c>
      <c r="J54" s="40">
        <f t="shared" si="8"/>
        <v>0</v>
      </c>
      <c r="K54" s="40">
        <f t="shared" si="8"/>
        <v>0</v>
      </c>
      <c r="L54" s="40">
        <f t="shared" si="8"/>
        <v>0</v>
      </c>
      <c r="M54" s="40">
        <f t="shared" si="8"/>
        <v>0</v>
      </c>
    </row>
    <row r="55" spans="1:14" x14ac:dyDescent="0.3">
      <c r="A55" s="18" t="s">
        <v>404</v>
      </c>
      <c r="B55" s="18" t="s">
        <v>405</v>
      </c>
      <c r="C55" s="18" t="s">
        <v>298</v>
      </c>
      <c r="D55" s="40">
        <f t="shared" ref="D55:M55" si="9">D43</f>
        <v>0</v>
      </c>
      <c r="E55" s="40">
        <f t="shared" si="9"/>
        <v>0</v>
      </c>
      <c r="F55" s="40">
        <f t="shared" si="9"/>
        <v>0</v>
      </c>
      <c r="G55" s="40">
        <f t="shared" si="9"/>
        <v>0</v>
      </c>
      <c r="H55" s="40">
        <f t="shared" si="9"/>
        <v>0</v>
      </c>
      <c r="I55" s="40">
        <f t="shared" si="9"/>
        <v>0</v>
      </c>
      <c r="J55" s="40">
        <f t="shared" si="9"/>
        <v>0</v>
      </c>
      <c r="K55" s="40">
        <f t="shared" si="9"/>
        <v>0</v>
      </c>
      <c r="L55" s="40">
        <f t="shared" si="9"/>
        <v>0</v>
      </c>
      <c r="M55" s="40">
        <f t="shared" si="9"/>
        <v>0</v>
      </c>
    </row>
    <row r="56" spans="1:14" x14ac:dyDescent="0.3">
      <c r="A56" s="18" t="s">
        <v>406</v>
      </c>
      <c r="B56" s="18" t="s">
        <v>407</v>
      </c>
      <c r="C56" s="18" t="s">
        <v>298</v>
      </c>
      <c r="D56" s="40">
        <f t="shared" ref="D56:M56" si="10">D44</f>
        <v>0</v>
      </c>
      <c r="E56" s="40">
        <f t="shared" si="10"/>
        <v>0</v>
      </c>
      <c r="F56" s="40">
        <f t="shared" si="10"/>
        <v>0.3</v>
      </c>
      <c r="G56" s="40">
        <f t="shared" si="10"/>
        <v>0.5</v>
      </c>
      <c r="H56" s="40">
        <f t="shared" si="10"/>
        <v>1</v>
      </c>
      <c r="I56" s="40">
        <f t="shared" si="10"/>
        <v>1</v>
      </c>
      <c r="J56" s="40">
        <f t="shared" si="10"/>
        <v>1</v>
      </c>
      <c r="K56" s="40">
        <f t="shared" si="10"/>
        <v>1</v>
      </c>
      <c r="L56" s="40">
        <f t="shared" si="10"/>
        <v>1</v>
      </c>
      <c r="M56" s="40">
        <f t="shared" si="10"/>
        <v>1</v>
      </c>
    </row>
    <row r="57" spans="1:14" x14ac:dyDescent="0.3">
      <c r="B57" s="14" t="s">
        <v>408</v>
      </c>
      <c r="D57" s="42">
        <f>1</f>
        <v>1</v>
      </c>
      <c r="E57" s="42">
        <f t="shared" ref="E57:M57" si="11">D57*(1+N(E52))</f>
        <v>1.01</v>
      </c>
      <c r="F57" s="42">
        <f t="shared" si="11"/>
        <v>1.0201</v>
      </c>
      <c r="G57" s="42">
        <f t="shared" si="11"/>
        <v>1.0303009999999999</v>
      </c>
      <c r="H57" s="42">
        <f t="shared" si="11"/>
        <v>1.04060401</v>
      </c>
      <c r="I57" s="42">
        <f t="shared" si="11"/>
        <v>1.0510100500999999</v>
      </c>
      <c r="J57" s="42">
        <f t="shared" si="11"/>
        <v>1.0615201506009999</v>
      </c>
      <c r="K57" s="42">
        <f t="shared" si="11"/>
        <v>1.0721353521070098</v>
      </c>
      <c r="L57" s="42">
        <f t="shared" si="11"/>
        <v>1.08285670562808</v>
      </c>
      <c r="M57" s="42">
        <f t="shared" si="11"/>
        <v>1.0936852726843609</v>
      </c>
    </row>
    <row r="58" spans="1:14" x14ac:dyDescent="0.3">
      <c r="B58" s="14" t="s">
        <v>409</v>
      </c>
      <c r="D58" s="42">
        <f>1</f>
        <v>1</v>
      </c>
      <c r="E58" s="42">
        <f t="shared" ref="E58:M58" si="12">D58*(1+N(E53))</f>
        <v>1.01</v>
      </c>
      <c r="F58" s="42">
        <f t="shared" si="12"/>
        <v>1.0201</v>
      </c>
      <c r="G58" s="42">
        <f t="shared" si="12"/>
        <v>1.0303009999999999</v>
      </c>
      <c r="H58" s="42">
        <f t="shared" si="12"/>
        <v>1.04060401</v>
      </c>
      <c r="I58" s="42">
        <f t="shared" si="12"/>
        <v>1.0510100500999999</v>
      </c>
      <c r="J58" s="42">
        <f t="shared" si="12"/>
        <v>1.0615201506009999</v>
      </c>
      <c r="K58" s="42">
        <f t="shared" si="12"/>
        <v>1.0721353521070098</v>
      </c>
      <c r="L58" s="42">
        <f t="shared" si="12"/>
        <v>1.08285670562808</v>
      </c>
      <c r="M58" s="42">
        <f t="shared" si="12"/>
        <v>1.0936852726843609</v>
      </c>
    </row>
    <row r="59" spans="1:14" x14ac:dyDescent="0.3">
      <c r="B59" s="14" t="s">
        <v>410</v>
      </c>
      <c r="D59" s="42">
        <f>1</f>
        <v>1</v>
      </c>
      <c r="E59" s="42">
        <f t="shared" ref="E59:M59" si="13">D59*(1+N(E54))</f>
        <v>1</v>
      </c>
      <c r="F59" s="42">
        <f t="shared" si="13"/>
        <v>1</v>
      </c>
      <c r="G59" s="42">
        <f t="shared" si="13"/>
        <v>1</v>
      </c>
      <c r="H59" s="42">
        <f t="shared" si="13"/>
        <v>1</v>
      </c>
      <c r="I59" s="42">
        <f t="shared" si="13"/>
        <v>1</v>
      </c>
      <c r="J59" s="42">
        <f t="shared" si="13"/>
        <v>1</v>
      </c>
      <c r="K59" s="42">
        <f t="shared" si="13"/>
        <v>1</v>
      </c>
      <c r="L59" s="42">
        <f t="shared" si="13"/>
        <v>1</v>
      </c>
      <c r="M59" s="42">
        <f t="shared" si="13"/>
        <v>1</v>
      </c>
    </row>
    <row r="60" spans="1:14" x14ac:dyDescent="0.3">
      <c r="B60" s="14" t="s">
        <v>411</v>
      </c>
      <c r="D60" s="42">
        <f>1</f>
        <v>1</v>
      </c>
      <c r="E60" s="42">
        <f t="shared" ref="E60:M60" si="14">D60*(1+N(E55))</f>
        <v>1</v>
      </c>
      <c r="F60" s="42">
        <f t="shared" si="14"/>
        <v>1</v>
      </c>
      <c r="G60" s="42">
        <f t="shared" si="14"/>
        <v>1</v>
      </c>
      <c r="H60" s="42">
        <f t="shared" si="14"/>
        <v>1</v>
      </c>
      <c r="I60" s="42">
        <f t="shared" si="14"/>
        <v>1</v>
      </c>
      <c r="J60" s="42">
        <f t="shared" si="14"/>
        <v>1</v>
      </c>
      <c r="K60" s="42">
        <f t="shared" si="14"/>
        <v>1</v>
      </c>
      <c r="L60" s="42">
        <f t="shared" si="14"/>
        <v>1</v>
      </c>
      <c r="M60" s="42">
        <f t="shared" si="14"/>
        <v>1</v>
      </c>
    </row>
    <row r="62" spans="1:14" x14ac:dyDescent="0.3">
      <c r="A62" s="15" t="s">
        <v>413</v>
      </c>
      <c r="B62" s="16"/>
      <c r="C62" s="16"/>
      <c r="D62" s="16"/>
      <c r="E62" s="16"/>
      <c r="F62" s="16"/>
      <c r="G62" s="16"/>
      <c r="H62" s="16"/>
      <c r="I62" s="16"/>
      <c r="J62" s="16"/>
      <c r="K62" s="16"/>
      <c r="L62" s="16"/>
      <c r="M62" s="16"/>
      <c r="N62" s="16"/>
    </row>
    <row r="63" spans="1:14" ht="30" customHeight="1" x14ac:dyDescent="0.3">
      <c r="A63" s="17" t="s">
        <v>284</v>
      </c>
      <c r="B63" s="17" t="s">
        <v>414</v>
      </c>
      <c r="C63" s="17" t="s">
        <v>286</v>
      </c>
      <c r="D63" s="17" t="s">
        <v>63</v>
      </c>
      <c r="E63" s="17" t="s">
        <v>415</v>
      </c>
      <c r="F63" s="17" t="s">
        <v>416</v>
      </c>
      <c r="G63" s="17" t="s">
        <v>417</v>
      </c>
      <c r="H63" s="3" t="s">
        <v>393</v>
      </c>
      <c r="I63" s="3"/>
      <c r="J63" s="3"/>
      <c r="K63" s="3"/>
      <c r="L63" s="3"/>
      <c r="M63" s="3"/>
      <c r="N63" s="3"/>
    </row>
    <row r="64" spans="1:14" x14ac:dyDescent="0.3">
      <c r="A64" s="18" t="s">
        <v>418</v>
      </c>
      <c r="B64" s="18" t="s">
        <v>419</v>
      </c>
      <c r="C64" s="18" t="s">
        <v>298</v>
      </c>
      <c r="D64" s="44">
        <v>0</v>
      </c>
      <c r="E64" s="39">
        <v>-0.1</v>
      </c>
      <c r="F64" s="39">
        <v>0.05</v>
      </c>
      <c r="G64" s="45">
        <f t="shared" ref="G64:G71" si="15">IF(INDEX(D64:F64,1,c_EscIdx)="","",INDEX(D64:F64,1,c_EscIdx))</f>
        <v>0</v>
      </c>
    </row>
    <row r="65" spans="1:14" x14ac:dyDescent="0.3">
      <c r="A65" s="18" t="s">
        <v>420</v>
      </c>
      <c r="B65" s="18" t="s">
        <v>421</v>
      </c>
      <c r="C65" s="18" t="s">
        <v>298</v>
      </c>
      <c r="D65" s="44">
        <v>0</v>
      </c>
      <c r="E65" s="39">
        <v>-0.05</v>
      </c>
      <c r="F65" s="39">
        <v>0.02</v>
      </c>
      <c r="G65" s="45">
        <f t="shared" si="15"/>
        <v>0</v>
      </c>
    </row>
    <row r="66" spans="1:14" x14ac:dyDescent="0.3">
      <c r="A66" s="18" t="s">
        <v>422</v>
      </c>
      <c r="B66" s="18" t="s">
        <v>423</v>
      </c>
      <c r="C66" s="18" t="s">
        <v>298</v>
      </c>
      <c r="D66" s="44">
        <v>0</v>
      </c>
      <c r="E66" s="39">
        <v>0.1</v>
      </c>
      <c r="F66" s="39">
        <v>-0.03</v>
      </c>
      <c r="G66" s="45">
        <f t="shared" si="15"/>
        <v>0</v>
      </c>
    </row>
    <row r="67" spans="1:14" x14ac:dyDescent="0.3">
      <c r="A67" s="18" t="s">
        <v>424</v>
      </c>
      <c r="B67" s="18" t="s">
        <v>425</v>
      </c>
      <c r="C67" s="18" t="s">
        <v>298</v>
      </c>
      <c r="D67" s="44">
        <v>0</v>
      </c>
      <c r="E67" s="39">
        <v>0</v>
      </c>
      <c r="F67" s="39">
        <v>0</v>
      </c>
      <c r="G67" s="45">
        <f t="shared" si="15"/>
        <v>0</v>
      </c>
    </row>
    <row r="68" spans="1:14" x14ac:dyDescent="0.3">
      <c r="A68" s="18" t="s">
        <v>426</v>
      </c>
      <c r="B68" s="18" t="s">
        <v>427</v>
      </c>
      <c r="C68" s="18" t="s">
        <v>361</v>
      </c>
      <c r="D68" s="46">
        <v>0</v>
      </c>
      <c r="E68" s="21">
        <v>3</v>
      </c>
      <c r="F68" s="21">
        <v>0</v>
      </c>
      <c r="G68" s="29">
        <f t="shared" si="15"/>
        <v>0</v>
      </c>
    </row>
    <row r="69" spans="1:14" x14ac:dyDescent="0.3">
      <c r="A69" s="18" t="s">
        <v>428</v>
      </c>
      <c r="B69" s="18" t="s">
        <v>429</v>
      </c>
      <c r="C69" s="18" t="s">
        <v>298</v>
      </c>
      <c r="D69" s="44">
        <v>0</v>
      </c>
      <c r="E69" s="39">
        <v>0.1</v>
      </c>
      <c r="F69" s="39">
        <v>0</v>
      </c>
      <c r="G69" s="45">
        <f t="shared" si="15"/>
        <v>0</v>
      </c>
    </row>
    <row r="70" spans="1:14" x14ac:dyDescent="0.3">
      <c r="A70" s="18" t="s">
        <v>430</v>
      </c>
      <c r="B70" s="18" t="s">
        <v>431</v>
      </c>
      <c r="C70" s="18" t="s">
        <v>340</v>
      </c>
      <c r="D70" s="46"/>
      <c r="E70" s="21">
        <v>150</v>
      </c>
      <c r="F70" s="21">
        <v>90</v>
      </c>
      <c r="G70" s="29" t="str">
        <f t="shared" si="15"/>
        <v/>
      </c>
    </row>
    <row r="71" spans="1:14" x14ac:dyDescent="0.3">
      <c r="A71" s="18" t="s">
        <v>432</v>
      </c>
      <c r="B71" s="18" t="s">
        <v>433</v>
      </c>
      <c r="C71" s="18" t="s">
        <v>340</v>
      </c>
      <c r="D71" s="46"/>
      <c r="E71" s="21"/>
      <c r="F71" s="21">
        <v>90</v>
      </c>
      <c r="G71" s="29" t="str">
        <f t="shared" si="15"/>
        <v/>
      </c>
    </row>
    <row r="72" spans="1:14" x14ac:dyDescent="0.3">
      <c r="B72" s="18" t="s">
        <v>434</v>
      </c>
      <c r="D72" s="34">
        <f>IF(n_Escenario="Conservador",2,IF(n_Escenario="Optimista",3,1))</f>
        <v>1</v>
      </c>
      <c r="H72" s="14" t="s">
        <v>435</v>
      </c>
    </row>
    <row r="74" spans="1:14" x14ac:dyDescent="0.3">
      <c r="A74" s="15" t="s">
        <v>436</v>
      </c>
      <c r="B74" s="16"/>
      <c r="C74" s="16"/>
      <c r="D74" s="16"/>
      <c r="E74" s="16"/>
      <c r="F74" s="16"/>
      <c r="G74" s="16"/>
      <c r="H74" s="16"/>
      <c r="I74" s="16"/>
      <c r="J74" s="16"/>
      <c r="K74" s="16"/>
      <c r="L74" s="16"/>
      <c r="M74" s="16"/>
      <c r="N74" s="16"/>
    </row>
    <row r="75" spans="1:14" x14ac:dyDescent="0.3">
      <c r="A75" s="17" t="s">
        <v>284</v>
      </c>
      <c r="B75" s="17" t="s">
        <v>382</v>
      </c>
      <c r="C75" s="17" t="s">
        <v>286</v>
      </c>
      <c r="D75" s="17" t="s">
        <v>383</v>
      </c>
      <c r="E75" s="17" t="s">
        <v>384</v>
      </c>
      <c r="F75" s="17" t="s">
        <v>385</v>
      </c>
      <c r="G75" s="17" t="s">
        <v>386</v>
      </c>
      <c r="H75" s="17" t="s">
        <v>387</v>
      </c>
      <c r="I75" s="17" t="s">
        <v>388</v>
      </c>
      <c r="J75" s="17" t="s">
        <v>389</v>
      </c>
      <c r="K75" s="17" t="s">
        <v>390</v>
      </c>
      <c r="L75" s="17" t="s">
        <v>391</v>
      </c>
      <c r="M75" s="17" t="s">
        <v>392</v>
      </c>
      <c r="N75" s="17" t="s">
        <v>393</v>
      </c>
    </row>
    <row r="76" spans="1:14" x14ac:dyDescent="0.3">
      <c r="A76" s="18" t="s">
        <v>437</v>
      </c>
      <c r="B76" s="18" t="s">
        <v>438</v>
      </c>
      <c r="C76" s="18" t="s">
        <v>439</v>
      </c>
      <c r="D76" s="37">
        <v>4850000</v>
      </c>
      <c r="E76" s="37">
        <v>6181200</v>
      </c>
      <c r="F76" s="37">
        <v>7538539</v>
      </c>
      <c r="G76" s="37">
        <v>8685437</v>
      </c>
      <c r="H76" s="37">
        <v>8772292</v>
      </c>
      <c r="I76" s="37">
        <v>8860015</v>
      </c>
      <c r="J76" s="37">
        <v>8948615</v>
      </c>
      <c r="K76" s="37">
        <v>9038101</v>
      </c>
      <c r="L76" s="37">
        <v>9128482</v>
      </c>
      <c r="M76" s="37">
        <v>9219767</v>
      </c>
    </row>
    <row r="77" spans="1:14" x14ac:dyDescent="0.3">
      <c r="A77" s="18" t="s">
        <v>440</v>
      </c>
      <c r="B77" s="18" t="s">
        <v>441</v>
      </c>
      <c r="C77" s="18" t="s">
        <v>439</v>
      </c>
      <c r="D77" s="37">
        <v>573024</v>
      </c>
      <c r="E77" s="37">
        <v>1029011</v>
      </c>
      <c r="F77" s="37">
        <v>1479759</v>
      </c>
      <c r="G77" s="37">
        <v>1886306</v>
      </c>
      <c r="H77" s="37">
        <v>1914796</v>
      </c>
      <c r="I77" s="37">
        <v>1973999</v>
      </c>
      <c r="J77" s="37">
        <v>2033657</v>
      </c>
      <c r="K77" s="37">
        <v>2093768</v>
      </c>
      <c r="L77" s="37">
        <v>2154335</v>
      </c>
      <c r="M77" s="37">
        <v>2215355</v>
      </c>
    </row>
    <row r="78" spans="1:14" x14ac:dyDescent="0.3">
      <c r="A78" s="18" t="s">
        <v>442</v>
      </c>
      <c r="B78" s="18" t="s">
        <v>443</v>
      </c>
      <c r="C78" s="18" t="s">
        <v>439</v>
      </c>
      <c r="D78" s="37">
        <v>301922</v>
      </c>
      <c r="E78" s="37">
        <v>731144</v>
      </c>
      <c r="F78" s="37">
        <v>1238751</v>
      </c>
      <c r="G78" s="37">
        <v>1707489</v>
      </c>
      <c r="H78" s="37">
        <v>1804006</v>
      </c>
      <c r="I78" s="37">
        <v>1902407</v>
      </c>
      <c r="J78" s="37">
        <v>1974240</v>
      </c>
      <c r="K78" s="37">
        <v>2034352</v>
      </c>
      <c r="L78" s="37">
        <v>2094918</v>
      </c>
      <c r="M78" s="37">
        <v>2155939</v>
      </c>
    </row>
    <row r="79" spans="1:14" x14ac:dyDescent="0.3">
      <c r="A79" s="18" t="s">
        <v>444</v>
      </c>
      <c r="B79" s="18" t="s">
        <v>445</v>
      </c>
      <c r="D79" s="37">
        <v>4588736</v>
      </c>
    </row>
    <row r="80" spans="1:14" x14ac:dyDescent="0.3">
      <c r="A80" s="18" t="s">
        <v>446</v>
      </c>
      <c r="B80" s="18" t="s">
        <v>447</v>
      </c>
      <c r="D80" s="35">
        <v>0.2261</v>
      </c>
    </row>
    <row r="81" spans="1:14" x14ac:dyDescent="0.3">
      <c r="B81" s="14" t="s">
        <v>448</v>
      </c>
    </row>
    <row r="83" spans="1:14" x14ac:dyDescent="0.3">
      <c r="A83" s="15" t="s">
        <v>449</v>
      </c>
      <c r="B83" s="16"/>
      <c r="C83" s="16"/>
      <c r="D83" s="16"/>
      <c r="E83" s="16"/>
      <c r="F83" s="16"/>
      <c r="G83" s="16"/>
      <c r="H83" s="16"/>
      <c r="I83" s="16"/>
      <c r="J83" s="16"/>
      <c r="K83" s="16"/>
      <c r="L83" s="16"/>
      <c r="M83" s="16"/>
      <c r="N83" s="16"/>
    </row>
    <row r="84" spans="1:14" x14ac:dyDescent="0.3">
      <c r="A84" s="17"/>
      <c r="B84" s="17" t="s">
        <v>285</v>
      </c>
      <c r="C84" s="17"/>
      <c r="D84" s="17" t="s">
        <v>450</v>
      </c>
      <c r="E84" s="17" t="s">
        <v>451</v>
      </c>
    </row>
    <row r="85" spans="1:14" x14ac:dyDescent="0.3">
      <c r="B85" s="14" t="s">
        <v>289</v>
      </c>
      <c r="D85" s="34">
        <f>MAX(1,N(o_Inicio))</f>
        <v>1</v>
      </c>
      <c r="E85" s="34">
        <f>MAX(1,IF(ISNUMBER(n_InicioReal),n_InicioReal,IF(N(vg_Inicio)&lt;=Corte,N(vg_Inicio),N(vg_Inicio)+ROUND(N(e_Atraso),0))))</f>
        <v>1</v>
      </c>
    </row>
    <row r="86" spans="1:14" x14ac:dyDescent="0.3">
      <c r="B86" s="14" t="s">
        <v>293</v>
      </c>
      <c r="D86" s="34">
        <f>N(o_Anios)</f>
        <v>10</v>
      </c>
      <c r="E86" s="34">
        <f>N(vg_Anios)</f>
        <v>10</v>
      </c>
    </row>
    <row r="87" spans="1:14" x14ac:dyDescent="0.3">
      <c r="B87" s="14" t="s">
        <v>297</v>
      </c>
      <c r="D87" s="47">
        <f>N(o_Merma)</f>
        <v>0</v>
      </c>
      <c r="E87" s="47">
        <f>N(vg_Merma)</f>
        <v>0</v>
      </c>
    </row>
    <row r="88" spans="1:14" x14ac:dyDescent="0.3">
      <c r="B88" s="14" t="s">
        <v>301</v>
      </c>
      <c r="D88" s="47">
        <f>N(o_Cargas)</f>
        <v>0.43090000000000001</v>
      </c>
      <c r="E88" s="47">
        <f>N(vg_Cargas)</f>
        <v>0.43090000000000001</v>
      </c>
    </row>
    <row r="89" spans="1:14" x14ac:dyDescent="0.3">
      <c r="B89" s="14" t="s">
        <v>304</v>
      </c>
      <c r="D89" s="48">
        <f>N(o_Alim)</f>
        <v>576000</v>
      </c>
      <c r="E89" s="48">
        <f>N(vg_Alim)</f>
        <v>576000</v>
      </c>
    </row>
    <row r="90" spans="1:14" x14ac:dyDescent="0.3">
      <c r="B90" s="14" t="s">
        <v>308</v>
      </c>
      <c r="D90" s="49">
        <f>N(o_PreDir)</f>
        <v>0.5</v>
      </c>
      <c r="E90" s="49">
        <f>N(vg_PreDir)</f>
        <v>0.5</v>
      </c>
    </row>
    <row r="91" spans="1:14" x14ac:dyDescent="0.3">
      <c r="B91" s="14" t="s">
        <v>312</v>
      </c>
      <c r="D91" s="49">
        <f>N(o_PreInd)</f>
        <v>1</v>
      </c>
      <c r="E91" s="49">
        <f>N(vg_PreInd)</f>
        <v>1</v>
      </c>
    </row>
    <row r="92" spans="1:14" x14ac:dyDescent="0.3">
      <c r="B92" s="14" t="s">
        <v>315</v>
      </c>
      <c r="D92" s="47">
        <f>N(o_Desp)</f>
        <v>0.03</v>
      </c>
      <c r="E92" s="47">
        <f>N(vg_Desp)</f>
        <v>0.03</v>
      </c>
    </row>
    <row r="93" spans="1:14" x14ac:dyDescent="0.3">
      <c r="B93" s="14" t="s">
        <v>318</v>
      </c>
      <c r="D93" s="47">
        <f>N(o_Pkg)</f>
        <v>0.01</v>
      </c>
      <c r="E93" s="47">
        <f>N(vg_Pkg)</f>
        <v>0.01</v>
      </c>
    </row>
    <row r="94" spans="1:14" x14ac:dyDescent="0.3">
      <c r="B94" s="14" t="s">
        <v>321</v>
      </c>
      <c r="D94" s="47">
        <f>N(o_ImpP)</f>
        <v>0.05</v>
      </c>
      <c r="E94" s="47">
        <f>N(vg_ImpP)</f>
        <v>0.05</v>
      </c>
    </row>
    <row r="95" spans="1:14" x14ac:dyDescent="0.3">
      <c r="B95" s="14" t="s">
        <v>324</v>
      </c>
      <c r="D95" s="47">
        <f>N(o_ImpA)</f>
        <v>0.05</v>
      </c>
      <c r="E95" s="47">
        <f>N(vg_ImpA)</f>
        <v>0.05</v>
      </c>
    </row>
    <row r="96" spans="1:14" x14ac:dyDescent="0.3">
      <c r="B96" s="14" t="s">
        <v>327</v>
      </c>
      <c r="D96" s="47">
        <f>N(o_Trib)</f>
        <v>0.01</v>
      </c>
      <c r="E96" s="47">
        <f>N(vg_Trib)</f>
        <v>0.01</v>
      </c>
    </row>
    <row r="97" spans="2:5" x14ac:dyDescent="0.3">
      <c r="B97" s="14" t="s">
        <v>330</v>
      </c>
      <c r="D97" s="47">
        <f>N(o_SegV)</f>
        <v>1E-3</v>
      </c>
      <c r="E97" s="47">
        <f>N(vg_SegV)</f>
        <v>1E-3</v>
      </c>
    </row>
    <row r="98" spans="2:5" x14ac:dyDescent="0.3">
      <c r="B98" s="14" t="s">
        <v>333</v>
      </c>
      <c r="D98" s="47">
        <f>N(o_ComV)</f>
        <v>0</v>
      </c>
      <c r="E98" s="47">
        <f>N(vg_ComV)</f>
        <v>0</v>
      </c>
    </row>
    <row r="99" spans="2:5" x14ac:dyDescent="0.3">
      <c r="B99" s="14" t="s">
        <v>336</v>
      </c>
      <c r="D99" s="47">
        <f>N(o_IRE)</f>
        <v>0</v>
      </c>
      <c r="E99" s="47">
        <f>N(vg_IRE)</f>
        <v>0</v>
      </c>
    </row>
    <row r="100" spans="2:5" x14ac:dyDescent="0.3">
      <c r="B100" s="14" t="s">
        <v>339</v>
      </c>
      <c r="D100" s="34">
        <f>N(o_DSO)</f>
        <v>120</v>
      </c>
      <c r="E100" s="34">
        <f>IF(e_DSOesc="",N(vg_DSO),e_DSOesc)</f>
        <v>120</v>
      </c>
    </row>
    <row r="101" spans="2:5" x14ac:dyDescent="0.3">
      <c r="B101" s="14" t="s">
        <v>343</v>
      </c>
      <c r="D101" s="34">
        <f>N(o_DInv)</f>
        <v>120</v>
      </c>
      <c r="E101" s="34">
        <f>IF(e_DInvEsc="",N(vg_DInv),e_DInvEsc)</f>
        <v>120</v>
      </c>
    </row>
    <row r="102" spans="2:5" x14ac:dyDescent="0.3">
      <c r="B102" s="14" t="s">
        <v>346</v>
      </c>
      <c r="D102" s="34">
        <f>N(o_DPT)</f>
        <v>10</v>
      </c>
      <c r="E102" s="34">
        <f>N(vg_DPT)</f>
        <v>10</v>
      </c>
    </row>
    <row r="103" spans="2:5" x14ac:dyDescent="0.3">
      <c r="B103" s="14" t="s">
        <v>348</v>
      </c>
      <c r="D103" s="34">
        <f>N(o_DPOmp)</f>
        <v>0</v>
      </c>
      <c r="E103" s="34">
        <f>N(vg_DPOmp)</f>
        <v>0</v>
      </c>
    </row>
    <row r="104" spans="2:5" x14ac:dyDescent="0.3">
      <c r="B104" s="14" t="s">
        <v>351</v>
      </c>
      <c r="D104" s="34">
        <f>N(o_DPOot)</f>
        <v>30</v>
      </c>
      <c r="E104" s="34">
        <f>N(vg_DPOot)</f>
        <v>30</v>
      </c>
    </row>
    <row r="105" spans="2:5" x14ac:dyDescent="0.3">
      <c r="B105" s="14" t="s">
        <v>353</v>
      </c>
      <c r="D105" s="34">
        <f>N(o_CajaMin)</f>
        <v>3</v>
      </c>
      <c r="E105" s="34">
        <f>N(vg_CajaMin)</f>
        <v>3</v>
      </c>
    </row>
    <row r="106" spans="2:5" x14ac:dyDescent="0.3">
      <c r="B106" s="14" t="s">
        <v>357</v>
      </c>
      <c r="D106" s="49">
        <f>N(o_IVArec)</f>
        <v>0</v>
      </c>
      <c r="E106" s="49">
        <f>N(vg_IVArec)</f>
        <v>0</v>
      </c>
    </row>
    <row r="107" spans="2:5" x14ac:dyDescent="0.3">
      <c r="B107" s="14" t="s">
        <v>360</v>
      </c>
      <c r="D107" s="34">
        <f>N(o_IVAmeses)</f>
        <v>6</v>
      </c>
      <c r="E107" s="34">
        <f>N(vg_IVAmeses)</f>
        <v>6</v>
      </c>
    </row>
    <row r="108" spans="2:5" x14ac:dyDescent="0.3">
      <c r="B108" s="14" t="s">
        <v>364</v>
      </c>
      <c r="D108" s="49">
        <f>N(o_IVAint)</f>
        <v>0.1</v>
      </c>
      <c r="E108" s="49">
        <f>N(vg_IVAint)</f>
        <v>0.1</v>
      </c>
    </row>
    <row r="109" spans="2:5" x14ac:dyDescent="0.3">
      <c r="B109" s="14" t="s">
        <v>367</v>
      </c>
      <c r="D109" s="47">
        <f>N(o_WACC)</f>
        <v>9.4893699999999997E-2</v>
      </c>
      <c r="E109" s="47">
        <f>N(vg_WACC)</f>
        <v>9.4893699999999997E-2</v>
      </c>
    </row>
    <row r="110" spans="2:5" x14ac:dyDescent="0.3">
      <c r="B110" s="14" t="s">
        <v>370</v>
      </c>
      <c r="D110" s="47">
        <f>N(o_Ke)</f>
        <v>0.16320000000000001</v>
      </c>
      <c r="E110" s="47">
        <f>N(vg_Ke)</f>
        <v>0.16320000000000001</v>
      </c>
    </row>
    <row r="111" spans="2:5" x14ac:dyDescent="0.3">
      <c r="B111" s="14" t="s">
        <v>373</v>
      </c>
      <c r="D111" s="49">
        <f>N(o_RealCT)</f>
        <v>1</v>
      </c>
      <c r="E111" s="49">
        <f>N(vg_RealCT)</f>
        <v>1</v>
      </c>
    </row>
    <row r="112" spans="2:5" x14ac:dyDescent="0.3">
      <c r="B112" s="14" t="s">
        <v>376</v>
      </c>
      <c r="D112" s="49">
        <f>N(o_RealAF)</f>
        <v>1</v>
      </c>
      <c r="E112" s="49">
        <f>N(vg_RealAF)</f>
        <v>1</v>
      </c>
    </row>
    <row r="113" spans="2:5" x14ac:dyDescent="0.3">
      <c r="B113" s="14" t="s">
        <v>379</v>
      </c>
      <c r="D113" s="34">
        <f>N(o_MesDiv)</f>
        <v>4</v>
      </c>
      <c r="E113" s="34">
        <f>N(vg_MesDiv)</f>
        <v>4</v>
      </c>
    </row>
    <row r="114" spans="2:5" x14ac:dyDescent="0.3">
      <c r="B114" s="14" t="s">
        <v>419</v>
      </c>
      <c r="D114" s="49">
        <v>0</v>
      </c>
      <c r="E114" s="49">
        <f>N(e_dVol)</f>
        <v>0</v>
      </c>
    </row>
    <row r="115" spans="2:5" x14ac:dyDescent="0.3">
      <c r="B115" s="14" t="s">
        <v>421</v>
      </c>
      <c r="D115" s="49">
        <v>0</v>
      </c>
      <c r="E115" s="49">
        <f>N(e_dPrecio)</f>
        <v>0</v>
      </c>
    </row>
    <row r="116" spans="2:5" x14ac:dyDescent="0.3">
      <c r="B116" s="14" t="s">
        <v>452</v>
      </c>
      <c r="D116" s="49">
        <v>0</v>
      </c>
      <c r="E116" s="49">
        <f>N(e_dMat)</f>
        <v>0</v>
      </c>
    </row>
    <row r="117" spans="2:5" x14ac:dyDescent="0.3">
      <c r="B117" s="14" t="s">
        <v>453</v>
      </c>
      <c r="D117" s="49">
        <v>0</v>
      </c>
      <c r="E117" s="49">
        <f>N(e_dTC)</f>
        <v>0</v>
      </c>
    </row>
    <row r="118" spans="2:5" x14ac:dyDescent="0.3">
      <c r="B118" s="14" t="s">
        <v>454</v>
      </c>
      <c r="D118" s="49">
        <v>0</v>
      </c>
      <c r="E118" s="49">
        <f>N(e_dCapex)</f>
        <v>0</v>
      </c>
    </row>
    <row r="119" spans="2:5" x14ac:dyDescent="0.3">
      <c r="B119" s="14" t="s">
        <v>455</v>
      </c>
      <c r="D119" s="34">
        <f>IF(ISNUMBER(n_Corte),n_Corte,0)</f>
        <v>0</v>
      </c>
    </row>
    <row r="120" spans="2:5" x14ac:dyDescent="0.3">
      <c r="B120" s="14" t="s">
        <v>456</v>
      </c>
      <c r="D120" s="34">
        <f>P_Inicio+12*P_Anios-1</f>
        <v>120</v>
      </c>
    </row>
    <row r="121" spans="2:5" x14ac:dyDescent="0.3">
      <c r="B121" s="14" t="s">
        <v>457</v>
      </c>
      <c r="D121" s="50">
        <f>365/12</f>
        <v>30.416666666666668</v>
      </c>
    </row>
  </sheetData>
  <mergeCells count="2">
    <mergeCell ref="F5:N5"/>
    <mergeCell ref="H63:N63"/>
  </mergeCells>
  <conditionalFormatting sqref="E6:E34">
    <cfRule type="expression" dxfId="14" priority="2">
      <formula>E6&lt;&gt;D6</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O117"/>
  <sheetViews>
    <sheetView zoomScale="90" zoomScaleNormal="90" workbookViewId="0">
      <pane xSplit="2" ySplit="5" topLeftCell="C6" activePane="bottomRight" state="frozen"/>
      <selection pane="topRight" activeCell="C1" sqref="C1"/>
      <selection pane="bottomLeft" activeCell="A6" sqref="A6"/>
      <selection pane="bottomRight" activeCell="F17" sqref="F17"/>
    </sheetView>
  </sheetViews>
  <sheetFormatPr baseColWidth="10" defaultColWidth="8.5546875" defaultRowHeight="14.4" x14ac:dyDescent="0.3"/>
  <cols>
    <col min="1" max="1" width="4" customWidth="1"/>
    <col min="2" max="2" width="34" customWidth="1"/>
    <col min="3" max="3" width="8" customWidth="1"/>
    <col min="4" max="14" width="12.44140625" customWidth="1"/>
    <col min="15" max="15" width="50" customWidth="1"/>
  </cols>
  <sheetData>
    <row r="1" spans="1:15" ht="16.8" x14ac:dyDescent="0.3">
      <c r="A1" s="13" t="s">
        <v>458</v>
      </c>
    </row>
    <row r="2" spans="1:15" x14ac:dyDescent="0.3">
      <c r="A2" s="14" t="s">
        <v>459</v>
      </c>
    </row>
    <row r="4" spans="1:15" x14ac:dyDescent="0.3">
      <c r="A4" s="15" t="s">
        <v>460</v>
      </c>
      <c r="B4" s="16"/>
      <c r="C4" s="16"/>
      <c r="D4" s="16"/>
      <c r="E4" s="16"/>
      <c r="F4" s="16"/>
      <c r="G4" s="16"/>
      <c r="H4" s="16"/>
      <c r="I4" s="16"/>
      <c r="J4" s="16"/>
      <c r="K4" s="16"/>
      <c r="L4" s="16"/>
      <c r="M4" s="16"/>
      <c r="N4" s="16"/>
      <c r="O4" s="16"/>
    </row>
    <row r="5" spans="1:15" ht="54" customHeight="1" x14ac:dyDescent="0.3">
      <c r="A5" s="17" t="s">
        <v>461</v>
      </c>
      <c r="B5" s="17" t="s">
        <v>462</v>
      </c>
      <c r="C5" s="17" t="s">
        <v>286</v>
      </c>
      <c r="D5" s="17" t="s">
        <v>463</v>
      </c>
      <c r="E5" s="17" t="s">
        <v>464</v>
      </c>
      <c r="F5" s="17" t="s">
        <v>465</v>
      </c>
      <c r="G5" s="17" t="s">
        <v>466</v>
      </c>
      <c r="H5" s="17" t="s">
        <v>467</v>
      </c>
      <c r="I5" s="17" t="s">
        <v>468</v>
      </c>
      <c r="J5" s="17" t="s">
        <v>469</v>
      </c>
      <c r="K5" s="17" t="s">
        <v>470</v>
      </c>
      <c r="L5" s="17" t="s">
        <v>471</v>
      </c>
      <c r="M5" s="17" t="s">
        <v>472</v>
      </c>
      <c r="N5" s="17" t="s">
        <v>473</v>
      </c>
      <c r="O5" s="17" t="s">
        <v>393</v>
      </c>
    </row>
    <row r="6" spans="1:15" x14ac:dyDescent="0.3">
      <c r="A6" s="18">
        <v>1</v>
      </c>
      <c r="B6" s="19" t="s">
        <v>474</v>
      </c>
      <c r="C6" s="19" t="s">
        <v>475</v>
      </c>
      <c r="D6" s="37">
        <v>15000</v>
      </c>
      <c r="E6" s="37">
        <v>22000</v>
      </c>
      <c r="F6" s="21">
        <v>3</v>
      </c>
      <c r="G6" s="51">
        <v>270</v>
      </c>
      <c r="H6" s="52">
        <f>G6</f>
        <v>270</v>
      </c>
      <c r="I6" s="51">
        <v>82.65</v>
      </c>
      <c r="J6" s="52">
        <f>I6</f>
        <v>82.65</v>
      </c>
      <c r="K6" s="51">
        <v>45</v>
      </c>
      <c r="L6" s="52">
        <f>K6</f>
        <v>45</v>
      </c>
      <c r="M6" s="51">
        <v>27.909333</v>
      </c>
      <c r="N6" s="52">
        <f>M6</f>
        <v>27.909333</v>
      </c>
      <c r="O6" s="14" t="s">
        <v>476</v>
      </c>
    </row>
    <row r="7" spans="1:15" x14ac:dyDescent="0.3">
      <c r="A7" s="18">
        <v>2</v>
      </c>
      <c r="B7" s="19" t="s">
        <v>477</v>
      </c>
      <c r="C7" s="19" t="s">
        <v>475</v>
      </c>
      <c r="D7" s="37">
        <v>90000</v>
      </c>
      <c r="E7" s="37">
        <v>121000</v>
      </c>
      <c r="F7" s="21">
        <v>3</v>
      </c>
      <c r="G7" s="51">
        <v>23</v>
      </c>
      <c r="H7" s="52">
        <f>G7</f>
        <v>23</v>
      </c>
      <c r="I7" s="51">
        <v>7.41</v>
      </c>
      <c r="J7" s="52">
        <f>I7</f>
        <v>7.41</v>
      </c>
      <c r="K7" s="51">
        <v>4.851</v>
      </c>
      <c r="L7" s="52">
        <f>K7</f>
        <v>4.851</v>
      </c>
      <c r="M7" s="51">
        <v>2.73</v>
      </c>
      <c r="N7" s="52">
        <f>M7</f>
        <v>2.73</v>
      </c>
      <c r="O7" s="14" t="s">
        <v>478</v>
      </c>
    </row>
    <row r="8" spans="1:15" x14ac:dyDescent="0.3">
      <c r="A8" s="18">
        <v>3</v>
      </c>
      <c r="B8" s="19"/>
      <c r="C8" s="19"/>
      <c r="D8" s="37"/>
      <c r="E8" s="37"/>
      <c r="F8" s="21"/>
      <c r="G8" s="51"/>
      <c r="H8" s="52">
        <f>G8</f>
        <v>0</v>
      </c>
      <c r="I8" s="51"/>
      <c r="J8" s="52">
        <f>I8</f>
        <v>0</v>
      </c>
      <c r="K8" s="51"/>
      <c r="L8" s="52">
        <f>K8</f>
        <v>0</v>
      </c>
      <c r="M8" s="51"/>
      <c r="N8" s="52">
        <f>M8</f>
        <v>0</v>
      </c>
      <c r="O8" s="14"/>
    </row>
    <row r="9" spans="1:15" x14ac:dyDescent="0.3">
      <c r="A9" s="18">
        <v>4</v>
      </c>
      <c r="B9" s="19"/>
      <c r="C9" s="19"/>
      <c r="D9" s="37"/>
      <c r="E9" s="37"/>
      <c r="F9" s="21"/>
      <c r="G9" s="51"/>
      <c r="H9" s="52">
        <f t="shared" ref="H9:H29" si="0">G9</f>
        <v>0</v>
      </c>
      <c r="I9" s="51"/>
      <c r="J9" s="52">
        <f t="shared" ref="J9:J29" si="1">I9</f>
        <v>0</v>
      </c>
      <c r="K9" s="51"/>
      <c r="L9" s="52">
        <f t="shared" ref="L9:L29" si="2">K9</f>
        <v>0</v>
      </c>
      <c r="M9" s="51"/>
      <c r="N9" s="52">
        <f t="shared" ref="N9:N29" si="3">M9</f>
        <v>0</v>
      </c>
      <c r="O9" s="14"/>
    </row>
    <row r="10" spans="1:15" x14ac:dyDescent="0.3">
      <c r="A10" s="18">
        <v>5</v>
      </c>
      <c r="B10" s="19"/>
      <c r="C10" s="19"/>
      <c r="D10" s="37"/>
      <c r="E10" s="37"/>
      <c r="F10" s="21"/>
      <c r="G10" s="51"/>
      <c r="H10" s="52">
        <f t="shared" si="0"/>
        <v>0</v>
      </c>
      <c r="I10" s="51"/>
      <c r="J10" s="52">
        <f t="shared" si="1"/>
        <v>0</v>
      </c>
      <c r="K10" s="51"/>
      <c r="L10" s="52">
        <f t="shared" si="2"/>
        <v>0</v>
      </c>
      <c r="M10" s="51"/>
      <c r="N10" s="52">
        <f t="shared" si="3"/>
        <v>0</v>
      </c>
      <c r="O10" s="14"/>
    </row>
    <row r="11" spans="1:15" x14ac:dyDescent="0.3">
      <c r="A11" s="18">
        <v>6</v>
      </c>
      <c r="B11" s="19"/>
      <c r="C11" s="19"/>
      <c r="D11" s="37"/>
      <c r="E11" s="37"/>
      <c r="F11" s="21"/>
      <c r="G11" s="51"/>
      <c r="H11" s="52">
        <f t="shared" si="0"/>
        <v>0</v>
      </c>
      <c r="I11" s="51"/>
      <c r="J11" s="52">
        <f t="shared" si="1"/>
        <v>0</v>
      </c>
      <c r="K11" s="51"/>
      <c r="L11" s="52">
        <f t="shared" si="2"/>
        <v>0</v>
      </c>
      <c r="M11" s="51"/>
      <c r="N11" s="52">
        <f t="shared" si="3"/>
        <v>0</v>
      </c>
      <c r="O11" s="14"/>
    </row>
    <row r="12" spans="1:15" x14ac:dyDescent="0.3">
      <c r="A12" s="18">
        <v>7</v>
      </c>
      <c r="B12" s="19"/>
      <c r="C12" s="19"/>
      <c r="D12" s="37"/>
      <c r="E12" s="37"/>
      <c r="F12" s="21"/>
      <c r="G12" s="51"/>
      <c r="H12" s="52">
        <f t="shared" si="0"/>
        <v>0</v>
      </c>
      <c r="I12" s="51"/>
      <c r="J12" s="52">
        <f t="shared" si="1"/>
        <v>0</v>
      </c>
      <c r="K12" s="51"/>
      <c r="L12" s="52">
        <f t="shared" si="2"/>
        <v>0</v>
      </c>
      <c r="M12" s="51"/>
      <c r="N12" s="52">
        <f t="shared" si="3"/>
        <v>0</v>
      </c>
      <c r="O12" s="14"/>
    </row>
    <row r="13" spans="1:15" x14ac:dyDescent="0.3">
      <c r="A13" s="18">
        <v>8</v>
      </c>
      <c r="B13" s="19"/>
      <c r="C13" s="19"/>
      <c r="D13" s="37"/>
      <c r="E13" s="37"/>
      <c r="F13" s="21"/>
      <c r="G13" s="51"/>
      <c r="H13" s="52">
        <f t="shared" si="0"/>
        <v>0</v>
      </c>
      <c r="I13" s="51"/>
      <c r="J13" s="52">
        <f t="shared" si="1"/>
        <v>0</v>
      </c>
      <c r="K13" s="51"/>
      <c r="L13" s="52">
        <f t="shared" si="2"/>
        <v>0</v>
      </c>
      <c r="M13" s="51"/>
      <c r="N13" s="52">
        <f t="shared" si="3"/>
        <v>0</v>
      </c>
      <c r="O13" s="14"/>
    </row>
    <row r="14" spans="1:15" x14ac:dyDescent="0.3">
      <c r="A14" s="18">
        <v>9</v>
      </c>
      <c r="B14" s="19"/>
      <c r="C14" s="19"/>
      <c r="D14" s="37"/>
      <c r="E14" s="37"/>
      <c r="F14" s="21"/>
      <c r="G14" s="51"/>
      <c r="H14" s="52">
        <f t="shared" si="0"/>
        <v>0</v>
      </c>
      <c r="I14" s="51"/>
      <c r="J14" s="52">
        <f t="shared" si="1"/>
        <v>0</v>
      </c>
      <c r="K14" s="51"/>
      <c r="L14" s="52">
        <f t="shared" si="2"/>
        <v>0</v>
      </c>
      <c r="M14" s="51"/>
      <c r="N14" s="52">
        <f t="shared" si="3"/>
        <v>0</v>
      </c>
      <c r="O14" s="14"/>
    </row>
    <row r="15" spans="1:15" x14ac:dyDescent="0.3">
      <c r="A15" s="18">
        <v>10</v>
      </c>
      <c r="B15" s="19"/>
      <c r="C15" s="19"/>
      <c r="D15" s="37"/>
      <c r="E15" s="37"/>
      <c r="F15" s="21"/>
      <c r="G15" s="51"/>
      <c r="H15" s="52">
        <f t="shared" si="0"/>
        <v>0</v>
      </c>
      <c r="I15" s="51"/>
      <c r="J15" s="52">
        <f t="shared" si="1"/>
        <v>0</v>
      </c>
      <c r="K15" s="51"/>
      <c r="L15" s="52">
        <f t="shared" si="2"/>
        <v>0</v>
      </c>
      <c r="M15" s="51"/>
      <c r="N15" s="52">
        <f t="shared" si="3"/>
        <v>0</v>
      </c>
      <c r="O15" s="14"/>
    </row>
    <row r="16" spans="1:15" x14ac:dyDescent="0.3">
      <c r="A16" s="18">
        <v>11</v>
      </c>
      <c r="B16" s="19"/>
      <c r="C16" s="19"/>
      <c r="D16" s="37"/>
      <c r="E16" s="37"/>
      <c r="F16" s="21"/>
      <c r="G16" s="51"/>
      <c r="H16" s="52">
        <f t="shared" si="0"/>
        <v>0</v>
      </c>
      <c r="I16" s="51"/>
      <c r="J16" s="52">
        <f t="shared" si="1"/>
        <v>0</v>
      </c>
      <c r="K16" s="51"/>
      <c r="L16" s="52">
        <f t="shared" si="2"/>
        <v>0</v>
      </c>
      <c r="M16" s="51"/>
      <c r="N16" s="52">
        <f t="shared" si="3"/>
        <v>0</v>
      </c>
      <c r="O16" s="14"/>
    </row>
    <row r="17" spans="1:15" x14ac:dyDescent="0.3">
      <c r="A17" s="18">
        <v>12</v>
      </c>
      <c r="B17" s="19"/>
      <c r="C17" s="19"/>
      <c r="D17" s="37"/>
      <c r="E17" s="37"/>
      <c r="F17" s="21"/>
      <c r="G17" s="51"/>
      <c r="H17" s="52">
        <f t="shared" si="0"/>
        <v>0</v>
      </c>
      <c r="I17" s="51"/>
      <c r="J17" s="52">
        <f t="shared" si="1"/>
        <v>0</v>
      </c>
      <c r="K17" s="51"/>
      <c r="L17" s="52">
        <f t="shared" si="2"/>
        <v>0</v>
      </c>
      <c r="M17" s="51"/>
      <c r="N17" s="52">
        <f t="shared" si="3"/>
        <v>0</v>
      </c>
      <c r="O17" s="14"/>
    </row>
    <row r="18" spans="1:15" x14ac:dyDescent="0.3">
      <c r="A18" s="18">
        <v>13</v>
      </c>
      <c r="B18" s="19"/>
      <c r="C18" s="19"/>
      <c r="D18" s="37"/>
      <c r="E18" s="37"/>
      <c r="F18" s="21"/>
      <c r="G18" s="51"/>
      <c r="H18" s="52">
        <f>G18</f>
        <v>0</v>
      </c>
      <c r="I18" s="51"/>
      <c r="J18" s="52">
        <f>I18</f>
        <v>0</v>
      </c>
      <c r="K18" s="51"/>
      <c r="L18" s="52">
        <f>K18</f>
        <v>0</v>
      </c>
      <c r="M18" s="51"/>
      <c r="N18" s="52">
        <f>M18</f>
        <v>0</v>
      </c>
      <c r="O18" s="14"/>
    </row>
    <row r="19" spans="1:15" x14ac:dyDescent="0.3">
      <c r="A19" s="18">
        <v>14</v>
      </c>
      <c r="B19" s="19"/>
      <c r="C19" s="19"/>
      <c r="D19" s="37"/>
      <c r="E19" s="37"/>
      <c r="F19" s="21"/>
      <c r="G19" s="51"/>
      <c r="H19" s="52">
        <f t="shared" si="0"/>
        <v>0</v>
      </c>
      <c r="I19" s="51"/>
      <c r="J19" s="52">
        <f t="shared" si="1"/>
        <v>0</v>
      </c>
      <c r="K19" s="51"/>
      <c r="L19" s="52">
        <f t="shared" si="2"/>
        <v>0</v>
      </c>
      <c r="M19" s="51"/>
      <c r="N19" s="52">
        <f t="shared" si="3"/>
        <v>0</v>
      </c>
      <c r="O19" s="14"/>
    </row>
    <row r="20" spans="1:15" x14ac:dyDescent="0.3">
      <c r="A20" s="18">
        <v>15</v>
      </c>
      <c r="B20" s="19"/>
      <c r="C20" s="19"/>
      <c r="D20" s="37"/>
      <c r="E20" s="37"/>
      <c r="F20" s="21"/>
      <c r="G20" s="51"/>
      <c r="H20" s="52">
        <f t="shared" si="0"/>
        <v>0</v>
      </c>
      <c r="I20" s="51"/>
      <c r="J20" s="52">
        <f t="shared" si="1"/>
        <v>0</v>
      </c>
      <c r="K20" s="51"/>
      <c r="L20" s="52">
        <f t="shared" si="2"/>
        <v>0</v>
      </c>
      <c r="M20" s="51"/>
      <c r="N20" s="52">
        <f t="shared" si="3"/>
        <v>0</v>
      </c>
      <c r="O20" s="14"/>
    </row>
    <row r="21" spans="1:15" x14ac:dyDescent="0.3">
      <c r="A21" s="18">
        <v>16</v>
      </c>
      <c r="B21" s="19"/>
      <c r="C21" s="19"/>
      <c r="D21" s="37"/>
      <c r="E21" s="37"/>
      <c r="F21" s="21"/>
      <c r="G21" s="51"/>
      <c r="H21" s="52">
        <f t="shared" si="0"/>
        <v>0</v>
      </c>
      <c r="I21" s="51"/>
      <c r="J21" s="52">
        <f t="shared" si="1"/>
        <v>0</v>
      </c>
      <c r="K21" s="51"/>
      <c r="L21" s="52">
        <f t="shared" si="2"/>
        <v>0</v>
      </c>
      <c r="M21" s="51"/>
      <c r="N21" s="52">
        <f t="shared" si="3"/>
        <v>0</v>
      </c>
      <c r="O21" s="14"/>
    </row>
    <row r="22" spans="1:15" x14ac:dyDescent="0.3">
      <c r="A22" s="18">
        <v>17</v>
      </c>
      <c r="B22" s="19"/>
      <c r="C22" s="19"/>
      <c r="D22" s="37"/>
      <c r="E22" s="37"/>
      <c r="F22" s="21"/>
      <c r="G22" s="51"/>
      <c r="H22" s="52">
        <f t="shared" si="0"/>
        <v>0</v>
      </c>
      <c r="I22" s="51"/>
      <c r="J22" s="52">
        <f t="shared" si="1"/>
        <v>0</v>
      </c>
      <c r="K22" s="51"/>
      <c r="L22" s="52">
        <f t="shared" si="2"/>
        <v>0</v>
      </c>
      <c r="M22" s="51"/>
      <c r="N22" s="52">
        <f t="shared" si="3"/>
        <v>0</v>
      </c>
      <c r="O22" s="14"/>
    </row>
    <row r="23" spans="1:15" x14ac:dyDescent="0.3">
      <c r="A23" s="18">
        <v>18</v>
      </c>
      <c r="B23" s="19"/>
      <c r="C23" s="19"/>
      <c r="D23" s="37"/>
      <c r="E23" s="37"/>
      <c r="F23" s="21"/>
      <c r="G23" s="51"/>
      <c r="H23" s="52">
        <f t="shared" si="0"/>
        <v>0</v>
      </c>
      <c r="I23" s="51"/>
      <c r="J23" s="52">
        <f t="shared" si="1"/>
        <v>0</v>
      </c>
      <c r="K23" s="51"/>
      <c r="L23" s="52">
        <f t="shared" si="2"/>
        <v>0</v>
      </c>
      <c r="M23" s="51"/>
      <c r="N23" s="52">
        <f t="shared" si="3"/>
        <v>0</v>
      </c>
      <c r="O23" s="14"/>
    </row>
    <row r="24" spans="1:15" x14ac:dyDescent="0.3">
      <c r="A24" s="18">
        <v>19</v>
      </c>
      <c r="B24" s="19"/>
      <c r="C24" s="19"/>
      <c r="D24" s="37"/>
      <c r="E24" s="37"/>
      <c r="F24" s="21"/>
      <c r="G24" s="51"/>
      <c r="H24" s="52">
        <f t="shared" si="0"/>
        <v>0</v>
      </c>
      <c r="I24" s="51"/>
      <c r="J24" s="52">
        <f t="shared" si="1"/>
        <v>0</v>
      </c>
      <c r="K24" s="51"/>
      <c r="L24" s="52">
        <f t="shared" si="2"/>
        <v>0</v>
      </c>
      <c r="M24" s="51"/>
      <c r="N24" s="52">
        <f t="shared" si="3"/>
        <v>0</v>
      </c>
      <c r="O24" s="14"/>
    </row>
    <row r="25" spans="1:15" x14ac:dyDescent="0.3">
      <c r="A25" s="18">
        <v>20</v>
      </c>
      <c r="B25" s="19"/>
      <c r="C25" s="19"/>
      <c r="D25" s="37"/>
      <c r="E25" s="37"/>
      <c r="F25" s="21"/>
      <c r="G25" s="51"/>
      <c r="H25" s="52">
        <f t="shared" si="0"/>
        <v>0</v>
      </c>
      <c r="I25" s="51"/>
      <c r="J25" s="52">
        <f t="shared" si="1"/>
        <v>0</v>
      </c>
      <c r="K25" s="51"/>
      <c r="L25" s="52">
        <f t="shared" si="2"/>
        <v>0</v>
      </c>
      <c r="M25" s="51"/>
      <c r="N25" s="52">
        <f t="shared" si="3"/>
        <v>0</v>
      </c>
      <c r="O25" s="14"/>
    </row>
    <row r="26" spans="1:15" x14ac:dyDescent="0.3">
      <c r="A26" s="18">
        <v>21</v>
      </c>
      <c r="B26" s="19"/>
      <c r="C26" s="19"/>
      <c r="D26" s="37"/>
      <c r="E26" s="37"/>
      <c r="F26" s="21"/>
      <c r="G26" s="51"/>
      <c r="H26" s="52">
        <f t="shared" si="0"/>
        <v>0</v>
      </c>
      <c r="I26" s="51"/>
      <c r="J26" s="52">
        <f t="shared" si="1"/>
        <v>0</v>
      </c>
      <c r="K26" s="51"/>
      <c r="L26" s="52">
        <f t="shared" si="2"/>
        <v>0</v>
      </c>
      <c r="M26" s="51"/>
      <c r="N26" s="52">
        <f t="shared" si="3"/>
        <v>0</v>
      </c>
      <c r="O26" s="14"/>
    </row>
    <row r="27" spans="1:15" x14ac:dyDescent="0.3">
      <c r="A27" s="18">
        <v>22</v>
      </c>
      <c r="B27" s="19"/>
      <c r="C27" s="19"/>
      <c r="D27" s="37"/>
      <c r="E27" s="37"/>
      <c r="F27" s="21"/>
      <c r="G27" s="51"/>
      <c r="H27" s="52">
        <f t="shared" si="0"/>
        <v>0</v>
      </c>
      <c r="I27" s="51"/>
      <c r="J27" s="52">
        <f t="shared" si="1"/>
        <v>0</v>
      </c>
      <c r="K27" s="51"/>
      <c r="L27" s="52">
        <f t="shared" si="2"/>
        <v>0</v>
      </c>
      <c r="M27" s="51"/>
      <c r="N27" s="52">
        <f t="shared" si="3"/>
        <v>0</v>
      </c>
      <c r="O27" s="14"/>
    </row>
    <row r="28" spans="1:15" x14ac:dyDescent="0.3">
      <c r="A28" s="18">
        <v>23</v>
      </c>
      <c r="B28" s="19"/>
      <c r="C28" s="19"/>
      <c r="D28" s="37"/>
      <c r="E28" s="37"/>
      <c r="F28" s="21"/>
      <c r="G28" s="51"/>
      <c r="H28" s="52">
        <f t="shared" si="0"/>
        <v>0</v>
      </c>
      <c r="I28" s="51"/>
      <c r="J28" s="52">
        <f t="shared" si="1"/>
        <v>0</v>
      </c>
      <c r="K28" s="51"/>
      <c r="L28" s="52">
        <f t="shared" si="2"/>
        <v>0</v>
      </c>
      <c r="M28" s="51"/>
      <c r="N28" s="52">
        <f t="shared" si="3"/>
        <v>0</v>
      </c>
      <c r="O28" s="14"/>
    </row>
    <row r="29" spans="1:15" x14ac:dyDescent="0.3">
      <c r="A29" s="18">
        <v>24</v>
      </c>
      <c r="B29" s="19"/>
      <c r="C29" s="19"/>
      <c r="D29" s="37"/>
      <c r="E29" s="37"/>
      <c r="F29" s="21"/>
      <c r="G29" s="51"/>
      <c r="H29" s="52">
        <f t="shared" si="0"/>
        <v>0</v>
      </c>
      <c r="I29" s="51"/>
      <c r="J29" s="52">
        <f t="shared" si="1"/>
        <v>0</v>
      </c>
      <c r="K29" s="51"/>
      <c r="L29" s="52">
        <f t="shared" si="2"/>
        <v>0</v>
      </c>
      <c r="M29" s="51"/>
      <c r="N29" s="52">
        <f t="shared" si="3"/>
        <v>0</v>
      </c>
      <c r="O29" s="14"/>
    </row>
    <row r="30" spans="1:15" x14ac:dyDescent="0.3">
      <c r="A30" s="18">
        <v>25</v>
      </c>
      <c r="B30" s="19"/>
      <c r="C30" s="19"/>
      <c r="D30" s="37"/>
      <c r="E30" s="37"/>
      <c r="F30" s="21"/>
      <c r="G30" s="51"/>
      <c r="H30" s="52">
        <f>G30</f>
        <v>0</v>
      </c>
      <c r="I30" s="51"/>
      <c r="J30" s="52">
        <f>I30</f>
        <v>0</v>
      </c>
      <c r="K30" s="51"/>
      <c r="L30" s="52">
        <f>K30</f>
        <v>0</v>
      </c>
      <c r="M30" s="51"/>
      <c r="N30" s="52">
        <f>M30</f>
        <v>0</v>
      </c>
      <c r="O30" s="14"/>
    </row>
    <row r="32" spans="1:15" x14ac:dyDescent="0.3">
      <c r="A32" s="15" t="s">
        <v>479</v>
      </c>
      <c r="B32" s="16"/>
      <c r="C32" s="16"/>
      <c r="D32" s="16"/>
      <c r="E32" s="16"/>
      <c r="F32" s="16"/>
      <c r="G32" s="16"/>
      <c r="H32" s="16"/>
      <c r="I32" s="16"/>
      <c r="J32" s="16"/>
      <c r="K32" s="16"/>
      <c r="L32" s="16"/>
      <c r="M32" s="16"/>
      <c r="N32" s="16"/>
      <c r="O32" s="16"/>
    </row>
    <row r="33" spans="1:14" x14ac:dyDescent="0.3">
      <c r="A33" s="17" t="s">
        <v>461</v>
      </c>
      <c r="B33" s="17" t="s">
        <v>462</v>
      </c>
      <c r="C33" s="17" t="s">
        <v>286</v>
      </c>
      <c r="D33" s="17" t="s">
        <v>383</v>
      </c>
      <c r="E33" s="17" t="s">
        <v>384</v>
      </c>
      <c r="F33" s="17" t="s">
        <v>385</v>
      </c>
      <c r="G33" s="17" t="s">
        <v>386</v>
      </c>
      <c r="H33" s="17" t="s">
        <v>387</v>
      </c>
      <c r="I33" s="17" t="s">
        <v>388</v>
      </c>
      <c r="J33" s="17" t="s">
        <v>389</v>
      </c>
      <c r="K33" s="17" t="s">
        <v>390</v>
      </c>
      <c r="L33" s="17" t="s">
        <v>391</v>
      </c>
      <c r="M33" s="17" t="s">
        <v>392</v>
      </c>
      <c r="N33" s="17" t="s">
        <v>480</v>
      </c>
    </row>
    <row r="34" spans="1:14" x14ac:dyDescent="0.3">
      <c r="A34" s="18">
        <v>1</v>
      </c>
      <c r="B34" s="53" t="str">
        <f t="shared" ref="B34:C58" si="4">IF(B6="","",B6)</f>
        <v>Gabinetes metálicos 153 kg</v>
      </c>
      <c r="C34" s="53" t="str">
        <f t="shared" si="4"/>
        <v>u</v>
      </c>
      <c r="D34" s="37">
        <v>12000</v>
      </c>
      <c r="E34" s="37">
        <v>15000</v>
      </c>
      <c r="F34" s="37">
        <v>18000</v>
      </c>
      <c r="G34" s="37">
        <v>21000</v>
      </c>
      <c r="H34" s="37">
        <v>21000</v>
      </c>
      <c r="I34" s="37">
        <v>21000</v>
      </c>
      <c r="J34" s="37">
        <v>21000</v>
      </c>
      <c r="K34" s="37">
        <v>21000</v>
      </c>
      <c r="L34" s="37">
        <v>21000</v>
      </c>
      <c r="M34" s="37">
        <v>21000</v>
      </c>
      <c r="N34" s="22">
        <f t="shared" ref="N34:N58" si="5">SUM(D34:M34)</f>
        <v>192000</v>
      </c>
    </row>
    <row r="35" spans="1:14" x14ac:dyDescent="0.3">
      <c r="A35" s="18">
        <v>2</v>
      </c>
      <c r="B35" s="53" t="str">
        <f t="shared" si="4"/>
        <v>Cajas metálicas 13 kg</v>
      </c>
      <c r="C35" s="53" t="str">
        <f t="shared" si="4"/>
        <v>u</v>
      </c>
      <c r="D35" s="37">
        <v>70000</v>
      </c>
      <c r="E35" s="37">
        <v>90000</v>
      </c>
      <c r="F35" s="37">
        <v>110000</v>
      </c>
      <c r="G35" s="37">
        <v>120000</v>
      </c>
      <c r="H35" s="37">
        <v>120000</v>
      </c>
      <c r="I35" s="37">
        <v>120000</v>
      </c>
      <c r="J35" s="37">
        <v>120000</v>
      </c>
      <c r="K35" s="37">
        <v>120000</v>
      </c>
      <c r="L35" s="37">
        <v>120000</v>
      </c>
      <c r="M35" s="37">
        <v>120000</v>
      </c>
      <c r="N35" s="22">
        <f t="shared" si="5"/>
        <v>1110000</v>
      </c>
    </row>
    <row r="36" spans="1:14" x14ac:dyDescent="0.3">
      <c r="A36" s="18">
        <v>3</v>
      </c>
      <c r="B36" s="53" t="str">
        <f t="shared" si="4"/>
        <v/>
      </c>
      <c r="C36" s="53" t="str">
        <f t="shared" si="4"/>
        <v/>
      </c>
      <c r="D36" s="37"/>
      <c r="E36" s="37"/>
      <c r="F36" s="37"/>
      <c r="G36" s="37"/>
      <c r="H36" s="37"/>
      <c r="I36" s="37"/>
      <c r="J36" s="37"/>
      <c r="K36" s="37"/>
      <c r="L36" s="37"/>
      <c r="M36" s="37"/>
      <c r="N36" s="22">
        <f t="shared" si="5"/>
        <v>0</v>
      </c>
    </row>
    <row r="37" spans="1:14" x14ac:dyDescent="0.3">
      <c r="A37" s="18">
        <v>4</v>
      </c>
      <c r="B37" s="53" t="str">
        <f t="shared" si="4"/>
        <v/>
      </c>
      <c r="C37" s="53" t="str">
        <f t="shared" si="4"/>
        <v/>
      </c>
      <c r="D37" s="37"/>
      <c r="E37" s="37"/>
      <c r="F37" s="37"/>
      <c r="G37" s="37"/>
      <c r="H37" s="37"/>
      <c r="I37" s="37"/>
      <c r="J37" s="37"/>
      <c r="K37" s="37"/>
      <c r="L37" s="37"/>
      <c r="M37" s="37"/>
      <c r="N37" s="22">
        <f t="shared" si="5"/>
        <v>0</v>
      </c>
    </row>
    <row r="38" spans="1:14" x14ac:dyDescent="0.3">
      <c r="A38" s="18">
        <v>5</v>
      </c>
      <c r="B38" s="53" t="str">
        <f t="shared" si="4"/>
        <v/>
      </c>
      <c r="C38" s="53" t="str">
        <f t="shared" si="4"/>
        <v/>
      </c>
      <c r="D38" s="37"/>
      <c r="E38" s="37"/>
      <c r="F38" s="37"/>
      <c r="G38" s="37"/>
      <c r="H38" s="37"/>
      <c r="I38" s="37"/>
      <c r="J38" s="37"/>
      <c r="K38" s="37"/>
      <c r="L38" s="37"/>
      <c r="M38" s="37"/>
      <c r="N38" s="22">
        <f t="shared" si="5"/>
        <v>0</v>
      </c>
    </row>
    <row r="39" spans="1:14" x14ac:dyDescent="0.3">
      <c r="A39" s="18">
        <v>6</v>
      </c>
      <c r="B39" s="53" t="str">
        <f t="shared" si="4"/>
        <v/>
      </c>
      <c r="C39" s="53" t="str">
        <f t="shared" si="4"/>
        <v/>
      </c>
      <c r="D39" s="37"/>
      <c r="E39" s="37"/>
      <c r="F39" s="37"/>
      <c r="G39" s="37"/>
      <c r="H39" s="37"/>
      <c r="I39" s="37"/>
      <c r="J39" s="37"/>
      <c r="K39" s="37"/>
      <c r="L39" s="37"/>
      <c r="M39" s="37"/>
      <c r="N39" s="22">
        <f t="shared" si="5"/>
        <v>0</v>
      </c>
    </row>
    <row r="40" spans="1:14" x14ac:dyDescent="0.3">
      <c r="A40" s="18">
        <v>7</v>
      </c>
      <c r="B40" s="53" t="str">
        <f t="shared" si="4"/>
        <v/>
      </c>
      <c r="C40" s="53" t="str">
        <f t="shared" si="4"/>
        <v/>
      </c>
      <c r="D40" s="37"/>
      <c r="E40" s="37"/>
      <c r="F40" s="37"/>
      <c r="G40" s="37"/>
      <c r="H40" s="37"/>
      <c r="I40" s="37"/>
      <c r="J40" s="37"/>
      <c r="K40" s="37"/>
      <c r="L40" s="37"/>
      <c r="M40" s="37"/>
      <c r="N40" s="22">
        <f t="shared" si="5"/>
        <v>0</v>
      </c>
    </row>
    <row r="41" spans="1:14" x14ac:dyDescent="0.3">
      <c r="A41" s="18">
        <v>8</v>
      </c>
      <c r="B41" s="53" t="str">
        <f t="shared" si="4"/>
        <v/>
      </c>
      <c r="C41" s="53" t="str">
        <f t="shared" si="4"/>
        <v/>
      </c>
      <c r="D41" s="37"/>
      <c r="E41" s="37"/>
      <c r="F41" s="37"/>
      <c r="G41" s="37"/>
      <c r="H41" s="37"/>
      <c r="I41" s="37"/>
      <c r="J41" s="37"/>
      <c r="K41" s="37"/>
      <c r="L41" s="37"/>
      <c r="M41" s="37"/>
      <c r="N41" s="22">
        <f t="shared" si="5"/>
        <v>0</v>
      </c>
    </row>
    <row r="42" spans="1:14" x14ac:dyDescent="0.3">
      <c r="A42" s="18">
        <v>9</v>
      </c>
      <c r="B42" s="53" t="str">
        <f t="shared" si="4"/>
        <v/>
      </c>
      <c r="C42" s="53" t="str">
        <f t="shared" si="4"/>
        <v/>
      </c>
      <c r="D42" s="37"/>
      <c r="E42" s="37"/>
      <c r="F42" s="37"/>
      <c r="G42" s="37"/>
      <c r="H42" s="37"/>
      <c r="I42" s="37"/>
      <c r="J42" s="37"/>
      <c r="K42" s="37"/>
      <c r="L42" s="37"/>
      <c r="M42" s="37"/>
      <c r="N42" s="22">
        <f t="shared" si="5"/>
        <v>0</v>
      </c>
    </row>
    <row r="43" spans="1:14" x14ac:dyDescent="0.3">
      <c r="A43" s="18">
        <v>10</v>
      </c>
      <c r="B43" s="53" t="str">
        <f t="shared" si="4"/>
        <v/>
      </c>
      <c r="C43" s="53" t="str">
        <f t="shared" si="4"/>
        <v/>
      </c>
      <c r="D43" s="37"/>
      <c r="E43" s="37"/>
      <c r="F43" s="37"/>
      <c r="G43" s="37"/>
      <c r="H43" s="37"/>
      <c r="I43" s="37"/>
      <c r="J43" s="37"/>
      <c r="K43" s="37"/>
      <c r="L43" s="37"/>
      <c r="M43" s="37"/>
      <c r="N43" s="22">
        <f t="shared" si="5"/>
        <v>0</v>
      </c>
    </row>
    <row r="44" spans="1:14" x14ac:dyDescent="0.3">
      <c r="A44" s="18">
        <v>11</v>
      </c>
      <c r="B44" s="53" t="str">
        <f t="shared" si="4"/>
        <v/>
      </c>
      <c r="C44" s="53" t="str">
        <f t="shared" si="4"/>
        <v/>
      </c>
      <c r="D44" s="37"/>
      <c r="E44" s="37"/>
      <c r="F44" s="37"/>
      <c r="G44" s="37"/>
      <c r="H44" s="37"/>
      <c r="I44" s="37"/>
      <c r="J44" s="37"/>
      <c r="K44" s="37"/>
      <c r="L44" s="37"/>
      <c r="M44" s="37"/>
      <c r="N44" s="22">
        <f t="shared" si="5"/>
        <v>0</v>
      </c>
    </row>
    <row r="45" spans="1:14" x14ac:dyDescent="0.3">
      <c r="A45" s="18">
        <v>12</v>
      </c>
      <c r="B45" s="53" t="str">
        <f t="shared" si="4"/>
        <v/>
      </c>
      <c r="C45" s="53" t="str">
        <f t="shared" si="4"/>
        <v/>
      </c>
      <c r="D45" s="37"/>
      <c r="E45" s="37"/>
      <c r="F45" s="37"/>
      <c r="G45" s="37"/>
      <c r="H45" s="37"/>
      <c r="I45" s="37"/>
      <c r="J45" s="37"/>
      <c r="K45" s="37"/>
      <c r="L45" s="37"/>
      <c r="M45" s="37"/>
      <c r="N45" s="22">
        <f t="shared" si="5"/>
        <v>0</v>
      </c>
    </row>
    <row r="46" spans="1:14" x14ac:dyDescent="0.3">
      <c r="A46" s="18">
        <v>13</v>
      </c>
      <c r="B46" s="53" t="str">
        <f t="shared" si="4"/>
        <v/>
      </c>
      <c r="C46" s="53" t="str">
        <f t="shared" si="4"/>
        <v/>
      </c>
      <c r="D46" s="37"/>
      <c r="E46" s="37"/>
      <c r="F46" s="37"/>
      <c r="G46" s="37"/>
      <c r="H46" s="37"/>
      <c r="I46" s="37"/>
      <c r="J46" s="37"/>
      <c r="K46" s="37"/>
      <c r="L46" s="37"/>
      <c r="M46" s="37"/>
      <c r="N46" s="22">
        <f t="shared" si="5"/>
        <v>0</v>
      </c>
    </row>
    <row r="47" spans="1:14" x14ac:dyDescent="0.3">
      <c r="A47" s="18">
        <v>14</v>
      </c>
      <c r="B47" s="53" t="str">
        <f t="shared" si="4"/>
        <v/>
      </c>
      <c r="C47" s="53" t="str">
        <f t="shared" si="4"/>
        <v/>
      </c>
      <c r="D47" s="37"/>
      <c r="E47" s="37"/>
      <c r="F47" s="37"/>
      <c r="G47" s="37"/>
      <c r="H47" s="37"/>
      <c r="I47" s="37"/>
      <c r="J47" s="37"/>
      <c r="K47" s="37"/>
      <c r="L47" s="37"/>
      <c r="M47" s="37"/>
      <c r="N47" s="22">
        <f t="shared" si="5"/>
        <v>0</v>
      </c>
    </row>
    <row r="48" spans="1:14" x14ac:dyDescent="0.3">
      <c r="A48" s="18">
        <v>15</v>
      </c>
      <c r="B48" s="53" t="str">
        <f t="shared" si="4"/>
        <v/>
      </c>
      <c r="C48" s="53" t="str">
        <f t="shared" si="4"/>
        <v/>
      </c>
      <c r="D48" s="37"/>
      <c r="E48" s="37"/>
      <c r="F48" s="37"/>
      <c r="G48" s="37"/>
      <c r="H48" s="37"/>
      <c r="I48" s="37"/>
      <c r="J48" s="37"/>
      <c r="K48" s="37"/>
      <c r="L48" s="37"/>
      <c r="M48" s="37"/>
      <c r="N48" s="22">
        <f t="shared" si="5"/>
        <v>0</v>
      </c>
    </row>
    <row r="49" spans="1:15" x14ac:dyDescent="0.3">
      <c r="A49" s="18">
        <v>16</v>
      </c>
      <c r="B49" s="53" t="str">
        <f t="shared" si="4"/>
        <v/>
      </c>
      <c r="C49" s="53" t="str">
        <f t="shared" si="4"/>
        <v/>
      </c>
      <c r="D49" s="37"/>
      <c r="E49" s="37"/>
      <c r="F49" s="37"/>
      <c r="G49" s="37"/>
      <c r="H49" s="37"/>
      <c r="I49" s="37"/>
      <c r="J49" s="37"/>
      <c r="K49" s="37"/>
      <c r="L49" s="37"/>
      <c r="M49" s="37"/>
      <c r="N49" s="22">
        <f t="shared" si="5"/>
        <v>0</v>
      </c>
    </row>
    <row r="50" spans="1:15" x14ac:dyDescent="0.3">
      <c r="A50" s="18">
        <v>17</v>
      </c>
      <c r="B50" s="53" t="str">
        <f t="shared" si="4"/>
        <v/>
      </c>
      <c r="C50" s="53" t="str">
        <f t="shared" si="4"/>
        <v/>
      </c>
      <c r="D50" s="37"/>
      <c r="E50" s="37"/>
      <c r="F50" s="37"/>
      <c r="G50" s="37"/>
      <c r="H50" s="37"/>
      <c r="I50" s="37"/>
      <c r="J50" s="37"/>
      <c r="K50" s="37"/>
      <c r="L50" s="37"/>
      <c r="M50" s="37"/>
      <c r="N50" s="22">
        <f t="shared" si="5"/>
        <v>0</v>
      </c>
    </row>
    <row r="51" spans="1:15" x14ac:dyDescent="0.3">
      <c r="A51" s="18">
        <v>18</v>
      </c>
      <c r="B51" s="53" t="str">
        <f t="shared" si="4"/>
        <v/>
      </c>
      <c r="C51" s="53" t="str">
        <f t="shared" si="4"/>
        <v/>
      </c>
      <c r="D51" s="37"/>
      <c r="E51" s="37"/>
      <c r="F51" s="37"/>
      <c r="G51" s="37"/>
      <c r="H51" s="37"/>
      <c r="I51" s="37"/>
      <c r="J51" s="37"/>
      <c r="K51" s="37"/>
      <c r="L51" s="37"/>
      <c r="M51" s="37"/>
      <c r="N51" s="22">
        <f t="shared" si="5"/>
        <v>0</v>
      </c>
    </row>
    <row r="52" spans="1:15" x14ac:dyDescent="0.3">
      <c r="A52" s="18">
        <v>19</v>
      </c>
      <c r="B52" s="53" t="str">
        <f t="shared" si="4"/>
        <v/>
      </c>
      <c r="C52" s="53" t="str">
        <f t="shared" si="4"/>
        <v/>
      </c>
      <c r="D52" s="37"/>
      <c r="E52" s="37"/>
      <c r="F52" s="37"/>
      <c r="G52" s="37"/>
      <c r="H52" s="37"/>
      <c r="I52" s="37"/>
      <c r="J52" s="37"/>
      <c r="K52" s="37"/>
      <c r="L52" s="37"/>
      <c r="M52" s="37"/>
      <c r="N52" s="22">
        <f t="shared" si="5"/>
        <v>0</v>
      </c>
    </row>
    <row r="53" spans="1:15" x14ac:dyDescent="0.3">
      <c r="A53" s="18">
        <v>20</v>
      </c>
      <c r="B53" s="53" t="str">
        <f t="shared" si="4"/>
        <v/>
      </c>
      <c r="C53" s="53" t="str">
        <f t="shared" si="4"/>
        <v/>
      </c>
      <c r="D53" s="37"/>
      <c r="E53" s="37"/>
      <c r="F53" s="37"/>
      <c r="G53" s="37"/>
      <c r="H53" s="37"/>
      <c r="I53" s="37"/>
      <c r="J53" s="37"/>
      <c r="K53" s="37"/>
      <c r="L53" s="37"/>
      <c r="M53" s="37"/>
      <c r="N53" s="22">
        <f t="shared" si="5"/>
        <v>0</v>
      </c>
    </row>
    <row r="54" spans="1:15" x14ac:dyDescent="0.3">
      <c r="A54" s="18">
        <v>21</v>
      </c>
      <c r="B54" s="53" t="str">
        <f t="shared" si="4"/>
        <v/>
      </c>
      <c r="C54" s="53" t="str">
        <f t="shared" si="4"/>
        <v/>
      </c>
      <c r="D54" s="37"/>
      <c r="E54" s="37"/>
      <c r="F54" s="37"/>
      <c r="G54" s="37"/>
      <c r="H54" s="37"/>
      <c r="I54" s="37"/>
      <c r="J54" s="37"/>
      <c r="K54" s="37"/>
      <c r="L54" s="37"/>
      <c r="M54" s="37"/>
      <c r="N54" s="22">
        <f t="shared" si="5"/>
        <v>0</v>
      </c>
    </row>
    <row r="55" spans="1:15" x14ac:dyDescent="0.3">
      <c r="A55" s="18">
        <v>22</v>
      </c>
      <c r="B55" s="53" t="str">
        <f t="shared" si="4"/>
        <v/>
      </c>
      <c r="C55" s="53" t="str">
        <f t="shared" si="4"/>
        <v/>
      </c>
      <c r="D55" s="37"/>
      <c r="E55" s="37"/>
      <c r="F55" s="37"/>
      <c r="G55" s="37"/>
      <c r="H55" s="37"/>
      <c r="I55" s="37"/>
      <c r="J55" s="37"/>
      <c r="K55" s="37"/>
      <c r="L55" s="37"/>
      <c r="M55" s="37"/>
      <c r="N55" s="22">
        <f t="shared" si="5"/>
        <v>0</v>
      </c>
    </row>
    <row r="56" spans="1:15" x14ac:dyDescent="0.3">
      <c r="A56" s="18">
        <v>23</v>
      </c>
      <c r="B56" s="53" t="str">
        <f t="shared" si="4"/>
        <v/>
      </c>
      <c r="C56" s="53" t="str">
        <f t="shared" si="4"/>
        <v/>
      </c>
      <c r="D56" s="37"/>
      <c r="E56" s="37"/>
      <c r="F56" s="37"/>
      <c r="G56" s="37"/>
      <c r="H56" s="37"/>
      <c r="I56" s="37"/>
      <c r="J56" s="37"/>
      <c r="K56" s="37"/>
      <c r="L56" s="37"/>
      <c r="M56" s="37"/>
      <c r="N56" s="22">
        <f t="shared" si="5"/>
        <v>0</v>
      </c>
    </row>
    <row r="57" spans="1:15" x14ac:dyDescent="0.3">
      <c r="A57" s="18">
        <v>24</v>
      </c>
      <c r="B57" s="53" t="str">
        <f t="shared" si="4"/>
        <v/>
      </c>
      <c r="C57" s="53" t="str">
        <f t="shared" si="4"/>
        <v/>
      </c>
      <c r="D57" s="37"/>
      <c r="E57" s="37"/>
      <c r="F57" s="37"/>
      <c r="G57" s="37"/>
      <c r="H57" s="37"/>
      <c r="I57" s="37"/>
      <c r="J57" s="37"/>
      <c r="K57" s="37"/>
      <c r="L57" s="37"/>
      <c r="M57" s="37"/>
      <c r="N57" s="22">
        <f t="shared" si="5"/>
        <v>0</v>
      </c>
    </row>
    <row r="58" spans="1:15" x14ac:dyDescent="0.3">
      <c r="A58" s="18">
        <v>25</v>
      </c>
      <c r="B58" s="53" t="str">
        <f t="shared" si="4"/>
        <v/>
      </c>
      <c r="C58" s="53" t="str">
        <f t="shared" si="4"/>
        <v/>
      </c>
      <c r="D58" s="37"/>
      <c r="E58" s="37"/>
      <c r="F58" s="37"/>
      <c r="G58" s="37"/>
      <c r="H58" s="37"/>
      <c r="I58" s="37"/>
      <c r="J58" s="37"/>
      <c r="K58" s="37"/>
      <c r="L58" s="37"/>
      <c r="M58" s="37"/>
      <c r="N58" s="22">
        <f t="shared" si="5"/>
        <v>0</v>
      </c>
    </row>
    <row r="59" spans="1:15" x14ac:dyDescent="0.3">
      <c r="B59" s="23" t="s">
        <v>480</v>
      </c>
      <c r="D59" s="54">
        <f t="shared" ref="D59:N59" si="6">SUM(D34:D58)</f>
        <v>82000</v>
      </c>
      <c r="E59" s="54">
        <f t="shared" si="6"/>
        <v>105000</v>
      </c>
      <c r="F59" s="54">
        <f t="shared" si="6"/>
        <v>128000</v>
      </c>
      <c r="G59" s="54">
        <f t="shared" si="6"/>
        <v>141000</v>
      </c>
      <c r="H59" s="54">
        <f t="shared" si="6"/>
        <v>141000</v>
      </c>
      <c r="I59" s="54">
        <f t="shared" si="6"/>
        <v>141000</v>
      </c>
      <c r="J59" s="54">
        <f t="shared" si="6"/>
        <v>141000</v>
      </c>
      <c r="K59" s="54">
        <f t="shared" si="6"/>
        <v>141000</v>
      </c>
      <c r="L59" s="54">
        <f t="shared" si="6"/>
        <v>141000</v>
      </c>
      <c r="M59" s="54">
        <f t="shared" si="6"/>
        <v>141000</v>
      </c>
      <c r="N59" s="54">
        <f t="shared" si="6"/>
        <v>1302000</v>
      </c>
    </row>
    <row r="61" spans="1:15" x14ac:dyDescent="0.3">
      <c r="A61" s="15" t="s">
        <v>481</v>
      </c>
      <c r="B61" s="16"/>
      <c r="C61" s="16"/>
      <c r="D61" s="16"/>
      <c r="E61" s="16"/>
      <c r="F61" s="16"/>
      <c r="G61" s="16"/>
      <c r="H61" s="16"/>
      <c r="I61" s="16"/>
      <c r="J61" s="16"/>
      <c r="K61" s="16"/>
      <c r="L61" s="16"/>
      <c r="M61" s="16"/>
      <c r="N61" s="16"/>
      <c r="O61" s="16"/>
    </row>
    <row r="62" spans="1:15" x14ac:dyDescent="0.3">
      <c r="A62" s="17" t="s">
        <v>461</v>
      </c>
      <c r="B62" s="17" t="s">
        <v>462</v>
      </c>
      <c r="C62" s="17" t="s">
        <v>286</v>
      </c>
      <c r="D62" s="17" t="s">
        <v>383</v>
      </c>
      <c r="E62" s="17" t="s">
        <v>384</v>
      </c>
      <c r="F62" s="17" t="s">
        <v>385</v>
      </c>
      <c r="G62" s="17" t="s">
        <v>386</v>
      </c>
      <c r="H62" s="17" t="s">
        <v>387</v>
      </c>
      <c r="I62" s="17" t="s">
        <v>388</v>
      </c>
      <c r="J62" s="17" t="s">
        <v>389</v>
      </c>
      <c r="K62" s="17" t="s">
        <v>390</v>
      </c>
      <c r="L62" s="17" t="s">
        <v>391</v>
      </c>
      <c r="M62" s="17" t="s">
        <v>392</v>
      </c>
      <c r="N62" s="17" t="s">
        <v>480</v>
      </c>
    </row>
    <row r="63" spans="1:15" x14ac:dyDescent="0.3">
      <c r="A63" s="18">
        <v>1</v>
      </c>
      <c r="B63" s="53" t="str">
        <f t="shared" ref="B63:C87" si="7">IF(B6="","",B6)</f>
        <v>Gabinetes metálicos 153 kg</v>
      </c>
      <c r="C63" s="53" t="str">
        <f t="shared" si="7"/>
        <v>u</v>
      </c>
      <c r="D63" s="38">
        <f t="shared" ref="D63:M63" si="8">D34</f>
        <v>12000</v>
      </c>
      <c r="E63" s="38">
        <f t="shared" si="8"/>
        <v>15000</v>
      </c>
      <c r="F63" s="38">
        <f t="shared" si="8"/>
        <v>18000</v>
      </c>
      <c r="G63" s="38">
        <f t="shared" si="8"/>
        <v>21000</v>
      </c>
      <c r="H63" s="38">
        <f t="shared" si="8"/>
        <v>21000</v>
      </c>
      <c r="I63" s="38">
        <f t="shared" si="8"/>
        <v>21000</v>
      </c>
      <c r="J63" s="38">
        <f t="shared" si="8"/>
        <v>21000</v>
      </c>
      <c r="K63" s="38">
        <f t="shared" si="8"/>
        <v>21000</v>
      </c>
      <c r="L63" s="38">
        <f t="shared" si="8"/>
        <v>21000</v>
      </c>
      <c r="M63" s="38">
        <f t="shared" si="8"/>
        <v>21000</v>
      </c>
      <c r="N63" s="22">
        <f t="shared" ref="N63:N87" si="9">SUM(D63:M63)</f>
        <v>192000</v>
      </c>
    </row>
    <row r="64" spans="1:15" x14ac:dyDescent="0.3">
      <c r="A64" s="18">
        <v>2</v>
      </c>
      <c r="B64" s="53" t="str">
        <f t="shared" si="7"/>
        <v>Cajas metálicas 13 kg</v>
      </c>
      <c r="C64" s="53" t="str">
        <f t="shared" si="7"/>
        <v>u</v>
      </c>
      <c r="D64" s="38">
        <f t="shared" ref="D64:M64" si="10">D35</f>
        <v>70000</v>
      </c>
      <c r="E64" s="38">
        <f t="shared" si="10"/>
        <v>90000</v>
      </c>
      <c r="F64" s="38">
        <f t="shared" si="10"/>
        <v>110000</v>
      </c>
      <c r="G64" s="38">
        <f t="shared" si="10"/>
        <v>120000</v>
      </c>
      <c r="H64" s="38">
        <f t="shared" si="10"/>
        <v>120000</v>
      </c>
      <c r="I64" s="38">
        <f t="shared" si="10"/>
        <v>120000</v>
      </c>
      <c r="J64" s="38">
        <f t="shared" si="10"/>
        <v>120000</v>
      </c>
      <c r="K64" s="38">
        <f t="shared" si="10"/>
        <v>120000</v>
      </c>
      <c r="L64" s="38">
        <f t="shared" si="10"/>
        <v>120000</v>
      </c>
      <c r="M64" s="38">
        <f t="shared" si="10"/>
        <v>120000</v>
      </c>
      <c r="N64" s="22">
        <f t="shared" si="9"/>
        <v>1110000</v>
      </c>
    </row>
    <row r="65" spans="1:14" x14ac:dyDescent="0.3">
      <c r="A65" s="18">
        <v>3</v>
      </c>
      <c r="B65" s="53" t="str">
        <f t="shared" si="7"/>
        <v/>
      </c>
      <c r="C65" s="53" t="str">
        <f t="shared" si="7"/>
        <v/>
      </c>
      <c r="D65" s="38">
        <f t="shared" ref="D65:M65" si="11">D36</f>
        <v>0</v>
      </c>
      <c r="E65" s="38">
        <f t="shared" si="11"/>
        <v>0</v>
      </c>
      <c r="F65" s="38">
        <f t="shared" si="11"/>
        <v>0</v>
      </c>
      <c r="G65" s="38">
        <f t="shared" si="11"/>
        <v>0</v>
      </c>
      <c r="H65" s="38">
        <f t="shared" si="11"/>
        <v>0</v>
      </c>
      <c r="I65" s="38">
        <f t="shared" si="11"/>
        <v>0</v>
      </c>
      <c r="J65" s="38">
        <f t="shared" si="11"/>
        <v>0</v>
      </c>
      <c r="K65" s="38">
        <f t="shared" si="11"/>
        <v>0</v>
      </c>
      <c r="L65" s="38">
        <f t="shared" si="11"/>
        <v>0</v>
      </c>
      <c r="M65" s="38">
        <f t="shared" si="11"/>
        <v>0</v>
      </c>
      <c r="N65" s="22">
        <f t="shared" si="9"/>
        <v>0</v>
      </c>
    </row>
    <row r="66" spans="1:14" x14ac:dyDescent="0.3">
      <c r="A66" s="18">
        <v>4</v>
      </c>
      <c r="B66" s="53" t="str">
        <f t="shared" si="7"/>
        <v/>
      </c>
      <c r="C66" s="53" t="str">
        <f t="shared" si="7"/>
        <v/>
      </c>
      <c r="D66" s="38">
        <f t="shared" ref="D66:M66" si="12">D37</f>
        <v>0</v>
      </c>
      <c r="E66" s="38">
        <f t="shared" si="12"/>
        <v>0</v>
      </c>
      <c r="F66" s="38">
        <f t="shared" si="12"/>
        <v>0</v>
      </c>
      <c r="G66" s="38">
        <f t="shared" si="12"/>
        <v>0</v>
      </c>
      <c r="H66" s="38">
        <f t="shared" si="12"/>
        <v>0</v>
      </c>
      <c r="I66" s="38">
        <f t="shared" si="12"/>
        <v>0</v>
      </c>
      <c r="J66" s="38">
        <f t="shared" si="12"/>
        <v>0</v>
      </c>
      <c r="K66" s="38">
        <f t="shared" si="12"/>
        <v>0</v>
      </c>
      <c r="L66" s="38">
        <f t="shared" si="12"/>
        <v>0</v>
      </c>
      <c r="M66" s="38">
        <f t="shared" si="12"/>
        <v>0</v>
      </c>
      <c r="N66" s="22">
        <f t="shared" si="9"/>
        <v>0</v>
      </c>
    </row>
    <row r="67" spans="1:14" x14ac:dyDescent="0.3">
      <c r="A67" s="18">
        <v>5</v>
      </c>
      <c r="B67" s="53" t="str">
        <f t="shared" si="7"/>
        <v/>
      </c>
      <c r="C67" s="53" t="str">
        <f t="shared" si="7"/>
        <v/>
      </c>
      <c r="D67" s="38">
        <f t="shared" ref="D67:M67" si="13">D38</f>
        <v>0</v>
      </c>
      <c r="E67" s="38">
        <f t="shared" si="13"/>
        <v>0</v>
      </c>
      <c r="F67" s="38">
        <f t="shared" si="13"/>
        <v>0</v>
      </c>
      <c r="G67" s="38">
        <f t="shared" si="13"/>
        <v>0</v>
      </c>
      <c r="H67" s="38">
        <f t="shared" si="13"/>
        <v>0</v>
      </c>
      <c r="I67" s="38">
        <f t="shared" si="13"/>
        <v>0</v>
      </c>
      <c r="J67" s="38">
        <f t="shared" si="13"/>
        <v>0</v>
      </c>
      <c r="K67" s="38">
        <f t="shared" si="13"/>
        <v>0</v>
      </c>
      <c r="L67" s="38">
        <f t="shared" si="13"/>
        <v>0</v>
      </c>
      <c r="M67" s="38">
        <f t="shared" si="13"/>
        <v>0</v>
      </c>
      <c r="N67" s="22">
        <f t="shared" si="9"/>
        <v>0</v>
      </c>
    </row>
    <row r="68" spans="1:14" x14ac:dyDescent="0.3">
      <c r="A68" s="18">
        <v>6</v>
      </c>
      <c r="B68" s="53" t="str">
        <f t="shared" si="7"/>
        <v/>
      </c>
      <c r="C68" s="53" t="str">
        <f t="shared" si="7"/>
        <v/>
      </c>
      <c r="D68" s="38">
        <f t="shared" ref="D68:M68" si="14">D39</f>
        <v>0</v>
      </c>
      <c r="E68" s="38">
        <f t="shared" si="14"/>
        <v>0</v>
      </c>
      <c r="F68" s="38">
        <f t="shared" si="14"/>
        <v>0</v>
      </c>
      <c r="G68" s="38">
        <f t="shared" si="14"/>
        <v>0</v>
      </c>
      <c r="H68" s="38">
        <f t="shared" si="14"/>
        <v>0</v>
      </c>
      <c r="I68" s="38">
        <f t="shared" si="14"/>
        <v>0</v>
      </c>
      <c r="J68" s="38">
        <f t="shared" si="14"/>
        <v>0</v>
      </c>
      <c r="K68" s="38">
        <f t="shared" si="14"/>
        <v>0</v>
      </c>
      <c r="L68" s="38">
        <f t="shared" si="14"/>
        <v>0</v>
      </c>
      <c r="M68" s="38">
        <f t="shared" si="14"/>
        <v>0</v>
      </c>
      <c r="N68" s="22">
        <f t="shared" si="9"/>
        <v>0</v>
      </c>
    </row>
    <row r="69" spans="1:14" x14ac:dyDescent="0.3">
      <c r="A69" s="18">
        <v>7</v>
      </c>
      <c r="B69" s="53" t="str">
        <f t="shared" si="7"/>
        <v/>
      </c>
      <c r="C69" s="53" t="str">
        <f t="shared" si="7"/>
        <v/>
      </c>
      <c r="D69" s="38">
        <f t="shared" ref="D69:M69" si="15">D40</f>
        <v>0</v>
      </c>
      <c r="E69" s="38">
        <f t="shared" si="15"/>
        <v>0</v>
      </c>
      <c r="F69" s="38">
        <f t="shared" si="15"/>
        <v>0</v>
      </c>
      <c r="G69" s="38">
        <f t="shared" si="15"/>
        <v>0</v>
      </c>
      <c r="H69" s="38">
        <f t="shared" si="15"/>
        <v>0</v>
      </c>
      <c r="I69" s="38">
        <f t="shared" si="15"/>
        <v>0</v>
      </c>
      <c r="J69" s="38">
        <f t="shared" si="15"/>
        <v>0</v>
      </c>
      <c r="K69" s="38">
        <f t="shared" si="15"/>
        <v>0</v>
      </c>
      <c r="L69" s="38">
        <f t="shared" si="15"/>
        <v>0</v>
      </c>
      <c r="M69" s="38">
        <f t="shared" si="15"/>
        <v>0</v>
      </c>
      <c r="N69" s="22">
        <f t="shared" si="9"/>
        <v>0</v>
      </c>
    </row>
    <row r="70" spans="1:14" x14ac:dyDescent="0.3">
      <c r="A70" s="18">
        <v>8</v>
      </c>
      <c r="B70" s="53" t="str">
        <f t="shared" si="7"/>
        <v/>
      </c>
      <c r="C70" s="53" t="str">
        <f t="shared" si="7"/>
        <v/>
      </c>
      <c r="D70" s="38">
        <f t="shared" ref="D70:M70" si="16">D41</f>
        <v>0</v>
      </c>
      <c r="E70" s="38">
        <f t="shared" si="16"/>
        <v>0</v>
      </c>
      <c r="F70" s="38">
        <f t="shared" si="16"/>
        <v>0</v>
      </c>
      <c r="G70" s="38">
        <f t="shared" si="16"/>
        <v>0</v>
      </c>
      <c r="H70" s="38">
        <f t="shared" si="16"/>
        <v>0</v>
      </c>
      <c r="I70" s="38">
        <f t="shared" si="16"/>
        <v>0</v>
      </c>
      <c r="J70" s="38">
        <f t="shared" si="16"/>
        <v>0</v>
      </c>
      <c r="K70" s="38">
        <f t="shared" si="16"/>
        <v>0</v>
      </c>
      <c r="L70" s="38">
        <f t="shared" si="16"/>
        <v>0</v>
      </c>
      <c r="M70" s="38">
        <f t="shared" si="16"/>
        <v>0</v>
      </c>
      <c r="N70" s="22">
        <f t="shared" si="9"/>
        <v>0</v>
      </c>
    </row>
    <row r="71" spans="1:14" x14ac:dyDescent="0.3">
      <c r="A71" s="18">
        <v>9</v>
      </c>
      <c r="B71" s="53" t="str">
        <f t="shared" si="7"/>
        <v/>
      </c>
      <c r="C71" s="53" t="str">
        <f t="shared" si="7"/>
        <v/>
      </c>
      <c r="D71" s="38">
        <f t="shared" ref="D71:M71" si="17">D42</f>
        <v>0</v>
      </c>
      <c r="E71" s="38">
        <f t="shared" si="17"/>
        <v>0</v>
      </c>
      <c r="F71" s="38">
        <f t="shared" si="17"/>
        <v>0</v>
      </c>
      <c r="G71" s="38">
        <f t="shared" si="17"/>
        <v>0</v>
      </c>
      <c r="H71" s="38">
        <f t="shared" si="17"/>
        <v>0</v>
      </c>
      <c r="I71" s="38">
        <f t="shared" si="17"/>
        <v>0</v>
      </c>
      <c r="J71" s="38">
        <f t="shared" si="17"/>
        <v>0</v>
      </c>
      <c r="K71" s="38">
        <f t="shared" si="17"/>
        <v>0</v>
      </c>
      <c r="L71" s="38">
        <f t="shared" si="17"/>
        <v>0</v>
      </c>
      <c r="M71" s="38">
        <f t="shared" si="17"/>
        <v>0</v>
      </c>
      <c r="N71" s="22">
        <f t="shared" si="9"/>
        <v>0</v>
      </c>
    </row>
    <row r="72" spans="1:14" x14ac:dyDescent="0.3">
      <c r="A72" s="18">
        <v>10</v>
      </c>
      <c r="B72" s="53" t="str">
        <f t="shared" si="7"/>
        <v/>
      </c>
      <c r="C72" s="53" t="str">
        <f t="shared" si="7"/>
        <v/>
      </c>
      <c r="D72" s="38">
        <f t="shared" ref="D72:M72" si="18">D43</f>
        <v>0</v>
      </c>
      <c r="E72" s="38">
        <f t="shared" si="18"/>
        <v>0</v>
      </c>
      <c r="F72" s="38">
        <f t="shared" si="18"/>
        <v>0</v>
      </c>
      <c r="G72" s="38">
        <f t="shared" si="18"/>
        <v>0</v>
      </c>
      <c r="H72" s="38">
        <f t="shared" si="18"/>
        <v>0</v>
      </c>
      <c r="I72" s="38">
        <f t="shared" si="18"/>
        <v>0</v>
      </c>
      <c r="J72" s="38">
        <f t="shared" si="18"/>
        <v>0</v>
      </c>
      <c r="K72" s="38">
        <f t="shared" si="18"/>
        <v>0</v>
      </c>
      <c r="L72" s="38">
        <f t="shared" si="18"/>
        <v>0</v>
      </c>
      <c r="M72" s="38">
        <f t="shared" si="18"/>
        <v>0</v>
      </c>
      <c r="N72" s="22">
        <f t="shared" si="9"/>
        <v>0</v>
      </c>
    </row>
    <row r="73" spans="1:14" x14ac:dyDescent="0.3">
      <c r="A73" s="18">
        <v>11</v>
      </c>
      <c r="B73" s="53" t="str">
        <f t="shared" si="7"/>
        <v/>
      </c>
      <c r="C73" s="53" t="str">
        <f t="shared" si="7"/>
        <v/>
      </c>
      <c r="D73" s="38">
        <f t="shared" ref="D73:M73" si="19">D44</f>
        <v>0</v>
      </c>
      <c r="E73" s="38">
        <f t="shared" si="19"/>
        <v>0</v>
      </c>
      <c r="F73" s="38">
        <f t="shared" si="19"/>
        <v>0</v>
      </c>
      <c r="G73" s="38">
        <f t="shared" si="19"/>
        <v>0</v>
      </c>
      <c r="H73" s="38">
        <f t="shared" si="19"/>
        <v>0</v>
      </c>
      <c r="I73" s="38">
        <f t="shared" si="19"/>
        <v>0</v>
      </c>
      <c r="J73" s="38">
        <f t="shared" si="19"/>
        <v>0</v>
      </c>
      <c r="K73" s="38">
        <f t="shared" si="19"/>
        <v>0</v>
      </c>
      <c r="L73" s="38">
        <f t="shared" si="19"/>
        <v>0</v>
      </c>
      <c r="M73" s="38">
        <f t="shared" si="19"/>
        <v>0</v>
      </c>
      <c r="N73" s="22">
        <f t="shared" si="9"/>
        <v>0</v>
      </c>
    </row>
    <row r="74" spans="1:14" x14ac:dyDescent="0.3">
      <c r="A74" s="18">
        <v>12</v>
      </c>
      <c r="B74" s="53" t="str">
        <f t="shared" si="7"/>
        <v/>
      </c>
      <c r="C74" s="53" t="str">
        <f t="shared" si="7"/>
        <v/>
      </c>
      <c r="D74" s="38">
        <f t="shared" ref="D74:M74" si="20">D45</f>
        <v>0</v>
      </c>
      <c r="E74" s="38">
        <f t="shared" si="20"/>
        <v>0</v>
      </c>
      <c r="F74" s="38">
        <f t="shared" si="20"/>
        <v>0</v>
      </c>
      <c r="G74" s="38">
        <f t="shared" si="20"/>
        <v>0</v>
      </c>
      <c r="H74" s="38">
        <f t="shared" si="20"/>
        <v>0</v>
      </c>
      <c r="I74" s="38">
        <f t="shared" si="20"/>
        <v>0</v>
      </c>
      <c r="J74" s="38">
        <f t="shared" si="20"/>
        <v>0</v>
      </c>
      <c r="K74" s="38">
        <f t="shared" si="20"/>
        <v>0</v>
      </c>
      <c r="L74" s="38">
        <f t="shared" si="20"/>
        <v>0</v>
      </c>
      <c r="M74" s="38">
        <f t="shared" si="20"/>
        <v>0</v>
      </c>
      <c r="N74" s="22">
        <f t="shared" si="9"/>
        <v>0</v>
      </c>
    </row>
    <row r="75" spans="1:14" x14ac:dyDescent="0.3">
      <c r="A75" s="18">
        <v>13</v>
      </c>
      <c r="B75" s="53" t="str">
        <f t="shared" si="7"/>
        <v/>
      </c>
      <c r="C75" s="53" t="str">
        <f t="shared" si="7"/>
        <v/>
      </c>
      <c r="D75" s="38">
        <f t="shared" ref="D75:M75" si="21">D46</f>
        <v>0</v>
      </c>
      <c r="E75" s="38">
        <f t="shared" si="21"/>
        <v>0</v>
      </c>
      <c r="F75" s="38">
        <f t="shared" si="21"/>
        <v>0</v>
      </c>
      <c r="G75" s="38">
        <f t="shared" si="21"/>
        <v>0</v>
      </c>
      <c r="H75" s="38">
        <f t="shared" si="21"/>
        <v>0</v>
      </c>
      <c r="I75" s="38">
        <f t="shared" si="21"/>
        <v>0</v>
      </c>
      <c r="J75" s="38">
        <f t="shared" si="21"/>
        <v>0</v>
      </c>
      <c r="K75" s="38">
        <f t="shared" si="21"/>
        <v>0</v>
      </c>
      <c r="L75" s="38">
        <f t="shared" si="21"/>
        <v>0</v>
      </c>
      <c r="M75" s="38">
        <f t="shared" si="21"/>
        <v>0</v>
      </c>
      <c r="N75" s="22">
        <f t="shared" si="9"/>
        <v>0</v>
      </c>
    </row>
    <row r="76" spans="1:14" x14ac:dyDescent="0.3">
      <c r="A76" s="18">
        <v>14</v>
      </c>
      <c r="B76" s="53" t="str">
        <f t="shared" si="7"/>
        <v/>
      </c>
      <c r="C76" s="53" t="str">
        <f t="shared" si="7"/>
        <v/>
      </c>
      <c r="D76" s="38">
        <f t="shared" ref="D76:M76" si="22">D47</f>
        <v>0</v>
      </c>
      <c r="E76" s="38">
        <f t="shared" si="22"/>
        <v>0</v>
      </c>
      <c r="F76" s="38">
        <f t="shared" si="22"/>
        <v>0</v>
      </c>
      <c r="G76" s="38">
        <f t="shared" si="22"/>
        <v>0</v>
      </c>
      <c r="H76" s="38">
        <f t="shared" si="22"/>
        <v>0</v>
      </c>
      <c r="I76" s="38">
        <f t="shared" si="22"/>
        <v>0</v>
      </c>
      <c r="J76" s="38">
        <f t="shared" si="22"/>
        <v>0</v>
      </c>
      <c r="K76" s="38">
        <f t="shared" si="22"/>
        <v>0</v>
      </c>
      <c r="L76" s="38">
        <f t="shared" si="22"/>
        <v>0</v>
      </c>
      <c r="M76" s="38">
        <f t="shared" si="22"/>
        <v>0</v>
      </c>
      <c r="N76" s="22">
        <f t="shared" si="9"/>
        <v>0</v>
      </c>
    </row>
    <row r="77" spans="1:14" x14ac:dyDescent="0.3">
      <c r="A77" s="18">
        <v>15</v>
      </c>
      <c r="B77" s="53" t="str">
        <f t="shared" si="7"/>
        <v/>
      </c>
      <c r="C77" s="53" t="str">
        <f t="shared" si="7"/>
        <v/>
      </c>
      <c r="D77" s="38">
        <f t="shared" ref="D77:M77" si="23">D48</f>
        <v>0</v>
      </c>
      <c r="E77" s="38">
        <f t="shared" si="23"/>
        <v>0</v>
      </c>
      <c r="F77" s="38">
        <f t="shared" si="23"/>
        <v>0</v>
      </c>
      <c r="G77" s="38">
        <f t="shared" si="23"/>
        <v>0</v>
      </c>
      <c r="H77" s="38">
        <f t="shared" si="23"/>
        <v>0</v>
      </c>
      <c r="I77" s="38">
        <f t="shared" si="23"/>
        <v>0</v>
      </c>
      <c r="J77" s="38">
        <f t="shared" si="23"/>
        <v>0</v>
      </c>
      <c r="K77" s="38">
        <f t="shared" si="23"/>
        <v>0</v>
      </c>
      <c r="L77" s="38">
        <f t="shared" si="23"/>
        <v>0</v>
      </c>
      <c r="M77" s="38">
        <f t="shared" si="23"/>
        <v>0</v>
      </c>
      <c r="N77" s="22">
        <f t="shared" si="9"/>
        <v>0</v>
      </c>
    </row>
    <row r="78" spans="1:14" x14ac:dyDescent="0.3">
      <c r="A78" s="18">
        <v>16</v>
      </c>
      <c r="B78" s="53" t="str">
        <f t="shared" si="7"/>
        <v/>
      </c>
      <c r="C78" s="53" t="str">
        <f t="shared" si="7"/>
        <v/>
      </c>
      <c r="D78" s="38">
        <f t="shared" ref="D78:M78" si="24">D49</f>
        <v>0</v>
      </c>
      <c r="E78" s="38">
        <f t="shared" si="24"/>
        <v>0</v>
      </c>
      <c r="F78" s="38">
        <f t="shared" si="24"/>
        <v>0</v>
      </c>
      <c r="G78" s="38">
        <f t="shared" si="24"/>
        <v>0</v>
      </c>
      <c r="H78" s="38">
        <f t="shared" si="24"/>
        <v>0</v>
      </c>
      <c r="I78" s="38">
        <f t="shared" si="24"/>
        <v>0</v>
      </c>
      <c r="J78" s="38">
        <f t="shared" si="24"/>
        <v>0</v>
      </c>
      <c r="K78" s="38">
        <f t="shared" si="24"/>
        <v>0</v>
      </c>
      <c r="L78" s="38">
        <f t="shared" si="24"/>
        <v>0</v>
      </c>
      <c r="M78" s="38">
        <f t="shared" si="24"/>
        <v>0</v>
      </c>
      <c r="N78" s="22">
        <f t="shared" si="9"/>
        <v>0</v>
      </c>
    </row>
    <row r="79" spans="1:14" x14ac:dyDescent="0.3">
      <c r="A79" s="18">
        <v>17</v>
      </c>
      <c r="B79" s="53" t="str">
        <f t="shared" si="7"/>
        <v/>
      </c>
      <c r="C79" s="53" t="str">
        <f t="shared" si="7"/>
        <v/>
      </c>
      <c r="D79" s="38">
        <f t="shared" ref="D79:M79" si="25">D50</f>
        <v>0</v>
      </c>
      <c r="E79" s="38">
        <f t="shared" si="25"/>
        <v>0</v>
      </c>
      <c r="F79" s="38">
        <f t="shared" si="25"/>
        <v>0</v>
      </c>
      <c r="G79" s="38">
        <f t="shared" si="25"/>
        <v>0</v>
      </c>
      <c r="H79" s="38">
        <f t="shared" si="25"/>
        <v>0</v>
      </c>
      <c r="I79" s="38">
        <f t="shared" si="25"/>
        <v>0</v>
      </c>
      <c r="J79" s="38">
        <f t="shared" si="25"/>
        <v>0</v>
      </c>
      <c r="K79" s="38">
        <f t="shared" si="25"/>
        <v>0</v>
      </c>
      <c r="L79" s="38">
        <f t="shared" si="25"/>
        <v>0</v>
      </c>
      <c r="M79" s="38">
        <f t="shared" si="25"/>
        <v>0</v>
      </c>
      <c r="N79" s="22">
        <f t="shared" si="9"/>
        <v>0</v>
      </c>
    </row>
    <row r="80" spans="1:14" x14ac:dyDescent="0.3">
      <c r="A80" s="18">
        <v>18</v>
      </c>
      <c r="B80" s="53" t="str">
        <f t="shared" si="7"/>
        <v/>
      </c>
      <c r="C80" s="53" t="str">
        <f t="shared" si="7"/>
        <v/>
      </c>
      <c r="D80" s="38">
        <f t="shared" ref="D80:M80" si="26">D51</f>
        <v>0</v>
      </c>
      <c r="E80" s="38">
        <f t="shared" si="26"/>
        <v>0</v>
      </c>
      <c r="F80" s="38">
        <f t="shared" si="26"/>
        <v>0</v>
      </c>
      <c r="G80" s="38">
        <f t="shared" si="26"/>
        <v>0</v>
      </c>
      <c r="H80" s="38">
        <f t="shared" si="26"/>
        <v>0</v>
      </c>
      <c r="I80" s="38">
        <f t="shared" si="26"/>
        <v>0</v>
      </c>
      <c r="J80" s="38">
        <f t="shared" si="26"/>
        <v>0</v>
      </c>
      <c r="K80" s="38">
        <f t="shared" si="26"/>
        <v>0</v>
      </c>
      <c r="L80" s="38">
        <f t="shared" si="26"/>
        <v>0</v>
      </c>
      <c r="M80" s="38">
        <f t="shared" si="26"/>
        <v>0</v>
      </c>
      <c r="N80" s="22">
        <f t="shared" si="9"/>
        <v>0</v>
      </c>
    </row>
    <row r="81" spans="1:15" x14ac:dyDescent="0.3">
      <c r="A81" s="18">
        <v>19</v>
      </c>
      <c r="B81" s="53" t="str">
        <f t="shared" si="7"/>
        <v/>
      </c>
      <c r="C81" s="53" t="str">
        <f t="shared" si="7"/>
        <v/>
      </c>
      <c r="D81" s="38">
        <f t="shared" ref="D81:M81" si="27">D52</f>
        <v>0</v>
      </c>
      <c r="E81" s="38">
        <f t="shared" si="27"/>
        <v>0</v>
      </c>
      <c r="F81" s="38">
        <f t="shared" si="27"/>
        <v>0</v>
      </c>
      <c r="G81" s="38">
        <f t="shared" si="27"/>
        <v>0</v>
      </c>
      <c r="H81" s="38">
        <f t="shared" si="27"/>
        <v>0</v>
      </c>
      <c r="I81" s="38">
        <f t="shared" si="27"/>
        <v>0</v>
      </c>
      <c r="J81" s="38">
        <f t="shared" si="27"/>
        <v>0</v>
      </c>
      <c r="K81" s="38">
        <f t="shared" si="27"/>
        <v>0</v>
      </c>
      <c r="L81" s="38">
        <f t="shared" si="27"/>
        <v>0</v>
      </c>
      <c r="M81" s="38">
        <f t="shared" si="27"/>
        <v>0</v>
      </c>
      <c r="N81" s="22">
        <f t="shared" si="9"/>
        <v>0</v>
      </c>
    </row>
    <row r="82" spans="1:15" x14ac:dyDescent="0.3">
      <c r="A82" s="18">
        <v>20</v>
      </c>
      <c r="B82" s="53" t="str">
        <f t="shared" si="7"/>
        <v/>
      </c>
      <c r="C82" s="53" t="str">
        <f t="shared" si="7"/>
        <v/>
      </c>
      <c r="D82" s="38">
        <f t="shared" ref="D82:M82" si="28">D53</f>
        <v>0</v>
      </c>
      <c r="E82" s="38">
        <f t="shared" si="28"/>
        <v>0</v>
      </c>
      <c r="F82" s="38">
        <f t="shared" si="28"/>
        <v>0</v>
      </c>
      <c r="G82" s="38">
        <f t="shared" si="28"/>
        <v>0</v>
      </c>
      <c r="H82" s="38">
        <f t="shared" si="28"/>
        <v>0</v>
      </c>
      <c r="I82" s="38">
        <f t="shared" si="28"/>
        <v>0</v>
      </c>
      <c r="J82" s="38">
        <f t="shared" si="28"/>
        <v>0</v>
      </c>
      <c r="K82" s="38">
        <f t="shared" si="28"/>
        <v>0</v>
      </c>
      <c r="L82" s="38">
        <f t="shared" si="28"/>
        <v>0</v>
      </c>
      <c r="M82" s="38">
        <f t="shared" si="28"/>
        <v>0</v>
      </c>
      <c r="N82" s="22">
        <f t="shared" si="9"/>
        <v>0</v>
      </c>
    </row>
    <row r="83" spans="1:15" x14ac:dyDescent="0.3">
      <c r="A83" s="18">
        <v>21</v>
      </c>
      <c r="B83" s="53" t="str">
        <f t="shared" si="7"/>
        <v/>
      </c>
      <c r="C83" s="53" t="str">
        <f t="shared" si="7"/>
        <v/>
      </c>
      <c r="D83" s="38">
        <f t="shared" ref="D83:M83" si="29">D54</f>
        <v>0</v>
      </c>
      <c r="E83" s="38">
        <f t="shared" si="29"/>
        <v>0</v>
      </c>
      <c r="F83" s="38">
        <f t="shared" si="29"/>
        <v>0</v>
      </c>
      <c r="G83" s="38">
        <f t="shared" si="29"/>
        <v>0</v>
      </c>
      <c r="H83" s="38">
        <f t="shared" si="29"/>
        <v>0</v>
      </c>
      <c r="I83" s="38">
        <f t="shared" si="29"/>
        <v>0</v>
      </c>
      <c r="J83" s="38">
        <f t="shared" si="29"/>
        <v>0</v>
      </c>
      <c r="K83" s="38">
        <f t="shared" si="29"/>
        <v>0</v>
      </c>
      <c r="L83" s="38">
        <f t="shared" si="29"/>
        <v>0</v>
      </c>
      <c r="M83" s="38">
        <f t="shared" si="29"/>
        <v>0</v>
      </c>
      <c r="N83" s="22">
        <f t="shared" si="9"/>
        <v>0</v>
      </c>
    </row>
    <row r="84" spans="1:15" x14ac:dyDescent="0.3">
      <c r="A84" s="18">
        <v>22</v>
      </c>
      <c r="B84" s="53" t="str">
        <f t="shared" si="7"/>
        <v/>
      </c>
      <c r="C84" s="53" t="str">
        <f t="shared" si="7"/>
        <v/>
      </c>
      <c r="D84" s="38">
        <f t="shared" ref="D84:M84" si="30">D55</f>
        <v>0</v>
      </c>
      <c r="E84" s="38">
        <f t="shared" si="30"/>
        <v>0</v>
      </c>
      <c r="F84" s="38">
        <f t="shared" si="30"/>
        <v>0</v>
      </c>
      <c r="G84" s="38">
        <f t="shared" si="30"/>
        <v>0</v>
      </c>
      <c r="H84" s="38">
        <f t="shared" si="30"/>
        <v>0</v>
      </c>
      <c r="I84" s="38">
        <f t="shared" si="30"/>
        <v>0</v>
      </c>
      <c r="J84" s="38">
        <f t="shared" si="30"/>
        <v>0</v>
      </c>
      <c r="K84" s="38">
        <f t="shared" si="30"/>
        <v>0</v>
      </c>
      <c r="L84" s="38">
        <f t="shared" si="30"/>
        <v>0</v>
      </c>
      <c r="M84" s="38">
        <f t="shared" si="30"/>
        <v>0</v>
      </c>
      <c r="N84" s="22">
        <f t="shared" si="9"/>
        <v>0</v>
      </c>
    </row>
    <row r="85" spans="1:15" x14ac:dyDescent="0.3">
      <c r="A85" s="18">
        <v>23</v>
      </c>
      <c r="B85" s="53" t="str">
        <f t="shared" si="7"/>
        <v/>
      </c>
      <c r="C85" s="53" t="str">
        <f t="shared" si="7"/>
        <v/>
      </c>
      <c r="D85" s="38">
        <f t="shared" ref="D85:M85" si="31">D56</f>
        <v>0</v>
      </c>
      <c r="E85" s="38">
        <f t="shared" si="31"/>
        <v>0</v>
      </c>
      <c r="F85" s="38">
        <f t="shared" si="31"/>
        <v>0</v>
      </c>
      <c r="G85" s="38">
        <f t="shared" si="31"/>
        <v>0</v>
      </c>
      <c r="H85" s="38">
        <f t="shared" si="31"/>
        <v>0</v>
      </c>
      <c r="I85" s="38">
        <f t="shared" si="31"/>
        <v>0</v>
      </c>
      <c r="J85" s="38">
        <f t="shared" si="31"/>
        <v>0</v>
      </c>
      <c r="K85" s="38">
        <f t="shared" si="31"/>
        <v>0</v>
      </c>
      <c r="L85" s="38">
        <f t="shared" si="31"/>
        <v>0</v>
      </c>
      <c r="M85" s="38">
        <f t="shared" si="31"/>
        <v>0</v>
      </c>
      <c r="N85" s="22">
        <f t="shared" si="9"/>
        <v>0</v>
      </c>
    </row>
    <row r="86" spans="1:15" x14ac:dyDescent="0.3">
      <c r="A86" s="18">
        <v>24</v>
      </c>
      <c r="B86" s="53" t="str">
        <f t="shared" si="7"/>
        <v/>
      </c>
      <c r="C86" s="53" t="str">
        <f t="shared" si="7"/>
        <v/>
      </c>
      <c r="D86" s="38">
        <f t="shared" ref="D86:M86" si="32">D57</f>
        <v>0</v>
      </c>
      <c r="E86" s="38">
        <f t="shared" si="32"/>
        <v>0</v>
      </c>
      <c r="F86" s="38">
        <f t="shared" si="32"/>
        <v>0</v>
      </c>
      <c r="G86" s="38">
        <f t="shared" si="32"/>
        <v>0</v>
      </c>
      <c r="H86" s="38">
        <f t="shared" si="32"/>
        <v>0</v>
      </c>
      <c r="I86" s="38">
        <f t="shared" si="32"/>
        <v>0</v>
      </c>
      <c r="J86" s="38">
        <f t="shared" si="32"/>
        <v>0</v>
      </c>
      <c r="K86" s="38">
        <f t="shared" si="32"/>
        <v>0</v>
      </c>
      <c r="L86" s="38">
        <f t="shared" si="32"/>
        <v>0</v>
      </c>
      <c r="M86" s="38">
        <f t="shared" si="32"/>
        <v>0</v>
      </c>
      <c r="N86" s="22">
        <f t="shared" si="9"/>
        <v>0</v>
      </c>
    </row>
    <row r="87" spans="1:15" x14ac:dyDescent="0.3">
      <c r="A87" s="18">
        <v>25</v>
      </c>
      <c r="B87" s="53" t="str">
        <f t="shared" si="7"/>
        <v/>
      </c>
      <c r="C87" s="53" t="str">
        <f t="shared" si="7"/>
        <v/>
      </c>
      <c r="D87" s="38">
        <f t="shared" ref="D87:M87" si="33">D58</f>
        <v>0</v>
      </c>
      <c r="E87" s="38">
        <f t="shared" si="33"/>
        <v>0</v>
      </c>
      <c r="F87" s="38">
        <f t="shared" si="33"/>
        <v>0</v>
      </c>
      <c r="G87" s="38">
        <f t="shared" si="33"/>
        <v>0</v>
      </c>
      <c r="H87" s="38">
        <f t="shared" si="33"/>
        <v>0</v>
      </c>
      <c r="I87" s="38">
        <f t="shared" si="33"/>
        <v>0</v>
      </c>
      <c r="J87" s="38">
        <f t="shared" si="33"/>
        <v>0</v>
      </c>
      <c r="K87" s="38">
        <f t="shared" si="33"/>
        <v>0</v>
      </c>
      <c r="L87" s="38">
        <f t="shared" si="33"/>
        <v>0</v>
      </c>
      <c r="M87" s="38">
        <f t="shared" si="33"/>
        <v>0</v>
      </c>
      <c r="N87" s="22">
        <f t="shared" si="9"/>
        <v>0</v>
      </c>
    </row>
    <row r="88" spans="1:15" x14ac:dyDescent="0.3">
      <c r="B88" s="23" t="s">
        <v>480</v>
      </c>
      <c r="D88" s="54">
        <f t="shared" ref="D88:N88" si="34">SUM(D63:D87)</f>
        <v>82000</v>
      </c>
      <c r="E88" s="54">
        <f t="shared" si="34"/>
        <v>105000</v>
      </c>
      <c r="F88" s="54">
        <f t="shared" si="34"/>
        <v>128000</v>
      </c>
      <c r="G88" s="54">
        <f t="shared" si="34"/>
        <v>141000</v>
      </c>
      <c r="H88" s="54">
        <f t="shared" si="34"/>
        <v>141000</v>
      </c>
      <c r="I88" s="54">
        <f t="shared" si="34"/>
        <v>141000</v>
      </c>
      <c r="J88" s="54">
        <f t="shared" si="34"/>
        <v>141000</v>
      </c>
      <c r="K88" s="54">
        <f t="shared" si="34"/>
        <v>141000</v>
      </c>
      <c r="L88" s="54">
        <f t="shared" si="34"/>
        <v>141000</v>
      </c>
      <c r="M88" s="54">
        <f t="shared" si="34"/>
        <v>141000</v>
      </c>
      <c r="N88" s="54">
        <f t="shared" si="34"/>
        <v>1302000</v>
      </c>
    </row>
    <row r="90" spans="1:15" x14ac:dyDescent="0.3">
      <c r="A90" s="15" t="s">
        <v>482</v>
      </c>
      <c r="B90" s="16"/>
      <c r="C90" s="16"/>
      <c r="D90" s="16"/>
      <c r="E90" s="16"/>
      <c r="F90" s="16"/>
      <c r="G90" s="16"/>
      <c r="H90" s="16"/>
      <c r="I90" s="16"/>
      <c r="J90" s="16"/>
      <c r="K90" s="16"/>
      <c r="L90" s="16"/>
      <c r="M90" s="16"/>
      <c r="N90" s="16"/>
      <c r="O90" s="16"/>
    </row>
    <row r="91" spans="1:15" ht="24" x14ac:dyDescent="0.3">
      <c r="A91" s="17" t="s">
        <v>461</v>
      </c>
      <c r="B91" s="17" t="s">
        <v>462</v>
      </c>
      <c r="C91" s="17"/>
      <c r="D91" s="17" t="s">
        <v>383</v>
      </c>
      <c r="E91" s="17" t="s">
        <v>384</v>
      </c>
      <c r="F91" s="17" t="s">
        <v>385</v>
      </c>
      <c r="G91" s="17" t="s">
        <v>386</v>
      </c>
      <c r="H91" s="17" t="s">
        <v>387</v>
      </c>
      <c r="I91" s="17" t="s">
        <v>388</v>
      </c>
      <c r="J91" s="17" t="s">
        <v>389</v>
      </c>
      <c r="K91" s="17" t="s">
        <v>390</v>
      </c>
      <c r="L91" s="17" t="s">
        <v>391</v>
      </c>
      <c r="M91" s="17" t="s">
        <v>392</v>
      </c>
      <c r="N91" s="17" t="s">
        <v>483</v>
      </c>
    </row>
    <row r="92" spans="1:15" x14ac:dyDescent="0.3">
      <c r="A92" s="18">
        <v>1</v>
      </c>
      <c r="B92" s="53" t="str">
        <f t="shared" ref="B92:B116" si="35">IF(B6="","",B6)</f>
        <v>Gabinetes metálicos 153 kg</v>
      </c>
      <c r="D92" s="48">
        <f t="shared" ref="D92:D116" si="36">IF(IF(AND(N($F6)&gt;0,1&gt;=$F6),N($E6),N($D6))=0,0,MAX(0,D63/(1-V_Merma)-IF(AND(N($F6)&gt;0,1&gt;=$F6),N($E6),N($D6))))</f>
        <v>0</v>
      </c>
      <c r="E92" s="48">
        <f t="shared" ref="E92:E116" si="37">IF(IF(AND(N($F6)&gt;0,2&gt;=$F6),N($E6),N($D6))=0,0,MAX(0,E63/(1-V_Merma)-IF(AND(N($F6)&gt;0,2&gt;=$F6),N($E6),N($D6))))</f>
        <v>0</v>
      </c>
      <c r="F92" s="48">
        <f t="shared" ref="F92:F116" si="38">IF(IF(AND(N($F6)&gt;0,3&gt;=$F6),N($E6),N($D6))=0,0,MAX(0,F63/(1-V_Merma)-IF(AND(N($F6)&gt;0,3&gt;=$F6),N($E6),N($D6))))</f>
        <v>0</v>
      </c>
      <c r="G92" s="48">
        <f t="shared" ref="G92:G116" si="39">IF(IF(AND(N($F6)&gt;0,4&gt;=$F6),N($E6),N($D6))=0,0,MAX(0,G63/(1-V_Merma)-IF(AND(N($F6)&gt;0,4&gt;=$F6),N($E6),N($D6))))</f>
        <v>0</v>
      </c>
      <c r="H92" s="48">
        <f t="shared" ref="H92:H116" si="40">IF(IF(AND(N($F6)&gt;0,5&gt;=$F6),N($E6),N($D6))=0,0,MAX(0,H63/(1-V_Merma)-IF(AND(N($F6)&gt;0,5&gt;=$F6),N($E6),N($D6))))</f>
        <v>0</v>
      </c>
      <c r="I92" s="48">
        <f t="shared" ref="I92:I116" si="41">IF(IF(AND(N($F6)&gt;0,6&gt;=$F6),N($E6),N($D6))=0,0,MAX(0,I63/(1-V_Merma)-IF(AND(N($F6)&gt;0,6&gt;=$F6),N($E6),N($D6))))</f>
        <v>0</v>
      </c>
      <c r="J92" s="48">
        <f t="shared" ref="J92:J116" si="42">IF(IF(AND(N($F6)&gt;0,7&gt;=$F6),N($E6),N($D6))=0,0,MAX(0,J63/(1-V_Merma)-IF(AND(N($F6)&gt;0,7&gt;=$F6),N($E6),N($D6))))</f>
        <v>0</v>
      </c>
      <c r="K92" s="48">
        <f t="shared" ref="K92:K116" si="43">IF(IF(AND(N($F6)&gt;0,8&gt;=$F6),N($E6),N($D6))=0,0,MAX(0,K63/(1-V_Merma)-IF(AND(N($F6)&gt;0,8&gt;=$F6),N($E6),N($D6))))</f>
        <v>0</v>
      </c>
      <c r="L92" s="48">
        <f t="shared" ref="L92:L116" si="44">IF(IF(AND(N($F6)&gt;0,9&gt;=$F6),N($E6),N($D6))=0,0,MAX(0,L63/(1-V_Merma)-IF(AND(N($F6)&gt;0,9&gt;=$F6),N($E6),N($D6))))</f>
        <v>0</v>
      </c>
      <c r="M92" s="48">
        <f t="shared" ref="M92:M116" si="45">IF(IF(AND(N($F6)&gt;0,10&gt;=$F6),N($E6),N($D6))=0,0,MAX(0,M63/(1-V_Merma)-IF(AND(N($F6)&gt;0,10&gt;=$F6),N($E6),N($D6))))</f>
        <v>0</v>
      </c>
      <c r="N92" s="29">
        <f t="shared" ref="N92:N116" si="46">SUMPRODUCT(--(D92:M92&gt;0.5))</f>
        <v>0</v>
      </c>
    </row>
    <row r="93" spans="1:15" x14ac:dyDescent="0.3">
      <c r="A93" s="18">
        <v>2</v>
      </c>
      <c r="B93" s="53" t="str">
        <f t="shared" si="35"/>
        <v>Cajas metálicas 13 kg</v>
      </c>
      <c r="D93" s="48">
        <f t="shared" si="36"/>
        <v>0</v>
      </c>
      <c r="E93" s="48">
        <f t="shared" si="37"/>
        <v>0</v>
      </c>
      <c r="F93" s="48">
        <f t="shared" si="38"/>
        <v>0</v>
      </c>
      <c r="G93" s="48">
        <f t="shared" si="39"/>
        <v>0</v>
      </c>
      <c r="H93" s="48">
        <f t="shared" si="40"/>
        <v>0</v>
      </c>
      <c r="I93" s="48">
        <f t="shared" si="41"/>
        <v>0</v>
      </c>
      <c r="J93" s="48">
        <f t="shared" si="42"/>
        <v>0</v>
      </c>
      <c r="K93" s="48">
        <f t="shared" si="43"/>
        <v>0</v>
      </c>
      <c r="L93" s="48">
        <f t="shared" si="44"/>
        <v>0</v>
      </c>
      <c r="M93" s="48">
        <f t="shared" si="45"/>
        <v>0</v>
      </c>
      <c r="N93" s="29">
        <f t="shared" si="46"/>
        <v>0</v>
      </c>
    </row>
    <row r="94" spans="1:15" x14ac:dyDescent="0.3">
      <c r="A94" s="18">
        <v>3</v>
      </c>
      <c r="B94" s="53" t="str">
        <f t="shared" si="35"/>
        <v/>
      </c>
      <c r="D94" s="48">
        <f t="shared" si="36"/>
        <v>0</v>
      </c>
      <c r="E94" s="48">
        <f t="shared" si="37"/>
        <v>0</v>
      </c>
      <c r="F94" s="48">
        <f t="shared" si="38"/>
        <v>0</v>
      </c>
      <c r="G94" s="48">
        <f t="shared" si="39"/>
        <v>0</v>
      </c>
      <c r="H94" s="48">
        <f t="shared" si="40"/>
        <v>0</v>
      </c>
      <c r="I94" s="48">
        <f t="shared" si="41"/>
        <v>0</v>
      </c>
      <c r="J94" s="48">
        <f t="shared" si="42"/>
        <v>0</v>
      </c>
      <c r="K94" s="48">
        <f t="shared" si="43"/>
        <v>0</v>
      </c>
      <c r="L94" s="48">
        <f t="shared" si="44"/>
        <v>0</v>
      </c>
      <c r="M94" s="48">
        <f t="shared" si="45"/>
        <v>0</v>
      </c>
      <c r="N94" s="29">
        <f t="shared" si="46"/>
        <v>0</v>
      </c>
    </row>
    <row r="95" spans="1:15" x14ac:dyDescent="0.3">
      <c r="A95" s="18">
        <v>4</v>
      </c>
      <c r="B95" s="53" t="str">
        <f t="shared" si="35"/>
        <v/>
      </c>
      <c r="D95" s="48">
        <f t="shared" si="36"/>
        <v>0</v>
      </c>
      <c r="E95" s="48">
        <f t="shared" si="37"/>
        <v>0</v>
      </c>
      <c r="F95" s="48">
        <f t="shared" si="38"/>
        <v>0</v>
      </c>
      <c r="G95" s="48">
        <f t="shared" si="39"/>
        <v>0</v>
      </c>
      <c r="H95" s="48">
        <f t="shared" si="40"/>
        <v>0</v>
      </c>
      <c r="I95" s="48">
        <f t="shared" si="41"/>
        <v>0</v>
      </c>
      <c r="J95" s="48">
        <f t="shared" si="42"/>
        <v>0</v>
      </c>
      <c r="K95" s="48">
        <f t="shared" si="43"/>
        <v>0</v>
      </c>
      <c r="L95" s="48">
        <f t="shared" si="44"/>
        <v>0</v>
      </c>
      <c r="M95" s="48">
        <f t="shared" si="45"/>
        <v>0</v>
      </c>
      <c r="N95" s="29">
        <f t="shared" si="46"/>
        <v>0</v>
      </c>
    </row>
    <row r="96" spans="1:15" x14ac:dyDescent="0.3">
      <c r="A96" s="18">
        <v>5</v>
      </c>
      <c r="B96" s="53" t="str">
        <f t="shared" si="35"/>
        <v/>
      </c>
      <c r="D96" s="48">
        <f t="shared" si="36"/>
        <v>0</v>
      </c>
      <c r="E96" s="48">
        <f t="shared" si="37"/>
        <v>0</v>
      </c>
      <c r="F96" s="48">
        <f t="shared" si="38"/>
        <v>0</v>
      </c>
      <c r="G96" s="48">
        <f t="shared" si="39"/>
        <v>0</v>
      </c>
      <c r="H96" s="48">
        <f t="shared" si="40"/>
        <v>0</v>
      </c>
      <c r="I96" s="48">
        <f t="shared" si="41"/>
        <v>0</v>
      </c>
      <c r="J96" s="48">
        <f t="shared" si="42"/>
        <v>0</v>
      </c>
      <c r="K96" s="48">
        <f t="shared" si="43"/>
        <v>0</v>
      </c>
      <c r="L96" s="48">
        <f t="shared" si="44"/>
        <v>0</v>
      </c>
      <c r="M96" s="48">
        <f t="shared" si="45"/>
        <v>0</v>
      </c>
      <c r="N96" s="29">
        <f t="shared" si="46"/>
        <v>0</v>
      </c>
    </row>
    <row r="97" spans="1:14" x14ac:dyDescent="0.3">
      <c r="A97" s="18">
        <v>6</v>
      </c>
      <c r="B97" s="53" t="str">
        <f t="shared" si="35"/>
        <v/>
      </c>
      <c r="D97" s="48">
        <f t="shared" si="36"/>
        <v>0</v>
      </c>
      <c r="E97" s="48">
        <f t="shared" si="37"/>
        <v>0</v>
      </c>
      <c r="F97" s="48">
        <f t="shared" si="38"/>
        <v>0</v>
      </c>
      <c r="G97" s="48">
        <f t="shared" si="39"/>
        <v>0</v>
      </c>
      <c r="H97" s="48">
        <f t="shared" si="40"/>
        <v>0</v>
      </c>
      <c r="I97" s="48">
        <f t="shared" si="41"/>
        <v>0</v>
      </c>
      <c r="J97" s="48">
        <f t="shared" si="42"/>
        <v>0</v>
      </c>
      <c r="K97" s="48">
        <f t="shared" si="43"/>
        <v>0</v>
      </c>
      <c r="L97" s="48">
        <f t="shared" si="44"/>
        <v>0</v>
      </c>
      <c r="M97" s="48">
        <f t="shared" si="45"/>
        <v>0</v>
      </c>
      <c r="N97" s="29">
        <f t="shared" si="46"/>
        <v>0</v>
      </c>
    </row>
    <row r="98" spans="1:14" x14ac:dyDescent="0.3">
      <c r="A98" s="18">
        <v>7</v>
      </c>
      <c r="B98" s="53" t="str">
        <f t="shared" si="35"/>
        <v/>
      </c>
      <c r="D98" s="48">
        <f t="shared" si="36"/>
        <v>0</v>
      </c>
      <c r="E98" s="48">
        <f t="shared" si="37"/>
        <v>0</v>
      </c>
      <c r="F98" s="48">
        <f t="shared" si="38"/>
        <v>0</v>
      </c>
      <c r="G98" s="48">
        <f t="shared" si="39"/>
        <v>0</v>
      </c>
      <c r="H98" s="48">
        <f t="shared" si="40"/>
        <v>0</v>
      </c>
      <c r="I98" s="48">
        <f t="shared" si="41"/>
        <v>0</v>
      </c>
      <c r="J98" s="48">
        <f t="shared" si="42"/>
        <v>0</v>
      </c>
      <c r="K98" s="48">
        <f t="shared" si="43"/>
        <v>0</v>
      </c>
      <c r="L98" s="48">
        <f t="shared" si="44"/>
        <v>0</v>
      </c>
      <c r="M98" s="48">
        <f t="shared" si="45"/>
        <v>0</v>
      </c>
      <c r="N98" s="29">
        <f t="shared" si="46"/>
        <v>0</v>
      </c>
    </row>
    <row r="99" spans="1:14" x14ac:dyDescent="0.3">
      <c r="A99" s="18">
        <v>8</v>
      </c>
      <c r="B99" s="53" t="str">
        <f t="shared" si="35"/>
        <v/>
      </c>
      <c r="D99" s="48">
        <f t="shared" si="36"/>
        <v>0</v>
      </c>
      <c r="E99" s="48">
        <f t="shared" si="37"/>
        <v>0</v>
      </c>
      <c r="F99" s="48">
        <f t="shared" si="38"/>
        <v>0</v>
      </c>
      <c r="G99" s="48">
        <f t="shared" si="39"/>
        <v>0</v>
      </c>
      <c r="H99" s="48">
        <f t="shared" si="40"/>
        <v>0</v>
      </c>
      <c r="I99" s="48">
        <f t="shared" si="41"/>
        <v>0</v>
      </c>
      <c r="J99" s="48">
        <f t="shared" si="42"/>
        <v>0</v>
      </c>
      <c r="K99" s="48">
        <f t="shared" si="43"/>
        <v>0</v>
      </c>
      <c r="L99" s="48">
        <f t="shared" si="44"/>
        <v>0</v>
      </c>
      <c r="M99" s="48">
        <f t="shared" si="45"/>
        <v>0</v>
      </c>
      <c r="N99" s="29">
        <f t="shared" si="46"/>
        <v>0</v>
      </c>
    </row>
    <row r="100" spans="1:14" x14ac:dyDescent="0.3">
      <c r="A100" s="18">
        <v>9</v>
      </c>
      <c r="B100" s="53" t="str">
        <f t="shared" si="35"/>
        <v/>
      </c>
      <c r="D100" s="48">
        <f t="shared" si="36"/>
        <v>0</v>
      </c>
      <c r="E100" s="48">
        <f t="shared" si="37"/>
        <v>0</v>
      </c>
      <c r="F100" s="48">
        <f t="shared" si="38"/>
        <v>0</v>
      </c>
      <c r="G100" s="48">
        <f t="shared" si="39"/>
        <v>0</v>
      </c>
      <c r="H100" s="48">
        <f t="shared" si="40"/>
        <v>0</v>
      </c>
      <c r="I100" s="48">
        <f t="shared" si="41"/>
        <v>0</v>
      </c>
      <c r="J100" s="48">
        <f t="shared" si="42"/>
        <v>0</v>
      </c>
      <c r="K100" s="48">
        <f t="shared" si="43"/>
        <v>0</v>
      </c>
      <c r="L100" s="48">
        <f t="shared" si="44"/>
        <v>0</v>
      </c>
      <c r="M100" s="48">
        <f t="shared" si="45"/>
        <v>0</v>
      </c>
      <c r="N100" s="29">
        <f t="shared" si="46"/>
        <v>0</v>
      </c>
    </row>
    <row r="101" spans="1:14" x14ac:dyDescent="0.3">
      <c r="A101" s="18">
        <v>10</v>
      </c>
      <c r="B101" s="53" t="str">
        <f t="shared" si="35"/>
        <v/>
      </c>
      <c r="D101" s="48">
        <f t="shared" si="36"/>
        <v>0</v>
      </c>
      <c r="E101" s="48">
        <f t="shared" si="37"/>
        <v>0</v>
      </c>
      <c r="F101" s="48">
        <f t="shared" si="38"/>
        <v>0</v>
      </c>
      <c r="G101" s="48">
        <f t="shared" si="39"/>
        <v>0</v>
      </c>
      <c r="H101" s="48">
        <f t="shared" si="40"/>
        <v>0</v>
      </c>
      <c r="I101" s="48">
        <f t="shared" si="41"/>
        <v>0</v>
      </c>
      <c r="J101" s="48">
        <f t="shared" si="42"/>
        <v>0</v>
      </c>
      <c r="K101" s="48">
        <f t="shared" si="43"/>
        <v>0</v>
      </c>
      <c r="L101" s="48">
        <f t="shared" si="44"/>
        <v>0</v>
      </c>
      <c r="M101" s="48">
        <f t="shared" si="45"/>
        <v>0</v>
      </c>
      <c r="N101" s="29">
        <f t="shared" si="46"/>
        <v>0</v>
      </c>
    </row>
    <row r="102" spans="1:14" x14ac:dyDescent="0.3">
      <c r="A102" s="18">
        <v>11</v>
      </c>
      <c r="B102" s="53" t="str">
        <f t="shared" si="35"/>
        <v/>
      </c>
      <c r="D102" s="48">
        <f t="shared" si="36"/>
        <v>0</v>
      </c>
      <c r="E102" s="48">
        <f t="shared" si="37"/>
        <v>0</v>
      </c>
      <c r="F102" s="48">
        <f t="shared" si="38"/>
        <v>0</v>
      </c>
      <c r="G102" s="48">
        <f t="shared" si="39"/>
        <v>0</v>
      </c>
      <c r="H102" s="48">
        <f t="shared" si="40"/>
        <v>0</v>
      </c>
      <c r="I102" s="48">
        <f t="shared" si="41"/>
        <v>0</v>
      </c>
      <c r="J102" s="48">
        <f t="shared" si="42"/>
        <v>0</v>
      </c>
      <c r="K102" s="48">
        <f t="shared" si="43"/>
        <v>0</v>
      </c>
      <c r="L102" s="48">
        <f t="shared" si="44"/>
        <v>0</v>
      </c>
      <c r="M102" s="48">
        <f t="shared" si="45"/>
        <v>0</v>
      </c>
      <c r="N102" s="29">
        <f t="shared" si="46"/>
        <v>0</v>
      </c>
    </row>
    <row r="103" spans="1:14" x14ac:dyDescent="0.3">
      <c r="A103" s="18">
        <v>12</v>
      </c>
      <c r="B103" s="53" t="str">
        <f t="shared" si="35"/>
        <v/>
      </c>
      <c r="D103" s="48">
        <f t="shared" si="36"/>
        <v>0</v>
      </c>
      <c r="E103" s="48">
        <f t="shared" si="37"/>
        <v>0</v>
      </c>
      <c r="F103" s="48">
        <f t="shared" si="38"/>
        <v>0</v>
      </c>
      <c r="G103" s="48">
        <f t="shared" si="39"/>
        <v>0</v>
      </c>
      <c r="H103" s="48">
        <f t="shared" si="40"/>
        <v>0</v>
      </c>
      <c r="I103" s="48">
        <f t="shared" si="41"/>
        <v>0</v>
      </c>
      <c r="J103" s="48">
        <f t="shared" si="42"/>
        <v>0</v>
      </c>
      <c r="K103" s="48">
        <f t="shared" si="43"/>
        <v>0</v>
      </c>
      <c r="L103" s="48">
        <f t="shared" si="44"/>
        <v>0</v>
      </c>
      <c r="M103" s="48">
        <f t="shared" si="45"/>
        <v>0</v>
      </c>
      <c r="N103" s="29">
        <f t="shared" si="46"/>
        <v>0</v>
      </c>
    </row>
    <row r="104" spans="1:14" x14ac:dyDescent="0.3">
      <c r="A104" s="18">
        <v>13</v>
      </c>
      <c r="B104" s="53" t="str">
        <f t="shared" si="35"/>
        <v/>
      </c>
      <c r="D104" s="48">
        <f t="shared" si="36"/>
        <v>0</v>
      </c>
      <c r="E104" s="48">
        <f t="shared" si="37"/>
        <v>0</v>
      </c>
      <c r="F104" s="48">
        <f t="shared" si="38"/>
        <v>0</v>
      </c>
      <c r="G104" s="48">
        <f t="shared" si="39"/>
        <v>0</v>
      </c>
      <c r="H104" s="48">
        <f t="shared" si="40"/>
        <v>0</v>
      </c>
      <c r="I104" s="48">
        <f t="shared" si="41"/>
        <v>0</v>
      </c>
      <c r="J104" s="48">
        <f t="shared" si="42"/>
        <v>0</v>
      </c>
      <c r="K104" s="48">
        <f t="shared" si="43"/>
        <v>0</v>
      </c>
      <c r="L104" s="48">
        <f t="shared" si="44"/>
        <v>0</v>
      </c>
      <c r="M104" s="48">
        <f t="shared" si="45"/>
        <v>0</v>
      </c>
      <c r="N104" s="29">
        <f t="shared" si="46"/>
        <v>0</v>
      </c>
    </row>
    <row r="105" spans="1:14" x14ac:dyDescent="0.3">
      <c r="A105" s="18">
        <v>14</v>
      </c>
      <c r="B105" s="53" t="str">
        <f t="shared" si="35"/>
        <v/>
      </c>
      <c r="D105" s="48">
        <f t="shared" si="36"/>
        <v>0</v>
      </c>
      <c r="E105" s="48">
        <f t="shared" si="37"/>
        <v>0</v>
      </c>
      <c r="F105" s="48">
        <f t="shared" si="38"/>
        <v>0</v>
      </c>
      <c r="G105" s="48">
        <f t="shared" si="39"/>
        <v>0</v>
      </c>
      <c r="H105" s="48">
        <f t="shared" si="40"/>
        <v>0</v>
      </c>
      <c r="I105" s="48">
        <f t="shared" si="41"/>
        <v>0</v>
      </c>
      <c r="J105" s="48">
        <f t="shared" si="42"/>
        <v>0</v>
      </c>
      <c r="K105" s="48">
        <f t="shared" si="43"/>
        <v>0</v>
      </c>
      <c r="L105" s="48">
        <f t="shared" si="44"/>
        <v>0</v>
      </c>
      <c r="M105" s="48">
        <f t="shared" si="45"/>
        <v>0</v>
      </c>
      <c r="N105" s="29">
        <f t="shared" si="46"/>
        <v>0</v>
      </c>
    </row>
    <row r="106" spans="1:14" x14ac:dyDescent="0.3">
      <c r="A106" s="18">
        <v>15</v>
      </c>
      <c r="B106" s="53" t="str">
        <f t="shared" si="35"/>
        <v/>
      </c>
      <c r="D106" s="48">
        <f t="shared" si="36"/>
        <v>0</v>
      </c>
      <c r="E106" s="48">
        <f t="shared" si="37"/>
        <v>0</v>
      </c>
      <c r="F106" s="48">
        <f t="shared" si="38"/>
        <v>0</v>
      </c>
      <c r="G106" s="48">
        <f t="shared" si="39"/>
        <v>0</v>
      </c>
      <c r="H106" s="48">
        <f t="shared" si="40"/>
        <v>0</v>
      </c>
      <c r="I106" s="48">
        <f t="shared" si="41"/>
        <v>0</v>
      </c>
      <c r="J106" s="48">
        <f t="shared" si="42"/>
        <v>0</v>
      </c>
      <c r="K106" s="48">
        <f t="shared" si="43"/>
        <v>0</v>
      </c>
      <c r="L106" s="48">
        <f t="shared" si="44"/>
        <v>0</v>
      </c>
      <c r="M106" s="48">
        <f t="shared" si="45"/>
        <v>0</v>
      </c>
      <c r="N106" s="29">
        <f t="shared" si="46"/>
        <v>0</v>
      </c>
    </row>
    <row r="107" spans="1:14" x14ac:dyDescent="0.3">
      <c r="A107" s="18">
        <v>16</v>
      </c>
      <c r="B107" s="53" t="str">
        <f t="shared" si="35"/>
        <v/>
      </c>
      <c r="D107" s="48">
        <f t="shared" si="36"/>
        <v>0</v>
      </c>
      <c r="E107" s="48">
        <f t="shared" si="37"/>
        <v>0</v>
      </c>
      <c r="F107" s="48">
        <f t="shared" si="38"/>
        <v>0</v>
      </c>
      <c r="G107" s="48">
        <f t="shared" si="39"/>
        <v>0</v>
      </c>
      <c r="H107" s="48">
        <f t="shared" si="40"/>
        <v>0</v>
      </c>
      <c r="I107" s="48">
        <f t="shared" si="41"/>
        <v>0</v>
      </c>
      <c r="J107" s="48">
        <f t="shared" si="42"/>
        <v>0</v>
      </c>
      <c r="K107" s="48">
        <f t="shared" si="43"/>
        <v>0</v>
      </c>
      <c r="L107" s="48">
        <f t="shared" si="44"/>
        <v>0</v>
      </c>
      <c r="M107" s="48">
        <f t="shared" si="45"/>
        <v>0</v>
      </c>
      <c r="N107" s="29">
        <f t="shared" si="46"/>
        <v>0</v>
      </c>
    </row>
    <row r="108" spans="1:14" x14ac:dyDescent="0.3">
      <c r="A108" s="18">
        <v>17</v>
      </c>
      <c r="B108" s="53" t="str">
        <f t="shared" si="35"/>
        <v/>
      </c>
      <c r="D108" s="48">
        <f t="shared" si="36"/>
        <v>0</v>
      </c>
      <c r="E108" s="48">
        <f t="shared" si="37"/>
        <v>0</v>
      </c>
      <c r="F108" s="48">
        <f t="shared" si="38"/>
        <v>0</v>
      </c>
      <c r="G108" s="48">
        <f t="shared" si="39"/>
        <v>0</v>
      </c>
      <c r="H108" s="48">
        <f t="shared" si="40"/>
        <v>0</v>
      </c>
      <c r="I108" s="48">
        <f t="shared" si="41"/>
        <v>0</v>
      </c>
      <c r="J108" s="48">
        <f t="shared" si="42"/>
        <v>0</v>
      </c>
      <c r="K108" s="48">
        <f t="shared" si="43"/>
        <v>0</v>
      </c>
      <c r="L108" s="48">
        <f t="shared" si="44"/>
        <v>0</v>
      </c>
      <c r="M108" s="48">
        <f t="shared" si="45"/>
        <v>0</v>
      </c>
      <c r="N108" s="29">
        <f t="shared" si="46"/>
        <v>0</v>
      </c>
    </row>
    <row r="109" spans="1:14" x14ac:dyDescent="0.3">
      <c r="A109" s="18">
        <v>18</v>
      </c>
      <c r="B109" s="53" t="str">
        <f t="shared" si="35"/>
        <v/>
      </c>
      <c r="D109" s="48">
        <f t="shared" si="36"/>
        <v>0</v>
      </c>
      <c r="E109" s="48">
        <f t="shared" si="37"/>
        <v>0</v>
      </c>
      <c r="F109" s="48">
        <f t="shared" si="38"/>
        <v>0</v>
      </c>
      <c r="G109" s="48">
        <f t="shared" si="39"/>
        <v>0</v>
      </c>
      <c r="H109" s="48">
        <f t="shared" si="40"/>
        <v>0</v>
      </c>
      <c r="I109" s="48">
        <f t="shared" si="41"/>
        <v>0</v>
      </c>
      <c r="J109" s="48">
        <f t="shared" si="42"/>
        <v>0</v>
      </c>
      <c r="K109" s="48">
        <f t="shared" si="43"/>
        <v>0</v>
      </c>
      <c r="L109" s="48">
        <f t="shared" si="44"/>
        <v>0</v>
      </c>
      <c r="M109" s="48">
        <f t="shared" si="45"/>
        <v>0</v>
      </c>
      <c r="N109" s="29">
        <f t="shared" si="46"/>
        <v>0</v>
      </c>
    </row>
    <row r="110" spans="1:14" x14ac:dyDescent="0.3">
      <c r="A110" s="18">
        <v>19</v>
      </c>
      <c r="B110" s="53" t="str">
        <f t="shared" si="35"/>
        <v/>
      </c>
      <c r="D110" s="48">
        <f t="shared" si="36"/>
        <v>0</v>
      </c>
      <c r="E110" s="48">
        <f t="shared" si="37"/>
        <v>0</v>
      </c>
      <c r="F110" s="48">
        <f t="shared" si="38"/>
        <v>0</v>
      </c>
      <c r="G110" s="48">
        <f t="shared" si="39"/>
        <v>0</v>
      </c>
      <c r="H110" s="48">
        <f t="shared" si="40"/>
        <v>0</v>
      </c>
      <c r="I110" s="48">
        <f t="shared" si="41"/>
        <v>0</v>
      </c>
      <c r="J110" s="48">
        <f t="shared" si="42"/>
        <v>0</v>
      </c>
      <c r="K110" s="48">
        <f t="shared" si="43"/>
        <v>0</v>
      </c>
      <c r="L110" s="48">
        <f t="shared" si="44"/>
        <v>0</v>
      </c>
      <c r="M110" s="48">
        <f t="shared" si="45"/>
        <v>0</v>
      </c>
      <c r="N110" s="29">
        <f t="shared" si="46"/>
        <v>0</v>
      </c>
    </row>
    <row r="111" spans="1:14" x14ac:dyDescent="0.3">
      <c r="A111" s="18">
        <v>20</v>
      </c>
      <c r="B111" s="53" t="str">
        <f t="shared" si="35"/>
        <v/>
      </c>
      <c r="D111" s="48">
        <f t="shared" si="36"/>
        <v>0</v>
      </c>
      <c r="E111" s="48">
        <f t="shared" si="37"/>
        <v>0</v>
      </c>
      <c r="F111" s="48">
        <f t="shared" si="38"/>
        <v>0</v>
      </c>
      <c r="G111" s="48">
        <f t="shared" si="39"/>
        <v>0</v>
      </c>
      <c r="H111" s="48">
        <f t="shared" si="40"/>
        <v>0</v>
      </c>
      <c r="I111" s="48">
        <f t="shared" si="41"/>
        <v>0</v>
      </c>
      <c r="J111" s="48">
        <f t="shared" si="42"/>
        <v>0</v>
      </c>
      <c r="K111" s="48">
        <f t="shared" si="43"/>
        <v>0</v>
      </c>
      <c r="L111" s="48">
        <f t="shared" si="44"/>
        <v>0</v>
      </c>
      <c r="M111" s="48">
        <f t="shared" si="45"/>
        <v>0</v>
      </c>
      <c r="N111" s="29">
        <f t="shared" si="46"/>
        <v>0</v>
      </c>
    </row>
    <row r="112" spans="1:14" x14ac:dyDescent="0.3">
      <c r="A112" s="18">
        <v>21</v>
      </c>
      <c r="B112" s="53" t="str">
        <f t="shared" si="35"/>
        <v/>
      </c>
      <c r="D112" s="48">
        <f t="shared" si="36"/>
        <v>0</v>
      </c>
      <c r="E112" s="48">
        <f t="shared" si="37"/>
        <v>0</v>
      </c>
      <c r="F112" s="48">
        <f t="shared" si="38"/>
        <v>0</v>
      </c>
      <c r="G112" s="48">
        <f t="shared" si="39"/>
        <v>0</v>
      </c>
      <c r="H112" s="48">
        <f t="shared" si="40"/>
        <v>0</v>
      </c>
      <c r="I112" s="48">
        <f t="shared" si="41"/>
        <v>0</v>
      </c>
      <c r="J112" s="48">
        <f t="shared" si="42"/>
        <v>0</v>
      </c>
      <c r="K112" s="48">
        <f t="shared" si="43"/>
        <v>0</v>
      </c>
      <c r="L112" s="48">
        <f t="shared" si="44"/>
        <v>0</v>
      </c>
      <c r="M112" s="48">
        <f t="shared" si="45"/>
        <v>0</v>
      </c>
      <c r="N112" s="29">
        <f t="shared" si="46"/>
        <v>0</v>
      </c>
    </row>
    <row r="113" spans="1:14" x14ac:dyDescent="0.3">
      <c r="A113" s="18">
        <v>22</v>
      </c>
      <c r="B113" s="53" t="str">
        <f t="shared" si="35"/>
        <v/>
      </c>
      <c r="D113" s="48">
        <f t="shared" si="36"/>
        <v>0</v>
      </c>
      <c r="E113" s="48">
        <f t="shared" si="37"/>
        <v>0</v>
      </c>
      <c r="F113" s="48">
        <f t="shared" si="38"/>
        <v>0</v>
      </c>
      <c r="G113" s="48">
        <f t="shared" si="39"/>
        <v>0</v>
      </c>
      <c r="H113" s="48">
        <f t="shared" si="40"/>
        <v>0</v>
      </c>
      <c r="I113" s="48">
        <f t="shared" si="41"/>
        <v>0</v>
      </c>
      <c r="J113" s="48">
        <f t="shared" si="42"/>
        <v>0</v>
      </c>
      <c r="K113" s="48">
        <f t="shared" si="43"/>
        <v>0</v>
      </c>
      <c r="L113" s="48">
        <f t="shared" si="44"/>
        <v>0</v>
      </c>
      <c r="M113" s="48">
        <f t="shared" si="45"/>
        <v>0</v>
      </c>
      <c r="N113" s="29">
        <f t="shared" si="46"/>
        <v>0</v>
      </c>
    </row>
    <row r="114" spans="1:14" x14ac:dyDescent="0.3">
      <c r="A114" s="18">
        <v>23</v>
      </c>
      <c r="B114" s="53" t="str">
        <f t="shared" si="35"/>
        <v/>
      </c>
      <c r="D114" s="48">
        <f t="shared" si="36"/>
        <v>0</v>
      </c>
      <c r="E114" s="48">
        <f t="shared" si="37"/>
        <v>0</v>
      </c>
      <c r="F114" s="48">
        <f t="shared" si="38"/>
        <v>0</v>
      </c>
      <c r="G114" s="48">
        <f t="shared" si="39"/>
        <v>0</v>
      </c>
      <c r="H114" s="48">
        <f t="shared" si="40"/>
        <v>0</v>
      </c>
      <c r="I114" s="48">
        <f t="shared" si="41"/>
        <v>0</v>
      </c>
      <c r="J114" s="48">
        <f t="shared" si="42"/>
        <v>0</v>
      </c>
      <c r="K114" s="48">
        <f t="shared" si="43"/>
        <v>0</v>
      </c>
      <c r="L114" s="48">
        <f t="shared" si="44"/>
        <v>0</v>
      </c>
      <c r="M114" s="48">
        <f t="shared" si="45"/>
        <v>0</v>
      </c>
      <c r="N114" s="29">
        <f t="shared" si="46"/>
        <v>0</v>
      </c>
    </row>
    <row r="115" spans="1:14" x14ac:dyDescent="0.3">
      <c r="A115" s="18">
        <v>24</v>
      </c>
      <c r="B115" s="53" t="str">
        <f t="shared" si="35"/>
        <v/>
      </c>
      <c r="D115" s="48">
        <f t="shared" si="36"/>
        <v>0</v>
      </c>
      <c r="E115" s="48">
        <f t="shared" si="37"/>
        <v>0</v>
      </c>
      <c r="F115" s="48">
        <f t="shared" si="38"/>
        <v>0</v>
      </c>
      <c r="G115" s="48">
        <f t="shared" si="39"/>
        <v>0</v>
      </c>
      <c r="H115" s="48">
        <f t="shared" si="40"/>
        <v>0</v>
      </c>
      <c r="I115" s="48">
        <f t="shared" si="41"/>
        <v>0</v>
      </c>
      <c r="J115" s="48">
        <f t="shared" si="42"/>
        <v>0</v>
      </c>
      <c r="K115" s="48">
        <f t="shared" si="43"/>
        <v>0</v>
      </c>
      <c r="L115" s="48">
        <f t="shared" si="44"/>
        <v>0</v>
      </c>
      <c r="M115" s="48">
        <f t="shared" si="45"/>
        <v>0</v>
      </c>
      <c r="N115" s="29">
        <f t="shared" si="46"/>
        <v>0</v>
      </c>
    </row>
    <row r="116" spans="1:14" x14ac:dyDescent="0.3">
      <c r="A116" s="18">
        <v>25</v>
      </c>
      <c r="B116" s="53" t="str">
        <f t="shared" si="35"/>
        <v/>
      </c>
      <c r="D116" s="48">
        <f t="shared" si="36"/>
        <v>0</v>
      </c>
      <c r="E116" s="48">
        <f t="shared" si="37"/>
        <v>0</v>
      </c>
      <c r="F116" s="48">
        <f t="shared" si="38"/>
        <v>0</v>
      </c>
      <c r="G116" s="48">
        <f t="shared" si="39"/>
        <v>0</v>
      </c>
      <c r="H116" s="48">
        <f t="shared" si="40"/>
        <v>0</v>
      </c>
      <c r="I116" s="48">
        <f t="shared" si="41"/>
        <v>0</v>
      </c>
      <c r="J116" s="48">
        <f t="shared" si="42"/>
        <v>0</v>
      </c>
      <c r="K116" s="48">
        <f t="shared" si="43"/>
        <v>0</v>
      </c>
      <c r="L116" s="48">
        <f t="shared" si="44"/>
        <v>0</v>
      </c>
      <c r="M116" s="48">
        <f t="shared" si="45"/>
        <v>0</v>
      </c>
      <c r="N116" s="29">
        <f t="shared" si="46"/>
        <v>0</v>
      </c>
    </row>
    <row r="117" spans="1:14" x14ac:dyDescent="0.3">
      <c r="B117" s="14" t="s">
        <v>484</v>
      </c>
    </row>
  </sheetData>
  <conditionalFormatting sqref="D63:M87">
    <cfRule type="expression" dxfId="13" priority="6">
      <formula>D63&lt;&gt;D34</formula>
    </cfRule>
  </conditionalFormatting>
  <conditionalFormatting sqref="H6:H30">
    <cfRule type="expression" dxfId="12" priority="2">
      <formula>H6&lt;&gt;G6</formula>
    </cfRule>
  </conditionalFormatting>
  <conditionalFormatting sqref="J6:J30">
    <cfRule type="expression" dxfId="11" priority="3">
      <formula>J6&lt;&gt;I6</formula>
    </cfRule>
  </conditionalFormatting>
  <conditionalFormatting sqref="L6:L30">
    <cfRule type="expression" dxfId="10" priority="4">
      <formula>L6&lt;&gt;K6</formula>
    </cfRule>
  </conditionalFormatting>
  <conditionalFormatting sqref="N6:N30">
    <cfRule type="expression" dxfId="9" priority="5">
      <formula>N6&lt;&gt;M6</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Q100"/>
  <sheetViews>
    <sheetView zoomScale="90" zoomScaleNormal="90" workbookViewId="0">
      <pane xSplit="2" ySplit="5" topLeftCell="C6" activePane="bottomRight" state="frozen"/>
      <selection pane="topRight" activeCell="C1" sqref="C1"/>
      <selection pane="bottomLeft" activeCell="A6" sqref="A6"/>
      <selection pane="bottomRight" activeCell="G18" sqref="G18"/>
    </sheetView>
  </sheetViews>
  <sheetFormatPr baseColWidth="10" defaultColWidth="8.5546875" defaultRowHeight="14.4" x14ac:dyDescent="0.3"/>
  <cols>
    <col min="1" max="1" width="4" customWidth="1"/>
    <col min="2" max="2" width="40" customWidth="1"/>
    <col min="3" max="3" width="16" customWidth="1"/>
    <col min="4" max="4" width="9" customWidth="1"/>
    <col min="5" max="6" width="14" customWidth="1"/>
    <col min="7" max="16" width="10" customWidth="1"/>
    <col min="17" max="17" width="40" customWidth="1"/>
  </cols>
  <sheetData>
    <row r="1" spans="1:17" ht="16.8" x14ac:dyDescent="0.3">
      <c r="A1" s="13" t="s">
        <v>485</v>
      </c>
    </row>
    <row r="2" spans="1:17" x14ac:dyDescent="0.3">
      <c r="A2" s="14" t="s">
        <v>486</v>
      </c>
    </row>
    <row r="4" spans="1:17" x14ac:dyDescent="0.3">
      <c r="A4" s="15" t="s">
        <v>487</v>
      </c>
      <c r="B4" s="16"/>
      <c r="C4" s="16"/>
      <c r="D4" s="16"/>
      <c r="E4" s="16"/>
      <c r="F4" s="16"/>
      <c r="G4" s="16"/>
      <c r="H4" s="16"/>
      <c r="I4" s="16"/>
      <c r="J4" s="16"/>
      <c r="K4" s="16"/>
      <c r="L4" s="16"/>
      <c r="M4" s="16"/>
      <c r="N4" s="16"/>
      <c r="O4" s="16"/>
      <c r="P4" s="16"/>
      <c r="Q4" s="16"/>
    </row>
    <row r="5" spans="1:17" ht="39.75" customHeight="1" x14ac:dyDescent="0.3">
      <c r="A5" s="17" t="s">
        <v>461</v>
      </c>
      <c r="B5" s="17" t="s">
        <v>488</v>
      </c>
      <c r="C5" s="17" t="s">
        <v>489</v>
      </c>
      <c r="D5" s="17" t="s">
        <v>490</v>
      </c>
      <c r="E5" s="17" t="s">
        <v>491</v>
      </c>
      <c r="F5" s="17" t="s">
        <v>492</v>
      </c>
      <c r="G5" s="17" t="s">
        <v>493</v>
      </c>
      <c r="H5" s="17" t="s">
        <v>494</v>
      </c>
      <c r="I5" s="17" t="s">
        <v>495</v>
      </c>
      <c r="J5" s="17" t="s">
        <v>496</v>
      </c>
      <c r="K5" s="17" t="s">
        <v>497</v>
      </c>
      <c r="L5" s="17" t="s">
        <v>498</v>
      </c>
      <c r="M5" s="17" t="s">
        <v>499</v>
      </c>
      <c r="N5" s="17" t="s">
        <v>500</v>
      </c>
      <c r="O5" s="17" t="s">
        <v>501</v>
      </c>
      <c r="P5" s="17" t="s">
        <v>502</v>
      </c>
      <c r="Q5" s="17" t="s">
        <v>393</v>
      </c>
    </row>
    <row r="6" spans="1:17" x14ac:dyDescent="0.3">
      <c r="A6" s="18">
        <v>1</v>
      </c>
      <c r="B6" s="19" t="s">
        <v>503</v>
      </c>
      <c r="C6" s="19" t="s">
        <v>504</v>
      </c>
      <c r="D6" s="19" t="s">
        <v>505</v>
      </c>
      <c r="E6" s="37">
        <v>4668900</v>
      </c>
      <c r="F6" s="38">
        <f t="shared" ref="F6:F31" si="0">E6</f>
        <v>4668900</v>
      </c>
      <c r="G6" s="37">
        <v>4</v>
      </c>
      <c r="H6" s="37">
        <v>4</v>
      </c>
      <c r="I6" s="37">
        <v>5</v>
      </c>
      <c r="J6" s="37">
        <v>5</v>
      </c>
      <c r="K6" s="37">
        <v>6</v>
      </c>
      <c r="L6" s="37">
        <v>6</v>
      </c>
      <c r="M6" s="37">
        <v>6</v>
      </c>
      <c r="N6" s="37">
        <v>6</v>
      </c>
      <c r="O6" s="37">
        <v>6</v>
      </c>
      <c r="P6" s="37">
        <v>6</v>
      </c>
    </row>
    <row r="7" spans="1:17" x14ac:dyDescent="0.3">
      <c r="A7" s="18">
        <v>2</v>
      </c>
      <c r="B7" s="19" t="s">
        <v>506</v>
      </c>
      <c r="C7" s="19" t="s">
        <v>504</v>
      </c>
      <c r="D7" s="19" t="s">
        <v>505</v>
      </c>
      <c r="E7" s="37">
        <v>3650655</v>
      </c>
      <c r="F7" s="38">
        <f t="shared" si="0"/>
        <v>3650655</v>
      </c>
      <c r="G7" s="37">
        <v>8</v>
      </c>
      <c r="H7" s="37">
        <v>8</v>
      </c>
      <c r="I7" s="37">
        <v>9</v>
      </c>
      <c r="J7" s="37">
        <v>9</v>
      </c>
      <c r="K7" s="37">
        <v>10</v>
      </c>
      <c r="L7" s="37">
        <v>10</v>
      </c>
      <c r="M7" s="37">
        <v>10</v>
      </c>
      <c r="N7" s="37">
        <v>10</v>
      </c>
      <c r="O7" s="37">
        <v>10</v>
      </c>
      <c r="P7" s="37">
        <v>10</v>
      </c>
    </row>
    <row r="8" spans="1:17" x14ac:dyDescent="0.3">
      <c r="A8" s="18">
        <v>3</v>
      </c>
      <c r="B8" s="19" t="s">
        <v>507</v>
      </c>
      <c r="C8" s="19" t="s">
        <v>504</v>
      </c>
      <c r="D8" s="19" t="s">
        <v>505</v>
      </c>
      <c r="E8" s="37">
        <v>3968900</v>
      </c>
      <c r="F8" s="38">
        <f t="shared" si="0"/>
        <v>3968900</v>
      </c>
      <c r="G8" s="37">
        <v>5</v>
      </c>
      <c r="H8" s="37">
        <v>5</v>
      </c>
      <c r="I8" s="37">
        <v>6</v>
      </c>
      <c r="J8" s="37">
        <v>6</v>
      </c>
      <c r="K8" s="37">
        <v>6</v>
      </c>
      <c r="L8" s="37">
        <v>6</v>
      </c>
      <c r="M8" s="37">
        <v>6</v>
      </c>
      <c r="N8" s="37">
        <v>6</v>
      </c>
      <c r="O8" s="37">
        <v>6</v>
      </c>
      <c r="P8" s="37">
        <v>6</v>
      </c>
    </row>
    <row r="9" spans="1:17" x14ac:dyDescent="0.3">
      <c r="A9" s="18">
        <v>4</v>
      </c>
      <c r="B9" s="19" t="s">
        <v>508</v>
      </c>
      <c r="C9" s="19" t="s">
        <v>504</v>
      </c>
      <c r="D9" s="19" t="s">
        <v>505</v>
      </c>
      <c r="E9" s="37">
        <v>3650655</v>
      </c>
      <c r="F9" s="38">
        <f t="shared" si="0"/>
        <v>3650655</v>
      </c>
      <c r="G9" s="37">
        <v>2</v>
      </c>
      <c r="H9" s="37">
        <v>2</v>
      </c>
      <c r="I9" s="37">
        <v>2</v>
      </c>
      <c r="J9" s="37">
        <v>2</v>
      </c>
      <c r="K9" s="37">
        <v>3</v>
      </c>
      <c r="L9" s="37">
        <v>3</v>
      </c>
      <c r="M9" s="37">
        <v>3</v>
      </c>
      <c r="N9" s="37">
        <v>3</v>
      </c>
      <c r="O9" s="37">
        <v>3</v>
      </c>
      <c r="P9" s="37">
        <v>3</v>
      </c>
    </row>
    <row r="10" spans="1:17" x14ac:dyDescent="0.3">
      <c r="A10" s="18">
        <v>5</v>
      </c>
      <c r="B10" s="19" t="s">
        <v>509</v>
      </c>
      <c r="C10" s="19" t="s">
        <v>504</v>
      </c>
      <c r="D10" s="19" t="s">
        <v>505</v>
      </c>
      <c r="E10" s="37">
        <v>3650655</v>
      </c>
      <c r="F10" s="38">
        <f t="shared" si="0"/>
        <v>3650655</v>
      </c>
      <c r="G10" s="37">
        <v>4</v>
      </c>
      <c r="H10" s="37">
        <v>4</v>
      </c>
      <c r="I10" s="37">
        <v>4</v>
      </c>
      <c r="J10" s="37">
        <v>5</v>
      </c>
      <c r="K10" s="37">
        <v>5</v>
      </c>
      <c r="L10" s="37">
        <v>5</v>
      </c>
      <c r="M10" s="37">
        <v>5</v>
      </c>
      <c r="N10" s="37">
        <v>5</v>
      </c>
      <c r="O10" s="37">
        <v>5</v>
      </c>
      <c r="P10" s="37">
        <v>5</v>
      </c>
    </row>
    <row r="11" spans="1:17" x14ac:dyDescent="0.3">
      <c r="A11" s="18">
        <v>6</v>
      </c>
      <c r="B11" s="19" t="s">
        <v>510</v>
      </c>
      <c r="C11" s="19" t="s">
        <v>504</v>
      </c>
      <c r="D11" s="19" t="s">
        <v>505</v>
      </c>
      <c r="E11" s="37">
        <v>3150655</v>
      </c>
      <c r="F11" s="38">
        <f t="shared" si="0"/>
        <v>3150655</v>
      </c>
      <c r="G11" s="37">
        <v>10</v>
      </c>
      <c r="H11" s="37">
        <v>10</v>
      </c>
      <c r="I11" s="37">
        <v>10</v>
      </c>
      <c r="J11" s="37">
        <v>11</v>
      </c>
      <c r="K11" s="37">
        <v>11</v>
      </c>
      <c r="L11" s="37">
        <v>11</v>
      </c>
      <c r="M11" s="37">
        <v>11</v>
      </c>
      <c r="N11" s="37">
        <v>11</v>
      </c>
      <c r="O11" s="37">
        <v>11</v>
      </c>
      <c r="P11" s="37">
        <v>11</v>
      </c>
    </row>
    <row r="12" spans="1:17" x14ac:dyDescent="0.3">
      <c r="A12" s="18">
        <v>7</v>
      </c>
      <c r="B12" s="19" t="s">
        <v>511</v>
      </c>
      <c r="C12" s="19" t="s">
        <v>504</v>
      </c>
      <c r="D12" s="19" t="s">
        <v>505</v>
      </c>
      <c r="E12" s="37">
        <v>2798309</v>
      </c>
      <c r="F12" s="38">
        <f t="shared" si="0"/>
        <v>2798309</v>
      </c>
      <c r="G12" s="37">
        <v>10</v>
      </c>
      <c r="H12" s="37">
        <v>10</v>
      </c>
      <c r="I12" s="37">
        <v>10</v>
      </c>
      <c r="J12" s="37">
        <v>11</v>
      </c>
      <c r="K12" s="37">
        <v>11</v>
      </c>
      <c r="L12" s="37">
        <v>11</v>
      </c>
      <c r="M12" s="37">
        <v>11</v>
      </c>
      <c r="N12" s="37">
        <v>11</v>
      </c>
      <c r="O12" s="37">
        <v>11</v>
      </c>
      <c r="P12" s="37">
        <v>11</v>
      </c>
    </row>
    <row r="13" spans="1:17" x14ac:dyDescent="0.3">
      <c r="A13" s="18">
        <v>8</v>
      </c>
      <c r="B13" s="19" t="s">
        <v>512</v>
      </c>
      <c r="C13" s="19" t="s">
        <v>513</v>
      </c>
      <c r="D13" s="19" t="s">
        <v>505</v>
      </c>
      <c r="E13" s="37">
        <v>18000000</v>
      </c>
      <c r="F13" s="38">
        <f t="shared" si="0"/>
        <v>18000000</v>
      </c>
      <c r="G13" s="37">
        <v>1</v>
      </c>
      <c r="H13" s="37">
        <v>1</v>
      </c>
      <c r="I13" s="37">
        <v>1</v>
      </c>
      <c r="J13" s="37">
        <v>1</v>
      </c>
      <c r="K13" s="37">
        <v>1</v>
      </c>
      <c r="L13" s="37">
        <v>1</v>
      </c>
      <c r="M13" s="37">
        <v>1</v>
      </c>
      <c r="N13" s="37">
        <v>1</v>
      </c>
      <c r="O13" s="37">
        <v>1</v>
      </c>
      <c r="P13" s="37">
        <v>1</v>
      </c>
    </row>
    <row r="14" spans="1:17" x14ac:dyDescent="0.3">
      <c r="A14" s="18">
        <v>9</v>
      </c>
      <c r="B14" s="19" t="s">
        <v>514</v>
      </c>
      <c r="C14" s="19" t="s">
        <v>515</v>
      </c>
      <c r="D14" s="19" t="s">
        <v>505</v>
      </c>
      <c r="E14" s="37">
        <v>9800000</v>
      </c>
      <c r="F14" s="38">
        <f t="shared" si="0"/>
        <v>9800000</v>
      </c>
      <c r="G14" s="37">
        <v>1</v>
      </c>
      <c r="H14" s="37">
        <v>1</v>
      </c>
      <c r="I14" s="37">
        <v>1</v>
      </c>
      <c r="J14" s="37">
        <v>1</v>
      </c>
      <c r="K14" s="37">
        <v>1</v>
      </c>
      <c r="L14" s="37">
        <v>1</v>
      </c>
      <c r="M14" s="37">
        <v>1</v>
      </c>
      <c r="N14" s="37">
        <v>1</v>
      </c>
      <c r="O14" s="37">
        <v>1</v>
      </c>
      <c r="P14" s="37">
        <v>1</v>
      </c>
    </row>
    <row r="15" spans="1:17" x14ac:dyDescent="0.3">
      <c r="A15" s="18">
        <v>10</v>
      </c>
      <c r="B15" s="19" t="s">
        <v>516</v>
      </c>
      <c r="C15" s="19" t="s">
        <v>515</v>
      </c>
      <c r="D15" s="19" t="s">
        <v>505</v>
      </c>
      <c r="E15" s="37">
        <v>6550000</v>
      </c>
      <c r="F15" s="38">
        <f t="shared" si="0"/>
        <v>6550000</v>
      </c>
      <c r="G15" s="37">
        <v>1</v>
      </c>
      <c r="H15" s="37">
        <v>1</v>
      </c>
      <c r="I15" s="37">
        <v>1</v>
      </c>
      <c r="J15" s="37">
        <v>1</v>
      </c>
      <c r="K15" s="37">
        <v>1</v>
      </c>
      <c r="L15" s="37">
        <v>1</v>
      </c>
      <c r="M15" s="37">
        <v>1</v>
      </c>
      <c r="N15" s="37">
        <v>1</v>
      </c>
      <c r="O15" s="37">
        <v>1</v>
      </c>
      <c r="P15" s="37">
        <v>1</v>
      </c>
    </row>
    <row r="16" spans="1:17" x14ac:dyDescent="0.3">
      <c r="A16" s="18">
        <v>11</v>
      </c>
      <c r="B16" s="19" t="s">
        <v>517</v>
      </c>
      <c r="C16" s="19" t="s">
        <v>515</v>
      </c>
      <c r="D16" s="19" t="s">
        <v>505</v>
      </c>
      <c r="E16" s="37">
        <v>6550000</v>
      </c>
      <c r="F16" s="38">
        <f t="shared" si="0"/>
        <v>6550000</v>
      </c>
      <c r="G16" s="37">
        <v>1</v>
      </c>
      <c r="H16" s="37">
        <v>1</v>
      </c>
      <c r="I16" s="37">
        <v>1</v>
      </c>
      <c r="J16" s="37">
        <v>1</v>
      </c>
      <c r="K16" s="37">
        <v>1</v>
      </c>
      <c r="L16" s="37">
        <v>1</v>
      </c>
      <c r="M16" s="37">
        <v>1</v>
      </c>
      <c r="N16" s="37">
        <v>1</v>
      </c>
      <c r="O16" s="37">
        <v>1</v>
      </c>
      <c r="P16" s="37">
        <v>1</v>
      </c>
    </row>
    <row r="17" spans="1:16" x14ac:dyDescent="0.3">
      <c r="A17" s="18">
        <v>12</v>
      </c>
      <c r="B17" s="19" t="s">
        <v>518</v>
      </c>
      <c r="C17" s="19" t="s">
        <v>515</v>
      </c>
      <c r="D17" s="19" t="s">
        <v>505</v>
      </c>
      <c r="E17" s="37">
        <v>6550000</v>
      </c>
      <c r="F17" s="38">
        <f t="shared" si="0"/>
        <v>6550000</v>
      </c>
      <c r="G17" s="37">
        <v>1</v>
      </c>
      <c r="H17" s="37">
        <v>1</v>
      </c>
      <c r="I17" s="37">
        <v>1</v>
      </c>
      <c r="J17" s="37">
        <v>1</v>
      </c>
      <c r="K17" s="37">
        <v>1</v>
      </c>
      <c r="L17" s="37">
        <v>1</v>
      </c>
      <c r="M17" s="37">
        <v>1</v>
      </c>
      <c r="N17" s="37">
        <v>1</v>
      </c>
      <c r="O17" s="37">
        <v>1</v>
      </c>
      <c r="P17" s="37">
        <v>1</v>
      </c>
    </row>
    <row r="18" spans="1:16" x14ac:dyDescent="0.3">
      <c r="A18" s="18">
        <v>13</v>
      </c>
      <c r="B18" s="19" t="s">
        <v>519</v>
      </c>
      <c r="C18" s="19" t="s">
        <v>515</v>
      </c>
      <c r="D18" s="19" t="s">
        <v>505</v>
      </c>
      <c r="E18" s="37">
        <v>6550000</v>
      </c>
      <c r="F18" s="38">
        <f t="shared" si="0"/>
        <v>6550000</v>
      </c>
      <c r="G18" s="37">
        <v>1</v>
      </c>
      <c r="H18" s="37">
        <v>1</v>
      </c>
      <c r="I18" s="37">
        <v>1</v>
      </c>
      <c r="J18" s="37">
        <v>1</v>
      </c>
      <c r="K18" s="37">
        <v>1</v>
      </c>
      <c r="L18" s="37">
        <v>1</v>
      </c>
      <c r="M18" s="37">
        <v>1</v>
      </c>
      <c r="N18" s="37">
        <v>1</v>
      </c>
      <c r="O18" s="37">
        <v>1</v>
      </c>
      <c r="P18" s="37">
        <v>1</v>
      </c>
    </row>
    <row r="19" spans="1:16" x14ac:dyDescent="0.3">
      <c r="A19" s="18">
        <v>14</v>
      </c>
      <c r="B19" s="19" t="s">
        <v>520</v>
      </c>
      <c r="C19" s="19" t="s">
        <v>515</v>
      </c>
      <c r="D19" s="19" t="s">
        <v>505</v>
      </c>
      <c r="E19" s="37">
        <v>6550000</v>
      </c>
      <c r="F19" s="38">
        <f t="shared" si="0"/>
        <v>6550000</v>
      </c>
      <c r="G19" s="37">
        <v>3</v>
      </c>
      <c r="H19" s="37">
        <v>3</v>
      </c>
      <c r="I19" s="37">
        <v>3</v>
      </c>
      <c r="J19" s="37">
        <v>3</v>
      </c>
      <c r="K19" s="37">
        <v>3</v>
      </c>
      <c r="L19" s="37">
        <v>3</v>
      </c>
      <c r="M19" s="37">
        <v>3</v>
      </c>
      <c r="N19" s="37">
        <v>3</v>
      </c>
      <c r="O19" s="37">
        <v>3</v>
      </c>
      <c r="P19" s="37">
        <v>3</v>
      </c>
    </row>
    <row r="20" spans="1:16" x14ac:dyDescent="0.3">
      <c r="A20" s="18">
        <v>15</v>
      </c>
      <c r="B20" s="19" t="s">
        <v>521</v>
      </c>
      <c r="C20" s="19" t="s">
        <v>515</v>
      </c>
      <c r="D20" s="19" t="s">
        <v>505</v>
      </c>
      <c r="E20" s="37">
        <v>3650655</v>
      </c>
      <c r="F20" s="38">
        <f t="shared" si="0"/>
        <v>3650655</v>
      </c>
      <c r="G20" s="37">
        <v>2</v>
      </c>
      <c r="H20" s="37">
        <v>2</v>
      </c>
      <c r="I20" s="37">
        <v>2</v>
      </c>
      <c r="J20" s="37">
        <v>2</v>
      </c>
      <c r="K20" s="37">
        <v>2</v>
      </c>
      <c r="L20" s="37">
        <v>2</v>
      </c>
      <c r="M20" s="37">
        <v>2</v>
      </c>
      <c r="N20" s="37">
        <v>2</v>
      </c>
      <c r="O20" s="37">
        <v>2</v>
      </c>
      <c r="P20" s="37">
        <v>2</v>
      </c>
    </row>
    <row r="21" spans="1:16" x14ac:dyDescent="0.3">
      <c r="A21" s="18">
        <v>16</v>
      </c>
      <c r="B21" s="19" t="s">
        <v>522</v>
      </c>
      <c r="C21" s="19" t="s">
        <v>515</v>
      </c>
      <c r="D21" s="19" t="s">
        <v>505</v>
      </c>
      <c r="E21" s="37">
        <v>9800000</v>
      </c>
      <c r="F21" s="38">
        <f t="shared" si="0"/>
        <v>9800000</v>
      </c>
      <c r="G21" s="37">
        <v>1</v>
      </c>
      <c r="H21" s="37">
        <v>1</v>
      </c>
      <c r="I21" s="37">
        <v>1</v>
      </c>
      <c r="J21" s="37">
        <v>1</v>
      </c>
      <c r="K21" s="37">
        <v>1</v>
      </c>
      <c r="L21" s="37">
        <v>1</v>
      </c>
      <c r="M21" s="37">
        <v>1</v>
      </c>
      <c r="N21" s="37">
        <v>1</v>
      </c>
      <c r="O21" s="37">
        <v>1</v>
      </c>
      <c r="P21" s="37">
        <v>1</v>
      </c>
    </row>
    <row r="22" spans="1:16" x14ac:dyDescent="0.3">
      <c r="A22" s="18">
        <v>17</v>
      </c>
      <c r="B22" s="19" t="s">
        <v>523</v>
      </c>
      <c r="C22" s="19" t="s">
        <v>515</v>
      </c>
      <c r="D22" s="19" t="s">
        <v>505</v>
      </c>
      <c r="E22" s="37">
        <v>2798309</v>
      </c>
      <c r="F22" s="38">
        <f t="shared" si="0"/>
        <v>2798309</v>
      </c>
      <c r="G22" s="37">
        <v>1</v>
      </c>
      <c r="H22" s="37">
        <v>1</v>
      </c>
      <c r="I22" s="37">
        <v>1</v>
      </c>
      <c r="J22" s="37">
        <v>1</v>
      </c>
      <c r="K22" s="37">
        <v>1</v>
      </c>
      <c r="L22" s="37">
        <v>1</v>
      </c>
      <c r="M22" s="37">
        <v>1</v>
      </c>
      <c r="N22" s="37">
        <v>1</v>
      </c>
      <c r="O22" s="37">
        <v>1</v>
      </c>
      <c r="P22" s="37">
        <v>1</v>
      </c>
    </row>
    <row r="23" spans="1:16" x14ac:dyDescent="0.3">
      <c r="A23" s="18">
        <v>18</v>
      </c>
      <c r="B23" s="19" t="s">
        <v>524</v>
      </c>
      <c r="C23" s="19" t="s">
        <v>515</v>
      </c>
      <c r="D23" s="19" t="s">
        <v>505</v>
      </c>
      <c r="E23" s="37">
        <v>3150655</v>
      </c>
      <c r="F23" s="38">
        <f t="shared" si="0"/>
        <v>3150655</v>
      </c>
      <c r="G23" s="37">
        <v>1</v>
      </c>
      <c r="H23" s="37">
        <v>1</v>
      </c>
      <c r="I23" s="37">
        <v>1</v>
      </c>
      <c r="J23" s="37">
        <v>1</v>
      </c>
      <c r="K23" s="37">
        <v>1</v>
      </c>
      <c r="L23" s="37">
        <v>1</v>
      </c>
      <c r="M23" s="37">
        <v>1</v>
      </c>
      <c r="N23" s="37">
        <v>1</v>
      </c>
      <c r="O23" s="37">
        <v>1</v>
      </c>
      <c r="P23" s="37">
        <v>1</v>
      </c>
    </row>
    <row r="24" spans="1:16" x14ac:dyDescent="0.3">
      <c r="A24" s="18">
        <v>19</v>
      </c>
      <c r="B24" s="19" t="s">
        <v>525</v>
      </c>
      <c r="C24" s="19" t="s">
        <v>513</v>
      </c>
      <c r="D24" s="19" t="s">
        <v>505</v>
      </c>
      <c r="E24" s="37">
        <v>6550000</v>
      </c>
      <c r="F24" s="38">
        <f t="shared" si="0"/>
        <v>6550000</v>
      </c>
      <c r="G24" s="37">
        <v>1</v>
      </c>
      <c r="H24" s="37">
        <v>1</v>
      </c>
      <c r="I24" s="37">
        <v>1</v>
      </c>
      <c r="J24" s="37">
        <v>1</v>
      </c>
      <c r="K24" s="37">
        <v>1</v>
      </c>
      <c r="L24" s="37">
        <v>1</v>
      </c>
      <c r="M24" s="37">
        <v>1</v>
      </c>
      <c r="N24" s="37">
        <v>1</v>
      </c>
      <c r="O24" s="37">
        <v>1</v>
      </c>
      <c r="P24" s="37">
        <v>1</v>
      </c>
    </row>
    <row r="25" spans="1:16" x14ac:dyDescent="0.3">
      <c r="A25" s="18">
        <v>20</v>
      </c>
      <c r="B25" s="19" t="s">
        <v>526</v>
      </c>
      <c r="C25" s="19" t="s">
        <v>513</v>
      </c>
      <c r="D25" s="19" t="s">
        <v>505</v>
      </c>
      <c r="E25" s="37">
        <v>6550000</v>
      </c>
      <c r="F25" s="38">
        <f t="shared" si="0"/>
        <v>6550000</v>
      </c>
      <c r="G25" s="37">
        <v>1</v>
      </c>
      <c r="H25" s="37">
        <v>1</v>
      </c>
      <c r="I25" s="37">
        <v>1</v>
      </c>
      <c r="J25" s="37">
        <v>1</v>
      </c>
      <c r="K25" s="37">
        <v>1</v>
      </c>
      <c r="L25" s="37">
        <v>1</v>
      </c>
      <c r="M25" s="37">
        <v>1</v>
      </c>
      <c r="N25" s="37">
        <v>1</v>
      </c>
      <c r="O25" s="37">
        <v>1</v>
      </c>
      <c r="P25" s="37">
        <v>1</v>
      </c>
    </row>
    <row r="26" spans="1:16" x14ac:dyDescent="0.3">
      <c r="A26" s="18">
        <v>21</v>
      </c>
      <c r="B26" s="19" t="s">
        <v>527</v>
      </c>
      <c r="C26" s="19" t="s">
        <v>515</v>
      </c>
      <c r="D26" s="19" t="s">
        <v>505</v>
      </c>
      <c r="E26" s="37">
        <v>6550000</v>
      </c>
      <c r="F26" s="38">
        <f t="shared" si="0"/>
        <v>6550000</v>
      </c>
      <c r="G26" s="37">
        <v>1</v>
      </c>
      <c r="H26" s="37">
        <v>1</v>
      </c>
      <c r="I26" s="37">
        <v>1</v>
      </c>
      <c r="J26" s="37">
        <v>1</v>
      </c>
      <c r="K26" s="37">
        <v>1</v>
      </c>
      <c r="L26" s="37">
        <v>1</v>
      </c>
      <c r="M26" s="37">
        <v>1</v>
      </c>
      <c r="N26" s="37">
        <v>1</v>
      </c>
      <c r="O26" s="37">
        <v>1</v>
      </c>
      <c r="P26" s="37">
        <v>1</v>
      </c>
    </row>
    <row r="27" spans="1:16" x14ac:dyDescent="0.3">
      <c r="A27" s="18">
        <v>22</v>
      </c>
      <c r="B27" s="19" t="s">
        <v>528</v>
      </c>
      <c r="C27" s="19" t="s">
        <v>515</v>
      </c>
      <c r="D27" s="19" t="s">
        <v>505</v>
      </c>
      <c r="E27" s="37">
        <v>2798309</v>
      </c>
      <c r="F27" s="38">
        <f t="shared" si="0"/>
        <v>2798309</v>
      </c>
      <c r="G27" s="37">
        <v>1</v>
      </c>
      <c r="H27" s="37">
        <v>1</v>
      </c>
      <c r="I27" s="37">
        <v>1</v>
      </c>
      <c r="J27" s="37">
        <v>1</v>
      </c>
      <c r="K27" s="37">
        <v>1</v>
      </c>
      <c r="L27" s="37">
        <v>1</v>
      </c>
      <c r="M27" s="37">
        <v>1</v>
      </c>
      <c r="N27" s="37">
        <v>1</v>
      </c>
      <c r="O27" s="37">
        <v>1</v>
      </c>
      <c r="P27" s="37">
        <v>1</v>
      </c>
    </row>
    <row r="28" spans="1:16" x14ac:dyDescent="0.3">
      <c r="A28" s="18">
        <v>23</v>
      </c>
      <c r="B28" s="19" t="s">
        <v>529</v>
      </c>
      <c r="C28" s="19" t="s">
        <v>515</v>
      </c>
      <c r="D28" s="19" t="s">
        <v>505</v>
      </c>
      <c r="E28" s="37">
        <v>6550000</v>
      </c>
      <c r="F28" s="38">
        <f t="shared" si="0"/>
        <v>6550000</v>
      </c>
      <c r="G28" s="37">
        <v>1</v>
      </c>
      <c r="H28" s="37">
        <v>1</v>
      </c>
      <c r="I28" s="37">
        <v>1</v>
      </c>
      <c r="J28" s="37">
        <v>1</v>
      </c>
      <c r="K28" s="37">
        <v>1</v>
      </c>
      <c r="L28" s="37">
        <v>1</v>
      </c>
      <c r="M28" s="37">
        <v>1</v>
      </c>
      <c r="N28" s="37">
        <v>1</v>
      </c>
      <c r="O28" s="37">
        <v>1</v>
      </c>
      <c r="P28" s="37">
        <v>1</v>
      </c>
    </row>
    <row r="29" spans="1:16" x14ac:dyDescent="0.3">
      <c r="A29" s="18">
        <v>24</v>
      </c>
      <c r="B29" s="19" t="s">
        <v>530</v>
      </c>
      <c r="C29" s="19" t="s">
        <v>515</v>
      </c>
      <c r="D29" s="19" t="s">
        <v>505</v>
      </c>
      <c r="E29" s="37">
        <v>2798309</v>
      </c>
      <c r="F29" s="38">
        <f t="shared" si="0"/>
        <v>2798309</v>
      </c>
      <c r="G29" s="37">
        <v>1</v>
      </c>
      <c r="H29" s="37">
        <v>1</v>
      </c>
      <c r="I29" s="37">
        <v>1</v>
      </c>
      <c r="J29" s="37">
        <v>1</v>
      </c>
      <c r="K29" s="37">
        <v>1</v>
      </c>
      <c r="L29" s="37">
        <v>1</v>
      </c>
      <c r="M29" s="37">
        <v>1</v>
      </c>
      <c r="N29" s="37">
        <v>1</v>
      </c>
      <c r="O29" s="37">
        <v>1</v>
      </c>
      <c r="P29" s="37">
        <v>1</v>
      </c>
    </row>
    <row r="30" spans="1:16" x14ac:dyDescent="0.3">
      <c r="A30" s="18">
        <v>25</v>
      </c>
      <c r="B30" s="19" t="s">
        <v>531</v>
      </c>
      <c r="C30" s="19" t="s">
        <v>513</v>
      </c>
      <c r="D30" s="19" t="s">
        <v>505</v>
      </c>
      <c r="E30" s="37">
        <v>9800000</v>
      </c>
      <c r="F30" s="38">
        <f t="shared" si="0"/>
        <v>9800000</v>
      </c>
      <c r="G30" s="37">
        <v>1</v>
      </c>
      <c r="H30" s="37">
        <v>1</v>
      </c>
      <c r="I30" s="37">
        <v>1</v>
      </c>
      <c r="J30" s="37">
        <v>1</v>
      </c>
      <c r="K30" s="37">
        <v>1</v>
      </c>
      <c r="L30" s="37">
        <v>1</v>
      </c>
      <c r="M30" s="37">
        <v>1</v>
      </c>
      <c r="N30" s="37">
        <v>1</v>
      </c>
      <c r="O30" s="37">
        <v>1</v>
      </c>
      <c r="P30" s="37">
        <v>1</v>
      </c>
    </row>
    <row r="31" spans="1:16" x14ac:dyDescent="0.3">
      <c r="A31" s="18">
        <v>26</v>
      </c>
      <c r="B31" s="19" t="s">
        <v>532</v>
      </c>
      <c r="C31" s="19" t="s">
        <v>513</v>
      </c>
      <c r="D31" s="19" t="s">
        <v>505</v>
      </c>
      <c r="E31" s="37">
        <v>2798309</v>
      </c>
      <c r="F31" s="38">
        <f t="shared" si="0"/>
        <v>2798309</v>
      </c>
      <c r="G31" s="37">
        <v>1</v>
      </c>
      <c r="H31" s="37">
        <v>1</v>
      </c>
      <c r="I31" s="37">
        <v>1</v>
      </c>
      <c r="J31" s="37">
        <v>1</v>
      </c>
      <c r="K31" s="37">
        <v>1</v>
      </c>
      <c r="L31" s="37">
        <v>1</v>
      </c>
      <c r="M31" s="37">
        <v>1</v>
      </c>
      <c r="N31" s="37">
        <v>1</v>
      </c>
      <c r="O31" s="37">
        <v>1</v>
      </c>
      <c r="P31" s="37">
        <v>1</v>
      </c>
    </row>
    <row r="32" spans="1:16" x14ac:dyDescent="0.3">
      <c r="A32" s="18">
        <v>27</v>
      </c>
      <c r="B32" s="19"/>
      <c r="C32" s="19"/>
      <c r="D32" s="19"/>
      <c r="E32" s="37"/>
      <c r="F32" s="38">
        <f t="shared" ref="F6:F35" si="1">E32</f>
        <v>0</v>
      </c>
      <c r="G32" s="37"/>
      <c r="H32" s="37"/>
      <c r="I32" s="37"/>
      <c r="J32" s="37"/>
      <c r="K32" s="37"/>
      <c r="L32" s="37"/>
      <c r="M32" s="37"/>
      <c r="N32" s="37"/>
      <c r="O32" s="37"/>
      <c r="P32" s="37"/>
    </row>
    <row r="33" spans="1:17" x14ac:dyDescent="0.3">
      <c r="A33" s="18">
        <v>28</v>
      </c>
      <c r="B33" s="19"/>
      <c r="C33" s="19"/>
      <c r="D33" s="19"/>
      <c r="E33" s="37"/>
      <c r="F33" s="38">
        <f t="shared" si="1"/>
        <v>0</v>
      </c>
      <c r="G33" s="37"/>
      <c r="H33" s="37"/>
      <c r="I33" s="37"/>
      <c r="J33" s="37"/>
      <c r="K33" s="37"/>
      <c r="L33" s="37"/>
      <c r="M33" s="37"/>
      <c r="N33" s="37"/>
      <c r="O33" s="37"/>
      <c r="P33" s="37"/>
    </row>
    <row r="34" spans="1:17" x14ac:dyDescent="0.3">
      <c r="A34" s="18">
        <v>29</v>
      </c>
      <c r="B34" s="19"/>
      <c r="C34" s="19"/>
      <c r="D34" s="19"/>
      <c r="E34" s="37"/>
      <c r="F34" s="38">
        <f t="shared" si="1"/>
        <v>0</v>
      </c>
      <c r="G34" s="37"/>
      <c r="H34" s="37"/>
      <c r="I34" s="37"/>
      <c r="J34" s="37"/>
      <c r="K34" s="37"/>
      <c r="L34" s="37"/>
      <c r="M34" s="37"/>
      <c r="N34" s="37"/>
      <c r="O34" s="37"/>
      <c r="P34" s="37"/>
    </row>
    <row r="35" spans="1:17" x14ac:dyDescent="0.3">
      <c r="A35" s="18">
        <v>30</v>
      </c>
      <c r="B35" s="19"/>
      <c r="C35" s="19"/>
      <c r="D35" s="19"/>
      <c r="E35" s="37"/>
      <c r="F35" s="38">
        <f t="shared" si="1"/>
        <v>0</v>
      </c>
      <c r="G35" s="37"/>
      <c r="H35" s="37"/>
      <c r="I35" s="37"/>
      <c r="J35" s="37"/>
      <c r="K35" s="37"/>
      <c r="L35" s="37"/>
      <c r="M35" s="37"/>
      <c r="N35" s="37"/>
      <c r="O35" s="37"/>
      <c r="P35" s="37"/>
    </row>
    <row r="36" spans="1:17" x14ac:dyDescent="0.3">
      <c r="B36" s="23" t="s">
        <v>533</v>
      </c>
      <c r="G36" s="54">
        <f t="shared" ref="G36:P36" si="2">SUM(G6:G35)</f>
        <v>65</v>
      </c>
      <c r="H36" s="54">
        <f t="shared" si="2"/>
        <v>65</v>
      </c>
      <c r="I36" s="54">
        <f t="shared" si="2"/>
        <v>68</v>
      </c>
      <c r="J36" s="54">
        <f t="shared" si="2"/>
        <v>71</v>
      </c>
      <c r="K36" s="54">
        <f t="shared" si="2"/>
        <v>74</v>
      </c>
      <c r="L36" s="54">
        <f t="shared" si="2"/>
        <v>74</v>
      </c>
      <c r="M36" s="54">
        <f t="shared" si="2"/>
        <v>74</v>
      </c>
      <c r="N36" s="54">
        <f t="shared" si="2"/>
        <v>74</v>
      </c>
      <c r="O36" s="54">
        <f t="shared" si="2"/>
        <v>74</v>
      </c>
      <c r="P36" s="54">
        <f t="shared" si="2"/>
        <v>74</v>
      </c>
    </row>
    <row r="37" spans="1:17" x14ac:dyDescent="0.3">
      <c r="B37" s="14" t="s">
        <v>534</v>
      </c>
    </row>
    <row r="39" spans="1:17" x14ac:dyDescent="0.3">
      <c r="A39" s="15" t="s">
        <v>535</v>
      </c>
      <c r="B39" s="16"/>
      <c r="C39" s="16"/>
      <c r="D39" s="16"/>
      <c r="E39" s="16"/>
      <c r="F39" s="16"/>
      <c r="G39" s="16"/>
      <c r="H39" s="16"/>
      <c r="I39" s="16"/>
      <c r="J39" s="16"/>
      <c r="K39" s="16"/>
      <c r="L39" s="16"/>
      <c r="M39" s="16"/>
      <c r="N39" s="16"/>
      <c r="O39" s="16"/>
      <c r="P39" s="16"/>
      <c r="Q39" s="16"/>
    </row>
    <row r="40" spans="1:17" x14ac:dyDescent="0.3">
      <c r="A40" s="17" t="s">
        <v>461</v>
      </c>
      <c r="B40" s="17" t="s">
        <v>488</v>
      </c>
      <c r="C40" s="17" t="s">
        <v>489</v>
      </c>
      <c r="D40" s="17"/>
      <c r="E40" s="17"/>
      <c r="F40" s="17"/>
      <c r="G40" s="17" t="s">
        <v>493</v>
      </c>
      <c r="H40" s="17" t="s">
        <v>494</v>
      </c>
      <c r="I40" s="17" t="s">
        <v>495</v>
      </c>
      <c r="J40" s="17" t="s">
        <v>496</v>
      </c>
      <c r="K40" s="17" t="s">
        <v>497</v>
      </c>
      <c r="L40" s="17" t="s">
        <v>498</v>
      </c>
      <c r="M40" s="17" t="s">
        <v>499</v>
      </c>
      <c r="N40" s="17" t="s">
        <v>500</v>
      </c>
      <c r="O40" s="17" t="s">
        <v>501</v>
      </c>
      <c r="P40" s="17" t="s">
        <v>502</v>
      </c>
    </row>
    <row r="41" spans="1:17" x14ac:dyDescent="0.3">
      <c r="A41" s="18">
        <v>1</v>
      </c>
      <c r="B41" s="53" t="str">
        <f t="shared" ref="B41:C70" si="3">IF(B6="","",B6)</f>
        <v>Operador láser</v>
      </c>
      <c r="C41" s="53" t="str">
        <f t="shared" si="3"/>
        <v>Directo</v>
      </c>
      <c r="G41" s="38">
        <f t="shared" ref="G41:P41" si="4">G6</f>
        <v>4</v>
      </c>
      <c r="H41" s="38">
        <f t="shared" si="4"/>
        <v>4</v>
      </c>
      <c r="I41" s="38">
        <f t="shared" si="4"/>
        <v>5</v>
      </c>
      <c r="J41" s="38">
        <f t="shared" si="4"/>
        <v>5</v>
      </c>
      <c r="K41" s="38">
        <f t="shared" si="4"/>
        <v>6</v>
      </c>
      <c r="L41" s="38">
        <f t="shared" si="4"/>
        <v>6</v>
      </c>
      <c r="M41" s="38">
        <f t="shared" si="4"/>
        <v>6</v>
      </c>
      <c r="N41" s="38">
        <f t="shared" si="4"/>
        <v>6</v>
      </c>
      <c r="O41" s="38">
        <f t="shared" si="4"/>
        <v>6</v>
      </c>
      <c r="P41" s="38">
        <f t="shared" si="4"/>
        <v>6</v>
      </c>
    </row>
    <row r="42" spans="1:17" x14ac:dyDescent="0.3">
      <c r="A42" s="18">
        <v>2</v>
      </c>
      <c r="B42" s="53" t="str">
        <f t="shared" si="3"/>
        <v>Doblador</v>
      </c>
      <c r="C42" s="53" t="str">
        <f t="shared" si="3"/>
        <v>Directo</v>
      </c>
      <c r="G42" s="38">
        <f t="shared" ref="G42:P42" si="5">G7</f>
        <v>8</v>
      </c>
      <c r="H42" s="38">
        <f t="shared" si="5"/>
        <v>8</v>
      </c>
      <c r="I42" s="38">
        <f t="shared" si="5"/>
        <v>9</v>
      </c>
      <c r="J42" s="38">
        <f t="shared" si="5"/>
        <v>9</v>
      </c>
      <c r="K42" s="38">
        <f t="shared" si="5"/>
        <v>10</v>
      </c>
      <c r="L42" s="38">
        <f t="shared" si="5"/>
        <v>10</v>
      </c>
      <c r="M42" s="38">
        <f t="shared" si="5"/>
        <v>10</v>
      </c>
      <c r="N42" s="38">
        <f t="shared" si="5"/>
        <v>10</v>
      </c>
      <c r="O42" s="38">
        <f t="shared" si="5"/>
        <v>10</v>
      </c>
      <c r="P42" s="38">
        <f t="shared" si="5"/>
        <v>10</v>
      </c>
    </row>
    <row r="43" spans="1:17" x14ac:dyDescent="0.3">
      <c r="A43" s="18">
        <v>3</v>
      </c>
      <c r="B43" s="53" t="str">
        <f t="shared" si="3"/>
        <v>Soldador</v>
      </c>
      <c r="C43" s="53" t="str">
        <f t="shared" si="3"/>
        <v>Directo</v>
      </c>
      <c r="G43" s="38">
        <f t="shared" ref="G43:P43" si="6">G8</f>
        <v>5</v>
      </c>
      <c r="H43" s="38">
        <f t="shared" si="6"/>
        <v>5</v>
      </c>
      <c r="I43" s="38">
        <f t="shared" si="6"/>
        <v>6</v>
      </c>
      <c r="J43" s="38">
        <f t="shared" si="6"/>
        <v>6</v>
      </c>
      <c r="K43" s="38">
        <f t="shared" si="6"/>
        <v>6</v>
      </c>
      <c r="L43" s="38">
        <f t="shared" si="6"/>
        <v>6</v>
      </c>
      <c r="M43" s="38">
        <f t="shared" si="6"/>
        <v>6</v>
      </c>
      <c r="N43" s="38">
        <f t="shared" si="6"/>
        <v>6</v>
      </c>
      <c r="O43" s="38">
        <f t="shared" si="6"/>
        <v>6</v>
      </c>
      <c r="P43" s="38">
        <f t="shared" si="6"/>
        <v>6</v>
      </c>
    </row>
    <row r="44" spans="1:17" x14ac:dyDescent="0.3">
      <c r="A44" s="18">
        <v>4</v>
      </c>
      <c r="B44" s="53" t="str">
        <f t="shared" si="3"/>
        <v>Baño</v>
      </c>
      <c r="C44" s="53" t="str">
        <f t="shared" si="3"/>
        <v>Directo</v>
      </c>
      <c r="G44" s="38">
        <f t="shared" ref="G44:P44" si="7">G9</f>
        <v>2</v>
      </c>
      <c r="H44" s="38">
        <f t="shared" si="7"/>
        <v>2</v>
      </c>
      <c r="I44" s="38">
        <f t="shared" si="7"/>
        <v>2</v>
      </c>
      <c r="J44" s="38">
        <f t="shared" si="7"/>
        <v>2</v>
      </c>
      <c r="K44" s="38">
        <f t="shared" si="7"/>
        <v>3</v>
      </c>
      <c r="L44" s="38">
        <f t="shared" si="7"/>
        <v>3</v>
      </c>
      <c r="M44" s="38">
        <f t="shared" si="7"/>
        <v>3</v>
      </c>
      <c r="N44" s="38">
        <f t="shared" si="7"/>
        <v>3</v>
      </c>
      <c r="O44" s="38">
        <f t="shared" si="7"/>
        <v>3</v>
      </c>
      <c r="P44" s="38">
        <f t="shared" si="7"/>
        <v>3</v>
      </c>
    </row>
    <row r="45" spans="1:17" x14ac:dyDescent="0.3">
      <c r="A45" s="18">
        <v>5</v>
      </c>
      <c r="B45" s="53" t="str">
        <f t="shared" si="3"/>
        <v>Pintor</v>
      </c>
      <c r="C45" s="53" t="str">
        <f t="shared" si="3"/>
        <v>Directo</v>
      </c>
      <c r="G45" s="38">
        <f t="shared" ref="G45:P45" si="8">G10</f>
        <v>4</v>
      </c>
      <c r="H45" s="38">
        <f t="shared" si="8"/>
        <v>4</v>
      </c>
      <c r="I45" s="38">
        <f t="shared" si="8"/>
        <v>4</v>
      </c>
      <c r="J45" s="38">
        <f t="shared" si="8"/>
        <v>5</v>
      </c>
      <c r="K45" s="38">
        <f t="shared" si="8"/>
        <v>5</v>
      </c>
      <c r="L45" s="38">
        <f t="shared" si="8"/>
        <v>5</v>
      </c>
      <c r="M45" s="38">
        <f t="shared" si="8"/>
        <v>5</v>
      </c>
      <c r="N45" s="38">
        <f t="shared" si="8"/>
        <v>5</v>
      </c>
      <c r="O45" s="38">
        <f t="shared" si="8"/>
        <v>5</v>
      </c>
      <c r="P45" s="38">
        <f t="shared" si="8"/>
        <v>5</v>
      </c>
    </row>
    <row r="46" spans="1:17" x14ac:dyDescent="0.3">
      <c r="A46" s="18">
        <v>6</v>
      </c>
      <c r="B46" s="53" t="str">
        <f t="shared" si="3"/>
        <v>Montador</v>
      </c>
      <c r="C46" s="53" t="str">
        <f t="shared" si="3"/>
        <v>Directo</v>
      </c>
      <c r="G46" s="38">
        <f t="shared" ref="G46:P46" si="9">G11</f>
        <v>10</v>
      </c>
      <c r="H46" s="38">
        <f t="shared" si="9"/>
        <v>10</v>
      </c>
      <c r="I46" s="38">
        <f t="shared" si="9"/>
        <v>10</v>
      </c>
      <c r="J46" s="38">
        <f t="shared" si="9"/>
        <v>11</v>
      </c>
      <c r="K46" s="38">
        <f t="shared" si="9"/>
        <v>11</v>
      </c>
      <c r="L46" s="38">
        <f t="shared" si="9"/>
        <v>11</v>
      </c>
      <c r="M46" s="38">
        <f t="shared" si="9"/>
        <v>11</v>
      </c>
      <c r="N46" s="38">
        <f t="shared" si="9"/>
        <v>11</v>
      </c>
      <c r="O46" s="38">
        <f t="shared" si="9"/>
        <v>11</v>
      </c>
      <c r="P46" s="38">
        <f t="shared" si="9"/>
        <v>11</v>
      </c>
    </row>
    <row r="47" spans="1:17" x14ac:dyDescent="0.3">
      <c r="A47" s="18">
        <v>7</v>
      </c>
      <c r="B47" s="53" t="str">
        <f t="shared" si="3"/>
        <v>Ayudante</v>
      </c>
      <c r="C47" s="53" t="str">
        <f t="shared" si="3"/>
        <v>Directo</v>
      </c>
      <c r="G47" s="38">
        <f t="shared" ref="G47:P47" si="10">G12</f>
        <v>10</v>
      </c>
      <c r="H47" s="38">
        <f t="shared" si="10"/>
        <v>10</v>
      </c>
      <c r="I47" s="38">
        <f t="shared" si="10"/>
        <v>10</v>
      </c>
      <c r="J47" s="38">
        <f t="shared" si="10"/>
        <v>11</v>
      </c>
      <c r="K47" s="38">
        <f t="shared" si="10"/>
        <v>11</v>
      </c>
      <c r="L47" s="38">
        <f t="shared" si="10"/>
        <v>11</v>
      </c>
      <c r="M47" s="38">
        <f t="shared" si="10"/>
        <v>11</v>
      </c>
      <c r="N47" s="38">
        <f t="shared" si="10"/>
        <v>11</v>
      </c>
      <c r="O47" s="38">
        <f t="shared" si="10"/>
        <v>11</v>
      </c>
      <c r="P47" s="38">
        <f t="shared" si="10"/>
        <v>11</v>
      </c>
    </row>
    <row r="48" spans="1:17" x14ac:dyDescent="0.3">
      <c r="A48" s="18">
        <v>8</v>
      </c>
      <c r="B48" s="53" t="str">
        <f t="shared" si="3"/>
        <v>Gerente General</v>
      </c>
      <c r="C48" s="53" t="str">
        <f t="shared" si="3"/>
        <v>Administración</v>
      </c>
      <c r="G48" s="38">
        <f t="shared" ref="G48:P48" si="11">G13</f>
        <v>1</v>
      </c>
      <c r="H48" s="38">
        <f t="shared" si="11"/>
        <v>1</v>
      </c>
      <c r="I48" s="38">
        <f t="shared" si="11"/>
        <v>1</v>
      </c>
      <c r="J48" s="38">
        <f t="shared" si="11"/>
        <v>1</v>
      </c>
      <c r="K48" s="38">
        <f t="shared" si="11"/>
        <v>1</v>
      </c>
      <c r="L48" s="38">
        <f t="shared" si="11"/>
        <v>1</v>
      </c>
      <c r="M48" s="38">
        <f t="shared" si="11"/>
        <v>1</v>
      </c>
      <c r="N48" s="38">
        <f t="shared" si="11"/>
        <v>1</v>
      </c>
      <c r="O48" s="38">
        <f t="shared" si="11"/>
        <v>1</v>
      </c>
      <c r="P48" s="38">
        <f t="shared" si="11"/>
        <v>1</v>
      </c>
    </row>
    <row r="49" spans="1:16" x14ac:dyDescent="0.3">
      <c r="A49" s="18">
        <v>9</v>
      </c>
      <c r="B49" s="53" t="str">
        <f t="shared" si="3"/>
        <v>Gerente Industrial</v>
      </c>
      <c r="C49" s="53" t="str">
        <f t="shared" si="3"/>
        <v>Indirecto</v>
      </c>
      <c r="G49" s="38">
        <f t="shared" ref="G49:P49" si="12">G14</f>
        <v>1</v>
      </c>
      <c r="H49" s="38">
        <f t="shared" si="12"/>
        <v>1</v>
      </c>
      <c r="I49" s="38">
        <f t="shared" si="12"/>
        <v>1</v>
      </c>
      <c r="J49" s="38">
        <f t="shared" si="12"/>
        <v>1</v>
      </c>
      <c r="K49" s="38">
        <f t="shared" si="12"/>
        <v>1</v>
      </c>
      <c r="L49" s="38">
        <f t="shared" si="12"/>
        <v>1</v>
      </c>
      <c r="M49" s="38">
        <f t="shared" si="12"/>
        <v>1</v>
      </c>
      <c r="N49" s="38">
        <f t="shared" si="12"/>
        <v>1</v>
      </c>
      <c r="O49" s="38">
        <f t="shared" si="12"/>
        <v>1</v>
      </c>
      <c r="P49" s="38">
        <f t="shared" si="12"/>
        <v>1</v>
      </c>
    </row>
    <row r="50" spans="1:16" x14ac:dyDescent="0.3">
      <c r="A50" s="18">
        <v>10</v>
      </c>
      <c r="B50" s="53" t="str">
        <f t="shared" si="3"/>
        <v>Coord. Prod. Corte y Deformación</v>
      </c>
      <c r="C50" s="53" t="str">
        <f t="shared" si="3"/>
        <v>Indirecto</v>
      </c>
      <c r="G50" s="38">
        <f t="shared" ref="G50:P50" si="13">G15</f>
        <v>1</v>
      </c>
      <c r="H50" s="38">
        <f t="shared" si="13"/>
        <v>1</v>
      </c>
      <c r="I50" s="38">
        <f t="shared" si="13"/>
        <v>1</v>
      </c>
      <c r="J50" s="38">
        <f t="shared" si="13"/>
        <v>1</v>
      </c>
      <c r="K50" s="38">
        <f t="shared" si="13"/>
        <v>1</v>
      </c>
      <c r="L50" s="38">
        <f t="shared" si="13"/>
        <v>1</v>
      </c>
      <c r="M50" s="38">
        <f t="shared" si="13"/>
        <v>1</v>
      </c>
      <c r="N50" s="38">
        <f t="shared" si="13"/>
        <v>1</v>
      </c>
      <c r="O50" s="38">
        <f t="shared" si="13"/>
        <v>1</v>
      </c>
      <c r="P50" s="38">
        <f t="shared" si="13"/>
        <v>1</v>
      </c>
    </row>
    <row r="51" spans="1:16" x14ac:dyDescent="0.3">
      <c r="A51" s="18">
        <v>11</v>
      </c>
      <c r="B51" s="53" t="str">
        <f t="shared" si="3"/>
        <v>Coord. Prod. Soldadura</v>
      </c>
      <c r="C51" s="53" t="str">
        <f t="shared" si="3"/>
        <v>Indirecto</v>
      </c>
      <c r="G51" s="38">
        <f t="shared" ref="G51:P51" si="14">G16</f>
        <v>1</v>
      </c>
      <c r="H51" s="38">
        <f t="shared" si="14"/>
        <v>1</v>
      </c>
      <c r="I51" s="38">
        <f t="shared" si="14"/>
        <v>1</v>
      </c>
      <c r="J51" s="38">
        <f t="shared" si="14"/>
        <v>1</v>
      </c>
      <c r="K51" s="38">
        <f t="shared" si="14"/>
        <v>1</v>
      </c>
      <c r="L51" s="38">
        <f t="shared" si="14"/>
        <v>1</v>
      </c>
      <c r="M51" s="38">
        <f t="shared" si="14"/>
        <v>1</v>
      </c>
      <c r="N51" s="38">
        <f t="shared" si="14"/>
        <v>1</v>
      </c>
      <c r="O51" s="38">
        <f t="shared" si="14"/>
        <v>1</v>
      </c>
      <c r="P51" s="38">
        <f t="shared" si="14"/>
        <v>1</v>
      </c>
    </row>
    <row r="52" spans="1:16" x14ac:dyDescent="0.3">
      <c r="A52" s="18">
        <v>12</v>
      </c>
      <c r="B52" s="53" t="str">
        <f t="shared" si="3"/>
        <v>Coord. Prod. Trat. Sup. y Pintura</v>
      </c>
      <c r="C52" s="53" t="str">
        <f t="shared" si="3"/>
        <v>Indirecto</v>
      </c>
      <c r="G52" s="38">
        <f t="shared" ref="G52:P52" si="15">G17</f>
        <v>1</v>
      </c>
      <c r="H52" s="38">
        <f t="shared" si="15"/>
        <v>1</v>
      </c>
      <c r="I52" s="38">
        <f t="shared" si="15"/>
        <v>1</v>
      </c>
      <c r="J52" s="38">
        <f t="shared" si="15"/>
        <v>1</v>
      </c>
      <c r="K52" s="38">
        <f t="shared" si="15"/>
        <v>1</v>
      </c>
      <c r="L52" s="38">
        <f t="shared" si="15"/>
        <v>1</v>
      </c>
      <c r="M52" s="38">
        <f t="shared" si="15"/>
        <v>1</v>
      </c>
      <c r="N52" s="38">
        <f t="shared" si="15"/>
        <v>1</v>
      </c>
      <c r="O52" s="38">
        <f t="shared" si="15"/>
        <v>1</v>
      </c>
      <c r="P52" s="38">
        <f t="shared" si="15"/>
        <v>1</v>
      </c>
    </row>
    <row r="53" spans="1:16" x14ac:dyDescent="0.3">
      <c r="A53" s="18">
        <v>13</v>
      </c>
      <c r="B53" s="53" t="str">
        <f t="shared" si="3"/>
        <v>Coord. Prod. Montaje</v>
      </c>
      <c r="C53" s="53" t="str">
        <f t="shared" si="3"/>
        <v>Indirecto</v>
      </c>
      <c r="G53" s="38">
        <f t="shared" ref="G53:P53" si="16">G18</f>
        <v>1</v>
      </c>
      <c r="H53" s="38">
        <f t="shared" si="16"/>
        <v>1</v>
      </c>
      <c r="I53" s="38">
        <f t="shared" si="16"/>
        <v>1</v>
      </c>
      <c r="J53" s="38">
        <f t="shared" si="16"/>
        <v>1</v>
      </c>
      <c r="K53" s="38">
        <f t="shared" si="16"/>
        <v>1</v>
      </c>
      <c r="L53" s="38">
        <f t="shared" si="16"/>
        <v>1</v>
      </c>
      <c r="M53" s="38">
        <f t="shared" si="16"/>
        <v>1</v>
      </c>
      <c r="N53" s="38">
        <f t="shared" si="16"/>
        <v>1</v>
      </c>
      <c r="O53" s="38">
        <f t="shared" si="16"/>
        <v>1</v>
      </c>
      <c r="P53" s="38">
        <f t="shared" si="16"/>
        <v>1</v>
      </c>
    </row>
    <row r="54" spans="1:16" x14ac:dyDescent="0.3">
      <c r="A54" s="18">
        <v>14</v>
      </c>
      <c r="B54" s="53" t="str">
        <f t="shared" si="3"/>
        <v>Ingeniería</v>
      </c>
      <c r="C54" s="53" t="str">
        <f t="shared" si="3"/>
        <v>Indirecto</v>
      </c>
      <c r="G54" s="38">
        <f t="shared" ref="G54:P54" si="17">G19</f>
        <v>3</v>
      </c>
      <c r="H54" s="38">
        <f t="shared" si="17"/>
        <v>3</v>
      </c>
      <c r="I54" s="38">
        <f t="shared" si="17"/>
        <v>3</v>
      </c>
      <c r="J54" s="38">
        <f t="shared" si="17"/>
        <v>3</v>
      </c>
      <c r="K54" s="38">
        <f t="shared" si="17"/>
        <v>3</v>
      </c>
      <c r="L54" s="38">
        <f t="shared" si="17"/>
        <v>3</v>
      </c>
      <c r="M54" s="38">
        <f t="shared" si="17"/>
        <v>3</v>
      </c>
      <c r="N54" s="38">
        <f t="shared" si="17"/>
        <v>3</v>
      </c>
      <c r="O54" s="38">
        <f t="shared" si="17"/>
        <v>3</v>
      </c>
      <c r="P54" s="38">
        <f t="shared" si="17"/>
        <v>3</v>
      </c>
    </row>
    <row r="55" spans="1:16" x14ac:dyDescent="0.3">
      <c r="A55" s="18">
        <v>15</v>
      </c>
      <c r="B55" s="53" t="str">
        <f t="shared" si="3"/>
        <v>Mantenimiento</v>
      </c>
      <c r="C55" s="53" t="str">
        <f t="shared" si="3"/>
        <v>Indirecto</v>
      </c>
      <c r="G55" s="38">
        <f t="shared" ref="G55:P55" si="18">G20</f>
        <v>2</v>
      </c>
      <c r="H55" s="38">
        <f t="shared" si="18"/>
        <v>2</v>
      </c>
      <c r="I55" s="38">
        <f t="shared" si="18"/>
        <v>2</v>
      </c>
      <c r="J55" s="38">
        <f t="shared" si="18"/>
        <v>2</v>
      </c>
      <c r="K55" s="38">
        <f t="shared" si="18"/>
        <v>2</v>
      </c>
      <c r="L55" s="38">
        <f t="shared" si="18"/>
        <v>2</v>
      </c>
      <c r="M55" s="38">
        <f t="shared" si="18"/>
        <v>2</v>
      </c>
      <c r="N55" s="38">
        <f t="shared" si="18"/>
        <v>2</v>
      </c>
      <c r="O55" s="38">
        <f t="shared" si="18"/>
        <v>2</v>
      </c>
      <c r="P55" s="38">
        <f t="shared" si="18"/>
        <v>2</v>
      </c>
    </row>
    <row r="56" spans="1:16" x14ac:dyDescent="0.3">
      <c r="A56" s="18">
        <v>16</v>
      </c>
      <c r="B56" s="53" t="str">
        <f t="shared" si="3"/>
        <v>PCP</v>
      </c>
      <c r="C56" s="53" t="str">
        <f t="shared" si="3"/>
        <v>Indirecto</v>
      </c>
      <c r="G56" s="38">
        <f t="shared" ref="G56:P56" si="19">G21</f>
        <v>1</v>
      </c>
      <c r="H56" s="38">
        <f t="shared" si="19"/>
        <v>1</v>
      </c>
      <c r="I56" s="38">
        <f t="shared" si="19"/>
        <v>1</v>
      </c>
      <c r="J56" s="38">
        <f t="shared" si="19"/>
        <v>1</v>
      </c>
      <c r="K56" s="38">
        <f t="shared" si="19"/>
        <v>1</v>
      </c>
      <c r="L56" s="38">
        <f t="shared" si="19"/>
        <v>1</v>
      </c>
      <c r="M56" s="38">
        <f t="shared" si="19"/>
        <v>1</v>
      </c>
      <c r="N56" s="38">
        <f t="shared" si="19"/>
        <v>1</v>
      </c>
      <c r="O56" s="38">
        <f t="shared" si="19"/>
        <v>1</v>
      </c>
      <c r="P56" s="38">
        <f t="shared" si="19"/>
        <v>1</v>
      </c>
    </row>
    <row r="57" spans="1:16" x14ac:dyDescent="0.3">
      <c r="A57" s="18">
        <v>17</v>
      </c>
      <c r="B57" s="53" t="str">
        <f t="shared" si="3"/>
        <v>Analista PCP</v>
      </c>
      <c r="C57" s="53" t="str">
        <f t="shared" si="3"/>
        <v>Indirecto</v>
      </c>
      <c r="G57" s="38">
        <f t="shared" ref="G57:P57" si="20">G22</f>
        <v>1</v>
      </c>
      <c r="H57" s="38">
        <f t="shared" si="20"/>
        <v>1</v>
      </c>
      <c r="I57" s="38">
        <f t="shared" si="20"/>
        <v>1</v>
      </c>
      <c r="J57" s="38">
        <f t="shared" si="20"/>
        <v>1</v>
      </c>
      <c r="K57" s="38">
        <f t="shared" si="20"/>
        <v>1</v>
      </c>
      <c r="L57" s="38">
        <f t="shared" si="20"/>
        <v>1</v>
      </c>
      <c r="M57" s="38">
        <f t="shared" si="20"/>
        <v>1</v>
      </c>
      <c r="N57" s="38">
        <f t="shared" si="20"/>
        <v>1</v>
      </c>
      <c r="O57" s="38">
        <f t="shared" si="20"/>
        <v>1</v>
      </c>
      <c r="P57" s="38">
        <f t="shared" si="20"/>
        <v>1</v>
      </c>
    </row>
    <row r="58" spans="1:16" x14ac:dyDescent="0.3">
      <c r="A58" s="18">
        <v>18</v>
      </c>
      <c r="B58" s="53" t="str">
        <f t="shared" si="3"/>
        <v>Depósito</v>
      </c>
      <c r="C58" s="53" t="str">
        <f t="shared" si="3"/>
        <v>Indirecto</v>
      </c>
      <c r="G58" s="38">
        <f t="shared" ref="G58:P58" si="21">G23</f>
        <v>1</v>
      </c>
      <c r="H58" s="38">
        <f t="shared" si="21"/>
        <v>1</v>
      </c>
      <c r="I58" s="38">
        <f t="shared" si="21"/>
        <v>1</v>
      </c>
      <c r="J58" s="38">
        <f t="shared" si="21"/>
        <v>1</v>
      </c>
      <c r="K58" s="38">
        <f t="shared" si="21"/>
        <v>1</v>
      </c>
      <c r="L58" s="38">
        <f t="shared" si="21"/>
        <v>1</v>
      </c>
      <c r="M58" s="38">
        <f t="shared" si="21"/>
        <v>1</v>
      </c>
      <c r="N58" s="38">
        <f t="shared" si="21"/>
        <v>1</v>
      </c>
      <c r="O58" s="38">
        <f t="shared" si="21"/>
        <v>1</v>
      </c>
      <c r="P58" s="38">
        <f t="shared" si="21"/>
        <v>1</v>
      </c>
    </row>
    <row r="59" spans="1:16" x14ac:dyDescent="0.3">
      <c r="A59" s="18">
        <v>19</v>
      </c>
      <c r="B59" s="53" t="str">
        <f t="shared" si="3"/>
        <v>Compras</v>
      </c>
      <c r="C59" s="53" t="str">
        <f t="shared" si="3"/>
        <v>Administración</v>
      </c>
      <c r="G59" s="38">
        <f t="shared" ref="G59:P59" si="22">G24</f>
        <v>1</v>
      </c>
      <c r="H59" s="38">
        <f t="shared" si="22"/>
        <v>1</v>
      </c>
      <c r="I59" s="38">
        <f t="shared" si="22"/>
        <v>1</v>
      </c>
      <c r="J59" s="38">
        <f t="shared" si="22"/>
        <v>1</v>
      </c>
      <c r="K59" s="38">
        <f t="shared" si="22"/>
        <v>1</v>
      </c>
      <c r="L59" s="38">
        <f t="shared" si="22"/>
        <v>1</v>
      </c>
      <c r="M59" s="38">
        <f t="shared" si="22"/>
        <v>1</v>
      </c>
      <c r="N59" s="38">
        <f t="shared" si="22"/>
        <v>1</v>
      </c>
      <c r="O59" s="38">
        <f t="shared" si="22"/>
        <v>1</v>
      </c>
      <c r="P59" s="38">
        <f t="shared" si="22"/>
        <v>1</v>
      </c>
    </row>
    <row r="60" spans="1:16" x14ac:dyDescent="0.3">
      <c r="A60" s="18">
        <v>20</v>
      </c>
      <c r="B60" s="53" t="str">
        <f t="shared" si="3"/>
        <v>Logística/Comex</v>
      </c>
      <c r="C60" s="53" t="str">
        <f t="shared" si="3"/>
        <v>Administración</v>
      </c>
      <c r="G60" s="38">
        <f t="shared" ref="G60:P60" si="23">G25</f>
        <v>1</v>
      </c>
      <c r="H60" s="38">
        <f t="shared" si="23"/>
        <v>1</v>
      </c>
      <c r="I60" s="38">
        <f t="shared" si="23"/>
        <v>1</v>
      </c>
      <c r="J60" s="38">
        <f t="shared" si="23"/>
        <v>1</v>
      </c>
      <c r="K60" s="38">
        <f t="shared" si="23"/>
        <v>1</v>
      </c>
      <c r="L60" s="38">
        <f t="shared" si="23"/>
        <v>1</v>
      </c>
      <c r="M60" s="38">
        <f t="shared" si="23"/>
        <v>1</v>
      </c>
      <c r="N60" s="38">
        <f t="shared" si="23"/>
        <v>1</v>
      </c>
      <c r="O60" s="38">
        <f t="shared" si="23"/>
        <v>1</v>
      </c>
      <c r="P60" s="38">
        <f t="shared" si="23"/>
        <v>1</v>
      </c>
    </row>
    <row r="61" spans="1:16" x14ac:dyDescent="0.3">
      <c r="A61" s="18">
        <v>21</v>
      </c>
      <c r="B61" s="53" t="str">
        <f t="shared" si="3"/>
        <v>Coord. Control Calidad</v>
      </c>
      <c r="C61" s="53" t="str">
        <f t="shared" si="3"/>
        <v>Indirecto</v>
      </c>
      <c r="G61" s="38">
        <f t="shared" ref="G61:P61" si="24">G26</f>
        <v>1</v>
      </c>
      <c r="H61" s="38">
        <f t="shared" si="24"/>
        <v>1</v>
      </c>
      <c r="I61" s="38">
        <f t="shared" si="24"/>
        <v>1</v>
      </c>
      <c r="J61" s="38">
        <f t="shared" si="24"/>
        <v>1</v>
      </c>
      <c r="K61" s="38">
        <f t="shared" si="24"/>
        <v>1</v>
      </c>
      <c r="L61" s="38">
        <f t="shared" si="24"/>
        <v>1</v>
      </c>
      <c r="M61" s="38">
        <f t="shared" si="24"/>
        <v>1</v>
      </c>
      <c r="N61" s="38">
        <f t="shared" si="24"/>
        <v>1</v>
      </c>
      <c r="O61" s="38">
        <f t="shared" si="24"/>
        <v>1</v>
      </c>
      <c r="P61" s="38">
        <f t="shared" si="24"/>
        <v>1</v>
      </c>
    </row>
    <row r="62" spans="1:16" x14ac:dyDescent="0.3">
      <c r="A62" s="18">
        <v>22</v>
      </c>
      <c r="B62" s="53" t="str">
        <f t="shared" si="3"/>
        <v>Asistente Control Calidad</v>
      </c>
      <c r="C62" s="53" t="str">
        <f t="shared" si="3"/>
        <v>Indirecto</v>
      </c>
      <c r="G62" s="38">
        <f t="shared" ref="G62:P62" si="25">G27</f>
        <v>1</v>
      </c>
      <c r="H62" s="38">
        <f t="shared" si="25"/>
        <v>1</v>
      </c>
      <c r="I62" s="38">
        <f t="shared" si="25"/>
        <v>1</v>
      </c>
      <c r="J62" s="38">
        <f t="shared" si="25"/>
        <v>1</v>
      </c>
      <c r="K62" s="38">
        <f t="shared" si="25"/>
        <v>1</v>
      </c>
      <c r="L62" s="38">
        <f t="shared" si="25"/>
        <v>1</v>
      </c>
      <c r="M62" s="38">
        <f t="shared" si="25"/>
        <v>1</v>
      </c>
      <c r="N62" s="38">
        <f t="shared" si="25"/>
        <v>1</v>
      </c>
      <c r="O62" s="38">
        <f t="shared" si="25"/>
        <v>1</v>
      </c>
      <c r="P62" s="38">
        <f t="shared" si="25"/>
        <v>1</v>
      </c>
    </row>
    <row r="63" spans="1:16" x14ac:dyDescent="0.3">
      <c r="A63" s="18">
        <v>23</v>
      </c>
      <c r="B63" s="53" t="str">
        <f t="shared" si="3"/>
        <v>Coord. Procesos</v>
      </c>
      <c r="C63" s="53" t="str">
        <f t="shared" si="3"/>
        <v>Indirecto</v>
      </c>
      <c r="G63" s="38">
        <f t="shared" ref="G63:P63" si="26">G28</f>
        <v>1</v>
      </c>
      <c r="H63" s="38">
        <f t="shared" si="26"/>
        <v>1</v>
      </c>
      <c r="I63" s="38">
        <f t="shared" si="26"/>
        <v>1</v>
      </c>
      <c r="J63" s="38">
        <f t="shared" si="26"/>
        <v>1</v>
      </c>
      <c r="K63" s="38">
        <f t="shared" si="26"/>
        <v>1</v>
      </c>
      <c r="L63" s="38">
        <f t="shared" si="26"/>
        <v>1</v>
      </c>
      <c r="M63" s="38">
        <f t="shared" si="26"/>
        <v>1</v>
      </c>
      <c r="N63" s="38">
        <f t="shared" si="26"/>
        <v>1</v>
      </c>
      <c r="O63" s="38">
        <f t="shared" si="26"/>
        <v>1</v>
      </c>
      <c r="P63" s="38">
        <f t="shared" si="26"/>
        <v>1</v>
      </c>
    </row>
    <row r="64" spans="1:16" x14ac:dyDescent="0.3">
      <c r="A64" s="18">
        <v>24</v>
      </c>
      <c r="B64" s="53" t="str">
        <f t="shared" si="3"/>
        <v>Asistente Procesos</v>
      </c>
      <c r="C64" s="53" t="str">
        <f t="shared" si="3"/>
        <v>Indirecto</v>
      </c>
      <c r="G64" s="38">
        <f t="shared" ref="G64:P64" si="27">G29</f>
        <v>1</v>
      </c>
      <c r="H64" s="38">
        <f t="shared" si="27"/>
        <v>1</v>
      </c>
      <c r="I64" s="38">
        <f t="shared" si="27"/>
        <v>1</v>
      </c>
      <c r="J64" s="38">
        <f t="shared" si="27"/>
        <v>1</v>
      </c>
      <c r="K64" s="38">
        <f t="shared" si="27"/>
        <v>1</v>
      </c>
      <c r="L64" s="38">
        <f t="shared" si="27"/>
        <v>1</v>
      </c>
      <c r="M64" s="38">
        <f t="shared" si="27"/>
        <v>1</v>
      </c>
      <c r="N64" s="38">
        <f t="shared" si="27"/>
        <v>1</v>
      </c>
      <c r="O64" s="38">
        <f t="shared" si="27"/>
        <v>1</v>
      </c>
      <c r="P64" s="38">
        <f t="shared" si="27"/>
        <v>1</v>
      </c>
    </row>
    <row r="65" spans="1:17" x14ac:dyDescent="0.3">
      <c r="A65" s="18">
        <v>25</v>
      </c>
      <c r="B65" s="53" t="str">
        <f t="shared" si="3"/>
        <v>Administrador</v>
      </c>
      <c r="C65" s="53" t="str">
        <f t="shared" si="3"/>
        <v>Administración</v>
      </c>
      <c r="G65" s="38">
        <f t="shared" ref="G65:P65" si="28">G30</f>
        <v>1</v>
      </c>
      <c r="H65" s="38">
        <f t="shared" si="28"/>
        <v>1</v>
      </c>
      <c r="I65" s="38">
        <f t="shared" si="28"/>
        <v>1</v>
      </c>
      <c r="J65" s="38">
        <f t="shared" si="28"/>
        <v>1</v>
      </c>
      <c r="K65" s="38">
        <f t="shared" si="28"/>
        <v>1</v>
      </c>
      <c r="L65" s="38">
        <f t="shared" si="28"/>
        <v>1</v>
      </c>
      <c r="M65" s="38">
        <f t="shared" si="28"/>
        <v>1</v>
      </c>
      <c r="N65" s="38">
        <f t="shared" si="28"/>
        <v>1</v>
      </c>
      <c r="O65" s="38">
        <f t="shared" si="28"/>
        <v>1</v>
      </c>
      <c r="P65" s="38">
        <f t="shared" si="28"/>
        <v>1</v>
      </c>
    </row>
    <row r="66" spans="1:17" x14ac:dyDescent="0.3">
      <c r="A66" s="18">
        <v>26</v>
      </c>
      <c r="B66" s="53" t="str">
        <f t="shared" si="3"/>
        <v>Asistente Administrativo</v>
      </c>
      <c r="C66" s="53" t="str">
        <f t="shared" si="3"/>
        <v>Administración</v>
      </c>
      <c r="G66" s="38">
        <f t="shared" ref="G66:P66" si="29">G31</f>
        <v>1</v>
      </c>
      <c r="H66" s="38">
        <f t="shared" si="29"/>
        <v>1</v>
      </c>
      <c r="I66" s="38">
        <f t="shared" si="29"/>
        <v>1</v>
      </c>
      <c r="J66" s="38">
        <f t="shared" si="29"/>
        <v>1</v>
      </c>
      <c r="K66" s="38">
        <f t="shared" si="29"/>
        <v>1</v>
      </c>
      <c r="L66" s="38">
        <f t="shared" si="29"/>
        <v>1</v>
      </c>
      <c r="M66" s="38">
        <f t="shared" si="29"/>
        <v>1</v>
      </c>
      <c r="N66" s="38">
        <f t="shared" si="29"/>
        <v>1</v>
      </c>
      <c r="O66" s="38">
        <f t="shared" si="29"/>
        <v>1</v>
      </c>
      <c r="P66" s="38">
        <f t="shared" si="29"/>
        <v>1</v>
      </c>
    </row>
    <row r="67" spans="1:17" x14ac:dyDescent="0.3">
      <c r="A67" s="18">
        <v>27</v>
      </c>
      <c r="B67" s="53" t="str">
        <f t="shared" si="3"/>
        <v/>
      </c>
      <c r="C67" s="53" t="str">
        <f t="shared" si="3"/>
        <v/>
      </c>
      <c r="G67" s="38">
        <f t="shared" ref="G67:P67" si="30">G32</f>
        <v>0</v>
      </c>
      <c r="H67" s="38">
        <f t="shared" si="30"/>
        <v>0</v>
      </c>
      <c r="I67" s="38">
        <f t="shared" si="30"/>
        <v>0</v>
      </c>
      <c r="J67" s="38">
        <f t="shared" si="30"/>
        <v>0</v>
      </c>
      <c r="K67" s="38">
        <f t="shared" si="30"/>
        <v>0</v>
      </c>
      <c r="L67" s="38">
        <f t="shared" si="30"/>
        <v>0</v>
      </c>
      <c r="M67" s="38">
        <f t="shared" si="30"/>
        <v>0</v>
      </c>
      <c r="N67" s="38">
        <f t="shared" si="30"/>
        <v>0</v>
      </c>
      <c r="O67" s="38">
        <f t="shared" si="30"/>
        <v>0</v>
      </c>
      <c r="P67" s="38">
        <f t="shared" si="30"/>
        <v>0</v>
      </c>
    </row>
    <row r="68" spans="1:17" x14ac:dyDescent="0.3">
      <c r="A68" s="18">
        <v>28</v>
      </c>
      <c r="B68" s="53" t="str">
        <f t="shared" si="3"/>
        <v/>
      </c>
      <c r="C68" s="53" t="str">
        <f t="shared" si="3"/>
        <v/>
      </c>
      <c r="G68" s="38">
        <f t="shared" ref="G68:P68" si="31">G33</f>
        <v>0</v>
      </c>
      <c r="H68" s="38">
        <f t="shared" si="31"/>
        <v>0</v>
      </c>
      <c r="I68" s="38">
        <f t="shared" si="31"/>
        <v>0</v>
      </c>
      <c r="J68" s="38">
        <f t="shared" si="31"/>
        <v>0</v>
      </c>
      <c r="K68" s="38">
        <f t="shared" si="31"/>
        <v>0</v>
      </c>
      <c r="L68" s="38">
        <f t="shared" si="31"/>
        <v>0</v>
      </c>
      <c r="M68" s="38">
        <f t="shared" si="31"/>
        <v>0</v>
      </c>
      <c r="N68" s="38">
        <f t="shared" si="31"/>
        <v>0</v>
      </c>
      <c r="O68" s="38">
        <f t="shared" si="31"/>
        <v>0</v>
      </c>
      <c r="P68" s="38">
        <f t="shared" si="31"/>
        <v>0</v>
      </c>
    </row>
    <row r="69" spans="1:17" x14ac:dyDescent="0.3">
      <c r="A69" s="18">
        <v>29</v>
      </c>
      <c r="B69" s="53" t="str">
        <f t="shared" si="3"/>
        <v/>
      </c>
      <c r="C69" s="53" t="str">
        <f t="shared" si="3"/>
        <v/>
      </c>
      <c r="G69" s="38">
        <f t="shared" ref="G69:P69" si="32">G34</f>
        <v>0</v>
      </c>
      <c r="H69" s="38">
        <f t="shared" si="32"/>
        <v>0</v>
      </c>
      <c r="I69" s="38">
        <f t="shared" si="32"/>
        <v>0</v>
      </c>
      <c r="J69" s="38">
        <f t="shared" si="32"/>
        <v>0</v>
      </c>
      <c r="K69" s="38">
        <f t="shared" si="32"/>
        <v>0</v>
      </c>
      <c r="L69" s="38">
        <f t="shared" si="32"/>
        <v>0</v>
      </c>
      <c r="M69" s="38">
        <f t="shared" si="32"/>
        <v>0</v>
      </c>
      <c r="N69" s="38">
        <f t="shared" si="32"/>
        <v>0</v>
      </c>
      <c r="O69" s="38">
        <f t="shared" si="32"/>
        <v>0</v>
      </c>
      <c r="P69" s="38">
        <f t="shared" si="32"/>
        <v>0</v>
      </c>
    </row>
    <row r="70" spans="1:17" x14ac:dyDescent="0.3">
      <c r="A70" s="18">
        <v>30</v>
      </c>
      <c r="B70" s="53" t="str">
        <f t="shared" si="3"/>
        <v/>
      </c>
      <c r="C70" s="53" t="str">
        <f t="shared" si="3"/>
        <v/>
      </c>
      <c r="G70" s="38">
        <f t="shared" ref="G70:P70" si="33">G35</f>
        <v>0</v>
      </c>
      <c r="H70" s="38">
        <f t="shared" si="33"/>
        <v>0</v>
      </c>
      <c r="I70" s="38">
        <f t="shared" si="33"/>
        <v>0</v>
      </c>
      <c r="J70" s="38">
        <f t="shared" si="33"/>
        <v>0</v>
      </c>
      <c r="K70" s="38">
        <f t="shared" si="33"/>
        <v>0</v>
      </c>
      <c r="L70" s="38">
        <f t="shared" si="33"/>
        <v>0</v>
      </c>
      <c r="M70" s="38">
        <f t="shared" si="33"/>
        <v>0</v>
      </c>
      <c r="N70" s="38">
        <f t="shared" si="33"/>
        <v>0</v>
      </c>
      <c r="O70" s="38">
        <f t="shared" si="33"/>
        <v>0</v>
      </c>
      <c r="P70" s="38">
        <f t="shared" si="33"/>
        <v>0</v>
      </c>
    </row>
    <row r="71" spans="1:17" x14ac:dyDescent="0.3">
      <c r="B71" s="23" t="s">
        <v>536</v>
      </c>
      <c r="G71" s="54">
        <f t="shared" ref="G71:P71" si="34">SUM(G41:G70)</f>
        <v>65</v>
      </c>
      <c r="H71" s="54">
        <f t="shared" si="34"/>
        <v>65</v>
      </c>
      <c r="I71" s="54">
        <f t="shared" si="34"/>
        <v>68</v>
      </c>
      <c r="J71" s="54">
        <f t="shared" si="34"/>
        <v>71</v>
      </c>
      <c r="K71" s="54">
        <f t="shared" si="34"/>
        <v>74</v>
      </c>
      <c r="L71" s="54">
        <f t="shared" si="34"/>
        <v>74</v>
      </c>
      <c r="M71" s="54">
        <f t="shared" si="34"/>
        <v>74</v>
      </c>
      <c r="N71" s="54">
        <f t="shared" si="34"/>
        <v>74</v>
      </c>
      <c r="O71" s="54">
        <f t="shared" si="34"/>
        <v>74</v>
      </c>
      <c r="P71" s="54">
        <f t="shared" si="34"/>
        <v>74</v>
      </c>
    </row>
    <row r="73" spans="1:17" x14ac:dyDescent="0.3">
      <c r="A73" s="15" t="s">
        <v>537</v>
      </c>
      <c r="B73" s="16"/>
      <c r="C73" s="16"/>
      <c r="D73" s="16"/>
      <c r="E73" s="16"/>
      <c r="F73" s="16"/>
      <c r="G73" s="16"/>
      <c r="H73" s="16"/>
      <c r="I73" s="16"/>
      <c r="J73" s="16"/>
      <c r="K73" s="16"/>
      <c r="L73" s="16"/>
      <c r="M73" s="16"/>
      <c r="N73" s="16"/>
      <c r="O73" s="16"/>
      <c r="P73" s="16"/>
      <c r="Q73" s="16"/>
    </row>
    <row r="74" spans="1:17" ht="54" customHeight="1" x14ac:dyDescent="0.3">
      <c r="A74" s="17" t="s">
        <v>461</v>
      </c>
      <c r="B74" s="17" t="s">
        <v>382</v>
      </c>
      <c r="C74" s="17" t="s">
        <v>489</v>
      </c>
      <c r="D74" s="17" t="s">
        <v>490</v>
      </c>
      <c r="E74" s="17" t="s">
        <v>538</v>
      </c>
      <c r="F74" s="17" t="s">
        <v>539</v>
      </c>
      <c r="G74" s="17" t="s">
        <v>540</v>
      </c>
      <c r="H74" s="17" t="s">
        <v>541</v>
      </c>
      <c r="I74" s="17" t="s">
        <v>542</v>
      </c>
      <c r="J74" s="17" t="s">
        <v>543</v>
      </c>
      <c r="K74" s="3" t="s">
        <v>393</v>
      </c>
      <c r="L74" s="3"/>
      <c r="M74" s="3"/>
      <c r="N74" s="3"/>
      <c r="O74" s="3"/>
      <c r="P74" s="3"/>
      <c r="Q74" s="3"/>
    </row>
    <row r="75" spans="1:17" x14ac:dyDescent="0.3">
      <c r="A75" s="18">
        <v>1</v>
      </c>
      <c r="B75" s="19" t="s">
        <v>544</v>
      </c>
      <c r="C75" s="19" t="s">
        <v>545</v>
      </c>
      <c r="D75" s="19" t="s">
        <v>505</v>
      </c>
      <c r="E75" s="55">
        <v>14000000</v>
      </c>
      <c r="F75" s="56">
        <f t="shared" ref="F75:F83" si="35">E75</f>
        <v>14000000</v>
      </c>
      <c r="G75" s="39">
        <v>0</v>
      </c>
      <c r="H75" s="21">
        <v>1</v>
      </c>
      <c r="I75" s="39">
        <v>0</v>
      </c>
      <c r="J75" s="21">
        <v>1</v>
      </c>
      <c r="K75" s="14" t="s">
        <v>546</v>
      </c>
    </row>
    <row r="76" spans="1:17" x14ac:dyDescent="0.3">
      <c r="A76" s="18">
        <v>2</v>
      </c>
      <c r="B76" s="19" t="s">
        <v>547</v>
      </c>
      <c r="C76" s="19" t="s">
        <v>545</v>
      </c>
      <c r="D76" s="19" t="s">
        <v>439</v>
      </c>
      <c r="E76" s="55">
        <v>2475.67</v>
      </c>
      <c r="F76" s="56">
        <f t="shared" si="35"/>
        <v>2475.67</v>
      </c>
      <c r="G76" s="39">
        <v>0.02</v>
      </c>
      <c r="H76" s="21">
        <v>1</v>
      </c>
      <c r="I76" s="39">
        <v>0</v>
      </c>
      <c r="J76" s="21">
        <v>1</v>
      </c>
      <c r="K76" s="14" t="s">
        <v>548</v>
      </c>
    </row>
    <row r="77" spans="1:17" x14ac:dyDescent="0.3">
      <c r="A77" s="18">
        <v>3</v>
      </c>
      <c r="B77" s="19" t="s">
        <v>549</v>
      </c>
      <c r="C77" s="19" t="s">
        <v>513</v>
      </c>
      <c r="D77" s="19" t="s">
        <v>439</v>
      </c>
      <c r="E77" s="55">
        <v>17006</v>
      </c>
      <c r="F77" s="56">
        <f t="shared" si="35"/>
        <v>17006</v>
      </c>
      <c r="G77" s="39">
        <v>0.03</v>
      </c>
      <c r="H77" s="21">
        <v>0</v>
      </c>
      <c r="I77" s="39">
        <v>0.1</v>
      </c>
      <c r="J77" s="21">
        <v>0</v>
      </c>
      <c r="K77" s="14" t="s">
        <v>550</v>
      </c>
    </row>
    <row r="78" spans="1:17" x14ac:dyDescent="0.3">
      <c r="A78" s="18">
        <v>4</v>
      </c>
      <c r="B78" s="19" t="s">
        <v>551</v>
      </c>
      <c r="C78" s="19" t="s">
        <v>513</v>
      </c>
      <c r="D78" s="19" t="s">
        <v>439</v>
      </c>
      <c r="E78" s="55">
        <v>773</v>
      </c>
      <c r="F78" s="56">
        <f t="shared" si="35"/>
        <v>773</v>
      </c>
      <c r="G78" s="39">
        <v>0.03</v>
      </c>
      <c r="H78" s="21">
        <v>0</v>
      </c>
      <c r="I78" s="39">
        <v>0</v>
      </c>
      <c r="J78" s="21">
        <v>0</v>
      </c>
      <c r="K78" s="14" t="s">
        <v>552</v>
      </c>
    </row>
    <row r="79" spans="1:17" x14ac:dyDescent="0.3">
      <c r="A79" s="18">
        <v>5</v>
      </c>
      <c r="B79" s="19" t="s">
        <v>553</v>
      </c>
      <c r="C79" s="19" t="s">
        <v>513</v>
      </c>
      <c r="D79" s="19" t="s">
        <v>505</v>
      </c>
      <c r="E79" s="55">
        <v>750000</v>
      </c>
      <c r="F79" s="56">
        <f t="shared" si="35"/>
        <v>750000</v>
      </c>
      <c r="G79" s="39">
        <v>0</v>
      </c>
      <c r="H79" s="21">
        <v>0</v>
      </c>
      <c r="I79" s="39">
        <v>0</v>
      </c>
      <c r="J79" s="21">
        <v>1</v>
      </c>
      <c r="K79" s="14" t="s">
        <v>554</v>
      </c>
    </row>
    <row r="80" spans="1:17" x14ac:dyDescent="0.3">
      <c r="A80" s="18">
        <v>6</v>
      </c>
      <c r="B80" s="19" t="s">
        <v>555</v>
      </c>
      <c r="C80" s="19" t="s">
        <v>513</v>
      </c>
      <c r="D80" s="19" t="s">
        <v>505</v>
      </c>
      <c r="E80" s="55">
        <v>3000000</v>
      </c>
      <c r="F80" s="56">
        <f t="shared" si="35"/>
        <v>3000000</v>
      </c>
      <c r="G80" s="39">
        <v>0</v>
      </c>
      <c r="H80" s="21">
        <v>0</v>
      </c>
      <c r="I80" s="39">
        <v>0</v>
      </c>
      <c r="J80" s="21">
        <v>1</v>
      </c>
      <c r="K80" s="14" t="s">
        <v>556</v>
      </c>
    </row>
    <row r="81" spans="1:11" x14ac:dyDescent="0.3">
      <c r="A81" s="18">
        <v>7</v>
      </c>
      <c r="B81" s="19" t="s">
        <v>557</v>
      </c>
      <c r="C81" s="19" t="s">
        <v>513</v>
      </c>
      <c r="D81" s="19" t="s">
        <v>505</v>
      </c>
      <c r="E81" s="55">
        <v>5000000</v>
      </c>
      <c r="F81" s="56">
        <f t="shared" si="35"/>
        <v>5000000</v>
      </c>
      <c r="G81" s="39">
        <v>0</v>
      </c>
      <c r="H81" s="21">
        <v>0</v>
      </c>
      <c r="I81" s="39">
        <v>0</v>
      </c>
      <c r="J81" s="21">
        <v>1</v>
      </c>
      <c r="K81" s="14" t="s">
        <v>558</v>
      </c>
    </row>
    <row r="82" spans="1:11" x14ac:dyDescent="0.3">
      <c r="A82" s="18">
        <v>8</v>
      </c>
      <c r="B82" s="19" t="s">
        <v>559</v>
      </c>
      <c r="C82" s="19" t="s">
        <v>513</v>
      </c>
      <c r="D82" s="19" t="s">
        <v>439</v>
      </c>
      <c r="E82" s="55">
        <v>1838.33</v>
      </c>
      <c r="F82" s="56">
        <f t="shared" si="35"/>
        <v>1838.33</v>
      </c>
      <c r="G82" s="39">
        <v>0</v>
      </c>
      <c r="H82" s="21">
        <v>0</v>
      </c>
      <c r="I82" s="39">
        <v>0</v>
      </c>
      <c r="J82" s="21">
        <v>1</v>
      </c>
      <c r="K82" s="14" t="s">
        <v>560</v>
      </c>
    </row>
    <row r="83" spans="1:11" x14ac:dyDescent="0.3">
      <c r="A83" s="18">
        <v>9</v>
      </c>
      <c r="B83" s="19" t="s">
        <v>561</v>
      </c>
      <c r="C83" s="19" t="s">
        <v>513</v>
      </c>
      <c r="D83" s="19" t="s">
        <v>505</v>
      </c>
      <c r="E83" s="55">
        <v>15166667</v>
      </c>
      <c r="F83" s="56">
        <f t="shared" si="35"/>
        <v>15166667</v>
      </c>
      <c r="G83" s="39">
        <v>0</v>
      </c>
      <c r="H83" s="21">
        <v>0</v>
      </c>
      <c r="I83" s="39">
        <v>0</v>
      </c>
      <c r="J83" s="21">
        <v>1</v>
      </c>
      <c r="K83" s="14" t="s">
        <v>562</v>
      </c>
    </row>
    <row r="84" spans="1:11" x14ac:dyDescent="0.3">
      <c r="A84" s="18">
        <v>10</v>
      </c>
      <c r="B84" s="19"/>
      <c r="C84" s="19"/>
      <c r="D84" s="19"/>
      <c r="E84" s="55"/>
      <c r="F84" s="56">
        <f t="shared" ref="F75:F99" si="36">E84</f>
        <v>0</v>
      </c>
      <c r="G84" s="39"/>
      <c r="H84" s="21"/>
      <c r="I84" s="39"/>
      <c r="J84" s="21"/>
      <c r="K84" s="14"/>
    </row>
    <row r="85" spans="1:11" x14ac:dyDescent="0.3">
      <c r="A85" s="18">
        <v>11</v>
      </c>
      <c r="B85" s="19"/>
      <c r="C85" s="19"/>
      <c r="D85" s="19"/>
      <c r="E85" s="55"/>
      <c r="F85" s="56">
        <f t="shared" si="36"/>
        <v>0</v>
      </c>
      <c r="G85" s="39"/>
      <c r="H85" s="21"/>
      <c r="I85" s="39"/>
      <c r="J85" s="21"/>
      <c r="K85" s="14"/>
    </row>
    <row r="86" spans="1:11" x14ac:dyDescent="0.3">
      <c r="A86" s="18">
        <v>12</v>
      </c>
      <c r="B86" s="19"/>
      <c r="C86" s="19"/>
      <c r="D86" s="19"/>
      <c r="E86" s="55"/>
      <c r="F86" s="56">
        <f t="shared" si="36"/>
        <v>0</v>
      </c>
      <c r="G86" s="39"/>
      <c r="H86" s="21"/>
      <c r="I86" s="39"/>
      <c r="J86" s="21"/>
      <c r="K86" s="14"/>
    </row>
    <row r="87" spans="1:11" x14ac:dyDescent="0.3">
      <c r="A87" s="18">
        <v>13</v>
      </c>
      <c r="B87" s="19"/>
      <c r="C87" s="19"/>
      <c r="D87" s="19"/>
      <c r="E87" s="55"/>
      <c r="F87" s="56">
        <f t="shared" si="36"/>
        <v>0</v>
      </c>
      <c r="G87" s="39"/>
      <c r="H87" s="21"/>
      <c r="I87" s="39"/>
      <c r="J87" s="21"/>
      <c r="K87" s="14"/>
    </row>
    <row r="88" spans="1:11" x14ac:dyDescent="0.3">
      <c r="A88" s="18">
        <v>14</v>
      </c>
      <c r="B88" s="19"/>
      <c r="C88" s="19"/>
      <c r="D88" s="19"/>
      <c r="E88" s="55"/>
      <c r="F88" s="56">
        <f t="shared" si="36"/>
        <v>0</v>
      </c>
      <c r="G88" s="39"/>
      <c r="H88" s="21"/>
      <c r="I88" s="39"/>
      <c r="J88" s="21"/>
      <c r="K88" s="14"/>
    </row>
    <row r="89" spans="1:11" x14ac:dyDescent="0.3">
      <c r="A89" s="18">
        <v>15</v>
      </c>
      <c r="B89" s="19"/>
      <c r="C89" s="19"/>
      <c r="D89" s="19"/>
      <c r="E89" s="55"/>
      <c r="F89" s="56">
        <f t="shared" si="36"/>
        <v>0</v>
      </c>
      <c r="G89" s="39"/>
      <c r="H89" s="21"/>
      <c r="I89" s="39"/>
      <c r="J89" s="21"/>
      <c r="K89" s="14"/>
    </row>
    <row r="90" spans="1:11" x14ac:dyDescent="0.3">
      <c r="A90" s="18">
        <v>16</v>
      </c>
      <c r="B90" s="19"/>
      <c r="C90" s="19"/>
      <c r="D90" s="19"/>
      <c r="E90" s="55"/>
      <c r="F90" s="56">
        <f t="shared" si="36"/>
        <v>0</v>
      </c>
      <c r="G90" s="39"/>
      <c r="H90" s="21"/>
      <c r="I90" s="39"/>
      <c r="J90" s="21"/>
      <c r="K90" s="14"/>
    </row>
    <row r="91" spans="1:11" x14ac:dyDescent="0.3">
      <c r="A91" s="18">
        <v>17</v>
      </c>
      <c r="B91" s="19"/>
      <c r="C91" s="19"/>
      <c r="D91" s="19"/>
      <c r="E91" s="55"/>
      <c r="F91" s="56">
        <f t="shared" si="36"/>
        <v>0</v>
      </c>
      <c r="G91" s="39"/>
      <c r="H91" s="21"/>
      <c r="I91" s="39"/>
      <c r="J91" s="21"/>
      <c r="K91" s="14"/>
    </row>
    <row r="92" spans="1:11" x14ac:dyDescent="0.3">
      <c r="A92" s="18">
        <v>18</v>
      </c>
      <c r="B92" s="19"/>
      <c r="C92" s="19"/>
      <c r="D92" s="19"/>
      <c r="E92" s="55"/>
      <c r="F92" s="56">
        <f t="shared" si="36"/>
        <v>0</v>
      </c>
      <c r="G92" s="39"/>
      <c r="H92" s="21"/>
      <c r="I92" s="39"/>
      <c r="J92" s="21"/>
      <c r="K92" s="14"/>
    </row>
    <row r="93" spans="1:11" x14ac:dyDescent="0.3">
      <c r="A93" s="18">
        <v>19</v>
      </c>
      <c r="B93" s="19"/>
      <c r="C93" s="19"/>
      <c r="D93" s="19"/>
      <c r="E93" s="55"/>
      <c r="F93" s="56">
        <f t="shared" si="36"/>
        <v>0</v>
      </c>
      <c r="G93" s="39"/>
      <c r="H93" s="21"/>
      <c r="I93" s="39"/>
      <c r="J93" s="21"/>
      <c r="K93" s="14"/>
    </row>
    <row r="94" spans="1:11" x14ac:dyDescent="0.3">
      <c r="A94" s="18">
        <v>20</v>
      </c>
      <c r="B94" s="19"/>
      <c r="C94" s="19"/>
      <c r="D94" s="19"/>
      <c r="E94" s="55"/>
      <c r="F94" s="56">
        <f t="shared" si="36"/>
        <v>0</v>
      </c>
      <c r="G94" s="39"/>
      <c r="H94" s="21"/>
      <c r="I94" s="39"/>
      <c r="J94" s="21"/>
      <c r="K94" s="14"/>
    </row>
    <row r="95" spans="1:11" x14ac:dyDescent="0.3">
      <c r="A95" s="18">
        <v>21</v>
      </c>
      <c r="B95" s="19"/>
      <c r="C95" s="19"/>
      <c r="D95" s="19"/>
      <c r="E95" s="55"/>
      <c r="F95" s="56">
        <f t="shared" si="36"/>
        <v>0</v>
      </c>
      <c r="G95" s="39"/>
      <c r="H95" s="21"/>
      <c r="I95" s="39"/>
      <c r="J95" s="21"/>
      <c r="K95" s="14"/>
    </row>
    <row r="96" spans="1:11" x14ac:dyDescent="0.3">
      <c r="A96" s="18">
        <v>22</v>
      </c>
      <c r="B96" s="19"/>
      <c r="C96" s="19"/>
      <c r="D96" s="19"/>
      <c r="E96" s="55"/>
      <c r="F96" s="56">
        <f t="shared" si="36"/>
        <v>0</v>
      </c>
      <c r="G96" s="39"/>
      <c r="H96" s="21"/>
      <c r="I96" s="39"/>
      <c r="J96" s="21"/>
      <c r="K96" s="14"/>
    </row>
    <row r="97" spans="1:11" x14ac:dyDescent="0.3">
      <c r="A97" s="18">
        <v>23</v>
      </c>
      <c r="B97" s="19"/>
      <c r="C97" s="19"/>
      <c r="D97" s="19"/>
      <c r="E97" s="55"/>
      <c r="F97" s="56">
        <f t="shared" si="36"/>
        <v>0</v>
      </c>
      <c r="G97" s="39"/>
      <c r="H97" s="21"/>
      <c r="I97" s="39"/>
      <c r="J97" s="21"/>
      <c r="K97" s="14"/>
    </row>
    <row r="98" spans="1:11" x14ac:dyDescent="0.3">
      <c r="A98" s="18">
        <v>24</v>
      </c>
      <c r="B98" s="19"/>
      <c r="C98" s="19"/>
      <c r="D98" s="19"/>
      <c r="E98" s="55"/>
      <c r="F98" s="56">
        <f t="shared" si="36"/>
        <v>0</v>
      </c>
      <c r="G98" s="39"/>
      <c r="H98" s="21"/>
      <c r="I98" s="39"/>
      <c r="J98" s="21"/>
      <c r="K98" s="14"/>
    </row>
    <row r="99" spans="1:11" x14ac:dyDescent="0.3">
      <c r="A99" s="18">
        <v>25</v>
      </c>
      <c r="B99" s="19"/>
      <c r="C99" s="19"/>
      <c r="D99" s="19"/>
      <c r="E99" s="55"/>
      <c r="F99" s="56">
        <f t="shared" si="36"/>
        <v>0</v>
      </c>
      <c r="G99" s="39"/>
      <c r="H99" s="21"/>
      <c r="I99" s="39"/>
      <c r="J99" s="21"/>
      <c r="K99" s="14"/>
    </row>
    <row r="100" spans="1:11" x14ac:dyDescent="0.3">
      <c r="B100" s="14" t="s">
        <v>563</v>
      </c>
    </row>
  </sheetData>
  <mergeCells count="1">
    <mergeCell ref="K74:Q74"/>
  </mergeCells>
  <conditionalFormatting sqref="F6:F35">
    <cfRule type="expression" dxfId="8" priority="2">
      <formula>F6&lt;&gt;E6</formula>
    </cfRule>
  </conditionalFormatting>
  <conditionalFormatting sqref="F75:F99">
    <cfRule type="expression" dxfId="7" priority="4">
      <formula>F75&lt;&gt;E75</formula>
    </cfRule>
  </conditionalFormatting>
  <conditionalFormatting sqref="G41:P70">
    <cfRule type="expression" dxfId="6" priority="3">
      <formula>G41&lt;&gt;G6</formula>
    </cfRule>
  </conditionalFormatting>
  <dataValidations count="3">
    <dataValidation type="list" allowBlank="1" sqref="C6:C35" xr:uid="{00000000-0002-0000-0500-000000000000}">
      <formula1>"Directo,Indirecto,Administración"</formula1>
      <formula2>0</formula2>
    </dataValidation>
    <dataValidation type="list" allowBlank="1" sqref="D6:D35 D75:D99" xr:uid="{00000000-0002-0000-0500-000001000000}">
      <formula1>"PYG,USD"</formula1>
      <formula2>0</formula2>
    </dataValidation>
    <dataValidation type="list" allowBlank="1" sqref="C75:C99" xr:uid="{00000000-0002-0000-0500-000002000000}">
      <formula1>"Producción,Administración"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U59"/>
  <sheetViews>
    <sheetView zoomScale="90" zoomScaleNormal="90" workbookViewId="0">
      <pane xSplit="2" ySplit="5" topLeftCell="C6" activePane="bottomRight" state="frozen"/>
      <selection pane="topRight" activeCell="C1" sqref="C1"/>
      <selection pane="bottomLeft" activeCell="A6" sqref="A6"/>
      <selection pane="bottomRight"/>
    </sheetView>
  </sheetViews>
  <sheetFormatPr baseColWidth="10" defaultColWidth="8.5546875" defaultRowHeight="14.4" x14ac:dyDescent="0.3"/>
  <cols>
    <col min="1" max="1" width="4" customWidth="1"/>
    <col min="2" max="2" width="40" customWidth="1"/>
    <col min="3" max="3" width="14" customWidth="1"/>
    <col min="4" max="21" width="12.44140625" customWidth="1"/>
  </cols>
  <sheetData>
    <row r="1" spans="1:21" ht="16.8" x14ac:dyDescent="0.3">
      <c r="A1" s="13" t="s">
        <v>564</v>
      </c>
    </row>
    <row r="2" spans="1:21" x14ac:dyDescent="0.3">
      <c r="A2" s="14" t="s">
        <v>565</v>
      </c>
    </row>
    <row r="4" spans="1:21" x14ac:dyDescent="0.3">
      <c r="A4" s="15" t="s">
        <v>566</v>
      </c>
      <c r="B4" s="16"/>
      <c r="C4" s="16"/>
      <c r="D4" s="16"/>
      <c r="E4" s="16"/>
      <c r="F4" s="16"/>
      <c r="G4" s="16"/>
      <c r="H4" s="16"/>
      <c r="I4" s="16"/>
      <c r="J4" s="16"/>
      <c r="K4" s="16"/>
      <c r="L4" s="16"/>
      <c r="M4" s="16"/>
      <c r="N4" s="16"/>
      <c r="O4" s="16"/>
      <c r="P4" s="16"/>
      <c r="Q4" s="16"/>
      <c r="R4" s="16"/>
      <c r="S4" s="16"/>
      <c r="T4" s="16"/>
      <c r="U4" s="16"/>
    </row>
    <row r="5" spans="1:21" ht="66" customHeight="1" x14ac:dyDescent="0.3">
      <c r="A5" s="17" t="s">
        <v>461</v>
      </c>
      <c r="B5" s="17" t="s">
        <v>567</v>
      </c>
      <c r="C5" s="17" t="s">
        <v>489</v>
      </c>
      <c r="D5" s="17" t="s">
        <v>96</v>
      </c>
      <c r="E5" s="17" t="s">
        <v>568</v>
      </c>
      <c r="F5" s="17" t="s">
        <v>569</v>
      </c>
      <c r="G5" s="17" t="s">
        <v>570</v>
      </c>
      <c r="H5" s="17" t="s">
        <v>571</v>
      </c>
      <c r="I5" s="17" t="s">
        <v>572</v>
      </c>
      <c r="J5" s="17" t="s">
        <v>573</v>
      </c>
      <c r="K5" s="17" t="s">
        <v>574</v>
      </c>
      <c r="L5" s="17" t="s">
        <v>575</v>
      </c>
      <c r="M5" s="17" t="s">
        <v>576</v>
      </c>
      <c r="N5" s="17" t="s">
        <v>577</v>
      </c>
      <c r="O5" s="17" t="s">
        <v>578</v>
      </c>
      <c r="P5" s="17" t="s">
        <v>579</v>
      </c>
      <c r="Q5" s="17" t="s">
        <v>580</v>
      </c>
      <c r="R5" s="17" t="s">
        <v>581</v>
      </c>
      <c r="S5" s="17" t="s">
        <v>582</v>
      </c>
      <c r="T5" s="17" t="s">
        <v>583</v>
      </c>
      <c r="U5" s="17" t="s">
        <v>584</v>
      </c>
    </row>
    <row r="6" spans="1:21" x14ac:dyDescent="0.3">
      <c r="A6" s="18">
        <v>1</v>
      </c>
      <c r="B6" s="19" t="s">
        <v>585</v>
      </c>
      <c r="C6" s="19" t="s">
        <v>586</v>
      </c>
      <c r="D6" s="37">
        <v>87000</v>
      </c>
      <c r="E6" s="21">
        <v>1</v>
      </c>
      <c r="F6" s="21">
        <v>10</v>
      </c>
      <c r="G6" s="37"/>
      <c r="H6" s="37"/>
      <c r="I6" s="37"/>
      <c r="J6" s="37"/>
      <c r="K6" s="21"/>
      <c r="L6" s="21"/>
      <c r="M6" s="48">
        <f t="shared" ref="M6:M25" si="0">IF(J6&lt;&gt;"",N(J6),MAX(0,N(D6)-N(G6)-N(I6)))</f>
        <v>87000</v>
      </c>
      <c r="N6" s="22">
        <f t="shared" ref="N6:N25" si="1">N(G6)+N(I6)+M6</f>
        <v>87000</v>
      </c>
      <c r="O6" s="48">
        <f t="shared" ref="O6:O25" si="2">N6-N(D6)</f>
        <v>0</v>
      </c>
      <c r="P6" s="49">
        <f t="shared" ref="P6:P25" si="3">IF(N6&gt;0,N(H6)/N6,"")</f>
        <v>0</v>
      </c>
      <c r="Q6" s="34">
        <f t="shared" ref="Q6:Q25" si="4">IF(K6&lt;&gt;"",K6,MAX(N(E6),Corte+1))</f>
        <v>1</v>
      </c>
      <c r="R6" s="48">
        <f t="shared" ref="R6:R25" si="5">N(G6)-N(H6)+N(I6)</f>
        <v>0</v>
      </c>
      <c r="S6" s="34">
        <f t="shared" ref="S6:S25" si="6">MAX(N(E6),P_Inicio)</f>
        <v>1</v>
      </c>
      <c r="T6" s="34">
        <f t="shared" ref="T6:T25" si="7">IF(L6&lt;&gt;"",L6,MAX(N(E6),V_Inicio))</f>
        <v>1</v>
      </c>
      <c r="U6" s="48">
        <f t="shared" ref="U6:U25" si="8">N(G6)+N(I6)+M6*(1+V_dCapex)</f>
        <v>87000</v>
      </c>
    </row>
    <row r="7" spans="1:21" x14ac:dyDescent="0.3">
      <c r="A7" s="18">
        <v>2</v>
      </c>
      <c r="B7" s="19" t="s">
        <v>587</v>
      </c>
      <c r="C7" s="19" t="s">
        <v>588</v>
      </c>
      <c r="D7" s="37">
        <v>183073.6</v>
      </c>
      <c r="E7" s="21">
        <v>1</v>
      </c>
      <c r="F7" s="21">
        <v>10</v>
      </c>
      <c r="G7" s="37"/>
      <c r="H7" s="37"/>
      <c r="I7" s="37"/>
      <c r="J7" s="37"/>
      <c r="K7" s="21"/>
      <c r="L7" s="21"/>
      <c r="M7" s="48">
        <f t="shared" si="0"/>
        <v>183073.6</v>
      </c>
      <c r="N7" s="22">
        <f t="shared" si="1"/>
        <v>183073.6</v>
      </c>
      <c r="O7" s="48">
        <f t="shared" si="2"/>
        <v>0</v>
      </c>
      <c r="P7" s="49">
        <f t="shared" si="3"/>
        <v>0</v>
      </c>
      <c r="Q7" s="34">
        <f t="shared" si="4"/>
        <v>1</v>
      </c>
      <c r="R7" s="48">
        <f t="shared" si="5"/>
        <v>0</v>
      </c>
      <c r="S7" s="34">
        <f t="shared" si="6"/>
        <v>1</v>
      </c>
      <c r="T7" s="34">
        <f t="shared" si="7"/>
        <v>1</v>
      </c>
      <c r="U7" s="48">
        <f t="shared" si="8"/>
        <v>183073.6</v>
      </c>
    </row>
    <row r="8" spans="1:21" x14ac:dyDescent="0.3">
      <c r="A8" s="18">
        <v>3</v>
      </c>
      <c r="B8" s="19" t="s">
        <v>589</v>
      </c>
      <c r="C8" s="19" t="s">
        <v>588</v>
      </c>
      <c r="D8" s="37">
        <v>84295.23</v>
      </c>
      <c r="E8" s="21">
        <v>1</v>
      </c>
      <c r="F8" s="21">
        <v>10</v>
      </c>
      <c r="G8" s="37"/>
      <c r="H8" s="37"/>
      <c r="I8" s="37"/>
      <c r="J8" s="37"/>
      <c r="K8" s="21"/>
      <c r="L8" s="21"/>
      <c r="M8" s="48">
        <f t="shared" si="0"/>
        <v>84295.23</v>
      </c>
      <c r="N8" s="22">
        <f t="shared" si="1"/>
        <v>84295.23</v>
      </c>
      <c r="O8" s="48">
        <f t="shared" si="2"/>
        <v>0</v>
      </c>
      <c r="P8" s="49">
        <f t="shared" si="3"/>
        <v>0</v>
      </c>
      <c r="Q8" s="34">
        <f t="shared" si="4"/>
        <v>1</v>
      </c>
      <c r="R8" s="48">
        <f t="shared" si="5"/>
        <v>0</v>
      </c>
      <c r="S8" s="34">
        <f t="shared" si="6"/>
        <v>1</v>
      </c>
      <c r="T8" s="34">
        <f t="shared" si="7"/>
        <v>1</v>
      </c>
      <c r="U8" s="48">
        <f t="shared" si="8"/>
        <v>84295.23</v>
      </c>
    </row>
    <row r="9" spans="1:21" x14ac:dyDescent="0.3">
      <c r="A9" s="18">
        <v>4</v>
      </c>
      <c r="B9" s="19" t="s">
        <v>590</v>
      </c>
      <c r="C9" s="19" t="s">
        <v>588</v>
      </c>
      <c r="D9" s="37">
        <v>10197</v>
      </c>
      <c r="E9" s="21">
        <v>1</v>
      </c>
      <c r="F9" s="21">
        <v>10</v>
      </c>
      <c r="G9" s="37"/>
      <c r="H9" s="37"/>
      <c r="I9" s="37"/>
      <c r="J9" s="37"/>
      <c r="K9" s="21"/>
      <c r="L9" s="21"/>
      <c r="M9" s="48">
        <f t="shared" si="0"/>
        <v>10197</v>
      </c>
      <c r="N9" s="22">
        <f t="shared" si="1"/>
        <v>10197</v>
      </c>
      <c r="O9" s="48">
        <f t="shared" si="2"/>
        <v>0</v>
      </c>
      <c r="P9" s="49">
        <f t="shared" si="3"/>
        <v>0</v>
      </c>
      <c r="Q9" s="34">
        <f t="shared" si="4"/>
        <v>1</v>
      </c>
      <c r="R9" s="48">
        <f t="shared" si="5"/>
        <v>0</v>
      </c>
      <c r="S9" s="34">
        <f t="shared" si="6"/>
        <v>1</v>
      </c>
      <c r="T9" s="34">
        <f t="shared" si="7"/>
        <v>1</v>
      </c>
      <c r="U9" s="48">
        <f t="shared" si="8"/>
        <v>10197</v>
      </c>
    </row>
    <row r="10" spans="1:21" x14ac:dyDescent="0.3">
      <c r="A10" s="18">
        <v>5</v>
      </c>
      <c r="B10" s="19" t="s">
        <v>591</v>
      </c>
      <c r="C10" s="19" t="s">
        <v>588</v>
      </c>
      <c r="D10" s="37">
        <v>151967.07999999999</v>
      </c>
      <c r="E10" s="21">
        <v>1</v>
      </c>
      <c r="F10" s="21">
        <v>10</v>
      </c>
      <c r="G10" s="37"/>
      <c r="H10" s="37"/>
      <c r="I10" s="37"/>
      <c r="J10" s="37"/>
      <c r="K10" s="21"/>
      <c r="L10" s="21"/>
      <c r="M10" s="48">
        <f t="shared" si="0"/>
        <v>151967.07999999999</v>
      </c>
      <c r="N10" s="22">
        <f t="shared" si="1"/>
        <v>151967.07999999999</v>
      </c>
      <c r="O10" s="48">
        <f t="shared" si="2"/>
        <v>0</v>
      </c>
      <c r="P10" s="49">
        <f t="shared" si="3"/>
        <v>0</v>
      </c>
      <c r="Q10" s="34">
        <f t="shared" si="4"/>
        <v>1</v>
      </c>
      <c r="R10" s="48">
        <f t="shared" si="5"/>
        <v>0</v>
      </c>
      <c r="S10" s="34">
        <f t="shared" si="6"/>
        <v>1</v>
      </c>
      <c r="T10" s="34">
        <f t="shared" si="7"/>
        <v>1</v>
      </c>
      <c r="U10" s="48">
        <f t="shared" si="8"/>
        <v>151967.07999999999</v>
      </c>
    </row>
    <row r="11" spans="1:21" x14ac:dyDescent="0.3">
      <c r="A11" s="18">
        <v>6</v>
      </c>
      <c r="B11" s="19" t="s">
        <v>592</v>
      </c>
      <c r="C11" s="19" t="s">
        <v>588</v>
      </c>
      <c r="D11" s="37">
        <v>3399</v>
      </c>
      <c r="E11" s="21">
        <v>1</v>
      </c>
      <c r="F11" s="21">
        <v>10</v>
      </c>
      <c r="G11" s="37"/>
      <c r="H11" s="37"/>
      <c r="I11" s="37"/>
      <c r="J11" s="37"/>
      <c r="K11" s="21"/>
      <c r="L11" s="21"/>
      <c r="M11" s="48">
        <f t="shared" si="0"/>
        <v>3399</v>
      </c>
      <c r="N11" s="22">
        <f t="shared" si="1"/>
        <v>3399</v>
      </c>
      <c r="O11" s="48">
        <f t="shared" si="2"/>
        <v>0</v>
      </c>
      <c r="P11" s="49">
        <f t="shared" si="3"/>
        <v>0</v>
      </c>
      <c r="Q11" s="34">
        <f t="shared" si="4"/>
        <v>1</v>
      </c>
      <c r="R11" s="48">
        <f t="shared" si="5"/>
        <v>0</v>
      </c>
      <c r="S11" s="34">
        <f t="shared" si="6"/>
        <v>1</v>
      </c>
      <c r="T11" s="34">
        <f t="shared" si="7"/>
        <v>1</v>
      </c>
      <c r="U11" s="48">
        <f t="shared" si="8"/>
        <v>3399</v>
      </c>
    </row>
    <row r="12" spans="1:21" x14ac:dyDescent="0.3">
      <c r="A12" s="18">
        <v>7</v>
      </c>
      <c r="B12" s="19" t="s">
        <v>593</v>
      </c>
      <c r="C12" s="19" t="s">
        <v>588</v>
      </c>
      <c r="D12" s="37">
        <v>589.16</v>
      </c>
      <c r="E12" s="21">
        <v>1</v>
      </c>
      <c r="F12" s="21">
        <v>10</v>
      </c>
      <c r="G12" s="37"/>
      <c r="H12" s="37"/>
      <c r="I12" s="37"/>
      <c r="J12" s="37"/>
      <c r="K12" s="21"/>
      <c r="L12" s="21"/>
      <c r="M12" s="48">
        <f t="shared" si="0"/>
        <v>589.16</v>
      </c>
      <c r="N12" s="22">
        <f t="shared" si="1"/>
        <v>589.16</v>
      </c>
      <c r="O12" s="48">
        <f t="shared" si="2"/>
        <v>0</v>
      </c>
      <c r="P12" s="49">
        <f t="shared" si="3"/>
        <v>0</v>
      </c>
      <c r="Q12" s="34">
        <f t="shared" si="4"/>
        <v>1</v>
      </c>
      <c r="R12" s="48">
        <f t="shared" si="5"/>
        <v>0</v>
      </c>
      <c r="S12" s="34">
        <f t="shared" si="6"/>
        <v>1</v>
      </c>
      <c r="T12" s="34">
        <f t="shared" si="7"/>
        <v>1</v>
      </c>
      <c r="U12" s="48">
        <f t="shared" si="8"/>
        <v>589.16</v>
      </c>
    </row>
    <row r="13" spans="1:21" x14ac:dyDescent="0.3">
      <c r="A13" s="18">
        <v>8</v>
      </c>
      <c r="B13" s="19" t="s">
        <v>594</v>
      </c>
      <c r="C13" s="19" t="s">
        <v>588</v>
      </c>
      <c r="D13" s="37">
        <v>28325.01</v>
      </c>
      <c r="E13" s="21">
        <v>1</v>
      </c>
      <c r="F13" s="21">
        <v>10</v>
      </c>
      <c r="G13" s="37"/>
      <c r="H13" s="37"/>
      <c r="I13" s="37"/>
      <c r="J13" s="37"/>
      <c r="K13" s="21"/>
      <c r="L13" s="21"/>
      <c r="M13" s="48">
        <f t="shared" si="0"/>
        <v>28325.01</v>
      </c>
      <c r="N13" s="22">
        <f t="shared" si="1"/>
        <v>28325.01</v>
      </c>
      <c r="O13" s="48">
        <f t="shared" si="2"/>
        <v>0</v>
      </c>
      <c r="P13" s="49">
        <f t="shared" si="3"/>
        <v>0</v>
      </c>
      <c r="Q13" s="34">
        <f t="shared" si="4"/>
        <v>1</v>
      </c>
      <c r="R13" s="48">
        <f t="shared" si="5"/>
        <v>0</v>
      </c>
      <c r="S13" s="34">
        <f t="shared" si="6"/>
        <v>1</v>
      </c>
      <c r="T13" s="34">
        <f t="shared" si="7"/>
        <v>1</v>
      </c>
      <c r="U13" s="48">
        <f t="shared" si="8"/>
        <v>28325.01</v>
      </c>
    </row>
    <row r="14" spans="1:21" x14ac:dyDescent="0.3">
      <c r="A14" s="18">
        <v>9</v>
      </c>
      <c r="B14" s="19" t="s">
        <v>595</v>
      </c>
      <c r="C14" s="19" t="s">
        <v>588</v>
      </c>
      <c r="D14" s="37">
        <v>9857.1</v>
      </c>
      <c r="E14" s="21">
        <v>1</v>
      </c>
      <c r="F14" s="21">
        <v>10</v>
      </c>
      <c r="G14" s="37"/>
      <c r="H14" s="37"/>
      <c r="I14" s="37"/>
      <c r="J14" s="37"/>
      <c r="K14" s="21"/>
      <c r="L14" s="21"/>
      <c r="M14" s="48">
        <f t="shared" si="0"/>
        <v>9857.1</v>
      </c>
      <c r="N14" s="22">
        <f t="shared" si="1"/>
        <v>9857.1</v>
      </c>
      <c r="O14" s="48">
        <f t="shared" si="2"/>
        <v>0</v>
      </c>
      <c r="P14" s="49">
        <f t="shared" si="3"/>
        <v>0</v>
      </c>
      <c r="Q14" s="34">
        <f t="shared" si="4"/>
        <v>1</v>
      </c>
      <c r="R14" s="48">
        <f t="shared" si="5"/>
        <v>0</v>
      </c>
      <c r="S14" s="34">
        <f t="shared" si="6"/>
        <v>1</v>
      </c>
      <c r="T14" s="34">
        <f t="shared" si="7"/>
        <v>1</v>
      </c>
      <c r="U14" s="48">
        <f t="shared" si="8"/>
        <v>9857.1</v>
      </c>
    </row>
    <row r="15" spans="1:21" x14ac:dyDescent="0.3">
      <c r="A15" s="18">
        <v>10</v>
      </c>
      <c r="B15" s="19" t="s">
        <v>596</v>
      </c>
      <c r="C15" s="19" t="s">
        <v>588</v>
      </c>
      <c r="D15" s="37">
        <v>29458.01</v>
      </c>
      <c r="E15" s="21">
        <v>1</v>
      </c>
      <c r="F15" s="21">
        <v>10</v>
      </c>
      <c r="G15" s="37"/>
      <c r="H15" s="37"/>
      <c r="I15" s="37"/>
      <c r="J15" s="37"/>
      <c r="K15" s="21"/>
      <c r="L15" s="21"/>
      <c r="M15" s="48">
        <f t="shared" si="0"/>
        <v>29458.01</v>
      </c>
      <c r="N15" s="22">
        <f t="shared" si="1"/>
        <v>29458.01</v>
      </c>
      <c r="O15" s="48">
        <f t="shared" si="2"/>
        <v>0</v>
      </c>
      <c r="P15" s="49">
        <f t="shared" si="3"/>
        <v>0</v>
      </c>
      <c r="Q15" s="34">
        <f t="shared" si="4"/>
        <v>1</v>
      </c>
      <c r="R15" s="48">
        <f t="shared" si="5"/>
        <v>0</v>
      </c>
      <c r="S15" s="34">
        <f t="shared" si="6"/>
        <v>1</v>
      </c>
      <c r="T15" s="34">
        <f t="shared" si="7"/>
        <v>1</v>
      </c>
      <c r="U15" s="48">
        <f t="shared" si="8"/>
        <v>29458.01</v>
      </c>
    </row>
    <row r="16" spans="1:21" x14ac:dyDescent="0.3">
      <c r="A16" s="18">
        <v>11</v>
      </c>
      <c r="B16" s="19" t="s">
        <v>597</v>
      </c>
      <c r="C16" s="19" t="s">
        <v>588</v>
      </c>
      <c r="D16" s="37">
        <v>6004.9</v>
      </c>
      <c r="E16" s="21">
        <v>1</v>
      </c>
      <c r="F16" s="21">
        <v>10</v>
      </c>
      <c r="G16" s="37"/>
      <c r="H16" s="37"/>
      <c r="I16" s="37"/>
      <c r="J16" s="37"/>
      <c r="K16" s="21"/>
      <c r="L16" s="21"/>
      <c r="M16" s="48">
        <f t="shared" si="0"/>
        <v>6004.9</v>
      </c>
      <c r="N16" s="22">
        <f t="shared" si="1"/>
        <v>6004.9</v>
      </c>
      <c r="O16" s="48">
        <f t="shared" si="2"/>
        <v>0</v>
      </c>
      <c r="P16" s="49">
        <f t="shared" si="3"/>
        <v>0</v>
      </c>
      <c r="Q16" s="34">
        <f t="shared" si="4"/>
        <v>1</v>
      </c>
      <c r="R16" s="48">
        <f t="shared" si="5"/>
        <v>0</v>
      </c>
      <c r="S16" s="34">
        <f t="shared" si="6"/>
        <v>1</v>
      </c>
      <c r="T16" s="34">
        <f t="shared" si="7"/>
        <v>1</v>
      </c>
      <c r="U16" s="48">
        <f t="shared" si="8"/>
        <v>6004.9</v>
      </c>
    </row>
    <row r="17" spans="1:21" x14ac:dyDescent="0.3">
      <c r="A17" s="18">
        <v>12</v>
      </c>
      <c r="B17" s="19" t="s">
        <v>598</v>
      </c>
      <c r="C17" s="19" t="s">
        <v>599</v>
      </c>
      <c r="D17" s="37">
        <v>43478</v>
      </c>
      <c r="E17" s="21">
        <v>1</v>
      </c>
      <c r="F17" s="21">
        <v>5</v>
      </c>
      <c r="G17" s="37"/>
      <c r="H17" s="37"/>
      <c r="I17" s="37"/>
      <c r="J17" s="37"/>
      <c r="K17" s="21"/>
      <c r="L17" s="21"/>
      <c r="M17" s="48">
        <f t="shared" si="0"/>
        <v>43478</v>
      </c>
      <c r="N17" s="22">
        <f t="shared" si="1"/>
        <v>43478</v>
      </c>
      <c r="O17" s="48">
        <f t="shared" si="2"/>
        <v>0</v>
      </c>
      <c r="P17" s="49">
        <f t="shared" si="3"/>
        <v>0</v>
      </c>
      <c r="Q17" s="34">
        <f t="shared" si="4"/>
        <v>1</v>
      </c>
      <c r="R17" s="48">
        <f t="shared" si="5"/>
        <v>0</v>
      </c>
      <c r="S17" s="34">
        <f t="shared" si="6"/>
        <v>1</v>
      </c>
      <c r="T17" s="34">
        <f t="shared" si="7"/>
        <v>1</v>
      </c>
      <c r="U17" s="48">
        <f t="shared" si="8"/>
        <v>43478</v>
      </c>
    </row>
    <row r="18" spans="1:21" x14ac:dyDescent="0.3">
      <c r="A18" s="18">
        <v>13</v>
      </c>
      <c r="B18" s="19" t="s">
        <v>600</v>
      </c>
      <c r="C18" s="19" t="s">
        <v>600</v>
      </c>
      <c r="D18" s="37">
        <v>17400</v>
      </c>
      <c r="E18" s="21">
        <v>1</v>
      </c>
      <c r="F18" s="21">
        <v>5</v>
      </c>
      <c r="G18" s="37"/>
      <c r="H18" s="37"/>
      <c r="I18" s="37"/>
      <c r="J18" s="37"/>
      <c r="K18" s="21"/>
      <c r="L18" s="21"/>
      <c r="M18" s="48">
        <f t="shared" si="0"/>
        <v>17400</v>
      </c>
      <c r="N18" s="22">
        <f t="shared" si="1"/>
        <v>17400</v>
      </c>
      <c r="O18" s="48">
        <f t="shared" si="2"/>
        <v>0</v>
      </c>
      <c r="P18" s="49">
        <f t="shared" si="3"/>
        <v>0</v>
      </c>
      <c r="Q18" s="34">
        <f t="shared" si="4"/>
        <v>1</v>
      </c>
      <c r="R18" s="48">
        <f t="shared" si="5"/>
        <v>0</v>
      </c>
      <c r="S18" s="34">
        <f t="shared" si="6"/>
        <v>1</v>
      </c>
      <c r="T18" s="34">
        <f t="shared" si="7"/>
        <v>1</v>
      </c>
      <c r="U18" s="48">
        <f t="shared" si="8"/>
        <v>17400</v>
      </c>
    </row>
    <row r="19" spans="1:21" x14ac:dyDescent="0.3">
      <c r="A19" s="18">
        <v>14</v>
      </c>
      <c r="B19" s="19" t="s">
        <v>601</v>
      </c>
      <c r="C19" s="19" t="s">
        <v>602</v>
      </c>
      <c r="D19" s="37">
        <v>100000</v>
      </c>
      <c r="E19" s="21">
        <v>13</v>
      </c>
      <c r="F19" s="21">
        <v>10</v>
      </c>
      <c r="G19" s="37"/>
      <c r="H19" s="37"/>
      <c r="I19" s="37"/>
      <c r="J19" s="37"/>
      <c r="K19" s="21"/>
      <c r="L19" s="21"/>
      <c r="M19" s="48">
        <f t="shared" si="0"/>
        <v>100000</v>
      </c>
      <c r="N19" s="22">
        <f t="shared" si="1"/>
        <v>100000</v>
      </c>
      <c r="O19" s="48">
        <f t="shared" si="2"/>
        <v>0</v>
      </c>
      <c r="P19" s="49">
        <f t="shared" si="3"/>
        <v>0</v>
      </c>
      <c r="Q19" s="34">
        <f t="shared" si="4"/>
        <v>13</v>
      </c>
      <c r="R19" s="48">
        <f t="shared" si="5"/>
        <v>0</v>
      </c>
      <c r="S19" s="34">
        <f t="shared" si="6"/>
        <v>13</v>
      </c>
      <c r="T19" s="34">
        <f t="shared" si="7"/>
        <v>13</v>
      </c>
      <c r="U19" s="48">
        <f t="shared" si="8"/>
        <v>100000</v>
      </c>
    </row>
    <row r="20" spans="1:21" x14ac:dyDescent="0.3">
      <c r="A20" s="18">
        <v>15</v>
      </c>
      <c r="B20" s="19"/>
      <c r="C20" s="19"/>
      <c r="D20" s="37"/>
      <c r="E20" s="21"/>
      <c r="F20" s="21"/>
      <c r="G20" s="37"/>
      <c r="H20" s="37"/>
      <c r="I20" s="37"/>
      <c r="J20" s="37"/>
      <c r="K20" s="21"/>
      <c r="L20" s="21"/>
      <c r="M20" s="48">
        <f t="shared" si="0"/>
        <v>0</v>
      </c>
      <c r="N20" s="22">
        <f t="shared" si="1"/>
        <v>0</v>
      </c>
      <c r="O20" s="48">
        <f t="shared" si="2"/>
        <v>0</v>
      </c>
      <c r="P20" s="49" t="str">
        <f t="shared" si="3"/>
        <v/>
      </c>
      <c r="Q20" s="34">
        <f t="shared" si="4"/>
        <v>1</v>
      </c>
      <c r="R20" s="48">
        <f t="shared" si="5"/>
        <v>0</v>
      </c>
      <c r="S20" s="34">
        <f t="shared" si="6"/>
        <v>1</v>
      </c>
      <c r="T20" s="34">
        <f t="shared" si="7"/>
        <v>1</v>
      </c>
      <c r="U20" s="48">
        <f t="shared" si="8"/>
        <v>0</v>
      </c>
    </row>
    <row r="21" spans="1:21" x14ac:dyDescent="0.3">
      <c r="A21" s="18">
        <v>16</v>
      </c>
      <c r="B21" s="19"/>
      <c r="C21" s="19"/>
      <c r="D21" s="37"/>
      <c r="E21" s="21"/>
      <c r="F21" s="21"/>
      <c r="G21" s="37"/>
      <c r="H21" s="37"/>
      <c r="I21" s="37"/>
      <c r="J21" s="37"/>
      <c r="K21" s="21"/>
      <c r="L21" s="21"/>
      <c r="M21" s="48">
        <f t="shared" si="0"/>
        <v>0</v>
      </c>
      <c r="N21" s="22">
        <f t="shared" si="1"/>
        <v>0</v>
      </c>
      <c r="O21" s="48">
        <f t="shared" si="2"/>
        <v>0</v>
      </c>
      <c r="P21" s="49" t="str">
        <f t="shared" si="3"/>
        <v/>
      </c>
      <c r="Q21" s="34">
        <f t="shared" si="4"/>
        <v>1</v>
      </c>
      <c r="R21" s="48">
        <f t="shared" si="5"/>
        <v>0</v>
      </c>
      <c r="S21" s="34">
        <f t="shared" si="6"/>
        <v>1</v>
      </c>
      <c r="T21" s="34">
        <f t="shared" si="7"/>
        <v>1</v>
      </c>
      <c r="U21" s="48">
        <f t="shared" si="8"/>
        <v>0</v>
      </c>
    </row>
    <row r="22" spans="1:21" x14ac:dyDescent="0.3">
      <c r="A22" s="18">
        <v>17</v>
      </c>
      <c r="B22" s="19"/>
      <c r="C22" s="19"/>
      <c r="D22" s="37"/>
      <c r="E22" s="21"/>
      <c r="F22" s="21"/>
      <c r="G22" s="37"/>
      <c r="H22" s="37"/>
      <c r="I22" s="37"/>
      <c r="J22" s="37"/>
      <c r="K22" s="21"/>
      <c r="L22" s="21"/>
      <c r="M22" s="48">
        <f t="shared" si="0"/>
        <v>0</v>
      </c>
      <c r="N22" s="22">
        <f t="shared" si="1"/>
        <v>0</v>
      </c>
      <c r="O22" s="48">
        <f t="shared" si="2"/>
        <v>0</v>
      </c>
      <c r="P22" s="49" t="str">
        <f t="shared" si="3"/>
        <v/>
      </c>
      <c r="Q22" s="34">
        <f t="shared" si="4"/>
        <v>1</v>
      </c>
      <c r="R22" s="48">
        <f t="shared" si="5"/>
        <v>0</v>
      </c>
      <c r="S22" s="34">
        <f t="shared" si="6"/>
        <v>1</v>
      </c>
      <c r="T22" s="34">
        <f t="shared" si="7"/>
        <v>1</v>
      </c>
      <c r="U22" s="48">
        <f t="shared" si="8"/>
        <v>0</v>
      </c>
    </row>
    <row r="23" spans="1:21" x14ac:dyDescent="0.3">
      <c r="A23" s="18">
        <v>18</v>
      </c>
      <c r="B23" s="19"/>
      <c r="C23" s="19"/>
      <c r="D23" s="37"/>
      <c r="E23" s="21"/>
      <c r="F23" s="21"/>
      <c r="G23" s="37"/>
      <c r="H23" s="37"/>
      <c r="I23" s="37"/>
      <c r="J23" s="37"/>
      <c r="K23" s="21"/>
      <c r="L23" s="21"/>
      <c r="M23" s="48">
        <f t="shared" si="0"/>
        <v>0</v>
      </c>
      <c r="N23" s="22">
        <f t="shared" si="1"/>
        <v>0</v>
      </c>
      <c r="O23" s="48">
        <f t="shared" si="2"/>
        <v>0</v>
      </c>
      <c r="P23" s="49" t="str">
        <f t="shared" si="3"/>
        <v/>
      </c>
      <c r="Q23" s="34">
        <f t="shared" si="4"/>
        <v>1</v>
      </c>
      <c r="R23" s="48">
        <f t="shared" si="5"/>
        <v>0</v>
      </c>
      <c r="S23" s="34">
        <f t="shared" si="6"/>
        <v>1</v>
      </c>
      <c r="T23" s="34">
        <f t="shared" si="7"/>
        <v>1</v>
      </c>
      <c r="U23" s="48">
        <f t="shared" si="8"/>
        <v>0</v>
      </c>
    </row>
    <row r="24" spans="1:21" x14ac:dyDescent="0.3">
      <c r="A24" s="18">
        <v>19</v>
      </c>
      <c r="B24" s="19"/>
      <c r="C24" s="19"/>
      <c r="D24" s="37"/>
      <c r="E24" s="21"/>
      <c r="F24" s="21"/>
      <c r="G24" s="37"/>
      <c r="H24" s="37"/>
      <c r="I24" s="37"/>
      <c r="J24" s="37"/>
      <c r="K24" s="21"/>
      <c r="L24" s="21"/>
      <c r="M24" s="48">
        <f t="shared" si="0"/>
        <v>0</v>
      </c>
      <c r="N24" s="22">
        <f t="shared" si="1"/>
        <v>0</v>
      </c>
      <c r="O24" s="48">
        <f t="shared" si="2"/>
        <v>0</v>
      </c>
      <c r="P24" s="49" t="str">
        <f t="shared" si="3"/>
        <v/>
      </c>
      <c r="Q24" s="34">
        <f t="shared" si="4"/>
        <v>1</v>
      </c>
      <c r="R24" s="48">
        <f t="shared" si="5"/>
        <v>0</v>
      </c>
      <c r="S24" s="34">
        <f t="shared" si="6"/>
        <v>1</v>
      </c>
      <c r="T24" s="34">
        <f t="shared" si="7"/>
        <v>1</v>
      </c>
      <c r="U24" s="48">
        <f t="shared" si="8"/>
        <v>0</v>
      </c>
    </row>
    <row r="25" spans="1:21" x14ac:dyDescent="0.3">
      <c r="A25" s="18">
        <v>20</v>
      </c>
      <c r="B25" s="19"/>
      <c r="C25" s="19"/>
      <c r="D25" s="37"/>
      <c r="E25" s="21"/>
      <c r="F25" s="21"/>
      <c r="G25" s="37"/>
      <c r="H25" s="37"/>
      <c r="I25" s="37"/>
      <c r="J25" s="37"/>
      <c r="K25" s="21"/>
      <c r="L25" s="21"/>
      <c r="M25" s="48">
        <f t="shared" si="0"/>
        <v>0</v>
      </c>
      <c r="N25" s="22">
        <f t="shared" si="1"/>
        <v>0</v>
      </c>
      <c r="O25" s="48">
        <f t="shared" si="2"/>
        <v>0</v>
      </c>
      <c r="P25" s="49" t="str">
        <f t="shared" si="3"/>
        <v/>
      </c>
      <c r="Q25" s="34">
        <f t="shared" si="4"/>
        <v>1</v>
      </c>
      <c r="R25" s="48">
        <f t="shared" si="5"/>
        <v>0</v>
      </c>
      <c r="S25" s="34">
        <f t="shared" si="6"/>
        <v>1</v>
      </c>
      <c r="T25" s="34">
        <f t="shared" si="7"/>
        <v>1</v>
      </c>
      <c r="U25" s="48">
        <f t="shared" si="8"/>
        <v>0</v>
      </c>
    </row>
    <row r="26" spans="1:21" x14ac:dyDescent="0.3">
      <c r="B26" s="23" t="s">
        <v>603</v>
      </c>
      <c r="D26" s="54">
        <f>SUM(D6:D25)</f>
        <v>755044.08999999985</v>
      </c>
      <c r="G26" s="54">
        <f>SUM(G6:G25)</f>
        <v>0</v>
      </c>
      <c r="H26" s="54">
        <f>SUM(H6:H25)</f>
        <v>0</v>
      </c>
      <c r="I26" s="54">
        <f>SUM(I6:I25)</f>
        <v>0</v>
      </c>
      <c r="M26" s="54">
        <f>SUM(M6:M25)</f>
        <v>755044.08999999985</v>
      </c>
      <c r="N26" s="54">
        <f>SUM(N6:N25)</f>
        <v>755044.08999999985</v>
      </c>
      <c r="O26" s="54">
        <f>SUM(O6:O25)</f>
        <v>0</v>
      </c>
      <c r="P26" s="45">
        <f>IF(N26&gt;0,H26/N26,"")</f>
        <v>0</v>
      </c>
      <c r="R26" s="54">
        <f>SUM(R6:R25)</f>
        <v>0</v>
      </c>
      <c r="U26" s="54">
        <f>SUM(U6:U25)</f>
        <v>755044.08999999985</v>
      </c>
    </row>
    <row r="27" spans="1:21" x14ac:dyDescent="0.3">
      <c r="B27" s="14" t="s">
        <v>604</v>
      </c>
    </row>
    <row r="29" spans="1:21" x14ac:dyDescent="0.3">
      <c r="A29" s="15" t="s">
        <v>605</v>
      </c>
      <c r="B29" s="16"/>
      <c r="C29" s="16"/>
      <c r="D29" s="16"/>
      <c r="E29" s="16"/>
      <c r="F29" s="16"/>
      <c r="G29" s="16"/>
      <c r="H29" s="16"/>
      <c r="I29" s="16"/>
      <c r="J29" s="16"/>
      <c r="K29" s="16"/>
      <c r="L29" s="16"/>
      <c r="M29" s="16"/>
      <c r="N29" s="16"/>
      <c r="O29" s="16"/>
      <c r="P29" s="16"/>
      <c r="Q29" s="16"/>
      <c r="R29" s="16"/>
      <c r="S29" s="16"/>
      <c r="T29" s="16"/>
      <c r="U29" s="16"/>
    </row>
    <row r="30" spans="1:21" ht="42" customHeight="1" x14ac:dyDescent="0.3">
      <c r="A30" s="17"/>
      <c r="B30" s="17" t="s">
        <v>606</v>
      </c>
      <c r="C30" s="17" t="s">
        <v>286</v>
      </c>
      <c r="D30" s="17" t="s">
        <v>607</v>
      </c>
      <c r="E30" s="17" t="s">
        <v>608</v>
      </c>
      <c r="F30" s="17" t="s">
        <v>609</v>
      </c>
      <c r="G30" s="17" t="s">
        <v>610</v>
      </c>
      <c r="H30" s="17" t="s">
        <v>611</v>
      </c>
      <c r="I30" s="17" t="s">
        <v>612</v>
      </c>
    </row>
    <row r="31" spans="1:21" x14ac:dyDescent="0.3">
      <c r="B31" s="18" t="s">
        <v>613</v>
      </c>
      <c r="C31" s="18"/>
      <c r="D31" s="19" t="s">
        <v>614</v>
      </c>
      <c r="E31" s="25" t="str">
        <f t="shared" ref="E31:E36" si="9">D31</f>
        <v>Préstamo bancario inicial</v>
      </c>
      <c r="F31" s="19"/>
      <c r="G31" s="25">
        <f t="shared" ref="G31:G36" si="10">F31</f>
        <v>0</v>
      </c>
      <c r="H31" s="19"/>
      <c r="I31" s="25">
        <f t="shared" ref="I31:I36" si="11">H31</f>
        <v>0</v>
      </c>
    </row>
    <row r="32" spans="1:21" x14ac:dyDescent="0.3">
      <c r="B32" s="18" t="s">
        <v>615</v>
      </c>
      <c r="C32" s="18" t="s">
        <v>439</v>
      </c>
      <c r="D32" s="37">
        <v>2791587</v>
      </c>
      <c r="E32" s="38">
        <f>D32</f>
        <v>2791587</v>
      </c>
      <c r="F32" s="37"/>
      <c r="G32" s="38">
        <f>F32</f>
        <v>0</v>
      </c>
      <c r="H32" s="37"/>
      <c r="I32" s="38">
        <f t="shared" si="11"/>
        <v>0</v>
      </c>
    </row>
    <row r="33" spans="1:21" x14ac:dyDescent="0.3">
      <c r="B33" s="18" t="s">
        <v>616</v>
      </c>
      <c r="C33" s="18" t="s">
        <v>290</v>
      </c>
      <c r="D33" s="21">
        <v>1</v>
      </c>
      <c r="E33" s="33">
        <f t="shared" si="9"/>
        <v>1</v>
      </c>
      <c r="F33" s="21"/>
      <c r="G33" s="33">
        <f>F33</f>
        <v>0</v>
      </c>
      <c r="H33" s="21"/>
      <c r="I33" s="33">
        <f t="shared" si="11"/>
        <v>0</v>
      </c>
    </row>
    <row r="34" spans="1:21" x14ac:dyDescent="0.3">
      <c r="B34" s="18" t="s">
        <v>617</v>
      </c>
      <c r="C34" s="18" t="s">
        <v>298</v>
      </c>
      <c r="D34" s="35">
        <v>0.09</v>
      </c>
      <c r="E34" s="36">
        <f t="shared" si="9"/>
        <v>0.09</v>
      </c>
      <c r="F34" s="35"/>
      <c r="G34" s="36">
        <f>F34</f>
        <v>0</v>
      </c>
      <c r="H34" s="35"/>
      <c r="I34" s="36">
        <f t="shared" si="11"/>
        <v>0</v>
      </c>
    </row>
    <row r="35" spans="1:21" x14ac:dyDescent="0.3">
      <c r="B35" s="18" t="s">
        <v>618</v>
      </c>
      <c r="C35" s="18" t="s">
        <v>361</v>
      </c>
      <c r="D35" s="21">
        <v>6</v>
      </c>
      <c r="E35" s="33">
        <f>D35</f>
        <v>6</v>
      </c>
      <c r="F35" s="21"/>
      <c r="G35" s="33">
        <f>F35</f>
        <v>0</v>
      </c>
      <c r="H35" s="21"/>
      <c r="I35" s="33">
        <f t="shared" si="11"/>
        <v>0</v>
      </c>
    </row>
    <row r="36" spans="1:21" x14ac:dyDescent="0.3">
      <c r="B36" s="18" t="s">
        <v>619</v>
      </c>
      <c r="C36" s="18" t="s">
        <v>620</v>
      </c>
      <c r="D36" s="21">
        <v>54</v>
      </c>
      <c r="E36" s="33">
        <f>D36</f>
        <v>54</v>
      </c>
      <c r="F36" s="21"/>
      <c r="G36" s="33">
        <f>F36</f>
        <v>0</v>
      </c>
      <c r="H36" s="21"/>
      <c r="I36" s="33">
        <f t="shared" si="11"/>
        <v>0</v>
      </c>
    </row>
    <row r="37" spans="1:21" x14ac:dyDescent="0.3">
      <c r="B37" s="14" t="s">
        <v>621</v>
      </c>
    </row>
    <row r="39" spans="1:21" x14ac:dyDescent="0.3">
      <c r="A39" s="15" t="s">
        <v>622</v>
      </c>
      <c r="B39" s="16"/>
      <c r="C39" s="16"/>
      <c r="D39" s="16"/>
      <c r="E39" s="16"/>
      <c r="F39" s="16"/>
      <c r="G39" s="16"/>
      <c r="H39" s="16"/>
      <c r="I39" s="16"/>
      <c r="J39" s="16"/>
      <c r="K39" s="16"/>
      <c r="L39" s="16"/>
      <c r="M39" s="16"/>
      <c r="N39" s="16"/>
      <c r="O39" s="16"/>
      <c r="P39" s="16"/>
      <c r="Q39" s="16"/>
      <c r="R39" s="16"/>
      <c r="S39" s="16"/>
      <c r="T39" s="16"/>
      <c r="U39" s="16"/>
    </row>
    <row r="40" spans="1:21" ht="30" customHeight="1" x14ac:dyDescent="0.3">
      <c r="A40" s="17"/>
      <c r="B40" s="17" t="s">
        <v>606</v>
      </c>
      <c r="C40" s="17" t="s">
        <v>286</v>
      </c>
      <c r="D40" s="17" t="s">
        <v>623</v>
      </c>
      <c r="E40" s="17" t="s">
        <v>63</v>
      </c>
      <c r="F40" s="3" t="s">
        <v>393</v>
      </c>
      <c r="G40" s="3"/>
      <c r="H40" s="3"/>
      <c r="I40" s="3"/>
      <c r="J40" s="3"/>
      <c r="K40" s="3"/>
      <c r="L40" s="3"/>
      <c r="M40" s="3"/>
      <c r="N40" s="3"/>
    </row>
    <row r="41" spans="1:21" x14ac:dyDescent="0.3">
      <c r="B41" s="18" t="s">
        <v>624</v>
      </c>
      <c r="C41" s="18" t="s">
        <v>439</v>
      </c>
      <c r="D41" s="37"/>
      <c r="E41" s="38">
        <f>D41</f>
        <v>0</v>
      </c>
      <c r="F41" s="14" t="s">
        <v>625</v>
      </c>
    </row>
    <row r="42" spans="1:21" x14ac:dyDescent="0.3">
      <c r="B42" s="18" t="s">
        <v>626</v>
      </c>
      <c r="C42" s="18" t="s">
        <v>298</v>
      </c>
      <c r="D42" s="35"/>
      <c r="E42" s="36">
        <f>D42</f>
        <v>0</v>
      </c>
      <c r="F42" s="14" t="s">
        <v>627</v>
      </c>
    </row>
    <row r="43" spans="1:21" x14ac:dyDescent="0.3">
      <c r="B43" s="18" t="s">
        <v>628</v>
      </c>
      <c r="C43" s="18" t="s">
        <v>290</v>
      </c>
      <c r="D43" s="21"/>
      <c r="E43" s="33">
        <f>D43</f>
        <v>0</v>
      </c>
      <c r="F43" s="14" t="s">
        <v>629</v>
      </c>
    </row>
    <row r="44" spans="1:21" x14ac:dyDescent="0.3">
      <c r="B44" s="18" t="s">
        <v>630</v>
      </c>
      <c r="C44" s="18" t="s">
        <v>290</v>
      </c>
      <c r="D44" s="21"/>
      <c r="E44" s="33">
        <f>D44</f>
        <v>0</v>
      </c>
      <c r="F44" s="14" t="s">
        <v>631</v>
      </c>
    </row>
    <row r="45" spans="1:21" x14ac:dyDescent="0.3">
      <c r="B45" s="18" t="s">
        <v>632</v>
      </c>
      <c r="C45" s="18" t="s">
        <v>439</v>
      </c>
      <c r="E45" s="37"/>
      <c r="F45" s="14" t="s">
        <v>633</v>
      </c>
    </row>
    <row r="46" spans="1:21" x14ac:dyDescent="0.3">
      <c r="B46" s="14" t="s">
        <v>634</v>
      </c>
    </row>
    <row r="48" spans="1:21" x14ac:dyDescent="0.3">
      <c r="A48" s="15" t="s">
        <v>635</v>
      </c>
      <c r="B48" s="16"/>
      <c r="C48" s="16"/>
      <c r="D48" s="16"/>
      <c r="E48" s="16"/>
      <c r="F48" s="16"/>
      <c r="G48" s="16"/>
      <c r="H48" s="16"/>
      <c r="I48" s="16"/>
      <c r="J48" s="16"/>
      <c r="K48" s="16"/>
      <c r="L48" s="16"/>
      <c r="M48" s="16"/>
      <c r="N48" s="16"/>
      <c r="O48" s="16"/>
      <c r="P48" s="16"/>
      <c r="Q48" s="16"/>
      <c r="R48" s="16"/>
      <c r="S48" s="16"/>
      <c r="T48" s="16"/>
      <c r="U48" s="16"/>
    </row>
    <row r="49" spans="1:7" ht="30" customHeight="1" x14ac:dyDescent="0.3">
      <c r="A49" s="17" t="s">
        <v>461</v>
      </c>
      <c r="B49" s="17" t="s">
        <v>382</v>
      </c>
      <c r="C49" s="17" t="s">
        <v>636</v>
      </c>
      <c r="D49" s="17" t="s">
        <v>637</v>
      </c>
      <c r="E49" s="17" t="s">
        <v>638</v>
      </c>
      <c r="F49" s="17" t="s">
        <v>639</v>
      </c>
      <c r="G49" s="17" t="s">
        <v>393</v>
      </c>
    </row>
    <row r="50" spans="1:7" x14ac:dyDescent="0.3">
      <c r="A50" s="18">
        <v>1</v>
      </c>
      <c r="B50" s="19" t="s">
        <v>640</v>
      </c>
      <c r="C50" s="21">
        <v>1</v>
      </c>
      <c r="D50" s="37">
        <v>200000</v>
      </c>
      <c r="E50" s="33">
        <f t="shared" ref="E50:E59" si="12">C50</f>
        <v>1</v>
      </c>
      <c r="F50" s="38">
        <f t="shared" ref="F50:F59" si="13">D50</f>
        <v>200000</v>
      </c>
    </row>
    <row r="51" spans="1:7" x14ac:dyDescent="0.3">
      <c r="A51" s="18">
        <v>2</v>
      </c>
      <c r="B51" s="19" t="s">
        <v>641</v>
      </c>
      <c r="C51" s="21">
        <v>1</v>
      </c>
      <c r="D51" s="37">
        <v>567782</v>
      </c>
      <c r="E51" s="33">
        <f t="shared" si="12"/>
        <v>1</v>
      </c>
      <c r="F51" s="38">
        <f t="shared" si="13"/>
        <v>567782</v>
      </c>
    </row>
    <row r="52" spans="1:7" x14ac:dyDescent="0.3">
      <c r="A52" s="18">
        <v>3</v>
      </c>
      <c r="B52" s="19" t="s">
        <v>642</v>
      </c>
      <c r="C52" s="21">
        <v>13</v>
      </c>
      <c r="D52" s="37">
        <v>371928</v>
      </c>
      <c r="E52" s="33">
        <f t="shared" si="12"/>
        <v>13</v>
      </c>
      <c r="F52" s="38">
        <f t="shared" si="13"/>
        <v>371928</v>
      </c>
    </row>
    <row r="53" spans="1:7" x14ac:dyDescent="0.3">
      <c r="A53" s="18">
        <v>4</v>
      </c>
      <c r="B53" s="19"/>
      <c r="C53" s="21"/>
      <c r="D53" s="37"/>
      <c r="E53" s="33">
        <f t="shared" si="12"/>
        <v>0</v>
      </c>
      <c r="F53" s="38">
        <f t="shared" si="13"/>
        <v>0</v>
      </c>
    </row>
    <row r="54" spans="1:7" x14ac:dyDescent="0.3">
      <c r="A54" s="18">
        <v>5</v>
      </c>
      <c r="B54" s="19"/>
      <c r="C54" s="21"/>
      <c r="D54" s="37"/>
      <c r="E54" s="33">
        <f t="shared" si="12"/>
        <v>0</v>
      </c>
      <c r="F54" s="38">
        <f t="shared" si="13"/>
        <v>0</v>
      </c>
    </row>
    <row r="55" spans="1:7" x14ac:dyDescent="0.3">
      <c r="A55" s="18">
        <v>6</v>
      </c>
      <c r="B55" s="19"/>
      <c r="C55" s="21"/>
      <c r="D55" s="37"/>
      <c r="E55" s="33">
        <f t="shared" si="12"/>
        <v>0</v>
      </c>
      <c r="F55" s="38">
        <f t="shared" si="13"/>
        <v>0</v>
      </c>
    </row>
    <row r="56" spans="1:7" x14ac:dyDescent="0.3">
      <c r="A56" s="18">
        <v>7</v>
      </c>
      <c r="B56" s="19"/>
      <c r="C56" s="21"/>
      <c r="D56" s="37"/>
      <c r="E56" s="33">
        <f t="shared" si="12"/>
        <v>0</v>
      </c>
      <c r="F56" s="38">
        <f t="shared" si="13"/>
        <v>0</v>
      </c>
    </row>
    <row r="57" spans="1:7" x14ac:dyDescent="0.3">
      <c r="A57" s="18">
        <v>8</v>
      </c>
      <c r="B57" s="19"/>
      <c r="C57" s="21"/>
      <c r="D57" s="37"/>
      <c r="E57" s="33">
        <f t="shared" si="12"/>
        <v>0</v>
      </c>
      <c r="F57" s="38">
        <f t="shared" si="13"/>
        <v>0</v>
      </c>
    </row>
    <row r="58" spans="1:7" x14ac:dyDescent="0.3">
      <c r="A58" s="18">
        <v>9</v>
      </c>
      <c r="B58" s="19"/>
      <c r="C58" s="21"/>
      <c r="D58" s="37"/>
      <c r="E58" s="33">
        <f t="shared" si="12"/>
        <v>0</v>
      </c>
      <c r="F58" s="38">
        <f t="shared" si="13"/>
        <v>0</v>
      </c>
    </row>
    <row r="59" spans="1:7" x14ac:dyDescent="0.3">
      <c r="A59" s="18">
        <v>10</v>
      </c>
      <c r="B59" s="19"/>
      <c r="C59" s="21"/>
      <c r="D59" s="37"/>
      <c r="E59" s="33">
        <f t="shared" si="12"/>
        <v>0</v>
      </c>
      <c r="F59" s="38">
        <f t="shared" si="13"/>
        <v>0</v>
      </c>
    </row>
  </sheetData>
  <mergeCells count="1">
    <mergeCell ref="F40:N4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ES247"/>
  <sheetViews>
    <sheetView zoomScale="90" zoomScaleNormal="90" workbookViewId="0">
      <pane xSplit="5" ySplit="7" topLeftCell="F230" activePane="bottomRight" state="frozen"/>
      <selection pane="topRight" activeCell="F1" sqref="F1"/>
      <selection pane="bottomLeft" activeCell="A8" sqref="A8"/>
      <selection pane="bottomRight" activeCell="F246" sqref="F246"/>
    </sheetView>
  </sheetViews>
  <sheetFormatPr baseColWidth="10" defaultColWidth="8.5546875" defaultRowHeight="14.4" x14ac:dyDescent="0.3"/>
  <cols>
    <col min="1" max="1" width="7" customWidth="1"/>
    <col min="2" max="2" width="46" customWidth="1"/>
    <col min="3" max="3" width="9" customWidth="1"/>
    <col min="4" max="4" width="14" customWidth="1"/>
    <col min="5" max="5" width="4" customWidth="1"/>
    <col min="6" max="149" width="10" customWidth="1"/>
  </cols>
  <sheetData>
    <row r="1" spans="1:149" ht="16.8" x14ac:dyDescent="0.3">
      <c r="A1" s="13" t="s">
        <v>643</v>
      </c>
    </row>
    <row r="2" spans="1:149" x14ac:dyDescent="0.3">
      <c r="A2" s="14" t="s">
        <v>644</v>
      </c>
    </row>
    <row r="3" spans="1:149" x14ac:dyDescent="0.3">
      <c r="B3" s="31" t="str">
        <f>HYPERLINK("#Detalle_24m!"&amp;ADDRESS(9,MIN(149,5+Corte+1),4),"→ Ir al primer mes de la ventana: mes "&amp;(Corte+1))</f>
        <v>→ Ir al primer mes de la ventana: mes 1</v>
      </c>
    </row>
    <row r="4" spans="1:149" x14ac:dyDescent="0.3">
      <c r="A4" s="57"/>
      <c r="B4" s="58" t="s">
        <v>645</v>
      </c>
      <c r="C4" s="57"/>
      <c r="D4" s="58" t="s">
        <v>646</v>
      </c>
      <c r="E4" s="57"/>
      <c r="F4" s="17">
        <v>1</v>
      </c>
      <c r="G4" s="17">
        <v>2</v>
      </c>
      <c r="H4" s="17">
        <v>3</v>
      </c>
      <c r="I4" s="17">
        <v>4</v>
      </c>
      <c r="J4" s="17">
        <v>5</v>
      </c>
      <c r="K4" s="17">
        <v>6</v>
      </c>
      <c r="L4" s="17">
        <v>7</v>
      </c>
      <c r="M4" s="17">
        <v>8</v>
      </c>
      <c r="N4" s="17">
        <v>9</v>
      </c>
      <c r="O4" s="17">
        <v>10</v>
      </c>
      <c r="P4" s="17">
        <v>11</v>
      </c>
      <c r="Q4" s="17">
        <v>12</v>
      </c>
      <c r="R4" s="17">
        <v>13</v>
      </c>
      <c r="S4" s="17">
        <v>14</v>
      </c>
      <c r="T4" s="17">
        <v>15</v>
      </c>
      <c r="U4" s="17">
        <v>16</v>
      </c>
      <c r="V4" s="17">
        <v>17</v>
      </c>
      <c r="W4" s="17">
        <v>18</v>
      </c>
      <c r="X4" s="17">
        <v>19</v>
      </c>
      <c r="Y4" s="17">
        <v>20</v>
      </c>
      <c r="Z4" s="17">
        <v>21</v>
      </c>
      <c r="AA4" s="17">
        <v>22</v>
      </c>
      <c r="AB4" s="17">
        <v>23</v>
      </c>
      <c r="AC4" s="17">
        <v>24</v>
      </c>
      <c r="AD4" s="17">
        <v>25</v>
      </c>
      <c r="AE4" s="17">
        <v>26</v>
      </c>
      <c r="AF4" s="17">
        <v>27</v>
      </c>
      <c r="AG4" s="17">
        <v>28</v>
      </c>
      <c r="AH4" s="17">
        <v>29</v>
      </c>
      <c r="AI4" s="17">
        <v>30</v>
      </c>
      <c r="AJ4" s="17">
        <v>31</v>
      </c>
      <c r="AK4" s="17">
        <v>32</v>
      </c>
      <c r="AL4" s="17">
        <v>33</v>
      </c>
      <c r="AM4" s="17">
        <v>34</v>
      </c>
      <c r="AN4" s="17">
        <v>35</v>
      </c>
      <c r="AO4" s="17">
        <v>36</v>
      </c>
      <c r="AP4" s="17">
        <v>37</v>
      </c>
      <c r="AQ4" s="17">
        <v>38</v>
      </c>
      <c r="AR4" s="17">
        <v>39</v>
      </c>
      <c r="AS4" s="17">
        <v>40</v>
      </c>
      <c r="AT4" s="17">
        <v>41</v>
      </c>
      <c r="AU4" s="17">
        <v>42</v>
      </c>
      <c r="AV4" s="17">
        <v>43</v>
      </c>
      <c r="AW4" s="17">
        <v>44</v>
      </c>
      <c r="AX4" s="17">
        <v>45</v>
      </c>
      <c r="AY4" s="17">
        <v>46</v>
      </c>
      <c r="AZ4" s="17">
        <v>47</v>
      </c>
      <c r="BA4" s="17">
        <v>48</v>
      </c>
      <c r="BB4" s="17">
        <v>49</v>
      </c>
      <c r="BC4" s="17">
        <v>50</v>
      </c>
      <c r="BD4" s="17">
        <v>51</v>
      </c>
      <c r="BE4" s="17">
        <v>52</v>
      </c>
      <c r="BF4" s="17">
        <v>53</v>
      </c>
      <c r="BG4" s="17">
        <v>54</v>
      </c>
      <c r="BH4" s="17">
        <v>55</v>
      </c>
      <c r="BI4" s="17">
        <v>56</v>
      </c>
      <c r="BJ4" s="17">
        <v>57</v>
      </c>
      <c r="BK4" s="17">
        <v>58</v>
      </c>
      <c r="BL4" s="17">
        <v>59</v>
      </c>
      <c r="BM4" s="17">
        <v>60</v>
      </c>
      <c r="BN4" s="17">
        <v>61</v>
      </c>
      <c r="BO4" s="17">
        <v>62</v>
      </c>
      <c r="BP4" s="17">
        <v>63</v>
      </c>
      <c r="BQ4" s="17">
        <v>64</v>
      </c>
      <c r="BR4" s="17">
        <v>65</v>
      </c>
      <c r="BS4" s="17">
        <v>66</v>
      </c>
      <c r="BT4" s="17">
        <v>67</v>
      </c>
      <c r="BU4" s="17">
        <v>68</v>
      </c>
      <c r="BV4" s="17">
        <v>69</v>
      </c>
      <c r="BW4" s="17">
        <v>70</v>
      </c>
      <c r="BX4" s="17">
        <v>71</v>
      </c>
      <c r="BY4" s="17">
        <v>72</v>
      </c>
      <c r="BZ4" s="17">
        <v>73</v>
      </c>
      <c r="CA4" s="17">
        <v>74</v>
      </c>
      <c r="CB4" s="17">
        <v>75</v>
      </c>
      <c r="CC4" s="17">
        <v>76</v>
      </c>
      <c r="CD4" s="17">
        <v>77</v>
      </c>
      <c r="CE4" s="17">
        <v>78</v>
      </c>
      <c r="CF4" s="17">
        <v>79</v>
      </c>
      <c r="CG4" s="17">
        <v>80</v>
      </c>
      <c r="CH4" s="17">
        <v>81</v>
      </c>
      <c r="CI4" s="17">
        <v>82</v>
      </c>
      <c r="CJ4" s="17">
        <v>83</v>
      </c>
      <c r="CK4" s="17">
        <v>84</v>
      </c>
      <c r="CL4" s="17">
        <v>85</v>
      </c>
      <c r="CM4" s="17">
        <v>86</v>
      </c>
      <c r="CN4" s="17">
        <v>87</v>
      </c>
      <c r="CO4" s="17">
        <v>88</v>
      </c>
      <c r="CP4" s="17">
        <v>89</v>
      </c>
      <c r="CQ4" s="17">
        <v>90</v>
      </c>
      <c r="CR4" s="17">
        <v>91</v>
      </c>
      <c r="CS4" s="17">
        <v>92</v>
      </c>
      <c r="CT4" s="17">
        <v>93</v>
      </c>
      <c r="CU4" s="17">
        <v>94</v>
      </c>
      <c r="CV4" s="17">
        <v>95</v>
      </c>
      <c r="CW4" s="17">
        <v>96</v>
      </c>
      <c r="CX4" s="17">
        <v>97</v>
      </c>
      <c r="CY4" s="17">
        <v>98</v>
      </c>
      <c r="CZ4" s="17">
        <v>99</v>
      </c>
      <c r="DA4" s="17">
        <v>100</v>
      </c>
      <c r="DB4" s="17">
        <v>101</v>
      </c>
      <c r="DC4" s="17">
        <v>102</v>
      </c>
      <c r="DD4" s="17">
        <v>103</v>
      </c>
      <c r="DE4" s="17">
        <v>104</v>
      </c>
      <c r="DF4" s="17">
        <v>105</v>
      </c>
      <c r="DG4" s="17">
        <v>106</v>
      </c>
      <c r="DH4" s="17">
        <v>107</v>
      </c>
      <c r="DI4" s="17">
        <v>108</v>
      </c>
      <c r="DJ4" s="17">
        <v>109</v>
      </c>
      <c r="DK4" s="17">
        <v>110</v>
      </c>
      <c r="DL4" s="17">
        <v>111</v>
      </c>
      <c r="DM4" s="17">
        <v>112</v>
      </c>
      <c r="DN4" s="17">
        <v>113</v>
      </c>
      <c r="DO4" s="17">
        <v>114</v>
      </c>
      <c r="DP4" s="17">
        <v>115</v>
      </c>
      <c r="DQ4" s="17">
        <v>116</v>
      </c>
      <c r="DR4" s="17">
        <v>117</v>
      </c>
      <c r="DS4" s="17">
        <v>118</v>
      </c>
      <c r="DT4" s="17">
        <v>119</v>
      </c>
      <c r="DU4" s="17">
        <v>120</v>
      </c>
      <c r="DV4" s="17">
        <v>121</v>
      </c>
      <c r="DW4" s="17">
        <v>122</v>
      </c>
      <c r="DX4" s="17">
        <v>123</v>
      </c>
      <c r="DY4" s="17">
        <v>124</v>
      </c>
      <c r="DZ4" s="17">
        <v>125</v>
      </c>
      <c r="EA4" s="17">
        <v>126</v>
      </c>
      <c r="EB4" s="17">
        <v>127</v>
      </c>
      <c r="EC4" s="17">
        <v>128</v>
      </c>
      <c r="ED4" s="17">
        <v>129</v>
      </c>
      <c r="EE4" s="17">
        <v>130</v>
      </c>
      <c r="EF4" s="17">
        <v>131</v>
      </c>
      <c r="EG4" s="17">
        <v>132</v>
      </c>
      <c r="EH4" s="17">
        <v>133</v>
      </c>
      <c r="EI4" s="17">
        <v>134</v>
      </c>
      <c r="EJ4" s="17">
        <v>135</v>
      </c>
      <c r="EK4" s="17">
        <v>136</v>
      </c>
      <c r="EL4" s="17">
        <v>137</v>
      </c>
      <c r="EM4" s="17">
        <v>138</v>
      </c>
      <c r="EN4" s="17">
        <v>139</v>
      </c>
      <c r="EO4" s="17">
        <v>140</v>
      </c>
      <c r="EP4" s="17">
        <v>141</v>
      </c>
      <c r="EQ4" s="17">
        <v>142</v>
      </c>
      <c r="ER4" s="17">
        <v>143</v>
      </c>
      <c r="ES4" s="17">
        <v>144</v>
      </c>
    </row>
    <row r="5" spans="1:149" x14ac:dyDescent="0.3">
      <c r="A5" s="57"/>
      <c r="B5" s="58" t="s">
        <v>1</v>
      </c>
      <c r="C5" s="57"/>
      <c r="D5" s="57"/>
      <c r="E5" s="57"/>
      <c r="F5" s="59" t="str">
        <f>IF(n_Fecha1="","",EOMONTH(n_Fecha1,1-1))</f>
        <v/>
      </c>
      <c r="G5" s="59" t="str">
        <f>IF(n_Fecha1="","",EOMONTH(n_Fecha1,2-1))</f>
        <v/>
      </c>
      <c r="H5" s="59" t="str">
        <f>IF(n_Fecha1="","",EOMONTH(n_Fecha1,3-1))</f>
        <v/>
      </c>
      <c r="I5" s="59" t="str">
        <f>IF(n_Fecha1="","",EOMONTH(n_Fecha1,4-1))</f>
        <v/>
      </c>
      <c r="J5" s="59" t="str">
        <f>IF(n_Fecha1="","",EOMONTH(n_Fecha1,5-1))</f>
        <v/>
      </c>
      <c r="K5" s="59" t="str">
        <f>IF(n_Fecha1="","",EOMONTH(n_Fecha1,6-1))</f>
        <v/>
      </c>
      <c r="L5" s="59" t="str">
        <f>IF(n_Fecha1="","",EOMONTH(n_Fecha1,7-1))</f>
        <v/>
      </c>
      <c r="M5" s="59" t="str">
        <f>IF(n_Fecha1="","",EOMONTH(n_Fecha1,8-1))</f>
        <v/>
      </c>
      <c r="N5" s="59" t="str">
        <f>IF(n_Fecha1="","",EOMONTH(n_Fecha1,9-1))</f>
        <v/>
      </c>
      <c r="O5" s="59" t="str">
        <f>IF(n_Fecha1="","",EOMONTH(n_Fecha1,10-1))</f>
        <v/>
      </c>
      <c r="P5" s="59" t="str">
        <f>IF(n_Fecha1="","",EOMONTH(n_Fecha1,11-1))</f>
        <v/>
      </c>
      <c r="Q5" s="59" t="str">
        <f>IF(n_Fecha1="","",EOMONTH(n_Fecha1,12-1))</f>
        <v/>
      </c>
      <c r="R5" s="59" t="str">
        <f>IF(n_Fecha1="","",EOMONTH(n_Fecha1,13-1))</f>
        <v/>
      </c>
      <c r="S5" s="59" t="str">
        <f>IF(n_Fecha1="","",EOMONTH(n_Fecha1,14-1))</f>
        <v/>
      </c>
      <c r="T5" s="59" t="str">
        <f>IF(n_Fecha1="","",EOMONTH(n_Fecha1,15-1))</f>
        <v/>
      </c>
      <c r="U5" s="59" t="str">
        <f>IF(n_Fecha1="","",EOMONTH(n_Fecha1,16-1))</f>
        <v/>
      </c>
      <c r="V5" s="59" t="str">
        <f>IF(n_Fecha1="","",EOMONTH(n_Fecha1,17-1))</f>
        <v/>
      </c>
      <c r="W5" s="59" t="str">
        <f>IF(n_Fecha1="","",EOMONTH(n_Fecha1,18-1))</f>
        <v/>
      </c>
      <c r="X5" s="59" t="str">
        <f>IF(n_Fecha1="","",EOMONTH(n_Fecha1,19-1))</f>
        <v/>
      </c>
      <c r="Y5" s="59" t="str">
        <f>IF(n_Fecha1="","",EOMONTH(n_Fecha1,20-1))</f>
        <v/>
      </c>
      <c r="Z5" s="59" t="str">
        <f>IF(n_Fecha1="","",EOMONTH(n_Fecha1,21-1))</f>
        <v/>
      </c>
      <c r="AA5" s="59" t="str">
        <f>IF(n_Fecha1="","",EOMONTH(n_Fecha1,22-1))</f>
        <v/>
      </c>
      <c r="AB5" s="59" t="str">
        <f>IF(n_Fecha1="","",EOMONTH(n_Fecha1,23-1))</f>
        <v/>
      </c>
      <c r="AC5" s="59" t="str">
        <f>IF(n_Fecha1="","",EOMONTH(n_Fecha1,24-1))</f>
        <v/>
      </c>
      <c r="AD5" s="59" t="str">
        <f>IF(n_Fecha1="","",EOMONTH(n_Fecha1,25-1))</f>
        <v/>
      </c>
      <c r="AE5" s="59" t="str">
        <f>IF(n_Fecha1="","",EOMONTH(n_Fecha1,26-1))</f>
        <v/>
      </c>
      <c r="AF5" s="59" t="str">
        <f>IF(n_Fecha1="","",EOMONTH(n_Fecha1,27-1))</f>
        <v/>
      </c>
      <c r="AG5" s="59" t="str">
        <f>IF(n_Fecha1="","",EOMONTH(n_Fecha1,28-1))</f>
        <v/>
      </c>
      <c r="AH5" s="59" t="str">
        <f>IF(n_Fecha1="","",EOMONTH(n_Fecha1,29-1))</f>
        <v/>
      </c>
      <c r="AI5" s="59" t="str">
        <f>IF(n_Fecha1="","",EOMONTH(n_Fecha1,30-1))</f>
        <v/>
      </c>
      <c r="AJ5" s="59" t="str">
        <f>IF(n_Fecha1="","",EOMONTH(n_Fecha1,31-1))</f>
        <v/>
      </c>
      <c r="AK5" s="59" t="str">
        <f>IF(n_Fecha1="","",EOMONTH(n_Fecha1,32-1))</f>
        <v/>
      </c>
      <c r="AL5" s="59" t="str">
        <f>IF(n_Fecha1="","",EOMONTH(n_Fecha1,33-1))</f>
        <v/>
      </c>
      <c r="AM5" s="59" t="str">
        <f>IF(n_Fecha1="","",EOMONTH(n_Fecha1,34-1))</f>
        <v/>
      </c>
      <c r="AN5" s="59" t="str">
        <f>IF(n_Fecha1="","",EOMONTH(n_Fecha1,35-1))</f>
        <v/>
      </c>
      <c r="AO5" s="59" t="str">
        <f>IF(n_Fecha1="","",EOMONTH(n_Fecha1,36-1))</f>
        <v/>
      </c>
      <c r="AP5" s="59" t="str">
        <f>IF(n_Fecha1="","",EOMONTH(n_Fecha1,37-1))</f>
        <v/>
      </c>
      <c r="AQ5" s="59" t="str">
        <f>IF(n_Fecha1="","",EOMONTH(n_Fecha1,38-1))</f>
        <v/>
      </c>
      <c r="AR5" s="59" t="str">
        <f>IF(n_Fecha1="","",EOMONTH(n_Fecha1,39-1))</f>
        <v/>
      </c>
      <c r="AS5" s="59" t="str">
        <f>IF(n_Fecha1="","",EOMONTH(n_Fecha1,40-1))</f>
        <v/>
      </c>
      <c r="AT5" s="59" t="str">
        <f>IF(n_Fecha1="","",EOMONTH(n_Fecha1,41-1))</f>
        <v/>
      </c>
      <c r="AU5" s="59" t="str">
        <f>IF(n_Fecha1="","",EOMONTH(n_Fecha1,42-1))</f>
        <v/>
      </c>
      <c r="AV5" s="59" t="str">
        <f>IF(n_Fecha1="","",EOMONTH(n_Fecha1,43-1))</f>
        <v/>
      </c>
      <c r="AW5" s="59" t="str">
        <f>IF(n_Fecha1="","",EOMONTH(n_Fecha1,44-1))</f>
        <v/>
      </c>
      <c r="AX5" s="59" t="str">
        <f>IF(n_Fecha1="","",EOMONTH(n_Fecha1,45-1))</f>
        <v/>
      </c>
      <c r="AY5" s="59" t="str">
        <f>IF(n_Fecha1="","",EOMONTH(n_Fecha1,46-1))</f>
        <v/>
      </c>
      <c r="AZ5" s="59" t="str">
        <f>IF(n_Fecha1="","",EOMONTH(n_Fecha1,47-1))</f>
        <v/>
      </c>
      <c r="BA5" s="59" t="str">
        <f>IF(n_Fecha1="","",EOMONTH(n_Fecha1,48-1))</f>
        <v/>
      </c>
      <c r="BB5" s="59" t="str">
        <f>IF(n_Fecha1="","",EOMONTH(n_Fecha1,49-1))</f>
        <v/>
      </c>
      <c r="BC5" s="59" t="str">
        <f>IF(n_Fecha1="","",EOMONTH(n_Fecha1,50-1))</f>
        <v/>
      </c>
      <c r="BD5" s="59" t="str">
        <f>IF(n_Fecha1="","",EOMONTH(n_Fecha1,51-1))</f>
        <v/>
      </c>
      <c r="BE5" s="59" t="str">
        <f>IF(n_Fecha1="","",EOMONTH(n_Fecha1,52-1))</f>
        <v/>
      </c>
      <c r="BF5" s="59" t="str">
        <f>IF(n_Fecha1="","",EOMONTH(n_Fecha1,53-1))</f>
        <v/>
      </c>
      <c r="BG5" s="59" t="str">
        <f>IF(n_Fecha1="","",EOMONTH(n_Fecha1,54-1))</f>
        <v/>
      </c>
      <c r="BH5" s="59" t="str">
        <f>IF(n_Fecha1="","",EOMONTH(n_Fecha1,55-1))</f>
        <v/>
      </c>
      <c r="BI5" s="59" t="str">
        <f>IF(n_Fecha1="","",EOMONTH(n_Fecha1,56-1))</f>
        <v/>
      </c>
      <c r="BJ5" s="59" t="str">
        <f>IF(n_Fecha1="","",EOMONTH(n_Fecha1,57-1))</f>
        <v/>
      </c>
      <c r="BK5" s="59" t="str">
        <f>IF(n_Fecha1="","",EOMONTH(n_Fecha1,58-1))</f>
        <v/>
      </c>
      <c r="BL5" s="59" t="str">
        <f>IF(n_Fecha1="","",EOMONTH(n_Fecha1,59-1))</f>
        <v/>
      </c>
      <c r="BM5" s="59" t="str">
        <f>IF(n_Fecha1="","",EOMONTH(n_Fecha1,60-1))</f>
        <v/>
      </c>
      <c r="BN5" s="59" t="str">
        <f>IF(n_Fecha1="","",EOMONTH(n_Fecha1,61-1))</f>
        <v/>
      </c>
      <c r="BO5" s="59" t="str">
        <f>IF(n_Fecha1="","",EOMONTH(n_Fecha1,62-1))</f>
        <v/>
      </c>
      <c r="BP5" s="59" t="str">
        <f>IF(n_Fecha1="","",EOMONTH(n_Fecha1,63-1))</f>
        <v/>
      </c>
      <c r="BQ5" s="59" t="str">
        <f>IF(n_Fecha1="","",EOMONTH(n_Fecha1,64-1))</f>
        <v/>
      </c>
      <c r="BR5" s="59" t="str">
        <f>IF(n_Fecha1="","",EOMONTH(n_Fecha1,65-1))</f>
        <v/>
      </c>
      <c r="BS5" s="59" t="str">
        <f>IF(n_Fecha1="","",EOMONTH(n_Fecha1,66-1))</f>
        <v/>
      </c>
      <c r="BT5" s="59" t="str">
        <f>IF(n_Fecha1="","",EOMONTH(n_Fecha1,67-1))</f>
        <v/>
      </c>
      <c r="BU5" s="59" t="str">
        <f>IF(n_Fecha1="","",EOMONTH(n_Fecha1,68-1))</f>
        <v/>
      </c>
      <c r="BV5" s="59" t="str">
        <f>IF(n_Fecha1="","",EOMONTH(n_Fecha1,69-1))</f>
        <v/>
      </c>
      <c r="BW5" s="59" t="str">
        <f>IF(n_Fecha1="","",EOMONTH(n_Fecha1,70-1))</f>
        <v/>
      </c>
      <c r="BX5" s="59" t="str">
        <f>IF(n_Fecha1="","",EOMONTH(n_Fecha1,71-1))</f>
        <v/>
      </c>
      <c r="BY5" s="59" t="str">
        <f>IF(n_Fecha1="","",EOMONTH(n_Fecha1,72-1))</f>
        <v/>
      </c>
      <c r="BZ5" s="59" t="str">
        <f>IF(n_Fecha1="","",EOMONTH(n_Fecha1,73-1))</f>
        <v/>
      </c>
      <c r="CA5" s="59" t="str">
        <f>IF(n_Fecha1="","",EOMONTH(n_Fecha1,74-1))</f>
        <v/>
      </c>
      <c r="CB5" s="59" t="str">
        <f>IF(n_Fecha1="","",EOMONTH(n_Fecha1,75-1))</f>
        <v/>
      </c>
      <c r="CC5" s="59" t="str">
        <f>IF(n_Fecha1="","",EOMONTH(n_Fecha1,76-1))</f>
        <v/>
      </c>
      <c r="CD5" s="59" t="str">
        <f>IF(n_Fecha1="","",EOMONTH(n_Fecha1,77-1))</f>
        <v/>
      </c>
      <c r="CE5" s="59" t="str">
        <f>IF(n_Fecha1="","",EOMONTH(n_Fecha1,78-1))</f>
        <v/>
      </c>
      <c r="CF5" s="59" t="str">
        <f>IF(n_Fecha1="","",EOMONTH(n_Fecha1,79-1))</f>
        <v/>
      </c>
      <c r="CG5" s="59" t="str">
        <f>IF(n_Fecha1="","",EOMONTH(n_Fecha1,80-1))</f>
        <v/>
      </c>
      <c r="CH5" s="59" t="str">
        <f>IF(n_Fecha1="","",EOMONTH(n_Fecha1,81-1))</f>
        <v/>
      </c>
      <c r="CI5" s="59" t="str">
        <f>IF(n_Fecha1="","",EOMONTH(n_Fecha1,82-1))</f>
        <v/>
      </c>
      <c r="CJ5" s="59" t="str">
        <f>IF(n_Fecha1="","",EOMONTH(n_Fecha1,83-1))</f>
        <v/>
      </c>
      <c r="CK5" s="59" t="str">
        <f>IF(n_Fecha1="","",EOMONTH(n_Fecha1,84-1))</f>
        <v/>
      </c>
      <c r="CL5" s="59" t="str">
        <f>IF(n_Fecha1="","",EOMONTH(n_Fecha1,85-1))</f>
        <v/>
      </c>
      <c r="CM5" s="59" t="str">
        <f>IF(n_Fecha1="","",EOMONTH(n_Fecha1,86-1))</f>
        <v/>
      </c>
      <c r="CN5" s="59" t="str">
        <f>IF(n_Fecha1="","",EOMONTH(n_Fecha1,87-1))</f>
        <v/>
      </c>
      <c r="CO5" s="59" t="str">
        <f>IF(n_Fecha1="","",EOMONTH(n_Fecha1,88-1))</f>
        <v/>
      </c>
      <c r="CP5" s="59" t="str">
        <f>IF(n_Fecha1="","",EOMONTH(n_Fecha1,89-1))</f>
        <v/>
      </c>
      <c r="CQ5" s="59" t="str">
        <f>IF(n_Fecha1="","",EOMONTH(n_Fecha1,90-1))</f>
        <v/>
      </c>
      <c r="CR5" s="59" t="str">
        <f>IF(n_Fecha1="","",EOMONTH(n_Fecha1,91-1))</f>
        <v/>
      </c>
      <c r="CS5" s="59" t="str">
        <f>IF(n_Fecha1="","",EOMONTH(n_Fecha1,92-1))</f>
        <v/>
      </c>
      <c r="CT5" s="59" t="str">
        <f>IF(n_Fecha1="","",EOMONTH(n_Fecha1,93-1))</f>
        <v/>
      </c>
      <c r="CU5" s="59" t="str">
        <f>IF(n_Fecha1="","",EOMONTH(n_Fecha1,94-1))</f>
        <v/>
      </c>
      <c r="CV5" s="59" t="str">
        <f>IF(n_Fecha1="","",EOMONTH(n_Fecha1,95-1))</f>
        <v/>
      </c>
      <c r="CW5" s="59" t="str">
        <f>IF(n_Fecha1="","",EOMONTH(n_Fecha1,96-1))</f>
        <v/>
      </c>
      <c r="CX5" s="59" t="str">
        <f>IF(n_Fecha1="","",EOMONTH(n_Fecha1,97-1))</f>
        <v/>
      </c>
      <c r="CY5" s="59" t="str">
        <f>IF(n_Fecha1="","",EOMONTH(n_Fecha1,98-1))</f>
        <v/>
      </c>
      <c r="CZ5" s="59" t="str">
        <f>IF(n_Fecha1="","",EOMONTH(n_Fecha1,99-1))</f>
        <v/>
      </c>
      <c r="DA5" s="59" t="str">
        <f>IF(n_Fecha1="","",EOMONTH(n_Fecha1,100-1))</f>
        <v/>
      </c>
      <c r="DB5" s="59" t="str">
        <f>IF(n_Fecha1="","",EOMONTH(n_Fecha1,101-1))</f>
        <v/>
      </c>
      <c r="DC5" s="59" t="str">
        <f>IF(n_Fecha1="","",EOMONTH(n_Fecha1,102-1))</f>
        <v/>
      </c>
      <c r="DD5" s="59" t="str">
        <f>IF(n_Fecha1="","",EOMONTH(n_Fecha1,103-1))</f>
        <v/>
      </c>
      <c r="DE5" s="59" t="str">
        <f>IF(n_Fecha1="","",EOMONTH(n_Fecha1,104-1))</f>
        <v/>
      </c>
      <c r="DF5" s="59" t="str">
        <f>IF(n_Fecha1="","",EOMONTH(n_Fecha1,105-1))</f>
        <v/>
      </c>
      <c r="DG5" s="59" t="str">
        <f>IF(n_Fecha1="","",EOMONTH(n_Fecha1,106-1))</f>
        <v/>
      </c>
      <c r="DH5" s="59" t="str">
        <f>IF(n_Fecha1="","",EOMONTH(n_Fecha1,107-1))</f>
        <v/>
      </c>
      <c r="DI5" s="59" t="str">
        <f>IF(n_Fecha1="","",EOMONTH(n_Fecha1,108-1))</f>
        <v/>
      </c>
      <c r="DJ5" s="59" t="str">
        <f>IF(n_Fecha1="","",EOMONTH(n_Fecha1,109-1))</f>
        <v/>
      </c>
      <c r="DK5" s="59" t="str">
        <f>IF(n_Fecha1="","",EOMONTH(n_Fecha1,110-1))</f>
        <v/>
      </c>
      <c r="DL5" s="59" t="str">
        <f>IF(n_Fecha1="","",EOMONTH(n_Fecha1,111-1))</f>
        <v/>
      </c>
      <c r="DM5" s="59" t="str">
        <f>IF(n_Fecha1="","",EOMONTH(n_Fecha1,112-1))</f>
        <v/>
      </c>
      <c r="DN5" s="59" t="str">
        <f>IF(n_Fecha1="","",EOMONTH(n_Fecha1,113-1))</f>
        <v/>
      </c>
      <c r="DO5" s="59" t="str">
        <f>IF(n_Fecha1="","",EOMONTH(n_Fecha1,114-1))</f>
        <v/>
      </c>
      <c r="DP5" s="59" t="str">
        <f>IF(n_Fecha1="","",EOMONTH(n_Fecha1,115-1))</f>
        <v/>
      </c>
      <c r="DQ5" s="59" t="str">
        <f>IF(n_Fecha1="","",EOMONTH(n_Fecha1,116-1))</f>
        <v/>
      </c>
      <c r="DR5" s="59" t="str">
        <f>IF(n_Fecha1="","",EOMONTH(n_Fecha1,117-1))</f>
        <v/>
      </c>
      <c r="DS5" s="59" t="str">
        <f>IF(n_Fecha1="","",EOMONTH(n_Fecha1,118-1))</f>
        <v/>
      </c>
      <c r="DT5" s="59" t="str">
        <f>IF(n_Fecha1="","",EOMONTH(n_Fecha1,119-1))</f>
        <v/>
      </c>
      <c r="DU5" s="59" t="str">
        <f>IF(n_Fecha1="","",EOMONTH(n_Fecha1,120-1))</f>
        <v/>
      </c>
      <c r="DV5" s="59" t="str">
        <f>IF(n_Fecha1="","",EOMONTH(n_Fecha1,121-1))</f>
        <v/>
      </c>
      <c r="DW5" s="59" t="str">
        <f>IF(n_Fecha1="","",EOMONTH(n_Fecha1,122-1))</f>
        <v/>
      </c>
      <c r="DX5" s="59" t="str">
        <f>IF(n_Fecha1="","",EOMONTH(n_Fecha1,123-1))</f>
        <v/>
      </c>
      <c r="DY5" s="59" t="str">
        <f>IF(n_Fecha1="","",EOMONTH(n_Fecha1,124-1))</f>
        <v/>
      </c>
      <c r="DZ5" s="59" t="str">
        <f>IF(n_Fecha1="","",EOMONTH(n_Fecha1,125-1))</f>
        <v/>
      </c>
      <c r="EA5" s="59" t="str">
        <f>IF(n_Fecha1="","",EOMONTH(n_Fecha1,126-1))</f>
        <v/>
      </c>
      <c r="EB5" s="59" t="str">
        <f>IF(n_Fecha1="","",EOMONTH(n_Fecha1,127-1))</f>
        <v/>
      </c>
      <c r="EC5" s="59" t="str">
        <f>IF(n_Fecha1="","",EOMONTH(n_Fecha1,128-1))</f>
        <v/>
      </c>
      <c r="ED5" s="59" t="str">
        <f>IF(n_Fecha1="","",EOMONTH(n_Fecha1,129-1))</f>
        <v/>
      </c>
      <c r="EE5" s="59" t="str">
        <f>IF(n_Fecha1="","",EOMONTH(n_Fecha1,130-1))</f>
        <v/>
      </c>
      <c r="EF5" s="59" t="str">
        <f>IF(n_Fecha1="","",EOMONTH(n_Fecha1,131-1))</f>
        <v/>
      </c>
      <c r="EG5" s="59" t="str">
        <f>IF(n_Fecha1="","",EOMONTH(n_Fecha1,132-1))</f>
        <v/>
      </c>
      <c r="EH5" s="59" t="str">
        <f>IF(n_Fecha1="","",EOMONTH(n_Fecha1,133-1))</f>
        <v/>
      </c>
      <c r="EI5" s="59" t="str">
        <f>IF(n_Fecha1="","",EOMONTH(n_Fecha1,134-1))</f>
        <v/>
      </c>
      <c r="EJ5" s="59" t="str">
        <f>IF(n_Fecha1="","",EOMONTH(n_Fecha1,135-1))</f>
        <v/>
      </c>
      <c r="EK5" s="59" t="str">
        <f>IF(n_Fecha1="","",EOMONTH(n_Fecha1,136-1))</f>
        <v/>
      </c>
      <c r="EL5" s="59" t="str">
        <f>IF(n_Fecha1="","",EOMONTH(n_Fecha1,137-1))</f>
        <v/>
      </c>
      <c r="EM5" s="59" t="str">
        <f>IF(n_Fecha1="","",EOMONTH(n_Fecha1,138-1))</f>
        <v/>
      </c>
      <c r="EN5" s="59" t="str">
        <f>IF(n_Fecha1="","",EOMONTH(n_Fecha1,139-1))</f>
        <v/>
      </c>
      <c r="EO5" s="59" t="str">
        <f>IF(n_Fecha1="","",EOMONTH(n_Fecha1,140-1))</f>
        <v/>
      </c>
      <c r="EP5" s="59" t="str">
        <f>IF(n_Fecha1="","",EOMONTH(n_Fecha1,141-1))</f>
        <v/>
      </c>
      <c r="EQ5" s="59" t="str">
        <f>IF(n_Fecha1="","",EOMONTH(n_Fecha1,142-1))</f>
        <v/>
      </c>
      <c r="ER5" s="59" t="str">
        <f>IF(n_Fecha1="","",EOMONTH(n_Fecha1,143-1))</f>
        <v/>
      </c>
      <c r="ES5" s="59" t="str">
        <f>IF(n_Fecha1="","",EOMONTH(n_Fecha1,144-1))</f>
        <v/>
      </c>
    </row>
    <row r="6" spans="1:149" x14ac:dyDescent="0.3">
      <c r="A6" s="57"/>
      <c r="B6" s="58" t="s">
        <v>647</v>
      </c>
      <c r="C6" s="57"/>
      <c r="D6" s="57"/>
      <c r="E6" s="57"/>
      <c r="F6" s="60">
        <f>ROUNDUP(1/12,0)</f>
        <v>1</v>
      </c>
      <c r="G6" s="60">
        <f>ROUNDUP(2/12,0)</f>
        <v>1</v>
      </c>
      <c r="H6" s="60">
        <f>ROUNDUP(3/12,0)</f>
        <v>1</v>
      </c>
      <c r="I6" s="60">
        <f>ROUNDUP(4/12,0)</f>
        <v>1</v>
      </c>
      <c r="J6" s="60">
        <f>ROUNDUP(5/12,0)</f>
        <v>1</v>
      </c>
      <c r="K6" s="60">
        <f>ROUNDUP(6/12,0)</f>
        <v>1</v>
      </c>
      <c r="L6" s="60">
        <f>ROUNDUP(7/12,0)</f>
        <v>1</v>
      </c>
      <c r="M6" s="60">
        <f>ROUNDUP(8/12,0)</f>
        <v>1</v>
      </c>
      <c r="N6" s="60">
        <f>ROUNDUP(9/12,0)</f>
        <v>1</v>
      </c>
      <c r="O6" s="60">
        <f>ROUNDUP(10/12,0)</f>
        <v>1</v>
      </c>
      <c r="P6" s="60">
        <f>ROUNDUP(11/12,0)</f>
        <v>1</v>
      </c>
      <c r="Q6" s="60">
        <f>ROUNDUP(12/12,0)</f>
        <v>1</v>
      </c>
      <c r="R6" s="60">
        <f>ROUNDUP(13/12,0)</f>
        <v>2</v>
      </c>
      <c r="S6" s="60">
        <f>ROUNDUP(14/12,0)</f>
        <v>2</v>
      </c>
      <c r="T6" s="60">
        <f>ROUNDUP(15/12,0)</f>
        <v>2</v>
      </c>
      <c r="U6" s="60">
        <f>ROUNDUP(16/12,0)</f>
        <v>2</v>
      </c>
      <c r="V6" s="60">
        <f>ROUNDUP(17/12,0)</f>
        <v>2</v>
      </c>
      <c r="W6" s="60">
        <f>ROUNDUP(18/12,0)</f>
        <v>2</v>
      </c>
      <c r="X6" s="60">
        <f>ROUNDUP(19/12,0)</f>
        <v>2</v>
      </c>
      <c r="Y6" s="60">
        <f>ROUNDUP(20/12,0)</f>
        <v>2</v>
      </c>
      <c r="Z6" s="60">
        <f>ROUNDUP(21/12,0)</f>
        <v>2</v>
      </c>
      <c r="AA6" s="60">
        <f>ROUNDUP(22/12,0)</f>
        <v>2</v>
      </c>
      <c r="AB6" s="60">
        <f>ROUNDUP(23/12,0)</f>
        <v>2</v>
      </c>
      <c r="AC6" s="60">
        <f>ROUNDUP(24/12,0)</f>
        <v>2</v>
      </c>
      <c r="AD6" s="60">
        <f>ROUNDUP(25/12,0)</f>
        <v>3</v>
      </c>
      <c r="AE6" s="60">
        <f>ROUNDUP(26/12,0)</f>
        <v>3</v>
      </c>
      <c r="AF6" s="60">
        <f>ROUNDUP(27/12,0)</f>
        <v>3</v>
      </c>
      <c r="AG6" s="60">
        <f>ROUNDUP(28/12,0)</f>
        <v>3</v>
      </c>
      <c r="AH6" s="60">
        <f>ROUNDUP(29/12,0)</f>
        <v>3</v>
      </c>
      <c r="AI6" s="60">
        <f>ROUNDUP(30/12,0)</f>
        <v>3</v>
      </c>
      <c r="AJ6" s="60">
        <f>ROUNDUP(31/12,0)</f>
        <v>3</v>
      </c>
      <c r="AK6" s="60">
        <f>ROUNDUP(32/12,0)</f>
        <v>3</v>
      </c>
      <c r="AL6" s="60">
        <f>ROUNDUP(33/12,0)</f>
        <v>3</v>
      </c>
      <c r="AM6" s="60">
        <f>ROUNDUP(34/12,0)</f>
        <v>3</v>
      </c>
      <c r="AN6" s="60">
        <f>ROUNDUP(35/12,0)</f>
        <v>3</v>
      </c>
      <c r="AO6" s="60">
        <f>ROUNDUP(36/12,0)</f>
        <v>3</v>
      </c>
      <c r="AP6" s="60">
        <f>ROUNDUP(37/12,0)</f>
        <v>4</v>
      </c>
      <c r="AQ6" s="60">
        <f>ROUNDUP(38/12,0)</f>
        <v>4</v>
      </c>
      <c r="AR6" s="60">
        <f>ROUNDUP(39/12,0)</f>
        <v>4</v>
      </c>
      <c r="AS6" s="60">
        <f>ROUNDUP(40/12,0)</f>
        <v>4</v>
      </c>
      <c r="AT6" s="60">
        <f>ROUNDUP(41/12,0)</f>
        <v>4</v>
      </c>
      <c r="AU6" s="60">
        <f>ROUNDUP(42/12,0)</f>
        <v>4</v>
      </c>
      <c r="AV6" s="60">
        <f>ROUNDUP(43/12,0)</f>
        <v>4</v>
      </c>
      <c r="AW6" s="60">
        <f>ROUNDUP(44/12,0)</f>
        <v>4</v>
      </c>
      <c r="AX6" s="60">
        <f>ROUNDUP(45/12,0)</f>
        <v>4</v>
      </c>
      <c r="AY6" s="60">
        <f>ROUNDUP(46/12,0)</f>
        <v>4</v>
      </c>
      <c r="AZ6" s="60">
        <f>ROUNDUP(47/12,0)</f>
        <v>4</v>
      </c>
      <c r="BA6" s="60">
        <f>ROUNDUP(48/12,0)</f>
        <v>4</v>
      </c>
      <c r="BB6" s="60">
        <f>ROUNDUP(49/12,0)</f>
        <v>5</v>
      </c>
      <c r="BC6" s="60">
        <f>ROUNDUP(50/12,0)</f>
        <v>5</v>
      </c>
      <c r="BD6" s="60">
        <f>ROUNDUP(51/12,0)</f>
        <v>5</v>
      </c>
      <c r="BE6" s="60">
        <f>ROUNDUP(52/12,0)</f>
        <v>5</v>
      </c>
      <c r="BF6" s="60">
        <f>ROUNDUP(53/12,0)</f>
        <v>5</v>
      </c>
      <c r="BG6" s="60">
        <f>ROUNDUP(54/12,0)</f>
        <v>5</v>
      </c>
      <c r="BH6" s="60">
        <f>ROUNDUP(55/12,0)</f>
        <v>5</v>
      </c>
      <c r="BI6" s="60">
        <f>ROUNDUP(56/12,0)</f>
        <v>5</v>
      </c>
      <c r="BJ6" s="60">
        <f>ROUNDUP(57/12,0)</f>
        <v>5</v>
      </c>
      <c r="BK6" s="60">
        <f>ROUNDUP(58/12,0)</f>
        <v>5</v>
      </c>
      <c r="BL6" s="60">
        <f>ROUNDUP(59/12,0)</f>
        <v>5</v>
      </c>
      <c r="BM6" s="60">
        <f>ROUNDUP(60/12,0)</f>
        <v>5</v>
      </c>
      <c r="BN6" s="60">
        <f>ROUNDUP(61/12,0)</f>
        <v>6</v>
      </c>
      <c r="BO6" s="60">
        <f>ROUNDUP(62/12,0)</f>
        <v>6</v>
      </c>
      <c r="BP6" s="60">
        <f>ROUNDUP(63/12,0)</f>
        <v>6</v>
      </c>
      <c r="BQ6" s="60">
        <f>ROUNDUP(64/12,0)</f>
        <v>6</v>
      </c>
      <c r="BR6" s="60">
        <f>ROUNDUP(65/12,0)</f>
        <v>6</v>
      </c>
      <c r="BS6" s="60">
        <f>ROUNDUP(66/12,0)</f>
        <v>6</v>
      </c>
      <c r="BT6" s="60">
        <f>ROUNDUP(67/12,0)</f>
        <v>6</v>
      </c>
      <c r="BU6" s="60">
        <f>ROUNDUP(68/12,0)</f>
        <v>6</v>
      </c>
      <c r="BV6" s="60">
        <f>ROUNDUP(69/12,0)</f>
        <v>6</v>
      </c>
      <c r="BW6" s="60">
        <f>ROUNDUP(70/12,0)</f>
        <v>6</v>
      </c>
      <c r="BX6" s="60">
        <f>ROUNDUP(71/12,0)</f>
        <v>6</v>
      </c>
      <c r="BY6" s="60">
        <f>ROUNDUP(72/12,0)</f>
        <v>6</v>
      </c>
      <c r="BZ6" s="60">
        <f>ROUNDUP(73/12,0)</f>
        <v>7</v>
      </c>
      <c r="CA6" s="60">
        <f>ROUNDUP(74/12,0)</f>
        <v>7</v>
      </c>
      <c r="CB6" s="60">
        <f>ROUNDUP(75/12,0)</f>
        <v>7</v>
      </c>
      <c r="CC6" s="60">
        <f>ROUNDUP(76/12,0)</f>
        <v>7</v>
      </c>
      <c r="CD6" s="60">
        <f>ROUNDUP(77/12,0)</f>
        <v>7</v>
      </c>
      <c r="CE6" s="60">
        <f>ROUNDUP(78/12,0)</f>
        <v>7</v>
      </c>
      <c r="CF6" s="60">
        <f>ROUNDUP(79/12,0)</f>
        <v>7</v>
      </c>
      <c r="CG6" s="60">
        <f>ROUNDUP(80/12,0)</f>
        <v>7</v>
      </c>
      <c r="CH6" s="60">
        <f>ROUNDUP(81/12,0)</f>
        <v>7</v>
      </c>
      <c r="CI6" s="60">
        <f>ROUNDUP(82/12,0)</f>
        <v>7</v>
      </c>
      <c r="CJ6" s="60">
        <f>ROUNDUP(83/12,0)</f>
        <v>7</v>
      </c>
      <c r="CK6" s="60">
        <f>ROUNDUP(84/12,0)</f>
        <v>7</v>
      </c>
      <c r="CL6" s="60">
        <f>ROUNDUP(85/12,0)</f>
        <v>8</v>
      </c>
      <c r="CM6" s="60">
        <f>ROUNDUP(86/12,0)</f>
        <v>8</v>
      </c>
      <c r="CN6" s="60">
        <f>ROUNDUP(87/12,0)</f>
        <v>8</v>
      </c>
      <c r="CO6" s="60">
        <f>ROUNDUP(88/12,0)</f>
        <v>8</v>
      </c>
      <c r="CP6" s="60">
        <f>ROUNDUP(89/12,0)</f>
        <v>8</v>
      </c>
      <c r="CQ6" s="60">
        <f>ROUNDUP(90/12,0)</f>
        <v>8</v>
      </c>
      <c r="CR6" s="60">
        <f>ROUNDUP(91/12,0)</f>
        <v>8</v>
      </c>
      <c r="CS6" s="60">
        <f>ROUNDUP(92/12,0)</f>
        <v>8</v>
      </c>
      <c r="CT6" s="60">
        <f>ROUNDUP(93/12,0)</f>
        <v>8</v>
      </c>
      <c r="CU6" s="60">
        <f>ROUNDUP(94/12,0)</f>
        <v>8</v>
      </c>
      <c r="CV6" s="60">
        <f>ROUNDUP(95/12,0)</f>
        <v>8</v>
      </c>
      <c r="CW6" s="60">
        <f>ROUNDUP(96/12,0)</f>
        <v>8</v>
      </c>
      <c r="CX6" s="60">
        <f>ROUNDUP(97/12,0)</f>
        <v>9</v>
      </c>
      <c r="CY6" s="60">
        <f>ROUNDUP(98/12,0)</f>
        <v>9</v>
      </c>
      <c r="CZ6" s="60">
        <f>ROUNDUP(99/12,0)</f>
        <v>9</v>
      </c>
      <c r="DA6" s="60">
        <f>ROUNDUP(100/12,0)</f>
        <v>9</v>
      </c>
      <c r="DB6" s="60">
        <f>ROUNDUP(101/12,0)</f>
        <v>9</v>
      </c>
      <c r="DC6" s="60">
        <f>ROUNDUP(102/12,0)</f>
        <v>9</v>
      </c>
      <c r="DD6" s="60">
        <f>ROUNDUP(103/12,0)</f>
        <v>9</v>
      </c>
      <c r="DE6" s="60">
        <f>ROUNDUP(104/12,0)</f>
        <v>9</v>
      </c>
      <c r="DF6" s="60">
        <f>ROUNDUP(105/12,0)</f>
        <v>9</v>
      </c>
      <c r="DG6" s="60">
        <f>ROUNDUP(106/12,0)</f>
        <v>9</v>
      </c>
      <c r="DH6" s="60">
        <f>ROUNDUP(107/12,0)</f>
        <v>9</v>
      </c>
      <c r="DI6" s="60">
        <f>ROUNDUP(108/12,0)</f>
        <v>9</v>
      </c>
      <c r="DJ6" s="60">
        <f>ROUNDUP(109/12,0)</f>
        <v>10</v>
      </c>
      <c r="DK6" s="60">
        <f>ROUNDUP(110/12,0)</f>
        <v>10</v>
      </c>
      <c r="DL6" s="60">
        <f>ROUNDUP(111/12,0)</f>
        <v>10</v>
      </c>
      <c r="DM6" s="60">
        <f>ROUNDUP(112/12,0)</f>
        <v>10</v>
      </c>
      <c r="DN6" s="60">
        <f>ROUNDUP(113/12,0)</f>
        <v>10</v>
      </c>
      <c r="DO6" s="60">
        <f>ROUNDUP(114/12,0)</f>
        <v>10</v>
      </c>
      <c r="DP6" s="60">
        <f>ROUNDUP(115/12,0)</f>
        <v>10</v>
      </c>
      <c r="DQ6" s="60">
        <f>ROUNDUP(116/12,0)</f>
        <v>10</v>
      </c>
      <c r="DR6" s="60">
        <f>ROUNDUP(117/12,0)</f>
        <v>10</v>
      </c>
      <c r="DS6" s="60">
        <f>ROUNDUP(118/12,0)</f>
        <v>10</v>
      </c>
      <c r="DT6" s="60">
        <f>ROUNDUP(119/12,0)</f>
        <v>10</v>
      </c>
      <c r="DU6" s="60">
        <f>ROUNDUP(120/12,0)</f>
        <v>10</v>
      </c>
      <c r="DV6" s="60">
        <f>ROUNDUP(121/12,0)</f>
        <v>11</v>
      </c>
      <c r="DW6" s="60">
        <f>ROUNDUP(122/12,0)</f>
        <v>11</v>
      </c>
      <c r="DX6" s="60">
        <f>ROUNDUP(123/12,0)</f>
        <v>11</v>
      </c>
      <c r="DY6" s="60">
        <f>ROUNDUP(124/12,0)</f>
        <v>11</v>
      </c>
      <c r="DZ6" s="60">
        <f>ROUNDUP(125/12,0)</f>
        <v>11</v>
      </c>
      <c r="EA6" s="60">
        <f>ROUNDUP(126/12,0)</f>
        <v>11</v>
      </c>
      <c r="EB6" s="60">
        <f>ROUNDUP(127/12,0)</f>
        <v>11</v>
      </c>
      <c r="EC6" s="60">
        <f>ROUNDUP(128/12,0)</f>
        <v>11</v>
      </c>
      <c r="ED6" s="60">
        <f>ROUNDUP(129/12,0)</f>
        <v>11</v>
      </c>
      <c r="EE6" s="60">
        <f>ROUNDUP(130/12,0)</f>
        <v>11</v>
      </c>
      <c r="EF6" s="60">
        <f>ROUNDUP(131/12,0)</f>
        <v>11</v>
      </c>
      <c r="EG6" s="60">
        <f>ROUNDUP(132/12,0)</f>
        <v>11</v>
      </c>
      <c r="EH6" s="60">
        <f>ROUNDUP(133/12,0)</f>
        <v>12</v>
      </c>
      <c r="EI6" s="60">
        <f>ROUNDUP(134/12,0)</f>
        <v>12</v>
      </c>
      <c r="EJ6" s="60">
        <f>ROUNDUP(135/12,0)</f>
        <v>12</v>
      </c>
      <c r="EK6" s="60">
        <f>ROUNDUP(136/12,0)</f>
        <v>12</v>
      </c>
      <c r="EL6" s="60">
        <f>ROUNDUP(137/12,0)</f>
        <v>12</v>
      </c>
      <c r="EM6" s="60">
        <f>ROUNDUP(138/12,0)</f>
        <v>12</v>
      </c>
      <c r="EN6" s="60">
        <f>ROUNDUP(139/12,0)</f>
        <v>12</v>
      </c>
      <c r="EO6" s="60">
        <f>ROUNDUP(140/12,0)</f>
        <v>12</v>
      </c>
      <c r="EP6" s="60">
        <f>ROUNDUP(141/12,0)</f>
        <v>12</v>
      </c>
      <c r="EQ6" s="60">
        <f>ROUNDUP(142/12,0)</f>
        <v>12</v>
      </c>
      <c r="ER6" s="60">
        <f>ROUNDUP(143/12,0)</f>
        <v>12</v>
      </c>
      <c r="ES6" s="60">
        <f>ROUNDUP(144/12,0)</f>
        <v>12</v>
      </c>
    </row>
    <row r="7" spans="1:149" x14ac:dyDescent="0.3">
      <c r="A7" s="57"/>
      <c r="B7" s="58" t="s">
        <v>648</v>
      </c>
      <c r="C7" s="57"/>
      <c r="D7" s="57"/>
      <c r="E7" s="57"/>
      <c r="F7" s="17" t="str">
        <f>IF(1&lt;=Corte,"Real",IF(1&lt;=Corte+n_Ventana,"Ventana","Anual"))</f>
        <v>Ventana</v>
      </c>
      <c r="G7" s="17" t="str">
        <f>IF(2&lt;=Corte,"Real",IF(2&lt;=Corte+n_Ventana,"Ventana","Anual"))</f>
        <v>Ventana</v>
      </c>
      <c r="H7" s="17" t="str">
        <f>IF(3&lt;=Corte,"Real",IF(3&lt;=Corte+n_Ventana,"Ventana","Anual"))</f>
        <v>Ventana</v>
      </c>
      <c r="I7" s="17" t="str">
        <f>IF(4&lt;=Corte,"Real",IF(4&lt;=Corte+n_Ventana,"Ventana","Anual"))</f>
        <v>Ventana</v>
      </c>
      <c r="J7" s="17" t="str">
        <f>IF(5&lt;=Corte,"Real",IF(5&lt;=Corte+n_Ventana,"Ventana","Anual"))</f>
        <v>Ventana</v>
      </c>
      <c r="K7" s="17" t="str">
        <f>IF(6&lt;=Corte,"Real",IF(6&lt;=Corte+n_Ventana,"Ventana","Anual"))</f>
        <v>Ventana</v>
      </c>
      <c r="L7" s="17" t="str">
        <f>IF(7&lt;=Corte,"Real",IF(7&lt;=Corte+n_Ventana,"Ventana","Anual"))</f>
        <v>Ventana</v>
      </c>
      <c r="M7" s="17" t="str">
        <f>IF(8&lt;=Corte,"Real",IF(8&lt;=Corte+n_Ventana,"Ventana","Anual"))</f>
        <v>Ventana</v>
      </c>
      <c r="N7" s="17" t="str">
        <f>IF(9&lt;=Corte,"Real",IF(9&lt;=Corte+n_Ventana,"Ventana","Anual"))</f>
        <v>Ventana</v>
      </c>
      <c r="O7" s="17" t="str">
        <f>IF(10&lt;=Corte,"Real",IF(10&lt;=Corte+n_Ventana,"Ventana","Anual"))</f>
        <v>Ventana</v>
      </c>
      <c r="P7" s="17" t="str">
        <f>IF(11&lt;=Corte,"Real",IF(11&lt;=Corte+n_Ventana,"Ventana","Anual"))</f>
        <v>Ventana</v>
      </c>
      <c r="Q7" s="17" t="str">
        <f>IF(12&lt;=Corte,"Real",IF(12&lt;=Corte+n_Ventana,"Ventana","Anual"))</f>
        <v>Ventana</v>
      </c>
      <c r="R7" s="17" t="str">
        <f>IF(13&lt;=Corte,"Real",IF(13&lt;=Corte+n_Ventana,"Ventana","Anual"))</f>
        <v>Ventana</v>
      </c>
      <c r="S7" s="17" t="str">
        <f>IF(14&lt;=Corte,"Real",IF(14&lt;=Corte+n_Ventana,"Ventana","Anual"))</f>
        <v>Ventana</v>
      </c>
      <c r="T7" s="17" t="str">
        <f>IF(15&lt;=Corte,"Real",IF(15&lt;=Corte+n_Ventana,"Ventana","Anual"))</f>
        <v>Ventana</v>
      </c>
      <c r="U7" s="17" t="str">
        <f>IF(16&lt;=Corte,"Real",IF(16&lt;=Corte+n_Ventana,"Ventana","Anual"))</f>
        <v>Ventana</v>
      </c>
      <c r="V7" s="17" t="str">
        <f>IF(17&lt;=Corte,"Real",IF(17&lt;=Corte+n_Ventana,"Ventana","Anual"))</f>
        <v>Ventana</v>
      </c>
      <c r="W7" s="17" t="str">
        <f>IF(18&lt;=Corte,"Real",IF(18&lt;=Corte+n_Ventana,"Ventana","Anual"))</f>
        <v>Ventana</v>
      </c>
      <c r="X7" s="17" t="str">
        <f>IF(19&lt;=Corte,"Real",IF(19&lt;=Corte+n_Ventana,"Ventana","Anual"))</f>
        <v>Ventana</v>
      </c>
      <c r="Y7" s="17" t="str">
        <f>IF(20&lt;=Corte,"Real",IF(20&lt;=Corte+n_Ventana,"Ventana","Anual"))</f>
        <v>Ventana</v>
      </c>
      <c r="Z7" s="17" t="str">
        <f>IF(21&lt;=Corte,"Real",IF(21&lt;=Corte+n_Ventana,"Ventana","Anual"))</f>
        <v>Ventana</v>
      </c>
      <c r="AA7" s="17" t="str">
        <f>IF(22&lt;=Corte,"Real",IF(22&lt;=Corte+n_Ventana,"Ventana","Anual"))</f>
        <v>Ventana</v>
      </c>
      <c r="AB7" s="17" t="str">
        <f>IF(23&lt;=Corte,"Real",IF(23&lt;=Corte+n_Ventana,"Ventana","Anual"))</f>
        <v>Ventana</v>
      </c>
      <c r="AC7" s="17" t="str">
        <f>IF(24&lt;=Corte,"Real",IF(24&lt;=Corte+n_Ventana,"Ventana","Anual"))</f>
        <v>Ventana</v>
      </c>
      <c r="AD7" s="17" t="str">
        <f>IF(25&lt;=Corte,"Real",IF(25&lt;=Corte+n_Ventana,"Ventana","Anual"))</f>
        <v>Anual</v>
      </c>
      <c r="AE7" s="17" t="str">
        <f>IF(26&lt;=Corte,"Real",IF(26&lt;=Corte+n_Ventana,"Ventana","Anual"))</f>
        <v>Anual</v>
      </c>
      <c r="AF7" s="17" t="str">
        <f>IF(27&lt;=Corte,"Real",IF(27&lt;=Corte+n_Ventana,"Ventana","Anual"))</f>
        <v>Anual</v>
      </c>
      <c r="AG7" s="17" t="str">
        <f>IF(28&lt;=Corte,"Real",IF(28&lt;=Corte+n_Ventana,"Ventana","Anual"))</f>
        <v>Anual</v>
      </c>
      <c r="AH7" s="17" t="str">
        <f>IF(29&lt;=Corte,"Real",IF(29&lt;=Corte+n_Ventana,"Ventana","Anual"))</f>
        <v>Anual</v>
      </c>
      <c r="AI7" s="17" t="str">
        <f>IF(30&lt;=Corte,"Real",IF(30&lt;=Corte+n_Ventana,"Ventana","Anual"))</f>
        <v>Anual</v>
      </c>
      <c r="AJ7" s="17" t="str">
        <f>IF(31&lt;=Corte,"Real",IF(31&lt;=Corte+n_Ventana,"Ventana","Anual"))</f>
        <v>Anual</v>
      </c>
      <c r="AK7" s="17" t="str">
        <f>IF(32&lt;=Corte,"Real",IF(32&lt;=Corte+n_Ventana,"Ventana","Anual"))</f>
        <v>Anual</v>
      </c>
      <c r="AL7" s="17" t="str">
        <f>IF(33&lt;=Corte,"Real",IF(33&lt;=Corte+n_Ventana,"Ventana","Anual"))</f>
        <v>Anual</v>
      </c>
      <c r="AM7" s="17" t="str">
        <f>IF(34&lt;=Corte,"Real",IF(34&lt;=Corte+n_Ventana,"Ventana","Anual"))</f>
        <v>Anual</v>
      </c>
      <c r="AN7" s="17" t="str">
        <f>IF(35&lt;=Corte,"Real",IF(35&lt;=Corte+n_Ventana,"Ventana","Anual"))</f>
        <v>Anual</v>
      </c>
      <c r="AO7" s="17" t="str">
        <f>IF(36&lt;=Corte,"Real",IF(36&lt;=Corte+n_Ventana,"Ventana","Anual"))</f>
        <v>Anual</v>
      </c>
      <c r="AP7" s="17" t="str">
        <f>IF(37&lt;=Corte,"Real",IF(37&lt;=Corte+n_Ventana,"Ventana","Anual"))</f>
        <v>Anual</v>
      </c>
      <c r="AQ7" s="17" t="str">
        <f>IF(38&lt;=Corte,"Real",IF(38&lt;=Corte+n_Ventana,"Ventana","Anual"))</f>
        <v>Anual</v>
      </c>
      <c r="AR7" s="17" t="str">
        <f>IF(39&lt;=Corte,"Real",IF(39&lt;=Corte+n_Ventana,"Ventana","Anual"))</f>
        <v>Anual</v>
      </c>
      <c r="AS7" s="17" t="str">
        <f>IF(40&lt;=Corte,"Real",IF(40&lt;=Corte+n_Ventana,"Ventana","Anual"))</f>
        <v>Anual</v>
      </c>
      <c r="AT7" s="17" t="str">
        <f>IF(41&lt;=Corte,"Real",IF(41&lt;=Corte+n_Ventana,"Ventana","Anual"))</f>
        <v>Anual</v>
      </c>
      <c r="AU7" s="17" t="str">
        <f>IF(42&lt;=Corte,"Real",IF(42&lt;=Corte+n_Ventana,"Ventana","Anual"))</f>
        <v>Anual</v>
      </c>
      <c r="AV7" s="17" t="str">
        <f>IF(43&lt;=Corte,"Real",IF(43&lt;=Corte+n_Ventana,"Ventana","Anual"))</f>
        <v>Anual</v>
      </c>
      <c r="AW7" s="17" t="str">
        <f>IF(44&lt;=Corte,"Real",IF(44&lt;=Corte+n_Ventana,"Ventana","Anual"))</f>
        <v>Anual</v>
      </c>
      <c r="AX7" s="17" t="str">
        <f>IF(45&lt;=Corte,"Real",IF(45&lt;=Corte+n_Ventana,"Ventana","Anual"))</f>
        <v>Anual</v>
      </c>
      <c r="AY7" s="17" t="str">
        <f>IF(46&lt;=Corte,"Real",IF(46&lt;=Corte+n_Ventana,"Ventana","Anual"))</f>
        <v>Anual</v>
      </c>
      <c r="AZ7" s="17" t="str">
        <f>IF(47&lt;=Corte,"Real",IF(47&lt;=Corte+n_Ventana,"Ventana","Anual"))</f>
        <v>Anual</v>
      </c>
      <c r="BA7" s="17" t="str">
        <f>IF(48&lt;=Corte,"Real",IF(48&lt;=Corte+n_Ventana,"Ventana","Anual"))</f>
        <v>Anual</v>
      </c>
      <c r="BB7" s="17" t="str">
        <f>IF(49&lt;=Corte,"Real",IF(49&lt;=Corte+n_Ventana,"Ventana","Anual"))</f>
        <v>Anual</v>
      </c>
      <c r="BC7" s="17" t="str">
        <f>IF(50&lt;=Corte,"Real",IF(50&lt;=Corte+n_Ventana,"Ventana","Anual"))</f>
        <v>Anual</v>
      </c>
      <c r="BD7" s="17" t="str">
        <f>IF(51&lt;=Corte,"Real",IF(51&lt;=Corte+n_Ventana,"Ventana","Anual"))</f>
        <v>Anual</v>
      </c>
      <c r="BE7" s="17" t="str">
        <f>IF(52&lt;=Corte,"Real",IF(52&lt;=Corte+n_Ventana,"Ventana","Anual"))</f>
        <v>Anual</v>
      </c>
      <c r="BF7" s="17" t="str">
        <f>IF(53&lt;=Corte,"Real",IF(53&lt;=Corte+n_Ventana,"Ventana","Anual"))</f>
        <v>Anual</v>
      </c>
      <c r="BG7" s="17" t="str">
        <f>IF(54&lt;=Corte,"Real",IF(54&lt;=Corte+n_Ventana,"Ventana","Anual"))</f>
        <v>Anual</v>
      </c>
      <c r="BH7" s="17" t="str">
        <f>IF(55&lt;=Corte,"Real",IF(55&lt;=Corte+n_Ventana,"Ventana","Anual"))</f>
        <v>Anual</v>
      </c>
      <c r="BI7" s="17" t="str">
        <f>IF(56&lt;=Corte,"Real",IF(56&lt;=Corte+n_Ventana,"Ventana","Anual"))</f>
        <v>Anual</v>
      </c>
      <c r="BJ7" s="17" t="str">
        <f>IF(57&lt;=Corte,"Real",IF(57&lt;=Corte+n_Ventana,"Ventana","Anual"))</f>
        <v>Anual</v>
      </c>
      <c r="BK7" s="17" t="str">
        <f>IF(58&lt;=Corte,"Real",IF(58&lt;=Corte+n_Ventana,"Ventana","Anual"))</f>
        <v>Anual</v>
      </c>
      <c r="BL7" s="17" t="str">
        <f>IF(59&lt;=Corte,"Real",IF(59&lt;=Corte+n_Ventana,"Ventana","Anual"))</f>
        <v>Anual</v>
      </c>
      <c r="BM7" s="17" t="str">
        <f>IF(60&lt;=Corte,"Real",IF(60&lt;=Corte+n_Ventana,"Ventana","Anual"))</f>
        <v>Anual</v>
      </c>
      <c r="BN7" s="17" t="str">
        <f>IF(61&lt;=Corte,"Real",IF(61&lt;=Corte+n_Ventana,"Ventana","Anual"))</f>
        <v>Anual</v>
      </c>
      <c r="BO7" s="17" t="str">
        <f>IF(62&lt;=Corte,"Real",IF(62&lt;=Corte+n_Ventana,"Ventana","Anual"))</f>
        <v>Anual</v>
      </c>
      <c r="BP7" s="17" t="str">
        <f>IF(63&lt;=Corte,"Real",IF(63&lt;=Corte+n_Ventana,"Ventana","Anual"))</f>
        <v>Anual</v>
      </c>
      <c r="BQ7" s="17" t="str">
        <f>IF(64&lt;=Corte,"Real",IF(64&lt;=Corte+n_Ventana,"Ventana","Anual"))</f>
        <v>Anual</v>
      </c>
      <c r="BR7" s="17" t="str">
        <f>IF(65&lt;=Corte,"Real",IF(65&lt;=Corte+n_Ventana,"Ventana","Anual"))</f>
        <v>Anual</v>
      </c>
      <c r="BS7" s="17" t="str">
        <f>IF(66&lt;=Corte,"Real",IF(66&lt;=Corte+n_Ventana,"Ventana","Anual"))</f>
        <v>Anual</v>
      </c>
      <c r="BT7" s="17" t="str">
        <f>IF(67&lt;=Corte,"Real",IF(67&lt;=Corte+n_Ventana,"Ventana","Anual"))</f>
        <v>Anual</v>
      </c>
      <c r="BU7" s="17" t="str">
        <f>IF(68&lt;=Corte,"Real",IF(68&lt;=Corte+n_Ventana,"Ventana","Anual"))</f>
        <v>Anual</v>
      </c>
      <c r="BV7" s="17" t="str">
        <f>IF(69&lt;=Corte,"Real",IF(69&lt;=Corte+n_Ventana,"Ventana","Anual"))</f>
        <v>Anual</v>
      </c>
      <c r="BW7" s="17" t="str">
        <f>IF(70&lt;=Corte,"Real",IF(70&lt;=Corte+n_Ventana,"Ventana","Anual"))</f>
        <v>Anual</v>
      </c>
      <c r="BX7" s="17" t="str">
        <f>IF(71&lt;=Corte,"Real",IF(71&lt;=Corte+n_Ventana,"Ventana","Anual"))</f>
        <v>Anual</v>
      </c>
      <c r="BY7" s="17" t="str">
        <f>IF(72&lt;=Corte,"Real",IF(72&lt;=Corte+n_Ventana,"Ventana","Anual"))</f>
        <v>Anual</v>
      </c>
      <c r="BZ7" s="17" t="str">
        <f>IF(73&lt;=Corte,"Real",IF(73&lt;=Corte+n_Ventana,"Ventana","Anual"))</f>
        <v>Anual</v>
      </c>
      <c r="CA7" s="17" t="str">
        <f>IF(74&lt;=Corte,"Real",IF(74&lt;=Corte+n_Ventana,"Ventana","Anual"))</f>
        <v>Anual</v>
      </c>
      <c r="CB7" s="17" t="str">
        <f>IF(75&lt;=Corte,"Real",IF(75&lt;=Corte+n_Ventana,"Ventana","Anual"))</f>
        <v>Anual</v>
      </c>
      <c r="CC7" s="17" t="str">
        <f>IF(76&lt;=Corte,"Real",IF(76&lt;=Corte+n_Ventana,"Ventana","Anual"))</f>
        <v>Anual</v>
      </c>
      <c r="CD7" s="17" t="str">
        <f>IF(77&lt;=Corte,"Real",IF(77&lt;=Corte+n_Ventana,"Ventana","Anual"))</f>
        <v>Anual</v>
      </c>
      <c r="CE7" s="17" t="str">
        <f>IF(78&lt;=Corte,"Real",IF(78&lt;=Corte+n_Ventana,"Ventana","Anual"))</f>
        <v>Anual</v>
      </c>
      <c r="CF7" s="17" t="str">
        <f>IF(79&lt;=Corte,"Real",IF(79&lt;=Corte+n_Ventana,"Ventana","Anual"))</f>
        <v>Anual</v>
      </c>
      <c r="CG7" s="17" t="str">
        <f>IF(80&lt;=Corte,"Real",IF(80&lt;=Corte+n_Ventana,"Ventana","Anual"))</f>
        <v>Anual</v>
      </c>
      <c r="CH7" s="17" t="str">
        <f>IF(81&lt;=Corte,"Real",IF(81&lt;=Corte+n_Ventana,"Ventana","Anual"))</f>
        <v>Anual</v>
      </c>
      <c r="CI7" s="17" t="str">
        <f>IF(82&lt;=Corte,"Real",IF(82&lt;=Corte+n_Ventana,"Ventana","Anual"))</f>
        <v>Anual</v>
      </c>
      <c r="CJ7" s="17" t="str">
        <f>IF(83&lt;=Corte,"Real",IF(83&lt;=Corte+n_Ventana,"Ventana","Anual"))</f>
        <v>Anual</v>
      </c>
      <c r="CK7" s="17" t="str">
        <f>IF(84&lt;=Corte,"Real",IF(84&lt;=Corte+n_Ventana,"Ventana","Anual"))</f>
        <v>Anual</v>
      </c>
      <c r="CL7" s="17" t="str">
        <f>IF(85&lt;=Corte,"Real",IF(85&lt;=Corte+n_Ventana,"Ventana","Anual"))</f>
        <v>Anual</v>
      </c>
      <c r="CM7" s="17" t="str">
        <f>IF(86&lt;=Corte,"Real",IF(86&lt;=Corte+n_Ventana,"Ventana","Anual"))</f>
        <v>Anual</v>
      </c>
      <c r="CN7" s="17" t="str">
        <f>IF(87&lt;=Corte,"Real",IF(87&lt;=Corte+n_Ventana,"Ventana","Anual"))</f>
        <v>Anual</v>
      </c>
      <c r="CO7" s="17" t="str">
        <f>IF(88&lt;=Corte,"Real",IF(88&lt;=Corte+n_Ventana,"Ventana","Anual"))</f>
        <v>Anual</v>
      </c>
      <c r="CP7" s="17" t="str">
        <f>IF(89&lt;=Corte,"Real",IF(89&lt;=Corte+n_Ventana,"Ventana","Anual"))</f>
        <v>Anual</v>
      </c>
      <c r="CQ7" s="17" t="str">
        <f>IF(90&lt;=Corte,"Real",IF(90&lt;=Corte+n_Ventana,"Ventana","Anual"))</f>
        <v>Anual</v>
      </c>
      <c r="CR7" s="17" t="str">
        <f>IF(91&lt;=Corte,"Real",IF(91&lt;=Corte+n_Ventana,"Ventana","Anual"))</f>
        <v>Anual</v>
      </c>
      <c r="CS7" s="17" t="str">
        <f>IF(92&lt;=Corte,"Real",IF(92&lt;=Corte+n_Ventana,"Ventana","Anual"))</f>
        <v>Anual</v>
      </c>
      <c r="CT7" s="17" t="str">
        <f>IF(93&lt;=Corte,"Real",IF(93&lt;=Corte+n_Ventana,"Ventana","Anual"))</f>
        <v>Anual</v>
      </c>
      <c r="CU7" s="17" t="str">
        <f>IF(94&lt;=Corte,"Real",IF(94&lt;=Corte+n_Ventana,"Ventana","Anual"))</f>
        <v>Anual</v>
      </c>
      <c r="CV7" s="17" t="str">
        <f>IF(95&lt;=Corte,"Real",IF(95&lt;=Corte+n_Ventana,"Ventana","Anual"))</f>
        <v>Anual</v>
      </c>
      <c r="CW7" s="17" t="str">
        <f>IF(96&lt;=Corte,"Real",IF(96&lt;=Corte+n_Ventana,"Ventana","Anual"))</f>
        <v>Anual</v>
      </c>
      <c r="CX7" s="17" t="str">
        <f>IF(97&lt;=Corte,"Real",IF(97&lt;=Corte+n_Ventana,"Ventana","Anual"))</f>
        <v>Anual</v>
      </c>
      <c r="CY7" s="17" t="str">
        <f>IF(98&lt;=Corte,"Real",IF(98&lt;=Corte+n_Ventana,"Ventana","Anual"))</f>
        <v>Anual</v>
      </c>
      <c r="CZ7" s="17" t="str">
        <f>IF(99&lt;=Corte,"Real",IF(99&lt;=Corte+n_Ventana,"Ventana","Anual"))</f>
        <v>Anual</v>
      </c>
      <c r="DA7" s="17" t="str">
        <f>IF(100&lt;=Corte,"Real",IF(100&lt;=Corte+n_Ventana,"Ventana","Anual"))</f>
        <v>Anual</v>
      </c>
      <c r="DB7" s="17" t="str">
        <f>IF(101&lt;=Corte,"Real",IF(101&lt;=Corte+n_Ventana,"Ventana","Anual"))</f>
        <v>Anual</v>
      </c>
      <c r="DC7" s="17" t="str">
        <f>IF(102&lt;=Corte,"Real",IF(102&lt;=Corte+n_Ventana,"Ventana","Anual"))</f>
        <v>Anual</v>
      </c>
      <c r="DD7" s="17" t="str">
        <f>IF(103&lt;=Corte,"Real",IF(103&lt;=Corte+n_Ventana,"Ventana","Anual"))</f>
        <v>Anual</v>
      </c>
      <c r="DE7" s="17" t="str">
        <f>IF(104&lt;=Corte,"Real",IF(104&lt;=Corte+n_Ventana,"Ventana","Anual"))</f>
        <v>Anual</v>
      </c>
      <c r="DF7" s="17" t="str">
        <f>IF(105&lt;=Corte,"Real",IF(105&lt;=Corte+n_Ventana,"Ventana","Anual"))</f>
        <v>Anual</v>
      </c>
      <c r="DG7" s="17" t="str">
        <f>IF(106&lt;=Corte,"Real",IF(106&lt;=Corte+n_Ventana,"Ventana","Anual"))</f>
        <v>Anual</v>
      </c>
      <c r="DH7" s="17" t="str">
        <f>IF(107&lt;=Corte,"Real",IF(107&lt;=Corte+n_Ventana,"Ventana","Anual"))</f>
        <v>Anual</v>
      </c>
      <c r="DI7" s="17" t="str">
        <f>IF(108&lt;=Corte,"Real",IF(108&lt;=Corte+n_Ventana,"Ventana","Anual"))</f>
        <v>Anual</v>
      </c>
      <c r="DJ7" s="17" t="str">
        <f>IF(109&lt;=Corte,"Real",IF(109&lt;=Corte+n_Ventana,"Ventana","Anual"))</f>
        <v>Anual</v>
      </c>
      <c r="DK7" s="17" t="str">
        <f>IF(110&lt;=Corte,"Real",IF(110&lt;=Corte+n_Ventana,"Ventana","Anual"))</f>
        <v>Anual</v>
      </c>
      <c r="DL7" s="17" t="str">
        <f>IF(111&lt;=Corte,"Real",IF(111&lt;=Corte+n_Ventana,"Ventana","Anual"))</f>
        <v>Anual</v>
      </c>
      <c r="DM7" s="17" t="str">
        <f>IF(112&lt;=Corte,"Real",IF(112&lt;=Corte+n_Ventana,"Ventana","Anual"))</f>
        <v>Anual</v>
      </c>
      <c r="DN7" s="17" t="str">
        <f>IF(113&lt;=Corte,"Real",IF(113&lt;=Corte+n_Ventana,"Ventana","Anual"))</f>
        <v>Anual</v>
      </c>
      <c r="DO7" s="17" t="str">
        <f>IF(114&lt;=Corte,"Real",IF(114&lt;=Corte+n_Ventana,"Ventana","Anual"))</f>
        <v>Anual</v>
      </c>
      <c r="DP7" s="17" t="str">
        <f>IF(115&lt;=Corte,"Real",IF(115&lt;=Corte+n_Ventana,"Ventana","Anual"))</f>
        <v>Anual</v>
      </c>
      <c r="DQ7" s="17" t="str">
        <f>IF(116&lt;=Corte,"Real",IF(116&lt;=Corte+n_Ventana,"Ventana","Anual"))</f>
        <v>Anual</v>
      </c>
      <c r="DR7" s="17" t="str">
        <f>IF(117&lt;=Corte,"Real",IF(117&lt;=Corte+n_Ventana,"Ventana","Anual"))</f>
        <v>Anual</v>
      </c>
      <c r="DS7" s="17" t="str">
        <f>IF(118&lt;=Corte,"Real",IF(118&lt;=Corte+n_Ventana,"Ventana","Anual"))</f>
        <v>Anual</v>
      </c>
      <c r="DT7" s="17" t="str">
        <f>IF(119&lt;=Corte,"Real",IF(119&lt;=Corte+n_Ventana,"Ventana","Anual"))</f>
        <v>Anual</v>
      </c>
      <c r="DU7" s="17" t="str">
        <f>IF(120&lt;=Corte,"Real",IF(120&lt;=Corte+n_Ventana,"Ventana","Anual"))</f>
        <v>Anual</v>
      </c>
      <c r="DV7" s="17" t="str">
        <f>IF(121&lt;=Corte,"Real",IF(121&lt;=Corte+n_Ventana,"Ventana","Anual"))</f>
        <v>Anual</v>
      </c>
      <c r="DW7" s="17" t="str">
        <f>IF(122&lt;=Corte,"Real",IF(122&lt;=Corte+n_Ventana,"Ventana","Anual"))</f>
        <v>Anual</v>
      </c>
      <c r="DX7" s="17" t="str">
        <f>IF(123&lt;=Corte,"Real",IF(123&lt;=Corte+n_Ventana,"Ventana","Anual"))</f>
        <v>Anual</v>
      </c>
      <c r="DY7" s="17" t="str">
        <f>IF(124&lt;=Corte,"Real",IF(124&lt;=Corte+n_Ventana,"Ventana","Anual"))</f>
        <v>Anual</v>
      </c>
      <c r="DZ7" s="17" t="str">
        <f>IF(125&lt;=Corte,"Real",IF(125&lt;=Corte+n_Ventana,"Ventana","Anual"))</f>
        <v>Anual</v>
      </c>
      <c r="EA7" s="17" t="str">
        <f>IF(126&lt;=Corte,"Real",IF(126&lt;=Corte+n_Ventana,"Ventana","Anual"))</f>
        <v>Anual</v>
      </c>
      <c r="EB7" s="17" t="str">
        <f>IF(127&lt;=Corte,"Real",IF(127&lt;=Corte+n_Ventana,"Ventana","Anual"))</f>
        <v>Anual</v>
      </c>
      <c r="EC7" s="17" t="str">
        <f>IF(128&lt;=Corte,"Real",IF(128&lt;=Corte+n_Ventana,"Ventana","Anual"))</f>
        <v>Anual</v>
      </c>
      <c r="ED7" s="17" t="str">
        <f>IF(129&lt;=Corte,"Real",IF(129&lt;=Corte+n_Ventana,"Ventana","Anual"))</f>
        <v>Anual</v>
      </c>
      <c r="EE7" s="17" t="str">
        <f>IF(130&lt;=Corte,"Real",IF(130&lt;=Corte+n_Ventana,"Ventana","Anual"))</f>
        <v>Anual</v>
      </c>
      <c r="EF7" s="17" t="str">
        <f>IF(131&lt;=Corte,"Real",IF(131&lt;=Corte+n_Ventana,"Ventana","Anual"))</f>
        <v>Anual</v>
      </c>
      <c r="EG7" s="17" t="str">
        <f>IF(132&lt;=Corte,"Real",IF(132&lt;=Corte+n_Ventana,"Ventana","Anual"))</f>
        <v>Anual</v>
      </c>
      <c r="EH7" s="17" t="str">
        <f>IF(133&lt;=Corte,"Real",IF(133&lt;=Corte+n_Ventana,"Ventana","Anual"))</f>
        <v>Anual</v>
      </c>
      <c r="EI7" s="17" t="str">
        <f>IF(134&lt;=Corte,"Real",IF(134&lt;=Corte+n_Ventana,"Ventana","Anual"))</f>
        <v>Anual</v>
      </c>
      <c r="EJ7" s="17" t="str">
        <f>IF(135&lt;=Corte,"Real",IF(135&lt;=Corte+n_Ventana,"Ventana","Anual"))</f>
        <v>Anual</v>
      </c>
      <c r="EK7" s="17" t="str">
        <f>IF(136&lt;=Corte,"Real",IF(136&lt;=Corte+n_Ventana,"Ventana","Anual"))</f>
        <v>Anual</v>
      </c>
      <c r="EL7" s="17" t="str">
        <f>IF(137&lt;=Corte,"Real",IF(137&lt;=Corte+n_Ventana,"Ventana","Anual"))</f>
        <v>Anual</v>
      </c>
      <c r="EM7" s="17" t="str">
        <f>IF(138&lt;=Corte,"Real",IF(138&lt;=Corte+n_Ventana,"Ventana","Anual"))</f>
        <v>Anual</v>
      </c>
      <c r="EN7" s="17" t="str">
        <f>IF(139&lt;=Corte,"Real",IF(139&lt;=Corte+n_Ventana,"Ventana","Anual"))</f>
        <v>Anual</v>
      </c>
      <c r="EO7" s="17" t="str">
        <f>IF(140&lt;=Corte,"Real",IF(140&lt;=Corte+n_Ventana,"Ventana","Anual"))</f>
        <v>Anual</v>
      </c>
      <c r="EP7" s="17" t="str">
        <f>IF(141&lt;=Corte,"Real",IF(141&lt;=Corte+n_Ventana,"Ventana","Anual"))</f>
        <v>Anual</v>
      </c>
      <c r="EQ7" s="17" t="str">
        <f>IF(142&lt;=Corte,"Real",IF(142&lt;=Corte+n_Ventana,"Ventana","Anual"))</f>
        <v>Anual</v>
      </c>
      <c r="ER7" s="17" t="str">
        <f>IF(143&lt;=Corte,"Real",IF(143&lt;=Corte+n_Ventana,"Ventana","Anual"))</f>
        <v>Anual</v>
      </c>
      <c r="ES7" s="17" t="str">
        <f>IF(144&lt;=Corte,"Real",IF(144&lt;=Corte+n_Ventana,"Ventana","Anual"))</f>
        <v>Anual</v>
      </c>
    </row>
    <row r="9" spans="1:149" x14ac:dyDescent="0.3">
      <c r="A9" s="15" t="s">
        <v>649</v>
      </c>
      <c r="B9" s="16"/>
      <c r="C9" s="16"/>
      <c r="D9" s="16"/>
      <c r="E9" s="16"/>
    </row>
    <row r="10" spans="1:149" x14ac:dyDescent="0.3">
      <c r="A10" s="14" t="s">
        <v>395</v>
      </c>
      <c r="B10" s="18" t="s">
        <v>650</v>
      </c>
      <c r="C10" s="18" t="s">
        <v>397</v>
      </c>
      <c r="D10" s="61">
        <f>INDEX(TC_V,1,1)</f>
        <v>7300</v>
      </c>
    </row>
    <row r="11" spans="1:149" x14ac:dyDescent="0.3">
      <c r="B11" s="14" t="s">
        <v>651</v>
      </c>
      <c r="F11" s="62">
        <f t="shared" ref="F11" si="0">COUNT(F10:F10)</f>
        <v>0</v>
      </c>
      <c r="G11" s="62">
        <f t="shared" ref="G11" si="1">COUNT(G10:G10)</f>
        <v>0</v>
      </c>
      <c r="H11" s="62">
        <f t="shared" ref="H11" si="2">COUNT(H10:H10)</f>
        <v>0</v>
      </c>
      <c r="I11" s="62">
        <f t="shared" ref="I11" si="3">COUNT(I10:I10)</f>
        <v>0</v>
      </c>
      <c r="J11" s="62">
        <f t="shared" ref="J11" si="4">COUNT(J10:J10)</f>
        <v>0</v>
      </c>
      <c r="K11" s="62">
        <f t="shared" ref="K11" si="5">COUNT(K10:K10)</f>
        <v>0</v>
      </c>
      <c r="L11" s="62">
        <f t="shared" ref="L11" si="6">COUNT(L10:L10)</f>
        <v>0</v>
      </c>
      <c r="M11" s="62">
        <f t="shared" ref="M11" si="7">COUNT(M10:M10)</f>
        <v>0</v>
      </c>
      <c r="N11" s="62">
        <f t="shared" ref="N11" si="8">COUNT(N10:N10)</f>
        <v>0</v>
      </c>
      <c r="O11" s="62">
        <f t="shared" ref="O11" si="9">COUNT(O10:O10)</f>
        <v>0</v>
      </c>
      <c r="P11" s="62">
        <f t="shared" ref="P11" si="10">COUNT(P10:P10)</f>
        <v>0</v>
      </c>
      <c r="Q11" s="62">
        <f t="shared" ref="Q11" si="11">COUNT(Q10:Q10)</f>
        <v>0</v>
      </c>
      <c r="R11" s="62">
        <f t="shared" ref="R11" si="12">COUNT(R10:R10)</f>
        <v>0</v>
      </c>
      <c r="S11" s="62">
        <f t="shared" ref="S11" si="13">COUNT(S10:S10)</f>
        <v>0</v>
      </c>
      <c r="T11" s="62">
        <f t="shared" ref="T11" si="14">COUNT(T10:T10)</f>
        <v>0</v>
      </c>
      <c r="U11" s="62">
        <f t="shared" ref="U11" si="15">COUNT(U10:U10)</f>
        <v>0</v>
      </c>
      <c r="V11" s="62">
        <f t="shared" ref="V11" si="16">COUNT(V10:V10)</f>
        <v>0</v>
      </c>
      <c r="W11" s="62">
        <f t="shared" ref="W11" si="17">COUNT(W10:W10)</f>
        <v>0</v>
      </c>
      <c r="X11" s="62">
        <f t="shared" ref="X11" si="18">COUNT(X10:X10)</f>
        <v>0</v>
      </c>
      <c r="Y11" s="62">
        <f t="shared" ref="Y11" si="19">COUNT(Y10:Y10)</f>
        <v>0</v>
      </c>
      <c r="Z11" s="62">
        <f t="shared" ref="Z11" si="20">COUNT(Z10:Z10)</f>
        <v>0</v>
      </c>
      <c r="AA11" s="62">
        <f t="shared" ref="AA11" si="21">COUNT(AA10:AA10)</f>
        <v>0</v>
      </c>
      <c r="AB11" s="62">
        <f t="shared" ref="AB11" si="22">COUNT(AB10:AB10)</f>
        <v>0</v>
      </c>
      <c r="AC11" s="62">
        <f t="shared" ref="AC11" si="23">COUNT(AC10:AC10)</f>
        <v>0</v>
      </c>
      <c r="AD11" s="62">
        <f t="shared" ref="AD11" si="24">COUNT(AD10:AD10)</f>
        <v>0</v>
      </c>
      <c r="AE11" s="62">
        <f t="shared" ref="AE11" si="25">COUNT(AE10:AE10)</f>
        <v>0</v>
      </c>
      <c r="AF11" s="62">
        <f t="shared" ref="AF11" si="26">COUNT(AF10:AF10)</f>
        <v>0</v>
      </c>
      <c r="AG11" s="62">
        <f t="shared" ref="AG11" si="27">COUNT(AG10:AG10)</f>
        <v>0</v>
      </c>
      <c r="AH11" s="62">
        <f t="shared" ref="AH11" si="28">COUNT(AH10:AH10)</f>
        <v>0</v>
      </c>
      <c r="AI11" s="62">
        <f t="shared" ref="AI11" si="29">COUNT(AI10:AI10)</f>
        <v>0</v>
      </c>
      <c r="AJ11" s="62">
        <f t="shared" ref="AJ11" si="30">COUNT(AJ10:AJ10)</f>
        <v>0</v>
      </c>
      <c r="AK11" s="62">
        <f t="shared" ref="AK11" si="31">COUNT(AK10:AK10)</f>
        <v>0</v>
      </c>
      <c r="AL11" s="62">
        <f t="shared" ref="AL11" si="32">COUNT(AL10:AL10)</f>
        <v>0</v>
      </c>
      <c r="AM11" s="62">
        <f t="shared" ref="AM11" si="33">COUNT(AM10:AM10)</f>
        <v>0</v>
      </c>
      <c r="AN11" s="62">
        <f t="shared" ref="AN11" si="34">COUNT(AN10:AN10)</f>
        <v>0</v>
      </c>
      <c r="AO11" s="62">
        <f t="shared" ref="AO11" si="35">COUNT(AO10:AO10)</f>
        <v>0</v>
      </c>
      <c r="AP11" s="62">
        <f t="shared" ref="AL11:BQ11" si="36">COUNT(AP10:AP10)</f>
        <v>0</v>
      </c>
      <c r="AQ11" s="62">
        <f t="shared" si="36"/>
        <v>0</v>
      </c>
      <c r="AR11" s="62">
        <f t="shared" si="36"/>
        <v>0</v>
      </c>
      <c r="AS11" s="62">
        <f t="shared" si="36"/>
        <v>0</v>
      </c>
      <c r="AT11" s="62">
        <f t="shared" si="36"/>
        <v>0</v>
      </c>
      <c r="AU11" s="62">
        <f t="shared" si="36"/>
        <v>0</v>
      </c>
      <c r="AV11" s="62">
        <f t="shared" si="36"/>
        <v>0</v>
      </c>
      <c r="AW11" s="62">
        <f t="shared" si="36"/>
        <v>0</v>
      </c>
      <c r="AX11" s="62">
        <f t="shared" si="36"/>
        <v>0</v>
      </c>
      <c r="AY11" s="62">
        <f t="shared" si="36"/>
        <v>0</v>
      </c>
      <c r="AZ11" s="62">
        <f t="shared" si="36"/>
        <v>0</v>
      </c>
      <c r="BA11" s="62">
        <f t="shared" si="36"/>
        <v>0</v>
      </c>
      <c r="BB11" s="62">
        <f t="shared" si="36"/>
        <v>0</v>
      </c>
      <c r="BC11" s="62">
        <f t="shared" si="36"/>
        <v>0</v>
      </c>
      <c r="BD11" s="62">
        <f t="shared" si="36"/>
        <v>0</v>
      </c>
      <c r="BE11" s="62">
        <f t="shared" si="36"/>
        <v>0</v>
      </c>
      <c r="BF11" s="62">
        <f t="shared" si="36"/>
        <v>0</v>
      </c>
      <c r="BG11" s="62">
        <f t="shared" si="36"/>
        <v>0</v>
      </c>
      <c r="BH11" s="62">
        <f t="shared" si="36"/>
        <v>0</v>
      </c>
      <c r="BI11" s="62">
        <f t="shared" si="36"/>
        <v>0</v>
      </c>
      <c r="BJ11" s="62">
        <f t="shared" si="36"/>
        <v>0</v>
      </c>
      <c r="BK11" s="62">
        <f t="shared" si="36"/>
        <v>0</v>
      </c>
      <c r="BL11" s="62">
        <f t="shared" si="36"/>
        <v>0</v>
      </c>
      <c r="BM11" s="62">
        <f t="shared" si="36"/>
        <v>0</v>
      </c>
      <c r="BN11" s="62">
        <f t="shared" si="36"/>
        <v>0</v>
      </c>
      <c r="BO11" s="62">
        <f t="shared" si="36"/>
        <v>0</v>
      </c>
      <c r="BP11" s="62">
        <f t="shared" si="36"/>
        <v>0</v>
      </c>
      <c r="BQ11" s="62">
        <f t="shared" si="36"/>
        <v>0</v>
      </c>
      <c r="BR11" s="62">
        <f t="shared" ref="BR11:CW11" si="37">COUNT(BR10:BR10)</f>
        <v>0</v>
      </c>
      <c r="BS11" s="62">
        <f t="shared" si="37"/>
        <v>0</v>
      </c>
      <c r="BT11" s="62">
        <f t="shared" si="37"/>
        <v>0</v>
      </c>
      <c r="BU11" s="62">
        <f t="shared" si="37"/>
        <v>0</v>
      </c>
      <c r="BV11" s="62">
        <f t="shared" si="37"/>
        <v>0</v>
      </c>
      <c r="BW11" s="62">
        <f t="shared" si="37"/>
        <v>0</v>
      </c>
      <c r="BX11" s="62">
        <f t="shared" si="37"/>
        <v>0</v>
      </c>
      <c r="BY11" s="62">
        <f t="shared" si="37"/>
        <v>0</v>
      </c>
      <c r="BZ11" s="62">
        <f t="shared" si="37"/>
        <v>0</v>
      </c>
      <c r="CA11" s="62">
        <f t="shared" si="37"/>
        <v>0</v>
      </c>
      <c r="CB11" s="62">
        <f t="shared" si="37"/>
        <v>0</v>
      </c>
      <c r="CC11" s="62">
        <f t="shared" si="37"/>
        <v>0</v>
      </c>
      <c r="CD11" s="62">
        <f t="shared" si="37"/>
        <v>0</v>
      </c>
      <c r="CE11" s="62">
        <f t="shared" si="37"/>
        <v>0</v>
      </c>
      <c r="CF11" s="62">
        <f t="shared" si="37"/>
        <v>0</v>
      </c>
      <c r="CG11" s="62">
        <f t="shared" si="37"/>
        <v>0</v>
      </c>
      <c r="CH11" s="62">
        <f t="shared" si="37"/>
        <v>0</v>
      </c>
      <c r="CI11" s="62">
        <f t="shared" si="37"/>
        <v>0</v>
      </c>
      <c r="CJ11" s="62">
        <f t="shared" si="37"/>
        <v>0</v>
      </c>
      <c r="CK11" s="62">
        <f t="shared" si="37"/>
        <v>0</v>
      </c>
      <c r="CL11" s="62">
        <f t="shared" si="37"/>
        <v>0</v>
      </c>
      <c r="CM11" s="62">
        <f t="shared" si="37"/>
        <v>0</v>
      </c>
      <c r="CN11" s="62">
        <f t="shared" si="37"/>
        <v>0</v>
      </c>
      <c r="CO11" s="62">
        <f t="shared" si="37"/>
        <v>0</v>
      </c>
      <c r="CP11" s="62">
        <f t="shared" si="37"/>
        <v>0</v>
      </c>
      <c r="CQ11" s="62">
        <f t="shared" si="37"/>
        <v>0</v>
      </c>
      <c r="CR11" s="62">
        <f t="shared" si="37"/>
        <v>0</v>
      </c>
      <c r="CS11" s="62">
        <f t="shared" si="37"/>
        <v>0</v>
      </c>
      <c r="CT11" s="62">
        <f t="shared" si="37"/>
        <v>0</v>
      </c>
      <c r="CU11" s="62">
        <f t="shared" si="37"/>
        <v>0</v>
      </c>
      <c r="CV11" s="62">
        <f t="shared" si="37"/>
        <v>0</v>
      </c>
      <c r="CW11" s="62">
        <f t="shared" si="37"/>
        <v>0</v>
      </c>
      <c r="CX11" s="62">
        <f t="shared" ref="CX11:EC11" si="38">COUNT(CX10:CX10)</f>
        <v>0</v>
      </c>
      <c r="CY11" s="62">
        <f t="shared" si="38"/>
        <v>0</v>
      </c>
      <c r="CZ11" s="62">
        <f t="shared" si="38"/>
        <v>0</v>
      </c>
      <c r="DA11" s="62">
        <f t="shared" si="38"/>
        <v>0</v>
      </c>
      <c r="DB11" s="62">
        <f t="shared" si="38"/>
        <v>0</v>
      </c>
      <c r="DC11" s="62">
        <f t="shared" si="38"/>
        <v>0</v>
      </c>
      <c r="DD11" s="62">
        <f t="shared" si="38"/>
        <v>0</v>
      </c>
      <c r="DE11" s="62">
        <f t="shared" si="38"/>
        <v>0</v>
      </c>
      <c r="DF11" s="62">
        <f t="shared" si="38"/>
        <v>0</v>
      </c>
      <c r="DG11" s="62">
        <f t="shared" si="38"/>
        <v>0</v>
      </c>
      <c r="DH11" s="62">
        <f t="shared" si="38"/>
        <v>0</v>
      </c>
      <c r="DI11" s="62">
        <f t="shared" si="38"/>
        <v>0</v>
      </c>
      <c r="DJ11" s="62">
        <f t="shared" si="38"/>
        <v>0</v>
      </c>
      <c r="DK11" s="62">
        <f t="shared" si="38"/>
        <v>0</v>
      </c>
      <c r="DL11" s="62">
        <f t="shared" si="38"/>
        <v>0</v>
      </c>
      <c r="DM11" s="62">
        <f t="shared" si="38"/>
        <v>0</v>
      </c>
      <c r="DN11" s="62">
        <f t="shared" si="38"/>
        <v>0</v>
      </c>
      <c r="DO11" s="62">
        <f t="shared" si="38"/>
        <v>0</v>
      </c>
      <c r="DP11" s="62">
        <f t="shared" si="38"/>
        <v>0</v>
      </c>
      <c r="DQ11" s="62">
        <f t="shared" si="38"/>
        <v>0</v>
      </c>
      <c r="DR11" s="62">
        <f t="shared" si="38"/>
        <v>0</v>
      </c>
      <c r="DS11" s="62">
        <f t="shared" si="38"/>
        <v>0</v>
      </c>
      <c r="DT11" s="62">
        <f t="shared" si="38"/>
        <v>0</v>
      </c>
      <c r="DU11" s="62">
        <f t="shared" si="38"/>
        <v>0</v>
      </c>
      <c r="DV11" s="62">
        <f t="shared" si="38"/>
        <v>0</v>
      </c>
      <c r="DW11" s="62">
        <f t="shared" si="38"/>
        <v>0</v>
      </c>
      <c r="DX11" s="62">
        <f t="shared" si="38"/>
        <v>0</v>
      </c>
      <c r="DY11" s="62">
        <f t="shared" si="38"/>
        <v>0</v>
      </c>
      <c r="DZ11" s="62">
        <f t="shared" si="38"/>
        <v>0</v>
      </c>
      <c r="EA11" s="62">
        <f t="shared" si="38"/>
        <v>0</v>
      </c>
      <c r="EB11" s="62">
        <f t="shared" si="38"/>
        <v>0</v>
      </c>
      <c r="EC11" s="62">
        <f t="shared" si="38"/>
        <v>0</v>
      </c>
      <c r="ED11" s="62">
        <f t="shared" ref="ED11:ES11" si="39">COUNT(ED10:ED10)</f>
        <v>0</v>
      </c>
      <c r="EE11" s="62">
        <f t="shared" si="39"/>
        <v>0</v>
      </c>
      <c r="EF11" s="62">
        <f t="shared" si="39"/>
        <v>0</v>
      </c>
      <c r="EG11" s="62">
        <f t="shared" si="39"/>
        <v>0</v>
      </c>
      <c r="EH11" s="62">
        <f t="shared" si="39"/>
        <v>0</v>
      </c>
      <c r="EI11" s="62">
        <f t="shared" si="39"/>
        <v>0</v>
      </c>
      <c r="EJ11" s="62">
        <f t="shared" si="39"/>
        <v>0</v>
      </c>
      <c r="EK11" s="62">
        <f t="shared" si="39"/>
        <v>0</v>
      </c>
      <c r="EL11" s="62">
        <f t="shared" si="39"/>
        <v>0</v>
      </c>
      <c r="EM11" s="62">
        <f t="shared" si="39"/>
        <v>0</v>
      </c>
      <c r="EN11" s="62">
        <f t="shared" si="39"/>
        <v>0</v>
      </c>
      <c r="EO11" s="62">
        <f t="shared" si="39"/>
        <v>0</v>
      </c>
      <c r="EP11" s="62">
        <f t="shared" si="39"/>
        <v>0</v>
      </c>
      <c r="EQ11" s="62">
        <f t="shared" si="39"/>
        <v>0</v>
      </c>
      <c r="ER11" s="62">
        <f t="shared" si="39"/>
        <v>0</v>
      </c>
      <c r="ES11" s="62">
        <f t="shared" si="39"/>
        <v>0</v>
      </c>
    </row>
    <row r="13" spans="1:149" x14ac:dyDescent="0.3">
      <c r="A13" s="15" t="s">
        <v>652</v>
      </c>
      <c r="B13" s="16"/>
      <c r="C13" s="16"/>
      <c r="D13" s="16"/>
      <c r="E13" s="16"/>
    </row>
    <row r="14" spans="1:149" x14ac:dyDescent="0.3">
      <c r="A14" s="14" t="s">
        <v>653</v>
      </c>
      <c r="B14" s="53" t="str">
        <f>IF(INDEX(Prod_Nombre,1)="","Producto 1",INDEX(Prod_Nombre,1))</f>
        <v>Gabinetes metálicos 153 kg</v>
      </c>
      <c r="C14" s="18" t="s">
        <v>475</v>
      </c>
      <c r="D14" s="61">
        <f>INDEX(Vol_V,1,1)/12</f>
        <v>1000</v>
      </c>
    </row>
    <row r="15" spans="1:149" x14ac:dyDescent="0.3">
      <c r="A15" s="14" t="s">
        <v>654</v>
      </c>
      <c r="B15" s="53" t="str">
        <f>IF(INDEX(Prod_Nombre,2)="","Producto 2",INDEX(Prod_Nombre,2))</f>
        <v>Cajas metálicas 13 kg</v>
      </c>
      <c r="C15" s="18" t="s">
        <v>475</v>
      </c>
      <c r="D15" s="61">
        <f>INDEX(Vol_V,2,1)/12</f>
        <v>5833.333333333333</v>
      </c>
    </row>
    <row r="16" spans="1:149" x14ac:dyDescent="0.3">
      <c r="A16" s="14" t="s">
        <v>655</v>
      </c>
      <c r="B16" s="53" t="str">
        <f>IF(INDEX(Prod_Nombre,3)="","Producto 3",INDEX(Prod_Nombre,3))</f>
        <v>Producto 3</v>
      </c>
      <c r="C16" s="18" t="s">
        <v>475</v>
      </c>
      <c r="D16" s="61">
        <f>INDEX(Vol_V,3,1)/12</f>
        <v>0</v>
      </c>
    </row>
    <row r="17" spans="1:4" x14ac:dyDescent="0.3">
      <c r="A17" s="14" t="s">
        <v>656</v>
      </c>
      <c r="B17" s="53" t="str">
        <f>IF(INDEX(Prod_Nombre,4)="","Producto 4",INDEX(Prod_Nombre,4))</f>
        <v>Producto 4</v>
      </c>
      <c r="C17" s="18" t="s">
        <v>475</v>
      </c>
      <c r="D17" s="61">
        <f>INDEX(Vol_V,4,1)/12</f>
        <v>0</v>
      </c>
    </row>
    <row r="18" spans="1:4" x14ac:dyDescent="0.3">
      <c r="A18" s="14" t="s">
        <v>657</v>
      </c>
      <c r="B18" s="53" t="str">
        <f>IF(INDEX(Prod_Nombre,5)="","Producto 5",INDEX(Prod_Nombre,5))</f>
        <v>Producto 5</v>
      </c>
      <c r="C18" s="18" t="s">
        <v>475</v>
      </c>
      <c r="D18" s="61">
        <f>INDEX(Vol_V,5,1)/12</f>
        <v>0</v>
      </c>
    </row>
    <row r="19" spans="1:4" x14ac:dyDescent="0.3">
      <c r="A19" s="14" t="s">
        <v>658</v>
      </c>
      <c r="B19" s="53" t="str">
        <f>IF(INDEX(Prod_Nombre,6)="","Producto 6",INDEX(Prod_Nombre,6))</f>
        <v>Producto 6</v>
      </c>
      <c r="C19" s="18" t="s">
        <v>475</v>
      </c>
      <c r="D19" s="61">
        <f>INDEX(Vol_V,6,1)/12</f>
        <v>0</v>
      </c>
    </row>
    <row r="20" spans="1:4" x14ac:dyDescent="0.3">
      <c r="A20" s="14" t="s">
        <v>659</v>
      </c>
      <c r="B20" s="53" t="str">
        <f>IF(INDEX(Prod_Nombre,7)="","Producto 7",INDEX(Prod_Nombre,7))</f>
        <v>Producto 7</v>
      </c>
      <c r="C20" s="18" t="s">
        <v>475</v>
      </c>
      <c r="D20" s="61">
        <f>INDEX(Vol_V,7,1)/12</f>
        <v>0</v>
      </c>
    </row>
    <row r="21" spans="1:4" x14ac:dyDescent="0.3">
      <c r="A21" s="14" t="s">
        <v>660</v>
      </c>
      <c r="B21" s="53" t="str">
        <f>IF(INDEX(Prod_Nombre,8)="","Producto 8",INDEX(Prod_Nombre,8))</f>
        <v>Producto 8</v>
      </c>
      <c r="C21" s="18" t="s">
        <v>475</v>
      </c>
      <c r="D21" s="61">
        <f>INDEX(Vol_V,8,1)/12</f>
        <v>0</v>
      </c>
    </row>
    <row r="22" spans="1:4" x14ac:dyDescent="0.3">
      <c r="A22" s="14" t="s">
        <v>661</v>
      </c>
      <c r="B22" s="53" t="str">
        <f>IF(INDEX(Prod_Nombre,9)="","Producto 9",INDEX(Prod_Nombre,9))</f>
        <v>Producto 9</v>
      </c>
      <c r="C22" s="18" t="s">
        <v>475</v>
      </c>
      <c r="D22" s="61">
        <f>INDEX(Vol_V,9,1)/12</f>
        <v>0</v>
      </c>
    </row>
    <row r="23" spans="1:4" x14ac:dyDescent="0.3">
      <c r="A23" s="14" t="s">
        <v>662</v>
      </c>
      <c r="B23" s="53" t="str">
        <f>IF(INDEX(Prod_Nombre,10)="","Producto 10",INDEX(Prod_Nombre,10))</f>
        <v>Producto 10</v>
      </c>
      <c r="C23" s="18" t="s">
        <v>475</v>
      </c>
      <c r="D23" s="61">
        <f>INDEX(Vol_V,10,1)/12</f>
        <v>0</v>
      </c>
    </row>
    <row r="24" spans="1:4" x14ac:dyDescent="0.3">
      <c r="A24" s="14" t="s">
        <v>663</v>
      </c>
      <c r="B24" s="53" t="str">
        <f>IF(INDEX(Prod_Nombre,11)="","Producto 11",INDEX(Prod_Nombre,11))</f>
        <v>Producto 11</v>
      </c>
      <c r="C24" s="18" t="s">
        <v>475</v>
      </c>
      <c r="D24" s="61">
        <f>INDEX(Vol_V,11,1)/12</f>
        <v>0</v>
      </c>
    </row>
    <row r="25" spans="1:4" x14ac:dyDescent="0.3">
      <c r="A25" s="14" t="s">
        <v>664</v>
      </c>
      <c r="B25" s="53" t="str">
        <f>IF(INDEX(Prod_Nombre,12)="","Producto 12",INDEX(Prod_Nombre,12))</f>
        <v>Producto 12</v>
      </c>
      <c r="C25" s="18" t="s">
        <v>475</v>
      </c>
      <c r="D25" s="61">
        <f>INDEX(Vol_V,12,1)/12</f>
        <v>0</v>
      </c>
    </row>
    <row r="26" spans="1:4" x14ac:dyDescent="0.3">
      <c r="A26" s="14" t="s">
        <v>665</v>
      </c>
      <c r="B26" s="53" t="str">
        <f>IF(INDEX(Prod_Nombre,13)="","Producto 13",INDEX(Prod_Nombre,13))</f>
        <v>Producto 13</v>
      </c>
      <c r="C26" s="18" t="s">
        <v>475</v>
      </c>
      <c r="D26" s="61">
        <f>INDEX(Vol_V,13,1)/12</f>
        <v>0</v>
      </c>
    </row>
    <row r="27" spans="1:4" x14ac:dyDescent="0.3">
      <c r="A27" s="14" t="s">
        <v>666</v>
      </c>
      <c r="B27" s="53" t="str">
        <f>IF(INDEX(Prod_Nombre,14)="","Producto 14",INDEX(Prod_Nombre,14))</f>
        <v>Producto 14</v>
      </c>
      <c r="C27" s="18" t="s">
        <v>475</v>
      </c>
      <c r="D27" s="61">
        <f>INDEX(Vol_V,14,1)/12</f>
        <v>0</v>
      </c>
    </row>
    <row r="28" spans="1:4" x14ac:dyDescent="0.3">
      <c r="A28" s="14" t="s">
        <v>667</v>
      </c>
      <c r="B28" s="53" t="str">
        <f>IF(INDEX(Prod_Nombre,15)="","Producto 15",INDEX(Prod_Nombre,15))</f>
        <v>Producto 15</v>
      </c>
      <c r="C28" s="18" t="s">
        <v>475</v>
      </c>
      <c r="D28" s="61">
        <f>INDEX(Vol_V,15,1)/12</f>
        <v>0</v>
      </c>
    </row>
    <row r="29" spans="1:4" x14ac:dyDescent="0.3">
      <c r="A29" s="14" t="s">
        <v>668</v>
      </c>
      <c r="B29" s="53" t="str">
        <f>IF(INDEX(Prod_Nombre,16)="","Producto 16",INDEX(Prod_Nombre,16))</f>
        <v>Producto 16</v>
      </c>
      <c r="C29" s="18" t="s">
        <v>475</v>
      </c>
      <c r="D29" s="61">
        <f>INDEX(Vol_V,16,1)/12</f>
        <v>0</v>
      </c>
    </row>
    <row r="30" spans="1:4" x14ac:dyDescent="0.3">
      <c r="A30" s="14" t="s">
        <v>669</v>
      </c>
      <c r="B30" s="53" t="str">
        <f>IF(INDEX(Prod_Nombre,17)="","Producto 17",INDEX(Prod_Nombre,17))</f>
        <v>Producto 17</v>
      </c>
      <c r="C30" s="18" t="s">
        <v>475</v>
      </c>
      <c r="D30" s="61">
        <f>INDEX(Vol_V,17,1)/12</f>
        <v>0</v>
      </c>
    </row>
    <row r="31" spans="1:4" x14ac:dyDescent="0.3">
      <c r="A31" s="14" t="s">
        <v>670</v>
      </c>
      <c r="B31" s="53" t="str">
        <f>IF(INDEX(Prod_Nombre,18)="","Producto 18",INDEX(Prod_Nombre,18))</f>
        <v>Producto 18</v>
      </c>
      <c r="C31" s="18" t="s">
        <v>475</v>
      </c>
      <c r="D31" s="61">
        <f>INDEX(Vol_V,18,1)/12</f>
        <v>0</v>
      </c>
    </row>
    <row r="32" spans="1:4" x14ac:dyDescent="0.3">
      <c r="A32" s="14" t="s">
        <v>671</v>
      </c>
      <c r="B32" s="53" t="str">
        <f>IF(INDEX(Prod_Nombre,19)="","Producto 19",INDEX(Prod_Nombre,19))</f>
        <v>Producto 19</v>
      </c>
      <c r="C32" s="18" t="s">
        <v>475</v>
      </c>
      <c r="D32" s="61">
        <f>INDEX(Vol_V,19,1)/12</f>
        <v>0</v>
      </c>
    </row>
    <row r="33" spans="1:149" x14ac:dyDescent="0.3">
      <c r="A33" s="14" t="s">
        <v>672</v>
      </c>
      <c r="B33" s="53" t="str">
        <f>IF(INDEX(Prod_Nombre,20)="","Producto 20",INDEX(Prod_Nombre,20))</f>
        <v>Producto 20</v>
      </c>
      <c r="C33" s="18" t="s">
        <v>475</v>
      </c>
      <c r="D33" s="61">
        <f>INDEX(Vol_V,20,1)/12</f>
        <v>0</v>
      </c>
    </row>
    <row r="34" spans="1:149" x14ac:dyDescent="0.3">
      <c r="A34" s="14" t="s">
        <v>673</v>
      </c>
      <c r="B34" s="53" t="str">
        <f>IF(INDEX(Prod_Nombre,21)="","Producto 21",INDEX(Prod_Nombre,21))</f>
        <v>Producto 21</v>
      </c>
      <c r="C34" s="18" t="s">
        <v>475</v>
      </c>
      <c r="D34" s="61">
        <f>INDEX(Vol_V,21,1)/12</f>
        <v>0</v>
      </c>
    </row>
    <row r="35" spans="1:149" x14ac:dyDescent="0.3">
      <c r="A35" s="14" t="s">
        <v>674</v>
      </c>
      <c r="B35" s="53" t="str">
        <f>IF(INDEX(Prod_Nombre,22)="","Producto 22",INDEX(Prod_Nombre,22))</f>
        <v>Producto 22</v>
      </c>
      <c r="C35" s="18" t="s">
        <v>475</v>
      </c>
      <c r="D35" s="61">
        <f>INDEX(Vol_V,22,1)/12</f>
        <v>0</v>
      </c>
    </row>
    <row r="36" spans="1:149" x14ac:dyDescent="0.3">
      <c r="A36" s="14" t="s">
        <v>675</v>
      </c>
      <c r="B36" s="53" t="str">
        <f>IF(INDEX(Prod_Nombre,23)="","Producto 23",INDEX(Prod_Nombre,23))</f>
        <v>Producto 23</v>
      </c>
      <c r="C36" s="18" t="s">
        <v>475</v>
      </c>
      <c r="D36" s="61">
        <f>INDEX(Vol_V,23,1)/12</f>
        <v>0</v>
      </c>
    </row>
    <row r="37" spans="1:149" x14ac:dyDescent="0.3">
      <c r="A37" s="14" t="s">
        <v>676</v>
      </c>
      <c r="B37" s="53" t="str">
        <f>IF(INDEX(Prod_Nombre,24)="","Producto 24",INDEX(Prod_Nombre,24))</f>
        <v>Producto 24</v>
      </c>
      <c r="C37" s="18" t="s">
        <v>475</v>
      </c>
      <c r="D37" s="61">
        <f>INDEX(Vol_V,24,1)/12</f>
        <v>0</v>
      </c>
    </row>
    <row r="38" spans="1:149" x14ac:dyDescent="0.3">
      <c r="A38" s="14" t="s">
        <v>677</v>
      </c>
      <c r="B38" s="53" t="str">
        <f>IF(INDEX(Prod_Nombre,25)="","Producto 25",INDEX(Prod_Nombre,25))</f>
        <v>Producto 25</v>
      </c>
      <c r="C38" s="18" t="s">
        <v>475</v>
      </c>
      <c r="D38" s="61">
        <f>INDEX(Vol_V,25,1)/12</f>
        <v>0</v>
      </c>
    </row>
    <row r="39" spans="1:149" x14ac:dyDescent="0.3">
      <c r="B39" s="14" t="s">
        <v>651</v>
      </c>
      <c r="F39" s="62">
        <f t="shared" ref="F39" si="40">COUNT(F14:F38)</f>
        <v>0</v>
      </c>
      <c r="G39" s="62">
        <f t="shared" ref="G39" si="41">COUNT(G14:G38)</f>
        <v>0</v>
      </c>
      <c r="H39" s="62">
        <f t="shared" ref="H39" si="42">COUNT(H14:H38)</f>
        <v>0</v>
      </c>
      <c r="I39" s="62">
        <f t="shared" ref="I39" si="43">COUNT(I14:I38)</f>
        <v>0</v>
      </c>
      <c r="J39" s="62">
        <f t="shared" ref="J39" si="44">COUNT(J14:J38)</f>
        <v>0</v>
      </c>
      <c r="K39" s="62">
        <f t="shared" ref="K39" si="45">COUNT(K14:K38)</f>
        <v>0</v>
      </c>
      <c r="L39" s="62">
        <f t="shared" ref="L39" si="46">COUNT(L14:L38)</f>
        <v>0</v>
      </c>
      <c r="M39" s="62">
        <f t="shared" ref="M39" si="47">COUNT(M14:M38)</f>
        <v>0</v>
      </c>
      <c r="N39" s="62">
        <f t="shared" ref="N39" si="48">COUNT(N14:N38)</f>
        <v>0</v>
      </c>
      <c r="O39" s="62">
        <f t="shared" ref="O39" si="49">COUNT(O14:O38)</f>
        <v>0</v>
      </c>
      <c r="P39" s="62">
        <f t="shared" ref="P39" si="50">COUNT(P14:P38)</f>
        <v>0</v>
      </c>
      <c r="Q39" s="62">
        <f t="shared" ref="Q39" si="51">COUNT(Q14:Q38)</f>
        <v>0</v>
      </c>
      <c r="R39" s="62">
        <f t="shared" ref="R39" si="52">COUNT(R14:R38)</f>
        <v>0</v>
      </c>
      <c r="S39" s="62">
        <f t="shared" ref="S39" si="53">COUNT(S14:S38)</f>
        <v>0</v>
      </c>
      <c r="T39" s="62">
        <f t="shared" ref="T39" si="54">COUNT(T14:T38)</f>
        <v>0</v>
      </c>
      <c r="U39" s="62">
        <f t="shared" ref="U39" si="55">COUNT(U14:U38)</f>
        <v>0</v>
      </c>
      <c r="V39" s="62">
        <f t="shared" ref="V39" si="56">COUNT(V14:V38)</f>
        <v>0</v>
      </c>
      <c r="W39" s="62">
        <f t="shared" ref="W39" si="57">COUNT(W14:W38)</f>
        <v>0</v>
      </c>
      <c r="X39" s="62">
        <f t="shared" ref="X39" si="58">COUNT(X14:X38)</f>
        <v>0</v>
      </c>
      <c r="Y39" s="62">
        <f t="shared" ref="Y39" si="59">COUNT(Y14:Y38)</f>
        <v>0</v>
      </c>
      <c r="Z39" s="62">
        <f t="shared" ref="Z39" si="60">COUNT(Z14:Z38)</f>
        <v>0</v>
      </c>
      <c r="AA39" s="62">
        <f t="shared" ref="AA39" si="61">COUNT(AA14:AA38)</f>
        <v>0</v>
      </c>
      <c r="AB39" s="62">
        <f t="shared" ref="AB39" si="62">COUNT(AB14:AB38)</f>
        <v>0</v>
      </c>
      <c r="AC39" s="62">
        <f t="shared" ref="AC39" si="63">COUNT(AC14:AC38)</f>
        <v>0</v>
      </c>
      <c r="AD39" s="62">
        <f t="shared" ref="AD39" si="64">COUNT(AD14:AD38)</f>
        <v>0</v>
      </c>
      <c r="AE39" s="62">
        <f t="shared" ref="AE39" si="65">COUNT(AE14:AE38)</f>
        <v>0</v>
      </c>
      <c r="AF39" s="62">
        <f t="shared" ref="AF39" si="66">COUNT(AF14:AF38)</f>
        <v>0</v>
      </c>
      <c r="AG39" s="62">
        <f t="shared" ref="AG39" si="67">COUNT(AG14:AG38)</f>
        <v>0</v>
      </c>
      <c r="AH39" s="62">
        <f t="shared" ref="AH39" si="68">COUNT(AH14:AH38)</f>
        <v>0</v>
      </c>
      <c r="AI39" s="62">
        <f t="shared" ref="AI39" si="69">COUNT(AI14:AI38)</f>
        <v>0</v>
      </c>
      <c r="AJ39" s="62">
        <f t="shared" ref="AJ39" si="70">COUNT(AJ14:AJ38)</f>
        <v>0</v>
      </c>
      <c r="AK39" s="62">
        <f t="shared" ref="AK39" si="71">COUNT(AK14:AK38)</f>
        <v>0</v>
      </c>
      <c r="AL39" s="62">
        <f t="shared" ref="AL39" si="72">COUNT(AL14:AL38)</f>
        <v>0</v>
      </c>
      <c r="AM39" s="62">
        <f t="shared" ref="AM39" si="73">COUNT(AM14:AM38)</f>
        <v>0</v>
      </c>
      <c r="AN39" s="62">
        <f t="shared" ref="AN39" si="74">COUNT(AN14:AN38)</f>
        <v>0</v>
      </c>
      <c r="AO39" s="62">
        <f t="shared" ref="AO39" si="75">COUNT(AO14:AO38)</f>
        <v>0</v>
      </c>
      <c r="AP39" s="62">
        <f t="shared" ref="AL39:BQ39" si="76">COUNT(AP14:AP38)</f>
        <v>0</v>
      </c>
      <c r="AQ39" s="62">
        <f t="shared" si="76"/>
        <v>0</v>
      </c>
      <c r="AR39" s="62">
        <f t="shared" si="76"/>
        <v>0</v>
      </c>
      <c r="AS39" s="62">
        <f t="shared" si="76"/>
        <v>0</v>
      </c>
      <c r="AT39" s="62">
        <f t="shared" si="76"/>
        <v>0</v>
      </c>
      <c r="AU39" s="62">
        <f t="shared" si="76"/>
        <v>0</v>
      </c>
      <c r="AV39" s="62">
        <f t="shared" si="76"/>
        <v>0</v>
      </c>
      <c r="AW39" s="62">
        <f t="shared" si="76"/>
        <v>0</v>
      </c>
      <c r="AX39" s="62">
        <f t="shared" si="76"/>
        <v>0</v>
      </c>
      <c r="AY39" s="62">
        <f t="shared" si="76"/>
        <v>0</v>
      </c>
      <c r="AZ39" s="62">
        <f t="shared" si="76"/>
        <v>0</v>
      </c>
      <c r="BA39" s="62">
        <f t="shared" si="76"/>
        <v>0</v>
      </c>
      <c r="BB39" s="62">
        <f t="shared" si="76"/>
        <v>0</v>
      </c>
      <c r="BC39" s="62">
        <f t="shared" si="76"/>
        <v>0</v>
      </c>
      <c r="BD39" s="62">
        <f t="shared" si="76"/>
        <v>0</v>
      </c>
      <c r="BE39" s="62">
        <f t="shared" si="76"/>
        <v>0</v>
      </c>
      <c r="BF39" s="62">
        <f t="shared" si="76"/>
        <v>0</v>
      </c>
      <c r="BG39" s="62">
        <f t="shared" si="76"/>
        <v>0</v>
      </c>
      <c r="BH39" s="62">
        <f t="shared" si="76"/>
        <v>0</v>
      </c>
      <c r="BI39" s="62">
        <f t="shared" si="76"/>
        <v>0</v>
      </c>
      <c r="BJ39" s="62">
        <f t="shared" si="76"/>
        <v>0</v>
      </c>
      <c r="BK39" s="62">
        <f t="shared" si="76"/>
        <v>0</v>
      </c>
      <c r="BL39" s="62">
        <f t="shared" si="76"/>
        <v>0</v>
      </c>
      <c r="BM39" s="62">
        <f t="shared" si="76"/>
        <v>0</v>
      </c>
      <c r="BN39" s="62">
        <f t="shared" si="76"/>
        <v>0</v>
      </c>
      <c r="BO39" s="62">
        <f t="shared" si="76"/>
        <v>0</v>
      </c>
      <c r="BP39" s="62">
        <f t="shared" si="76"/>
        <v>0</v>
      </c>
      <c r="BQ39" s="62">
        <f t="shared" si="76"/>
        <v>0</v>
      </c>
      <c r="BR39" s="62">
        <f t="shared" ref="BR39:CW39" si="77">COUNT(BR14:BR38)</f>
        <v>0</v>
      </c>
      <c r="BS39" s="62">
        <f t="shared" si="77"/>
        <v>0</v>
      </c>
      <c r="BT39" s="62">
        <f t="shared" si="77"/>
        <v>0</v>
      </c>
      <c r="BU39" s="62">
        <f t="shared" si="77"/>
        <v>0</v>
      </c>
      <c r="BV39" s="62">
        <f t="shared" si="77"/>
        <v>0</v>
      </c>
      <c r="BW39" s="62">
        <f t="shared" si="77"/>
        <v>0</v>
      </c>
      <c r="BX39" s="62">
        <f t="shared" si="77"/>
        <v>0</v>
      </c>
      <c r="BY39" s="62">
        <f t="shared" si="77"/>
        <v>0</v>
      </c>
      <c r="BZ39" s="62">
        <f t="shared" si="77"/>
        <v>0</v>
      </c>
      <c r="CA39" s="62">
        <f t="shared" si="77"/>
        <v>0</v>
      </c>
      <c r="CB39" s="62">
        <f t="shared" si="77"/>
        <v>0</v>
      </c>
      <c r="CC39" s="62">
        <f t="shared" si="77"/>
        <v>0</v>
      </c>
      <c r="CD39" s="62">
        <f t="shared" si="77"/>
        <v>0</v>
      </c>
      <c r="CE39" s="62">
        <f t="shared" si="77"/>
        <v>0</v>
      </c>
      <c r="CF39" s="62">
        <f t="shared" si="77"/>
        <v>0</v>
      </c>
      <c r="CG39" s="62">
        <f t="shared" si="77"/>
        <v>0</v>
      </c>
      <c r="CH39" s="62">
        <f t="shared" si="77"/>
        <v>0</v>
      </c>
      <c r="CI39" s="62">
        <f t="shared" si="77"/>
        <v>0</v>
      </c>
      <c r="CJ39" s="62">
        <f t="shared" si="77"/>
        <v>0</v>
      </c>
      <c r="CK39" s="62">
        <f t="shared" si="77"/>
        <v>0</v>
      </c>
      <c r="CL39" s="62">
        <f t="shared" si="77"/>
        <v>0</v>
      </c>
      <c r="CM39" s="62">
        <f t="shared" si="77"/>
        <v>0</v>
      </c>
      <c r="CN39" s="62">
        <f t="shared" si="77"/>
        <v>0</v>
      </c>
      <c r="CO39" s="62">
        <f t="shared" si="77"/>
        <v>0</v>
      </c>
      <c r="CP39" s="62">
        <f t="shared" si="77"/>
        <v>0</v>
      </c>
      <c r="CQ39" s="62">
        <f t="shared" si="77"/>
        <v>0</v>
      </c>
      <c r="CR39" s="62">
        <f t="shared" si="77"/>
        <v>0</v>
      </c>
      <c r="CS39" s="62">
        <f t="shared" si="77"/>
        <v>0</v>
      </c>
      <c r="CT39" s="62">
        <f t="shared" si="77"/>
        <v>0</v>
      </c>
      <c r="CU39" s="62">
        <f t="shared" si="77"/>
        <v>0</v>
      </c>
      <c r="CV39" s="62">
        <f t="shared" si="77"/>
        <v>0</v>
      </c>
      <c r="CW39" s="62">
        <f t="shared" si="77"/>
        <v>0</v>
      </c>
      <c r="CX39" s="62">
        <f t="shared" ref="CX39:EC39" si="78">COUNT(CX14:CX38)</f>
        <v>0</v>
      </c>
      <c r="CY39" s="62">
        <f t="shared" si="78"/>
        <v>0</v>
      </c>
      <c r="CZ39" s="62">
        <f t="shared" si="78"/>
        <v>0</v>
      </c>
      <c r="DA39" s="62">
        <f t="shared" si="78"/>
        <v>0</v>
      </c>
      <c r="DB39" s="62">
        <f t="shared" si="78"/>
        <v>0</v>
      </c>
      <c r="DC39" s="62">
        <f t="shared" si="78"/>
        <v>0</v>
      </c>
      <c r="DD39" s="62">
        <f t="shared" si="78"/>
        <v>0</v>
      </c>
      <c r="DE39" s="62">
        <f t="shared" si="78"/>
        <v>0</v>
      </c>
      <c r="DF39" s="62">
        <f t="shared" si="78"/>
        <v>0</v>
      </c>
      <c r="DG39" s="62">
        <f t="shared" si="78"/>
        <v>0</v>
      </c>
      <c r="DH39" s="62">
        <f t="shared" si="78"/>
        <v>0</v>
      </c>
      <c r="DI39" s="62">
        <f t="shared" si="78"/>
        <v>0</v>
      </c>
      <c r="DJ39" s="62">
        <f t="shared" si="78"/>
        <v>0</v>
      </c>
      <c r="DK39" s="62">
        <f t="shared" si="78"/>
        <v>0</v>
      </c>
      <c r="DL39" s="62">
        <f t="shared" si="78"/>
        <v>0</v>
      </c>
      <c r="DM39" s="62">
        <f t="shared" si="78"/>
        <v>0</v>
      </c>
      <c r="DN39" s="62">
        <f t="shared" si="78"/>
        <v>0</v>
      </c>
      <c r="DO39" s="62">
        <f t="shared" si="78"/>
        <v>0</v>
      </c>
      <c r="DP39" s="62">
        <f t="shared" si="78"/>
        <v>0</v>
      </c>
      <c r="DQ39" s="62">
        <f t="shared" si="78"/>
        <v>0</v>
      </c>
      <c r="DR39" s="62">
        <f t="shared" si="78"/>
        <v>0</v>
      </c>
      <c r="DS39" s="62">
        <f t="shared" si="78"/>
        <v>0</v>
      </c>
      <c r="DT39" s="62">
        <f t="shared" si="78"/>
        <v>0</v>
      </c>
      <c r="DU39" s="62">
        <f t="shared" si="78"/>
        <v>0</v>
      </c>
      <c r="DV39" s="62">
        <f t="shared" si="78"/>
        <v>0</v>
      </c>
      <c r="DW39" s="62">
        <f t="shared" si="78"/>
        <v>0</v>
      </c>
      <c r="DX39" s="62">
        <f t="shared" si="78"/>
        <v>0</v>
      </c>
      <c r="DY39" s="62">
        <f t="shared" si="78"/>
        <v>0</v>
      </c>
      <c r="DZ39" s="62">
        <f t="shared" si="78"/>
        <v>0</v>
      </c>
      <c r="EA39" s="62">
        <f t="shared" si="78"/>
        <v>0</v>
      </c>
      <c r="EB39" s="62">
        <f t="shared" si="78"/>
        <v>0</v>
      </c>
      <c r="EC39" s="62">
        <f t="shared" si="78"/>
        <v>0</v>
      </c>
      <c r="ED39" s="62">
        <f t="shared" ref="ED39:ES39" si="79">COUNT(ED14:ED38)</f>
        <v>0</v>
      </c>
      <c r="EE39" s="62">
        <f t="shared" si="79"/>
        <v>0</v>
      </c>
      <c r="EF39" s="62">
        <f t="shared" si="79"/>
        <v>0</v>
      </c>
      <c r="EG39" s="62">
        <f t="shared" si="79"/>
        <v>0</v>
      </c>
      <c r="EH39" s="62">
        <f t="shared" si="79"/>
        <v>0</v>
      </c>
      <c r="EI39" s="62">
        <f t="shared" si="79"/>
        <v>0</v>
      </c>
      <c r="EJ39" s="62">
        <f t="shared" si="79"/>
        <v>0</v>
      </c>
      <c r="EK39" s="62">
        <f t="shared" si="79"/>
        <v>0</v>
      </c>
      <c r="EL39" s="62">
        <f t="shared" si="79"/>
        <v>0</v>
      </c>
      <c r="EM39" s="62">
        <f t="shared" si="79"/>
        <v>0</v>
      </c>
      <c r="EN39" s="62">
        <f t="shared" si="79"/>
        <v>0</v>
      </c>
      <c r="EO39" s="62">
        <f t="shared" si="79"/>
        <v>0</v>
      </c>
      <c r="EP39" s="62">
        <f t="shared" si="79"/>
        <v>0</v>
      </c>
      <c r="EQ39" s="62">
        <f t="shared" si="79"/>
        <v>0</v>
      </c>
      <c r="ER39" s="62">
        <f t="shared" si="79"/>
        <v>0</v>
      </c>
      <c r="ES39" s="62">
        <f t="shared" si="79"/>
        <v>0</v>
      </c>
    </row>
    <row r="41" spans="1:149" x14ac:dyDescent="0.3">
      <c r="A41" s="15" t="s">
        <v>678</v>
      </c>
      <c r="B41" s="16"/>
      <c r="C41" s="16"/>
      <c r="D41" s="16"/>
      <c r="E41" s="16"/>
    </row>
    <row r="42" spans="1:149" x14ac:dyDescent="0.3">
      <c r="A42" s="14" t="s">
        <v>679</v>
      </c>
      <c r="B42" s="53" t="str">
        <f>IF(INDEX(Prod_Nombre,1)="","Producto 1",INDEX(Prod_Nombre,1))</f>
        <v>Gabinetes metálicos 153 kg</v>
      </c>
      <c r="C42" s="18" t="s">
        <v>680</v>
      </c>
      <c r="D42" s="61">
        <f>INDEX(Precio_V,1)</f>
        <v>270</v>
      </c>
    </row>
    <row r="43" spans="1:149" x14ac:dyDescent="0.3">
      <c r="A43" s="14" t="s">
        <v>681</v>
      </c>
      <c r="B43" s="53" t="str">
        <f>IF(INDEX(Prod_Nombre,2)="","Producto 2",INDEX(Prod_Nombre,2))</f>
        <v>Cajas metálicas 13 kg</v>
      </c>
      <c r="C43" s="18" t="s">
        <v>680</v>
      </c>
      <c r="D43" s="61">
        <f>INDEX(Precio_V,2)</f>
        <v>23</v>
      </c>
    </row>
    <row r="44" spans="1:149" x14ac:dyDescent="0.3">
      <c r="A44" s="14" t="s">
        <v>682</v>
      </c>
      <c r="B44" s="53" t="str">
        <f>IF(INDEX(Prod_Nombre,3)="","Producto 3",INDEX(Prod_Nombre,3))</f>
        <v>Producto 3</v>
      </c>
      <c r="C44" s="18" t="s">
        <v>680</v>
      </c>
      <c r="D44" s="61">
        <f>INDEX(Precio_V,3)</f>
        <v>0</v>
      </c>
    </row>
    <row r="45" spans="1:149" x14ac:dyDescent="0.3">
      <c r="A45" s="14" t="s">
        <v>683</v>
      </c>
      <c r="B45" s="53" t="str">
        <f>IF(INDEX(Prod_Nombre,4)="","Producto 4",INDEX(Prod_Nombre,4))</f>
        <v>Producto 4</v>
      </c>
      <c r="C45" s="18" t="s">
        <v>680</v>
      </c>
      <c r="D45" s="61">
        <f>INDEX(Precio_V,4)</f>
        <v>0</v>
      </c>
    </row>
    <row r="46" spans="1:149" x14ac:dyDescent="0.3">
      <c r="A46" s="14" t="s">
        <v>684</v>
      </c>
      <c r="B46" s="53" t="str">
        <f>IF(INDEX(Prod_Nombre,5)="","Producto 5",INDEX(Prod_Nombre,5))</f>
        <v>Producto 5</v>
      </c>
      <c r="C46" s="18" t="s">
        <v>680</v>
      </c>
      <c r="D46" s="61">
        <f>INDEX(Precio_V,5)</f>
        <v>0</v>
      </c>
    </row>
    <row r="47" spans="1:149" x14ac:dyDescent="0.3">
      <c r="A47" s="14" t="s">
        <v>685</v>
      </c>
      <c r="B47" s="53" t="str">
        <f>IF(INDEX(Prod_Nombre,6)="","Producto 6",INDEX(Prod_Nombre,6))</f>
        <v>Producto 6</v>
      </c>
      <c r="C47" s="18" t="s">
        <v>680</v>
      </c>
      <c r="D47" s="61">
        <f>INDEX(Precio_V,6)</f>
        <v>0</v>
      </c>
    </row>
    <row r="48" spans="1:149" x14ac:dyDescent="0.3">
      <c r="A48" s="14" t="s">
        <v>686</v>
      </c>
      <c r="B48" s="53" t="str">
        <f>IF(INDEX(Prod_Nombre,7)="","Producto 7",INDEX(Prod_Nombre,7))</f>
        <v>Producto 7</v>
      </c>
      <c r="C48" s="18" t="s">
        <v>680</v>
      </c>
      <c r="D48" s="61">
        <f>INDEX(Precio_V,7)</f>
        <v>0</v>
      </c>
    </row>
    <row r="49" spans="1:4" x14ac:dyDescent="0.3">
      <c r="A49" s="14" t="s">
        <v>687</v>
      </c>
      <c r="B49" s="53" t="str">
        <f>IF(INDEX(Prod_Nombre,8)="","Producto 8",INDEX(Prod_Nombre,8))</f>
        <v>Producto 8</v>
      </c>
      <c r="C49" s="18" t="s">
        <v>680</v>
      </c>
      <c r="D49" s="61">
        <f>INDEX(Precio_V,8)</f>
        <v>0</v>
      </c>
    </row>
    <row r="50" spans="1:4" x14ac:dyDescent="0.3">
      <c r="A50" s="14" t="s">
        <v>688</v>
      </c>
      <c r="B50" s="53" t="str">
        <f>IF(INDEX(Prod_Nombre,9)="","Producto 9",INDEX(Prod_Nombre,9))</f>
        <v>Producto 9</v>
      </c>
      <c r="C50" s="18" t="s">
        <v>680</v>
      </c>
      <c r="D50" s="61">
        <f>INDEX(Precio_V,9)</f>
        <v>0</v>
      </c>
    </row>
    <row r="51" spans="1:4" x14ac:dyDescent="0.3">
      <c r="A51" s="14" t="s">
        <v>689</v>
      </c>
      <c r="B51" s="53" t="str">
        <f>IF(INDEX(Prod_Nombre,10)="","Producto 10",INDEX(Prod_Nombre,10))</f>
        <v>Producto 10</v>
      </c>
      <c r="C51" s="18" t="s">
        <v>680</v>
      </c>
      <c r="D51" s="61">
        <f>INDEX(Precio_V,10)</f>
        <v>0</v>
      </c>
    </row>
    <row r="52" spans="1:4" x14ac:dyDescent="0.3">
      <c r="A52" s="14" t="s">
        <v>690</v>
      </c>
      <c r="B52" s="53" t="str">
        <f>IF(INDEX(Prod_Nombre,11)="","Producto 11",INDEX(Prod_Nombre,11))</f>
        <v>Producto 11</v>
      </c>
      <c r="C52" s="18" t="s">
        <v>680</v>
      </c>
      <c r="D52" s="61">
        <f>INDEX(Precio_V,11)</f>
        <v>0</v>
      </c>
    </row>
    <row r="53" spans="1:4" x14ac:dyDescent="0.3">
      <c r="A53" s="14" t="s">
        <v>691</v>
      </c>
      <c r="B53" s="53" t="str">
        <f>IF(INDEX(Prod_Nombre,12)="","Producto 12",INDEX(Prod_Nombre,12))</f>
        <v>Producto 12</v>
      </c>
      <c r="C53" s="18" t="s">
        <v>680</v>
      </c>
      <c r="D53" s="61">
        <f>INDEX(Precio_V,12)</f>
        <v>0</v>
      </c>
    </row>
    <row r="54" spans="1:4" x14ac:dyDescent="0.3">
      <c r="A54" s="14" t="s">
        <v>692</v>
      </c>
      <c r="B54" s="53" t="str">
        <f>IF(INDEX(Prod_Nombre,13)="","Producto 13",INDEX(Prod_Nombre,13))</f>
        <v>Producto 13</v>
      </c>
      <c r="C54" s="18" t="s">
        <v>680</v>
      </c>
      <c r="D54" s="61">
        <f>INDEX(Precio_V,13)</f>
        <v>0</v>
      </c>
    </row>
    <row r="55" spans="1:4" x14ac:dyDescent="0.3">
      <c r="A55" s="14" t="s">
        <v>693</v>
      </c>
      <c r="B55" s="53" t="str">
        <f>IF(INDEX(Prod_Nombre,14)="","Producto 14",INDEX(Prod_Nombre,14))</f>
        <v>Producto 14</v>
      </c>
      <c r="C55" s="18" t="s">
        <v>680</v>
      </c>
      <c r="D55" s="61">
        <f>INDEX(Precio_V,14)</f>
        <v>0</v>
      </c>
    </row>
    <row r="56" spans="1:4" x14ac:dyDescent="0.3">
      <c r="A56" s="14" t="s">
        <v>694</v>
      </c>
      <c r="B56" s="53" t="str">
        <f>IF(INDEX(Prod_Nombre,15)="","Producto 15",INDEX(Prod_Nombre,15))</f>
        <v>Producto 15</v>
      </c>
      <c r="C56" s="18" t="s">
        <v>680</v>
      </c>
      <c r="D56" s="61">
        <f>INDEX(Precio_V,15)</f>
        <v>0</v>
      </c>
    </row>
    <row r="57" spans="1:4" x14ac:dyDescent="0.3">
      <c r="A57" s="14" t="s">
        <v>695</v>
      </c>
      <c r="B57" s="53" t="str">
        <f>IF(INDEX(Prod_Nombre,16)="","Producto 16",INDEX(Prod_Nombre,16))</f>
        <v>Producto 16</v>
      </c>
      <c r="C57" s="18" t="s">
        <v>680</v>
      </c>
      <c r="D57" s="61">
        <f>INDEX(Precio_V,16)</f>
        <v>0</v>
      </c>
    </row>
    <row r="58" spans="1:4" x14ac:dyDescent="0.3">
      <c r="A58" s="14" t="s">
        <v>696</v>
      </c>
      <c r="B58" s="53" t="str">
        <f>IF(INDEX(Prod_Nombre,17)="","Producto 17",INDEX(Prod_Nombre,17))</f>
        <v>Producto 17</v>
      </c>
      <c r="C58" s="18" t="s">
        <v>680</v>
      </c>
      <c r="D58" s="61">
        <f>INDEX(Precio_V,17)</f>
        <v>0</v>
      </c>
    </row>
    <row r="59" spans="1:4" x14ac:dyDescent="0.3">
      <c r="A59" s="14" t="s">
        <v>697</v>
      </c>
      <c r="B59" s="53" t="str">
        <f>IF(INDEX(Prod_Nombre,18)="","Producto 18",INDEX(Prod_Nombre,18))</f>
        <v>Producto 18</v>
      </c>
      <c r="C59" s="18" t="s">
        <v>680</v>
      </c>
      <c r="D59" s="61">
        <f>INDEX(Precio_V,18)</f>
        <v>0</v>
      </c>
    </row>
    <row r="60" spans="1:4" x14ac:dyDescent="0.3">
      <c r="A60" s="14" t="s">
        <v>698</v>
      </c>
      <c r="B60" s="53" t="str">
        <f>IF(INDEX(Prod_Nombre,19)="","Producto 19",INDEX(Prod_Nombre,19))</f>
        <v>Producto 19</v>
      </c>
      <c r="C60" s="18" t="s">
        <v>680</v>
      </c>
      <c r="D60" s="61">
        <f>INDEX(Precio_V,19)</f>
        <v>0</v>
      </c>
    </row>
    <row r="61" spans="1:4" x14ac:dyDescent="0.3">
      <c r="A61" s="14" t="s">
        <v>699</v>
      </c>
      <c r="B61" s="53" t="str">
        <f>IF(INDEX(Prod_Nombre,20)="","Producto 20",INDEX(Prod_Nombre,20))</f>
        <v>Producto 20</v>
      </c>
      <c r="C61" s="18" t="s">
        <v>680</v>
      </c>
      <c r="D61" s="61">
        <f>INDEX(Precio_V,20)</f>
        <v>0</v>
      </c>
    </row>
    <row r="62" spans="1:4" x14ac:dyDescent="0.3">
      <c r="A62" s="14" t="s">
        <v>700</v>
      </c>
      <c r="B62" s="53" t="str">
        <f>IF(INDEX(Prod_Nombre,21)="","Producto 21",INDEX(Prod_Nombre,21))</f>
        <v>Producto 21</v>
      </c>
      <c r="C62" s="18" t="s">
        <v>680</v>
      </c>
      <c r="D62" s="61">
        <f>INDEX(Precio_V,21)</f>
        <v>0</v>
      </c>
    </row>
    <row r="63" spans="1:4" x14ac:dyDescent="0.3">
      <c r="A63" s="14" t="s">
        <v>701</v>
      </c>
      <c r="B63" s="53" t="str">
        <f>IF(INDEX(Prod_Nombre,22)="","Producto 22",INDEX(Prod_Nombre,22))</f>
        <v>Producto 22</v>
      </c>
      <c r="C63" s="18" t="s">
        <v>680</v>
      </c>
      <c r="D63" s="61">
        <f>INDEX(Precio_V,22)</f>
        <v>0</v>
      </c>
    </row>
    <row r="64" spans="1:4" x14ac:dyDescent="0.3">
      <c r="A64" s="14" t="s">
        <v>702</v>
      </c>
      <c r="B64" s="53" t="str">
        <f>IF(INDEX(Prod_Nombre,23)="","Producto 23",INDEX(Prod_Nombre,23))</f>
        <v>Producto 23</v>
      </c>
      <c r="C64" s="18" t="s">
        <v>680</v>
      </c>
      <c r="D64" s="61">
        <f>INDEX(Precio_V,23)</f>
        <v>0</v>
      </c>
    </row>
    <row r="65" spans="1:149" x14ac:dyDescent="0.3">
      <c r="A65" s="14" t="s">
        <v>703</v>
      </c>
      <c r="B65" s="53" t="str">
        <f>IF(INDEX(Prod_Nombre,24)="","Producto 24",INDEX(Prod_Nombre,24))</f>
        <v>Producto 24</v>
      </c>
      <c r="C65" s="18" t="s">
        <v>680</v>
      </c>
      <c r="D65" s="61">
        <f>INDEX(Precio_V,24)</f>
        <v>0</v>
      </c>
    </row>
    <row r="66" spans="1:149" x14ac:dyDescent="0.3">
      <c r="A66" s="14" t="s">
        <v>704</v>
      </c>
      <c r="B66" s="53" t="str">
        <f>IF(INDEX(Prod_Nombre,25)="","Producto 25",INDEX(Prod_Nombre,25))</f>
        <v>Producto 25</v>
      </c>
      <c r="C66" s="18" t="s">
        <v>680</v>
      </c>
      <c r="D66" s="61">
        <f>INDEX(Precio_V,25)</f>
        <v>0</v>
      </c>
    </row>
    <row r="67" spans="1:149" x14ac:dyDescent="0.3">
      <c r="B67" s="14" t="s">
        <v>651</v>
      </c>
      <c r="F67" s="62">
        <f t="shared" ref="F67" si="80">COUNT(F42:F66)</f>
        <v>0</v>
      </c>
      <c r="G67" s="62">
        <f t="shared" ref="G67" si="81">COUNT(G42:G66)</f>
        <v>0</v>
      </c>
      <c r="H67" s="62">
        <f t="shared" ref="H67" si="82">COUNT(H42:H66)</f>
        <v>0</v>
      </c>
      <c r="I67" s="62">
        <f t="shared" ref="I67" si="83">COUNT(I42:I66)</f>
        <v>0</v>
      </c>
      <c r="J67" s="62">
        <f t="shared" ref="J67" si="84">COUNT(J42:J66)</f>
        <v>0</v>
      </c>
      <c r="K67" s="62">
        <f t="shared" ref="K67" si="85">COUNT(K42:K66)</f>
        <v>0</v>
      </c>
      <c r="L67" s="62">
        <f t="shared" ref="L67" si="86">COUNT(L42:L66)</f>
        <v>0</v>
      </c>
      <c r="M67" s="62">
        <f t="shared" ref="M67" si="87">COUNT(M42:M66)</f>
        <v>0</v>
      </c>
      <c r="N67" s="62">
        <f t="shared" ref="N67" si="88">COUNT(N42:N66)</f>
        <v>0</v>
      </c>
      <c r="O67" s="62">
        <f t="shared" ref="O67" si="89">COUNT(O42:O66)</f>
        <v>0</v>
      </c>
      <c r="P67" s="62">
        <f t="shared" ref="P67" si="90">COUNT(P42:P66)</f>
        <v>0</v>
      </c>
      <c r="Q67" s="62">
        <f t="shared" ref="Q67" si="91">COUNT(Q42:Q66)</f>
        <v>0</v>
      </c>
      <c r="R67" s="62">
        <f t="shared" ref="R67" si="92">COUNT(R42:R66)</f>
        <v>0</v>
      </c>
      <c r="S67" s="62">
        <f t="shared" ref="S67" si="93">COUNT(S42:S66)</f>
        <v>0</v>
      </c>
      <c r="T67" s="62">
        <f t="shared" ref="T67" si="94">COUNT(T42:T66)</f>
        <v>0</v>
      </c>
      <c r="U67" s="62">
        <f t="shared" ref="U67" si="95">COUNT(U42:U66)</f>
        <v>0</v>
      </c>
      <c r="V67" s="62">
        <f t="shared" ref="V67" si="96">COUNT(V42:V66)</f>
        <v>0</v>
      </c>
      <c r="W67" s="62">
        <f t="shared" ref="W67" si="97">COUNT(W42:W66)</f>
        <v>0</v>
      </c>
      <c r="X67" s="62">
        <f t="shared" ref="X67" si="98">COUNT(X42:X66)</f>
        <v>0</v>
      </c>
      <c r="Y67" s="62">
        <f t="shared" ref="Y67" si="99">COUNT(Y42:Y66)</f>
        <v>0</v>
      </c>
      <c r="Z67" s="62">
        <f t="shared" ref="Z67" si="100">COUNT(Z42:Z66)</f>
        <v>0</v>
      </c>
      <c r="AA67" s="62">
        <f t="shared" ref="AA67" si="101">COUNT(AA42:AA66)</f>
        <v>0</v>
      </c>
      <c r="AB67" s="62">
        <f t="shared" ref="AB67" si="102">COUNT(AB42:AB66)</f>
        <v>0</v>
      </c>
      <c r="AC67" s="62">
        <f t="shared" ref="AC67" si="103">COUNT(AC42:AC66)</f>
        <v>0</v>
      </c>
      <c r="AD67" s="62">
        <f t="shared" ref="AD67" si="104">COUNT(AD42:AD66)</f>
        <v>0</v>
      </c>
      <c r="AE67" s="62">
        <f t="shared" ref="AE67" si="105">COUNT(AE42:AE66)</f>
        <v>0</v>
      </c>
      <c r="AF67" s="62">
        <f t="shared" ref="AF67" si="106">COUNT(AF42:AF66)</f>
        <v>0</v>
      </c>
      <c r="AG67" s="62">
        <f t="shared" ref="AG67" si="107">COUNT(AG42:AG66)</f>
        <v>0</v>
      </c>
      <c r="AH67" s="62">
        <f t="shared" ref="AH67" si="108">COUNT(AH42:AH66)</f>
        <v>0</v>
      </c>
      <c r="AI67" s="62">
        <f t="shared" ref="AI67" si="109">COUNT(AI42:AI66)</f>
        <v>0</v>
      </c>
      <c r="AJ67" s="62">
        <f t="shared" ref="AJ67" si="110">COUNT(AJ42:AJ66)</f>
        <v>0</v>
      </c>
      <c r="AK67" s="62">
        <f t="shared" ref="AK67" si="111">COUNT(AK42:AK66)</f>
        <v>0</v>
      </c>
      <c r="AL67" s="62">
        <f t="shared" ref="AL67" si="112">COUNT(AL42:AL66)</f>
        <v>0</v>
      </c>
      <c r="AM67" s="62">
        <f t="shared" ref="AM67" si="113">COUNT(AM42:AM66)</f>
        <v>0</v>
      </c>
      <c r="AN67" s="62">
        <f t="shared" ref="AN67" si="114">COUNT(AN42:AN66)</f>
        <v>0</v>
      </c>
      <c r="AO67" s="62">
        <f t="shared" ref="AO67" si="115">COUNT(AO42:AO66)</f>
        <v>0</v>
      </c>
      <c r="AP67" s="62">
        <f t="shared" ref="AL67:BQ67" si="116">COUNT(AP42:AP66)</f>
        <v>0</v>
      </c>
      <c r="AQ67" s="62">
        <f t="shared" si="116"/>
        <v>0</v>
      </c>
      <c r="AR67" s="62">
        <f t="shared" si="116"/>
        <v>0</v>
      </c>
      <c r="AS67" s="62">
        <f t="shared" si="116"/>
        <v>0</v>
      </c>
      <c r="AT67" s="62">
        <f t="shared" si="116"/>
        <v>0</v>
      </c>
      <c r="AU67" s="62">
        <f t="shared" si="116"/>
        <v>0</v>
      </c>
      <c r="AV67" s="62">
        <f t="shared" si="116"/>
        <v>0</v>
      </c>
      <c r="AW67" s="62">
        <f t="shared" si="116"/>
        <v>0</v>
      </c>
      <c r="AX67" s="62">
        <f t="shared" si="116"/>
        <v>0</v>
      </c>
      <c r="AY67" s="62">
        <f t="shared" si="116"/>
        <v>0</v>
      </c>
      <c r="AZ67" s="62">
        <f t="shared" si="116"/>
        <v>0</v>
      </c>
      <c r="BA67" s="62">
        <f t="shared" si="116"/>
        <v>0</v>
      </c>
      <c r="BB67" s="62">
        <f t="shared" si="116"/>
        <v>0</v>
      </c>
      <c r="BC67" s="62">
        <f t="shared" si="116"/>
        <v>0</v>
      </c>
      <c r="BD67" s="62">
        <f t="shared" si="116"/>
        <v>0</v>
      </c>
      <c r="BE67" s="62">
        <f t="shared" si="116"/>
        <v>0</v>
      </c>
      <c r="BF67" s="62">
        <f t="shared" si="116"/>
        <v>0</v>
      </c>
      <c r="BG67" s="62">
        <f t="shared" si="116"/>
        <v>0</v>
      </c>
      <c r="BH67" s="62">
        <f t="shared" si="116"/>
        <v>0</v>
      </c>
      <c r="BI67" s="62">
        <f t="shared" si="116"/>
        <v>0</v>
      </c>
      <c r="BJ67" s="62">
        <f t="shared" si="116"/>
        <v>0</v>
      </c>
      <c r="BK67" s="62">
        <f t="shared" si="116"/>
        <v>0</v>
      </c>
      <c r="BL67" s="62">
        <f t="shared" si="116"/>
        <v>0</v>
      </c>
      <c r="BM67" s="62">
        <f t="shared" si="116"/>
        <v>0</v>
      </c>
      <c r="BN67" s="62">
        <f t="shared" si="116"/>
        <v>0</v>
      </c>
      <c r="BO67" s="62">
        <f t="shared" si="116"/>
        <v>0</v>
      </c>
      <c r="BP67" s="62">
        <f t="shared" si="116"/>
        <v>0</v>
      </c>
      <c r="BQ67" s="62">
        <f t="shared" si="116"/>
        <v>0</v>
      </c>
      <c r="BR67" s="62">
        <f t="shared" ref="BR67:CW67" si="117">COUNT(BR42:BR66)</f>
        <v>0</v>
      </c>
      <c r="BS67" s="62">
        <f t="shared" si="117"/>
        <v>0</v>
      </c>
      <c r="BT67" s="62">
        <f t="shared" si="117"/>
        <v>0</v>
      </c>
      <c r="BU67" s="62">
        <f t="shared" si="117"/>
        <v>0</v>
      </c>
      <c r="BV67" s="62">
        <f t="shared" si="117"/>
        <v>0</v>
      </c>
      <c r="BW67" s="62">
        <f t="shared" si="117"/>
        <v>0</v>
      </c>
      <c r="BX67" s="62">
        <f t="shared" si="117"/>
        <v>0</v>
      </c>
      <c r="BY67" s="62">
        <f t="shared" si="117"/>
        <v>0</v>
      </c>
      <c r="BZ67" s="62">
        <f t="shared" si="117"/>
        <v>0</v>
      </c>
      <c r="CA67" s="62">
        <f t="shared" si="117"/>
        <v>0</v>
      </c>
      <c r="CB67" s="62">
        <f t="shared" si="117"/>
        <v>0</v>
      </c>
      <c r="CC67" s="62">
        <f t="shared" si="117"/>
        <v>0</v>
      </c>
      <c r="CD67" s="62">
        <f t="shared" si="117"/>
        <v>0</v>
      </c>
      <c r="CE67" s="62">
        <f t="shared" si="117"/>
        <v>0</v>
      </c>
      <c r="CF67" s="62">
        <f t="shared" si="117"/>
        <v>0</v>
      </c>
      <c r="CG67" s="62">
        <f t="shared" si="117"/>
        <v>0</v>
      </c>
      <c r="CH67" s="62">
        <f t="shared" si="117"/>
        <v>0</v>
      </c>
      <c r="CI67" s="62">
        <f t="shared" si="117"/>
        <v>0</v>
      </c>
      <c r="CJ67" s="62">
        <f t="shared" si="117"/>
        <v>0</v>
      </c>
      <c r="CK67" s="62">
        <f t="shared" si="117"/>
        <v>0</v>
      </c>
      <c r="CL67" s="62">
        <f t="shared" si="117"/>
        <v>0</v>
      </c>
      <c r="CM67" s="62">
        <f t="shared" si="117"/>
        <v>0</v>
      </c>
      <c r="CN67" s="62">
        <f t="shared" si="117"/>
        <v>0</v>
      </c>
      <c r="CO67" s="62">
        <f t="shared" si="117"/>
        <v>0</v>
      </c>
      <c r="CP67" s="62">
        <f t="shared" si="117"/>
        <v>0</v>
      </c>
      <c r="CQ67" s="62">
        <f t="shared" si="117"/>
        <v>0</v>
      </c>
      <c r="CR67" s="62">
        <f t="shared" si="117"/>
        <v>0</v>
      </c>
      <c r="CS67" s="62">
        <f t="shared" si="117"/>
        <v>0</v>
      </c>
      <c r="CT67" s="62">
        <f t="shared" si="117"/>
        <v>0</v>
      </c>
      <c r="CU67" s="62">
        <f t="shared" si="117"/>
        <v>0</v>
      </c>
      <c r="CV67" s="62">
        <f t="shared" si="117"/>
        <v>0</v>
      </c>
      <c r="CW67" s="62">
        <f t="shared" si="117"/>
        <v>0</v>
      </c>
      <c r="CX67" s="62">
        <f t="shared" ref="CX67:EC67" si="118">COUNT(CX42:CX66)</f>
        <v>0</v>
      </c>
      <c r="CY67" s="62">
        <f t="shared" si="118"/>
        <v>0</v>
      </c>
      <c r="CZ67" s="62">
        <f t="shared" si="118"/>
        <v>0</v>
      </c>
      <c r="DA67" s="62">
        <f t="shared" si="118"/>
        <v>0</v>
      </c>
      <c r="DB67" s="62">
        <f t="shared" si="118"/>
        <v>0</v>
      </c>
      <c r="DC67" s="62">
        <f t="shared" si="118"/>
        <v>0</v>
      </c>
      <c r="DD67" s="62">
        <f t="shared" si="118"/>
        <v>0</v>
      </c>
      <c r="DE67" s="62">
        <f t="shared" si="118"/>
        <v>0</v>
      </c>
      <c r="DF67" s="62">
        <f t="shared" si="118"/>
        <v>0</v>
      </c>
      <c r="DG67" s="62">
        <f t="shared" si="118"/>
        <v>0</v>
      </c>
      <c r="DH67" s="62">
        <f t="shared" si="118"/>
        <v>0</v>
      </c>
      <c r="DI67" s="62">
        <f t="shared" si="118"/>
        <v>0</v>
      </c>
      <c r="DJ67" s="62">
        <f t="shared" si="118"/>
        <v>0</v>
      </c>
      <c r="DK67" s="62">
        <f t="shared" si="118"/>
        <v>0</v>
      </c>
      <c r="DL67" s="62">
        <f t="shared" si="118"/>
        <v>0</v>
      </c>
      <c r="DM67" s="62">
        <f t="shared" si="118"/>
        <v>0</v>
      </c>
      <c r="DN67" s="62">
        <f t="shared" si="118"/>
        <v>0</v>
      </c>
      <c r="DO67" s="62">
        <f t="shared" si="118"/>
        <v>0</v>
      </c>
      <c r="DP67" s="62">
        <f t="shared" si="118"/>
        <v>0</v>
      </c>
      <c r="DQ67" s="62">
        <f t="shared" si="118"/>
        <v>0</v>
      </c>
      <c r="DR67" s="62">
        <f t="shared" si="118"/>
        <v>0</v>
      </c>
      <c r="DS67" s="62">
        <f t="shared" si="118"/>
        <v>0</v>
      </c>
      <c r="DT67" s="62">
        <f t="shared" si="118"/>
        <v>0</v>
      </c>
      <c r="DU67" s="62">
        <f t="shared" si="118"/>
        <v>0</v>
      </c>
      <c r="DV67" s="62">
        <f t="shared" si="118"/>
        <v>0</v>
      </c>
      <c r="DW67" s="62">
        <f t="shared" si="118"/>
        <v>0</v>
      </c>
      <c r="DX67" s="62">
        <f t="shared" si="118"/>
        <v>0</v>
      </c>
      <c r="DY67" s="62">
        <f t="shared" si="118"/>
        <v>0</v>
      </c>
      <c r="DZ67" s="62">
        <f t="shared" si="118"/>
        <v>0</v>
      </c>
      <c r="EA67" s="62">
        <f t="shared" si="118"/>
        <v>0</v>
      </c>
      <c r="EB67" s="62">
        <f t="shared" si="118"/>
        <v>0</v>
      </c>
      <c r="EC67" s="62">
        <f t="shared" si="118"/>
        <v>0</v>
      </c>
      <c r="ED67" s="62">
        <f t="shared" ref="ED67:ES67" si="119">COUNT(ED42:ED66)</f>
        <v>0</v>
      </c>
      <c r="EE67" s="62">
        <f t="shared" si="119"/>
        <v>0</v>
      </c>
      <c r="EF67" s="62">
        <f t="shared" si="119"/>
        <v>0</v>
      </c>
      <c r="EG67" s="62">
        <f t="shared" si="119"/>
        <v>0</v>
      </c>
      <c r="EH67" s="62">
        <f t="shared" si="119"/>
        <v>0</v>
      </c>
      <c r="EI67" s="62">
        <f t="shared" si="119"/>
        <v>0</v>
      </c>
      <c r="EJ67" s="62">
        <f t="shared" si="119"/>
        <v>0</v>
      </c>
      <c r="EK67" s="62">
        <f t="shared" si="119"/>
        <v>0</v>
      </c>
      <c r="EL67" s="62">
        <f t="shared" si="119"/>
        <v>0</v>
      </c>
      <c r="EM67" s="62">
        <f t="shared" si="119"/>
        <v>0</v>
      </c>
      <c r="EN67" s="62">
        <f t="shared" si="119"/>
        <v>0</v>
      </c>
      <c r="EO67" s="62">
        <f t="shared" si="119"/>
        <v>0</v>
      </c>
      <c r="EP67" s="62">
        <f t="shared" si="119"/>
        <v>0</v>
      </c>
      <c r="EQ67" s="62">
        <f t="shared" si="119"/>
        <v>0</v>
      </c>
      <c r="ER67" s="62">
        <f t="shared" si="119"/>
        <v>0</v>
      </c>
      <c r="ES67" s="62">
        <f t="shared" si="119"/>
        <v>0</v>
      </c>
    </row>
    <row r="69" spans="1:149" x14ac:dyDescent="0.3">
      <c r="A69" s="15" t="s">
        <v>705</v>
      </c>
      <c r="B69" s="16"/>
      <c r="C69" s="16"/>
      <c r="D69" s="16"/>
      <c r="E69" s="16"/>
    </row>
    <row r="70" spans="1:149" x14ac:dyDescent="0.3">
      <c r="A70" s="14" t="s">
        <v>706</v>
      </c>
      <c r="B70" s="53" t="str">
        <f>IF(INDEX(Prod_Nombre,1)="","Producto 1",INDEX(Prod_Nombre,1))</f>
        <v>Gabinetes metálicos 153 kg</v>
      </c>
      <c r="C70" s="18" t="s">
        <v>680</v>
      </c>
      <c r="D70" s="61">
        <f>INDEX(MP_V,1)</f>
        <v>82.65</v>
      </c>
    </row>
    <row r="71" spans="1:149" x14ac:dyDescent="0.3">
      <c r="A71" s="14" t="s">
        <v>707</v>
      </c>
      <c r="B71" s="53" t="str">
        <f>IF(INDEX(Prod_Nombre,2)="","Producto 2",INDEX(Prod_Nombre,2))</f>
        <v>Cajas metálicas 13 kg</v>
      </c>
      <c r="C71" s="18" t="s">
        <v>680</v>
      </c>
      <c r="D71" s="61">
        <f>INDEX(MP_V,2)</f>
        <v>7.41</v>
      </c>
    </row>
    <row r="72" spans="1:149" x14ac:dyDescent="0.3">
      <c r="A72" s="14" t="s">
        <v>708</v>
      </c>
      <c r="B72" s="53" t="str">
        <f>IF(INDEX(Prod_Nombre,3)="","Producto 3",INDEX(Prod_Nombre,3))</f>
        <v>Producto 3</v>
      </c>
      <c r="C72" s="18" t="s">
        <v>680</v>
      </c>
      <c r="D72" s="61">
        <f>INDEX(MP_V,3)</f>
        <v>0</v>
      </c>
    </row>
    <row r="73" spans="1:149" x14ac:dyDescent="0.3">
      <c r="A73" s="14" t="s">
        <v>709</v>
      </c>
      <c r="B73" s="53" t="str">
        <f>IF(INDEX(Prod_Nombre,4)="","Producto 4",INDEX(Prod_Nombre,4))</f>
        <v>Producto 4</v>
      </c>
      <c r="C73" s="18" t="s">
        <v>680</v>
      </c>
      <c r="D73" s="61">
        <f>INDEX(MP_V,4)</f>
        <v>0</v>
      </c>
    </row>
    <row r="74" spans="1:149" x14ac:dyDescent="0.3">
      <c r="A74" s="14" t="s">
        <v>710</v>
      </c>
      <c r="B74" s="53" t="str">
        <f>IF(INDEX(Prod_Nombre,5)="","Producto 5",INDEX(Prod_Nombre,5))</f>
        <v>Producto 5</v>
      </c>
      <c r="C74" s="18" t="s">
        <v>680</v>
      </c>
      <c r="D74" s="61">
        <f>INDEX(MP_V,5)</f>
        <v>0</v>
      </c>
    </row>
    <row r="75" spans="1:149" x14ac:dyDescent="0.3">
      <c r="A75" s="14" t="s">
        <v>711</v>
      </c>
      <c r="B75" s="53" t="str">
        <f>IF(INDEX(Prod_Nombre,6)="","Producto 6",INDEX(Prod_Nombre,6))</f>
        <v>Producto 6</v>
      </c>
      <c r="C75" s="18" t="s">
        <v>680</v>
      </c>
      <c r="D75" s="61">
        <f>INDEX(MP_V,6)</f>
        <v>0</v>
      </c>
    </row>
    <row r="76" spans="1:149" x14ac:dyDescent="0.3">
      <c r="A76" s="14" t="s">
        <v>712</v>
      </c>
      <c r="B76" s="53" t="str">
        <f>IF(INDEX(Prod_Nombre,7)="","Producto 7",INDEX(Prod_Nombre,7))</f>
        <v>Producto 7</v>
      </c>
      <c r="C76" s="18" t="s">
        <v>680</v>
      </c>
      <c r="D76" s="61">
        <f>INDEX(MP_V,7)</f>
        <v>0</v>
      </c>
    </row>
    <row r="77" spans="1:149" x14ac:dyDescent="0.3">
      <c r="A77" s="14" t="s">
        <v>713</v>
      </c>
      <c r="B77" s="53" t="str">
        <f>IF(INDEX(Prod_Nombre,8)="","Producto 8",INDEX(Prod_Nombre,8))</f>
        <v>Producto 8</v>
      </c>
      <c r="C77" s="18" t="s">
        <v>680</v>
      </c>
      <c r="D77" s="61">
        <f>INDEX(MP_V,8)</f>
        <v>0</v>
      </c>
    </row>
    <row r="78" spans="1:149" x14ac:dyDescent="0.3">
      <c r="A78" s="14" t="s">
        <v>714</v>
      </c>
      <c r="B78" s="53" t="str">
        <f>IF(INDEX(Prod_Nombre,9)="","Producto 9",INDEX(Prod_Nombre,9))</f>
        <v>Producto 9</v>
      </c>
      <c r="C78" s="18" t="s">
        <v>680</v>
      </c>
      <c r="D78" s="61">
        <f>INDEX(MP_V,9)</f>
        <v>0</v>
      </c>
    </row>
    <row r="79" spans="1:149" x14ac:dyDescent="0.3">
      <c r="A79" s="14" t="s">
        <v>715</v>
      </c>
      <c r="B79" s="53" t="str">
        <f>IF(INDEX(Prod_Nombre,10)="","Producto 10",INDEX(Prod_Nombre,10))</f>
        <v>Producto 10</v>
      </c>
      <c r="C79" s="18" t="s">
        <v>680</v>
      </c>
      <c r="D79" s="61">
        <f>INDEX(MP_V,10)</f>
        <v>0</v>
      </c>
    </row>
    <row r="80" spans="1:149" x14ac:dyDescent="0.3">
      <c r="A80" s="14" t="s">
        <v>716</v>
      </c>
      <c r="B80" s="53" t="str">
        <f>IF(INDEX(Prod_Nombre,11)="","Producto 11",INDEX(Prod_Nombre,11))</f>
        <v>Producto 11</v>
      </c>
      <c r="C80" s="18" t="s">
        <v>680</v>
      </c>
      <c r="D80" s="61">
        <f>INDEX(MP_V,11)</f>
        <v>0</v>
      </c>
    </row>
    <row r="81" spans="1:149" x14ac:dyDescent="0.3">
      <c r="A81" s="14" t="s">
        <v>717</v>
      </c>
      <c r="B81" s="53" t="str">
        <f>IF(INDEX(Prod_Nombre,12)="","Producto 12",INDEX(Prod_Nombre,12))</f>
        <v>Producto 12</v>
      </c>
      <c r="C81" s="18" t="s">
        <v>680</v>
      </c>
      <c r="D81" s="61">
        <f>INDEX(MP_V,12)</f>
        <v>0</v>
      </c>
    </row>
    <row r="82" spans="1:149" x14ac:dyDescent="0.3">
      <c r="A82" s="14" t="s">
        <v>718</v>
      </c>
      <c r="B82" s="53" t="str">
        <f>IF(INDEX(Prod_Nombre,13)="","Producto 13",INDEX(Prod_Nombre,13))</f>
        <v>Producto 13</v>
      </c>
      <c r="C82" s="18" t="s">
        <v>680</v>
      </c>
      <c r="D82" s="61">
        <f>INDEX(MP_V,13)</f>
        <v>0</v>
      </c>
    </row>
    <row r="83" spans="1:149" x14ac:dyDescent="0.3">
      <c r="A83" s="14" t="s">
        <v>719</v>
      </c>
      <c r="B83" s="53" t="str">
        <f>IF(INDEX(Prod_Nombre,14)="","Producto 14",INDEX(Prod_Nombre,14))</f>
        <v>Producto 14</v>
      </c>
      <c r="C83" s="18" t="s">
        <v>680</v>
      </c>
      <c r="D83" s="61">
        <f>INDEX(MP_V,14)</f>
        <v>0</v>
      </c>
    </row>
    <row r="84" spans="1:149" x14ac:dyDescent="0.3">
      <c r="A84" s="14" t="s">
        <v>720</v>
      </c>
      <c r="B84" s="53" t="str">
        <f>IF(INDEX(Prod_Nombre,15)="","Producto 15",INDEX(Prod_Nombre,15))</f>
        <v>Producto 15</v>
      </c>
      <c r="C84" s="18" t="s">
        <v>680</v>
      </c>
      <c r="D84" s="61">
        <f>INDEX(MP_V,15)</f>
        <v>0</v>
      </c>
    </row>
    <row r="85" spans="1:149" x14ac:dyDescent="0.3">
      <c r="A85" s="14" t="s">
        <v>721</v>
      </c>
      <c r="B85" s="53" t="str">
        <f>IF(INDEX(Prod_Nombre,16)="","Producto 16",INDEX(Prod_Nombre,16))</f>
        <v>Producto 16</v>
      </c>
      <c r="C85" s="18" t="s">
        <v>680</v>
      </c>
      <c r="D85" s="61">
        <f>INDEX(MP_V,16)</f>
        <v>0</v>
      </c>
    </row>
    <row r="86" spans="1:149" x14ac:dyDescent="0.3">
      <c r="A86" s="14" t="s">
        <v>722</v>
      </c>
      <c r="B86" s="53" t="str">
        <f>IF(INDEX(Prod_Nombre,17)="","Producto 17",INDEX(Prod_Nombre,17))</f>
        <v>Producto 17</v>
      </c>
      <c r="C86" s="18" t="s">
        <v>680</v>
      </c>
      <c r="D86" s="61">
        <f>INDEX(MP_V,17)</f>
        <v>0</v>
      </c>
    </row>
    <row r="87" spans="1:149" x14ac:dyDescent="0.3">
      <c r="A87" s="14" t="s">
        <v>723</v>
      </c>
      <c r="B87" s="53" t="str">
        <f>IF(INDEX(Prod_Nombre,18)="","Producto 18",INDEX(Prod_Nombre,18))</f>
        <v>Producto 18</v>
      </c>
      <c r="C87" s="18" t="s">
        <v>680</v>
      </c>
      <c r="D87" s="61">
        <f>INDEX(MP_V,18)</f>
        <v>0</v>
      </c>
    </row>
    <row r="88" spans="1:149" x14ac:dyDescent="0.3">
      <c r="A88" s="14" t="s">
        <v>724</v>
      </c>
      <c r="B88" s="53" t="str">
        <f>IF(INDEX(Prod_Nombre,19)="","Producto 19",INDEX(Prod_Nombre,19))</f>
        <v>Producto 19</v>
      </c>
      <c r="C88" s="18" t="s">
        <v>680</v>
      </c>
      <c r="D88" s="61">
        <f>INDEX(MP_V,19)</f>
        <v>0</v>
      </c>
    </row>
    <row r="89" spans="1:149" x14ac:dyDescent="0.3">
      <c r="A89" s="14" t="s">
        <v>725</v>
      </c>
      <c r="B89" s="53" t="str">
        <f>IF(INDEX(Prod_Nombre,20)="","Producto 20",INDEX(Prod_Nombre,20))</f>
        <v>Producto 20</v>
      </c>
      <c r="C89" s="18" t="s">
        <v>680</v>
      </c>
      <c r="D89" s="61">
        <f>INDEX(MP_V,20)</f>
        <v>0</v>
      </c>
    </row>
    <row r="90" spans="1:149" x14ac:dyDescent="0.3">
      <c r="A90" s="14" t="s">
        <v>726</v>
      </c>
      <c r="B90" s="53" t="str">
        <f>IF(INDEX(Prod_Nombre,21)="","Producto 21",INDEX(Prod_Nombre,21))</f>
        <v>Producto 21</v>
      </c>
      <c r="C90" s="18" t="s">
        <v>680</v>
      </c>
      <c r="D90" s="61">
        <f>INDEX(MP_V,21)</f>
        <v>0</v>
      </c>
    </row>
    <row r="91" spans="1:149" x14ac:dyDescent="0.3">
      <c r="A91" s="14" t="s">
        <v>727</v>
      </c>
      <c r="B91" s="53" t="str">
        <f>IF(INDEX(Prod_Nombre,22)="","Producto 22",INDEX(Prod_Nombre,22))</f>
        <v>Producto 22</v>
      </c>
      <c r="C91" s="18" t="s">
        <v>680</v>
      </c>
      <c r="D91" s="61">
        <f>INDEX(MP_V,22)</f>
        <v>0</v>
      </c>
    </row>
    <row r="92" spans="1:149" x14ac:dyDescent="0.3">
      <c r="A92" s="14" t="s">
        <v>728</v>
      </c>
      <c r="B92" s="53" t="str">
        <f>IF(INDEX(Prod_Nombre,23)="","Producto 23",INDEX(Prod_Nombre,23))</f>
        <v>Producto 23</v>
      </c>
      <c r="C92" s="18" t="s">
        <v>680</v>
      </c>
      <c r="D92" s="61">
        <f>INDEX(MP_V,23)</f>
        <v>0</v>
      </c>
    </row>
    <row r="93" spans="1:149" x14ac:dyDescent="0.3">
      <c r="A93" s="14" t="s">
        <v>729</v>
      </c>
      <c r="B93" s="53" t="str">
        <f>IF(INDEX(Prod_Nombre,24)="","Producto 24",INDEX(Prod_Nombre,24))</f>
        <v>Producto 24</v>
      </c>
      <c r="C93" s="18" t="s">
        <v>680</v>
      </c>
      <c r="D93" s="61">
        <f>INDEX(MP_V,24)</f>
        <v>0</v>
      </c>
    </row>
    <row r="94" spans="1:149" x14ac:dyDescent="0.3">
      <c r="A94" s="14" t="s">
        <v>730</v>
      </c>
      <c r="B94" s="53" t="str">
        <f>IF(INDEX(Prod_Nombre,25)="","Producto 25",INDEX(Prod_Nombre,25))</f>
        <v>Producto 25</v>
      </c>
      <c r="C94" s="18" t="s">
        <v>680</v>
      </c>
      <c r="D94" s="61">
        <f>INDEX(MP_V,25)</f>
        <v>0</v>
      </c>
    </row>
    <row r="95" spans="1:149" x14ac:dyDescent="0.3">
      <c r="B95" s="14" t="s">
        <v>651</v>
      </c>
      <c r="F95" s="62">
        <f t="shared" ref="F95" si="120">COUNT(F70:F94)</f>
        <v>0</v>
      </c>
      <c r="G95" s="62">
        <f t="shared" ref="G95" si="121">COUNT(G70:G94)</f>
        <v>0</v>
      </c>
      <c r="H95" s="62">
        <f t="shared" ref="H95" si="122">COUNT(H70:H94)</f>
        <v>0</v>
      </c>
      <c r="I95" s="62">
        <f t="shared" ref="I95" si="123">COUNT(I70:I94)</f>
        <v>0</v>
      </c>
      <c r="J95" s="62">
        <f t="shared" ref="J95" si="124">COUNT(J70:J94)</f>
        <v>0</v>
      </c>
      <c r="K95" s="62">
        <f t="shared" ref="K95" si="125">COUNT(K70:K94)</f>
        <v>0</v>
      </c>
      <c r="L95" s="62">
        <f t="shared" ref="L95" si="126">COUNT(L70:L94)</f>
        <v>0</v>
      </c>
      <c r="M95" s="62">
        <f t="shared" ref="M95" si="127">COUNT(M70:M94)</f>
        <v>0</v>
      </c>
      <c r="N95" s="62">
        <f t="shared" ref="N95" si="128">COUNT(N70:N94)</f>
        <v>0</v>
      </c>
      <c r="O95" s="62">
        <f t="shared" ref="O95" si="129">COUNT(O70:O94)</f>
        <v>0</v>
      </c>
      <c r="P95" s="62">
        <f t="shared" ref="P95" si="130">COUNT(P70:P94)</f>
        <v>0</v>
      </c>
      <c r="Q95" s="62">
        <f t="shared" ref="Q95" si="131">COUNT(Q70:Q94)</f>
        <v>0</v>
      </c>
      <c r="R95" s="62">
        <f t="shared" ref="R95" si="132">COUNT(R70:R94)</f>
        <v>0</v>
      </c>
      <c r="S95" s="62">
        <f t="shared" ref="S95" si="133">COUNT(S70:S94)</f>
        <v>0</v>
      </c>
      <c r="T95" s="62">
        <f t="shared" ref="T95" si="134">COUNT(T70:T94)</f>
        <v>0</v>
      </c>
      <c r="U95" s="62">
        <f t="shared" ref="U95" si="135">COUNT(U70:U94)</f>
        <v>0</v>
      </c>
      <c r="V95" s="62">
        <f t="shared" ref="V95" si="136">COUNT(V70:V94)</f>
        <v>0</v>
      </c>
      <c r="W95" s="62">
        <f t="shared" ref="W95" si="137">COUNT(W70:W94)</f>
        <v>0</v>
      </c>
      <c r="X95" s="62">
        <f t="shared" ref="X95" si="138">COUNT(X70:X94)</f>
        <v>0</v>
      </c>
      <c r="Y95" s="62">
        <f t="shared" ref="Y95" si="139">COUNT(Y70:Y94)</f>
        <v>0</v>
      </c>
      <c r="Z95" s="62">
        <f t="shared" ref="Z95" si="140">COUNT(Z70:Z94)</f>
        <v>0</v>
      </c>
      <c r="AA95" s="62">
        <f t="shared" ref="AA95" si="141">COUNT(AA70:AA94)</f>
        <v>0</v>
      </c>
      <c r="AB95" s="62">
        <f t="shared" ref="AB95" si="142">COUNT(AB70:AB94)</f>
        <v>0</v>
      </c>
      <c r="AC95" s="62">
        <f t="shared" ref="AC95" si="143">COUNT(AC70:AC94)</f>
        <v>0</v>
      </c>
      <c r="AD95" s="62">
        <f t="shared" ref="AD95" si="144">COUNT(AD70:AD94)</f>
        <v>0</v>
      </c>
      <c r="AE95" s="62">
        <f t="shared" ref="AE95" si="145">COUNT(AE70:AE94)</f>
        <v>0</v>
      </c>
      <c r="AF95" s="62">
        <f t="shared" ref="AF95" si="146">COUNT(AF70:AF94)</f>
        <v>0</v>
      </c>
      <c r="AG95" s="62">
        <f t="shared" ref="AG95" si="147">COUNT(AG70:AG94)</f>
        <v>0</v>
      </c>
      <c r="AH95" s="62">
        <f t="shared" ref="AH95" si="148">COUNT(AH70:AH94)</f>
        <v>0</v>
      </c>
      <c r="AI95" s="62">
        <f t="shared" ref="AI95" si="149">COUNT(AI70:AI94)</f>
        <v>0</v>
      </c>
      <c r="AJ95" s="62">
        <f t="shared" ref="AJ95" si="150">COUNT(AJ70:AJ94)</f>
        <v>0</v>
      </c>
      <c r="AK95" s="62">
        <f t="shared" ref="AK95" si="151">COUNT(AK70:AK94)</f>
        <v>0</v>
      </c>
      <c r="AL95" s="62">
        <f t="shared" ref="AL95" si="152">COUNT(AL70:AL94)</f>
        <v>0</v>
      </c>
      <c r="AM95" s="62">
        <f t="shared" ref="AM95" si="153">COUNT(AM70:AM94)</f>
        <v>0</v>
      </c>
      <c r="AN95" s="62">
        <f t="shared" ref="AN95" si="154">COUNT(AN70:AN94)</f>
        <v>0</v>
      </c>
      <c r="AO95" s="62">
        <f t="shared" ref="AO95" si="155">COUNT(AO70:AO94)</f>
        <v>0</v>
      </c>
      <c r="AP95" s="62">
        <f t="shared" ref="AL95:BQ95" si="156">COUNT(AP70:AP94)</f>
        <v>0</v>
      </c>
      <c r="AQ95" s="62">
        <f t="shared" si="156"/>
        <v>0</v>
      </c>
      <c r="AR95" s="62">
        <f t="shared" si="156"/>
        <v>0</v>
      </c>
      <c r="AS95" s="62">
        <f t="shared" si="156"/>
        <v>0</v>
      </c>
      <c r="AT95" s="62">
        <f t="shared" si="156"/>
        <v>0</v>
      </c>
      <c r="AU95" s="62">
        <f t="shared" si="156"/>
        <v>0</v>
      </c>
      <c r="AV95" s="62">
        <f t="shared" si="156"/>
        <v>0</v>
      </c>
      <c r="AW95" s="62">
        <f t="shared" si="156"/>
        <v>0</v>
      </c>
      <c r="AX95" s="62">
        <f t="shared" si="156"/>
        <v>0</v>
      </c>
      <c r="AY95" s="62">
        <f t="shared" si="156"/>
        <v>0</v>
      </c>
      <c r="AZ95" s="62">
        <f t="shared" si="156"/>
        <v>0</v>
      </c>
      <c r="BA95" s="62">
        <f t="shared" si="156"/>
        <v>0</v>
      </c>
      <c r="BB95" s="62">
        <f t="shared" si="156"/>
        <v>0</v>
      </c>
      <c r="BC95" s="62">
        <f t="shared" si="156"/>
        <v>0</v>
      </c>
      <c r="BD95" s="62">
        <f t="shared" si="156"/>
        <v>0</v>
      </c>
      <c r="BE95" s="62">
        <f t="shared" si="156"/>
        <v>0</v>
      </c>
      <c r="BF95" s="62">
        <f t="shared" si="156"/>
        <v>0</v>
      </c>
      <c r="BG95" s="62">
        <f t="shared" si="156"/>
        <v>0</v>
      </c>
      <c r="BH95" s="62">
        <f t="shared" si="156"/>
        <v>0</v>
      </c>
      <c r="BI95" s="62">
        <f t="shared" si="156"/>
        <v>0</v>
      </c>
      <c r="BJ95" s="62">
        <f t="shared" si="156"/>
        <v>0</v>
      </c>
      <c r="BK95" s="62">
        <f t="shared" si="156"/>
        <v>0</v>
      </c>
      <c r="BL95" s="62">
        <f t="shared" si="156"/>
        <v>0</v>
      </c>
      <c r="BM95" s="62">
        <f t="shared" si="156"/>
        <v>0</v>
      </c>
      <c r="BN95" s="62">
        <f t="shared" si="156"/>
        <v>0</v>
      </c>
      <c r="BO95" s="62">
        <f t="shared" si="156"/>
        <v>0</v>
      </c>
      <c r="BP95" s="62">
        <f t="shared" si="156"/>
        <v>0</v>
      </c>
      <c r="BQ95" s="62">
        <f t="shared" si="156"/>
        <v>0</v>
      </c>
      <c r="BR95" s="62">
        <f t="shared" ref="BR95:CW95" si="157">COUNT(BR70:BR94)</f>
        <v>0</v>
      </c>
      <c r="BS95" s="62">
        <f t="shared" si="157"/>
        <v>0</v>
      </c>
      <c r="BT95" s="62">
        <f t="shared" si="157"/>
        <v>0</v>
      </c>
      <c r="BU95" s="62">
        <f t="shared" si="157"/>
        <v>0</v>
      </c>
      <c r="BV95" s="62">
        <f t="shared" si="157"/>
        <v>0</v>
      </c>
      <c r="BW95" s="62">
        <f t="shared" si="157"/>
        <v>0</v>
      </c>
      <c r="BX95" s="62">
        <f t="shared" si="157"/>
        <v>0</v>
      </c>
      <c r="BY95" s="62">
        <f t="shared" si="157"/>
        <v>0</v>
      </c>
      <c r="BZ95" s="62">
        <f t="shared" si="157"/>
        <v>0</v>
      </c>
      <c r="CA95" s="62">
        <f t="shared" si="157"/>
        <v>0</v>
      </c>
      <c r="CB95" s="62">
        <f t="shared" si="157"/>
        <v>0</v>
      </c>
      <c r="CC95" s="62">
        <f t="shared" si="157"/>
        <v>0</v>
      </c>
      <c r="CD95" s="62">
        <f t="shared" si="157"/>
        <v>0</v>
      </c>
      <c r="CE95" s="62">
        <f t="shared" si="157"/>
        <v>0</v>
      </c>
      <c r="CF95" s="62">
        <f t="shared" si="157"/>
        <v>0</v>
      </c>
      <c r="CG95" s="62">
        <f t="shared" si="157"/>
        <v>0</v>
      </c>
      <c r="CH95" s="62">
        <f t="shared" si="157"/>
        <v>0</v>
      </c>
      <c r="CI95" s="62">
        <f t="shared" si="157"/>
        <v>0</v>
      </c>
      <c r="CJ95" s="62">
        <f t="shared" si="157"/>
        <v>0</v>
      </c>
      <c r="CK95" s="62">
        <f t="shared" si="157"/>
        <v>0</v>
      </c>
      <c r="CL95" s="62">
        <f t="shared" si="157"/>
        <v>0</v>
      </c>
      <c r="CM95" s="62">
        <f t="shared" si="157"/>
        <v>0</v>
      </c>
      <c r="CN95" s="62">
        <f t="shared" si="157"/>
        <v>0</v>
      </c>
      <c r="CO95" s="62">
        <f t="shared" si="157"/>
        <v>0</v>
      </c>
      <c r="CP95" s="62">
        <f t="shared" si="157"/>
        <v>0</v>
      </c>
      <c r="CQ95" s="62">
        <f t="shared" si="157"/>
        <v>0</v>
      </c>
      <c r="CR95" s="62">
        <f t="shared" si="157"/>
        <v>0</v>
      </c>
      <c r="CS95" s="62">
        <f t="shared" si="157"/>
        <v>0</v>
      </c>
      <c r="CT95" s="62">
        <f t="shared" si="157"/>
        <v>0</v>
      </c>
      <c r="CU95" s="62">
        <f t="shared" si="157"/>
        <v>0</v>
      </c>
      <c r="CV95" s="62">
        <f t="shared" si="157"/>
        <v>0</v>
      </c>
      <c r="CW95" s="62">
        <f t="shared" si="157"/>
        <v>0</v>
      </c>
      <c r="CX95" s="62">
        <f t="shared" ref="CX95:EC95" si="158">COUNT(CX70:CX94)</f>
        <v>0</v>
      </c>
      <c r="CY95" s="62">
        <f t="shared" si="158"/>
        <v>0</v>
      </c>
      <c r="CZ95" s="62">
        <f t="shared" si="158"/>
        <v>0</v>
      </c>
      <c r="DA95" s="62">
        <f t="shared" si="158"/>
        <v>0</v>
      </c>
      <c r="DB95" s="62">
        <f t="shared" si="158"/>
        <v>0</v>
      </c>
      <c r="DC95" s="62">
        <f t="shared" si="158"/>
        <v>0</v>
      </c>
      <c r="DD95" s="62">
        <f t="shared" si="158"/>
        <v>0</v>
      </c>
      <c r="DE95" s="62">
        <f t="shared" si="158"/>
        <v>0</v>
      </c>
      <c r="DF95" s="62">
        <f t="shared" si="158"/>
        <v>0</v>
      </c>
      <c r="DG95" s="62">
        <f t="shared" si="158"/>
        <v>0</v>
      </c>
      <c r="DH95" s="62">
        <f t="shared" si="158"/>
        <v>0</v>
      </c>
      <c r="DI95" s="62">
        <f t="shared" si="158"/>
        <v>0</v>
      </c>
      <c r="DJ95" s="62">
        <f t="shared" si="158"/>
        <v>0</v>
      </c>
      <c r="DK95" s="62">
        <f t="shared" si="158"/>
        <v>0</v>
      </c>
      <c r="DL95" s="62">
        <f t="shared" si="158"/>
        <v>0</v>
      </c>
      <c r="DM95" s="62">
        <f t="shared" si="158"/>
        <v>0</v>
      </c>
      <c r="DN95" s="62">
        <f t="shared" si="158"/>
        <v>0</v>
      </c>
      <c r="DO95" s="62">
        <f t="shared" si="158"/>
        <v>0</v>
      </c>
      <c r="DP95" s="62">
        <f t="shared" si="158"/>
        <v>0</v>
      </c>
      <c r="DQ95" s="62">
        <f t="shared" si="158"/>
        <v>0</v>
      </c>
      <c r="DR95" s="62">
        <f t="shared" si="158"/>
        <v>0</v>
      </c>
      <c r="DS95" s="62">
        <f t="shared" si="158"/>
        <v>0</v>
      </c>
      <c r="DT95" s="62">
        <f t="shared" si="158"/>
        <v>0</v>
      </c>
      <c r="DU95" s="62">
        <f t="shared" si="158"/>
        <v>0</v>
      </c>
      <c r="DV95" s="62">
        <f t="shared" si="158"/>
        <v>0</v>
      </c>
      <c r="DW95" s="62">
        <f t="shared" si="158"/>
        <v>0</v>
      </c>
      <c r="DX95" s="62">
        <f t="shared" si="158"/>
        <v>0</v>
      </c>
      <c r="DY95" s="62">
        <f t="shared" si="158"/>
        <v>0</v>
      </c>
      <c r="DZ95" s="62">
        <f t="shared" si="158"/>
        <v>0</v>
      </c>
      <c r="EA95" s="62">
        <f t="shared" si="158"/>
        <v>0</v>
      </c>
      <c r="EB95" s="62">
        <f t="shared" si="158"/>
        <v>0</v>
      </c>
      <c r="EC95" s="62">
        <f t="shared" si="158"/>
        <v>0</v>
      </c>
      <c r="ED95" s="62">
        <f t="shared" ref="ED95:ES95" si="159">COUNT(ED70:ED94)</f>
        <v>0</v>
      </c>
      <c r="EE95" s="62">
        <f t="shared" si="159"/>
        <v>0</v>
      </c>
      <c r="EF95" s="62">
        <f t="shared" si="159"/>
        <v>0</v>
      </c>
      <c r="EG95" s="62">
        <f t="shared" si="159"/>
        <v>0</v>
      </c>
      <c r="EH95" s="62">
        <f t="shared" si="159"/>
        <v>0</v>
      </c>
      <c r="EI95" s="62">
        <f t="shared" si="159"/>
        <v>0</v>
      </c>
      <c r="EJ95" s="62">
        <f t="shared" si="159"/>
        <v>0</v>
      </c>
      <c r="EK95" s="62">
        <f t="shared" si="159"/>
        <v>0</v>
      </c>
      <c r="EL95" s="62">
        <f t="shared" si="159"/>
        <v>0</v>
      </c>
      <c r="EM95" s="62">
        <f t="shared" si="159"/>
        <v>0</v>
      </c>
      <c r="EN95" s="62">
        <f t="shared" si="159"/>
        <v>0</v>
      </c>
      <c r="EO95" s="62">
        <f t="shared" si="159"/>
        <v>0</v>
      </c>
      <c r="EP95" s="62">
        <f t="shared" si="159"/>
        <v>0</v>
      </c>
      <c r="EQ95" s="62">
        <f t="shared" si="159"/>
        <v>0</v>
      </c>
      <c r="ER95" s="62">
        <f t="shared" si="159"/>
        <v>0</v>
      </c>
      <c r="ES95" s="62">
        <f t="shared" si="159"/>
        <v>0</v>
      </c>
    </row>
    <row r="97" spans="1:5" x14ac:dyDescent="0.3">
      <c r="A97" s="15" t="s">
        <v>731</v>
      </c>
      <c r="B97" s="16"/>
      <c r="C97" s="16"/>
      <c r="D97" s="16"/>
      <c r="E97" s="16"/>
    </row>
    <row r="98" spans="1:5" x14ac:dyDescent="0.3">
      <c r="A98" s="14" t="s">
        <v>732</v>
      </c>
      <c r="B98" s="53" t="str">
        <f>IF(INDEX(Prod_Nombre,1)="","Producto 1",INDEX(Prod_Nombre,1))</f>
        <v>Gabinetes metálicos 153 kg</v>
      </c>
      <c r="C98" s="18" t="s">
        <v>680</v>
      </c>
      <c r="D98" s="61">
        <f>INDEX(INS_V,1)</f>
        <v>45</v>
      </c>
    </row>
    <row r="99" spans="1:5" x14ac:dyDescent="0.3">
      <c r="A99" s="14" t="s">
        <v>733</v>
      </c>
      <c r="B99" s="53" t="str">
        <f>IF(INDEX(Prod_Nombre,2)="","Producto 2",INDEX(Prod_Nombre,2))</f>
        <v>Cajas metálicas 13 kg</v>
      </c>
      <c r="C99" s="18" t="s">
        <v>680</v>
      </c>
      <c r="D99" s="61">
        <f>INDEX(INS_V,2)</f>
        <v>4.851</v>
      </c>
    </row>
    <row r="100" spans="1:5" x14ac:dyDescent="0.3">
      <c r="A100" s="14" t="s">
        <v>734</v>
      </c>
      <c r="B100" s="53" t="str">
        <f>IF(INDEX(Prod_Nombre,3)="","Producto 3",INDEX(Prod_Nombre,3))</f>
        <v>Producto 3</v>
      </c>
      <c r="C100" s="18" t="s">
        <v>680</v>
      </c>
      <c r="D100" s="61">
        <f>INDEX(INS_V,3)</f>
        <v>0</v>
      </c>
    </row>
    <row r="101" spans="1:5" x14ac:dyDescent="0.3">
      <c r="A101" s="14" t="s">
        <v>735</v>
      </c>
      <c r="B101" s="53" t="str">
        <f>IF(INDEX(Prod_Nombre,4)="","Producto 4",INDEX(Prod_Nombre,4))</f>
        <v>Producto 4</v>
      </c>
      <c r="C101" s="18" t="s">
        <v>680</v>
      </c>
      <c r="D101" s="61">
        <f>INDEX(INS_V,4)</f>
        <v>0</v>
      </c>
    </row>
    <row r="102" spans="1:5" x14ac:dyDescent="0.3">
      <c r="A102" s="14" t="s">
        <v>736</v>
      </c>
      <c r="B102" s="53" t="str">
        <f>IF(INDEX(Prod_Nombre,5)="","Producto 5",INDEX(Prod_Nombre,5))</f>
        <v>Producto 5</v>
      </c>
      <c r="C102" s="18" t="s">
        <v>680</v>
      </c>
      <c r="D102" s="61">
        <f>INDEX(INS_V,5)</f>
        <v>0</v>
      </c>
    </row>
    <row r="103" spans="1:5" x14ac:dyDescent="0.3">
      <c r="A103" s="14" t="s">
        <v>737</v>
      </c>
      <c r="B103" s="53" t="str">
        <f>IF(INDEX(Prod_Nombre,6)="","Producto 6",INDEX(Prod_Nombre,6))</f>
        <v>Producto 6</v>
      </c>
      <c r="C103" s="18" t="s">
        <v>680</v>
      </c>
      <c r="D103" s="61">
        <f>INDEX(INS_V,6)</f>
        <v>0</v>
      </c>
    </row>
    <row r="104" spans="1:5" x14ac:dyDescent="0.3">
      <c r="A104" s="14" t="s">
        <v>738</v>
      </c>
      <c r="B104" s="53" t="str">
        <f>IF(INDEX(Prod_Nombre,7)="","Producto 7",INDEX(Prod_Nombre,7))</f>
        <v>Producto 7</v>
      </c>
      <c r="C104" s="18" t="s">
        <v>680</v>
      </c>
      <c r="D104" s="61">
        <f>INDEX(INS_V,7)</f>
        <v>0</v>
      </c>
    </row>
    <row r="105" spans="1:5" x14ac:dyDescent="0.3">
      <c r="A105" s="14" t="s">
        <v>739</v>
      </c>
      <c r="B105" s="53" t="str">
        <f>IF(INDEX(Prod_Nombre,8)="","Producto 8",INDEX(Prod_Nombre,8))</f>
        <v>Producto 8</v>
      </c>
      <c r="C105" s="18" t="s">
        <v>680</v>
      </c>
      <c r="D105" s="61">
        <f>INDEX(INS_V,8)</f>
        <v>0</v>
      </c>
    </row>
    <row r="106" spans="1:5" x14ac:dyDescent="0.3">
      <c r="A106" s="14" t="s">
        <v>740</v>
      </c>
      <c r="B106" s="53" t="str">
        <f>IF(INDEX(Prod_Nombre,9)="","Producto 9",INDEX(Prod_Nombre,9))</f>
        <v>Producto 9</v>
      </c>
      <c r="C106" s="18" t="s">
        <v>680</v>
      </c>
      <c r="D106" s="61">
        <f>INDEX(INS_V,9)</f>
        <v>0</v>
      </c>
    </row>
    <row r="107" spans="1:5" x14ac:dyDescent="0.3">
      <c r="A107" s="14" t="s">
        <v>741</v>
      </c>
      <c r="B107" s="53" t="str">
        <f>IF(INDEX(Prod_Nombre,10)="","Producto 10",INDEX(Prod_Nombre,10))</f>
        <v>Producto 10</v>
      </c>
      <c r="C107" s="18" t="s">
        <v>680</v>
      </c>
      <c r="D107" s="61">
        <f>INDEX(INS_V,10)</f>
        <v>0</v>
      </c>
    </row>
    <row r="108" spans="1:5" x14ac:dyDescent="0.3">
      <c r="A108" s="14" t="s">
        <v>742</v>
      </c>
      <c r="B108" s="53" t="str">
        <f>IF(INDEX(Prod_Nombre,11)="","Producto 11",INDEX(Prod_Nombre,11))</f>
        <v>Producto 11</v>
      </c>
      <c r="C108" s="18" t="s">
        <v>680</v>
      </c>
      <c r="D108" s="61">
        <f>INDEX(INS_V,11)</f>
        <v>0</v>
      </c>
    </row>
    <row r="109" spans="1:5" x14ac:dyDescent="0.3">
      <c r="A109" s="14" t="s">
        <v>743</v>
      </c>
      <c r="B109" s="53" t="str">
        <f>IF(INDEX(Prod_Nombre,12)="","Producto 12",INDEX(Prod_Nombre,12))</f>
        <v>Producto 12</v>
      </c>
      <c r="C109" s="18" t="s">
        <v>680</v>
      </c>
      <c r="D109" s="61">
        <f>INDEX(INS_V,12)</f>
        <v>0</v>
      </c>
    </row>
    <row r="110" spans="1:5" x14ac:dyDescent="0.3">
      <c r="A110" s="14" t="s">
        <v>744</v>
      </c>
      <c r="B110" s="53" t="str">
        <f>IF(INDEX(Prod_Nombre,13)="","Producto 13",INDEX(Prod_Nombre,13))</f>
        <v>Producto 13</v>
      </c>
      <c r="C110" s="18" t="s">
        <v>680</v>
      </c>
      <c r="D110" s="61">
        <f>INDEX(INS_V,13)</f>
        <v>0</v>
      </c>
    </row>
    <row r="111" spans="1:5" x14ac:dyDescent="0.3">
      <c r="A111" s="14" t="s">
        <v>745</v>
      </c>
      <c r="B111" s="53" t="str">
        <f>IF(INDEX(Prod_Nombre,14)="","Producto 14",INDEX(Prod_Nombre,14))</f>
        <v>Producto 14</v>
      </c>
      <c r="C111" s="18" t="s">
        <v>680</v>
      </c>
      <c r="D111" s="61">
        <f>INDEX(INS_V,14)</f>
        <v>0</v>
      </c>
    </row>
    <row r="112" spans="1:5" x14ac:dyDescent="0.3">
      <c r="A112" s="14" t="s">
        <v>746</v>
      </c>
      <c r="B112" s="53" t="str">
        <f>IF(INDEX(Prod_Nombre,15)="","Producto 15",INDEX(Prod_Nombre,15))</f>
        <v>Producto 15</v>
      </c>
      <c r="C112" s="18" t="s">
        <v>680</v>
      </c>
      <c r="D112" s="61">
        <f>INDEX(INS_V,15)</f>
        <v>0</v>
      </c>
    </row>
    <row r="113" spans="1:149" x14ac:dyDescent="0.3">
      <c r="A113" s="14" t="s">
        <v>747</v>
      </c>
      <c r="B113" s="53" t="str">
        <f>IF(INDEX(Prod_Nombre,16)="","Producto 16",INDEX(Prod_Nombre,16))</f>
        <v>Producto 16</v>
      </c>
      <c r="C113" s="18" t="s">
        <v>680</v>
      </c>
      <c r="D113" s="61">
        <f>INDEX(INS_V,16)</f>
        <v>0</v>
      </c>
    </row>
    <row r="114" spans="1:149" x14ac:dyDescent="0.3">
      <c r="A114" s="14" t="s">
        <v>748</v>
      </c>
      <c r="B114" s="53" t="str">
        <f>IF(INDEX(Prod_Nombre,17)="","Producto 17",INDEX(Prod_Nombre,17))</f>
        <v>Producto 17</v>
      </c>
      <c r="C114" s="18" t="s">
        <v>680</v>
      </c>
      <c r="D114" s="61">
        <f>INDEX(INS_V,17)</f>
        <v>0</v>
      </c>
    </row>
    <row r="115" spans="1:149" x14ac:dyDescent="0.3">
      <c r="A115" s="14" t="s">
        <v>749</v>
      </c>
      <c r="B115" s="53" t="str">
        <f>IF(INDEX(Prod_Nombre,18)="","Producto 18",INDEX(Prod_Nombre,18))</f>
        <v>Producto 18</v>
      </c>
      <c r="C115" s="18" t="s">
        <v>680</v>
      </c>
      <c r="D115" s="61">
        <f>INDEX(INS_V,18)</f>
        <v>0</v>
      </c>
    </row>
    <row r="116" spans="1:149" x14ac:dyDescent="0.3">
      <c r="A116" s="14" t="s">
        <v>750</v>
      </c>
      <c r="B116" s="53" t="str">
        <f>IF(INDEX(Prod_Nombre,19)="","Producto 19",INDEX(Prod_Nombre,19))</f>
        <v>Producto 19</v>
      </c>
      <c r="C116" s="18" t="s">
        <v>680</v>
      </c>
      <c r="D116" s="61">
        <f>INDEX(INS_V,19)</f>
        <v>0</v>
      </c>
    </row>
    <row r="117" spans="1:149" x14ac:dyDescent="0.3">
      <c r="A117" s="14" t="s">
        <v>751</v>
      </c>
      <c r="B117" s="53" t="str">
        <f>IF(INDEX(Prod_Nombre,20)="","Producto 20",INDEX(Prod_Nombre,20))</f>
        <v>Producto 20</v>
      </c>
      <c r="C117" s="18" t="s">
        <v>680</v>
      </c>
      <c r="D117" s="61">
        <f>INDEX(INS_V,20)</f>
        <v>0</v>
      </c>
    </row>
    <row r="118" spans="1:149" x14ac:dyDescent="0.3">
      <c r="A118" s="14" t="s">
        <v>752</v>
      </c>
      <c r="B118" s="53" t="str">
        <f>IF(INDEX(Prod_Nombre,21)="","Producto 21",INDEX(Prod_Nombre,21))</f>
        <v>Producto 21</v>
      </c>
      <c r="C118" s="18" t="s">
        <v>680</v>
      </c>
      <c r="D118" s="61">
        <f>INDEX(INS_V,21)</f>
        <v>0</v>
      </c>
    </row>
    <row r="119" spans="1:149" x14ac:dyDescent="0.3">
      <c r="A119" s="14" t="s">
        <v>753</v>
      </c>
      <c r="B119" s="53" t="str">
        <f>IF(INDEX(Prod_Nombre,22)="","Producto 22",INDEX(Prod_Nombre,22))</f>
        <v>Producto 22</v>
      </c>
      <c r="C119" s="18" t="s">
        <v>680</v>
      </c>
      <c r="D119" s="61">
        <f>INDEX(INS_V,22)</f>
        <v>0</v>
      </c>
    </row>
    <row r="120" spans="1:149" x14ac:dyDescent="0.3">
      <c r="A120" s="14" t="s">
        <v>754</v>
      </c>
      <c r="B120" s="53" t="str">
        <f>IF(INDEX(Prod_Nombre,23)="","Producto 23",INDEX(Prod_Nombre,23))</f>
        <v>Producto 23</v>
      </c>
      <c r="C120" s="18" t="s">
        <v>680</v>
      </c>
      <c r="D120" s="61">
        <f>INDEX(INS_V,23)</f>
        <v>0</v>
      </c>
    </row>
    <row r="121" spans="1:149" x14ac:dyDescent="0.3">
      <c r="A121" s="14" t="s">
        <v>755</v>
      </c>
      <c r="B121" s="53" t="str">
        <f>IF(INDEX(Prod_Nombre,24)="","Producto 24",INDEX(Prod_Nombre,24))</f>
        <v>Producto 24</v>
      </c>
      <c r="C121" s="18" t="s">
        <v>680</v>
      </c>
      <c r="D121" s="61">
        <f>INDEX(INS_V,24)</f>
        <v>0</v>
      </c>
    </row>
    <row r="122" spans="1:149" x14ac:dyDescent="0.3">
      <c r="A122" s="14" t="s">
        <v>756</v>
      </c>
      <c r="B122" s="53" t="str">
        <f>IF(INDEX(Prod_Nombre,25)="","Producto 25",INDEX(Prod_Nombre,25))</f>
        <v>Producto 25</v>
      </c>
      <c r="C122" s="18" t="s">
        <v>680</v>
      </c>
      <c r="D122" s="61">
        <f>INDEX(INS_V,25)</f>
        <v>0</v>
      </c>
    </row>
    <row r="123" spans="1:149" x14ac:dyDescent="0.3">
      <c r="B123" s="14" t="s">
        <v>651</v>
      </c>
      <c r="F123" s="62">
        <f t="shared" ref="F123" si="160">COUNT(F98:F122)</f>
        <v>0</v>
      </c>
      <c r="G123" s="62">
        <f t="shared" ref="G123" si="161">COUNT(G98:G122)</f>
        <v>0</v>
      </c>
      <c r="H123" s="62">
        <f t="shared" ref="H123" si="162">COUNT(H98:H122)</f>
        <v>0</v>
      </c>
      <c r="I123" s="62">
        <f t="shared" ref="I123" si="163">COUNT(I98:I122)</f>
        <v>0</v>
      </c>
      <c r="J123" s="62">
        <f t="shared" ref="J123" si="164">COUNT(J98:J122)</f>
        <v>0</v>
      </c>
      <c r="K123" s="62">
        <f t="shared" ref="K123" si="165">COUNT(K98:K122)</f>
        <v>0</v>
      </c>
      <c r="L123" s="62">
        <f t="shared" ref="L123" si="166">COUNT(L98:L122)</f>
        <v>0</v>
      </c>
      <c r="M123" s="62">
        <f t="shared" ref="M123" si="167">COUNT(M98:M122)</f>
        <v>0</v>
      </c>
      <c r="N123" s="62">
        <f t="shared" ref="N123" si="168">COUNT(N98:N122)</f>
        <v>0</v>
      </c>
      <c r="O123" s="62">
        <f t="shared" ref="O123" si="169">COUNT(O98:O122)</f>
        <v>0</v>
      </c>
      <c r="P123" s="62">
        <f t="shared" ref="P123" si="170">COUNT(P98:P122)</f>
        <v>0</v>
      </c>
      <c r="Q123" s="62">
        <f t="shared" ref="Q123" si="171">COUNT(Q98:Q122)</f>
        <v>0</v>
      </c>
      <c r="R123" s="62">
        <f t="shared" ref="R123" si="172">COUNT(R98:R122)</f>
        <v>0</v>
      </c>
      <c r="S123" s="62">
        <f t="shared" ref="S123" si="173">COUNT(S98:S122)</f>
        <v>0</v>
      </c>
      <c r="T123" s="62">
        <f t="shared" ref="T123" si="174">COUNT(T98:T122)</f>
        <v>0</v>
      </c>
      <c r="U123" s="62">
        <f t="shared" ref="U123" si="175">COUNT(U98:U122)</f>
        <v>0</v>
      </c>
      <c r="V123" s="62">
        <f t="shared" ref="V123" si="176">COUNT(V98:V122)</f>
        <v>0</v>
      </c>
      <c r="W123" s="62">
        <f t="shared" ref="W123" si="177">COUNT(W98:W122)</f>
        <v>0</v>
      </c>
      <c r="X123" s="62">
        <f t="shared" ref="X123" si="178">COUNT(X98:X122)</f>
        <v>0</v>
      </c>
      <c r="Y123" s="62">
        <f t="shared" ref="Y123" si="179">COUNT(Y98:Y122)</f>
        <v>0</v>
      </c>
      <c r="Z123" s="62">
        <f t="shared" ref="Z123" si="180">COUNT(Z98:Z122)</f>
        <v>0</v>
      </c>
      <c r="AA123" s="62">
        <f t="shared" ref="AA123" si="181">COUNT(AA98:AA122)</f>
        <v>0</v>
      </c>
      <c r="AB123" s="62">
        <f t="shared" ref="AB123" si="182">COUNT(AB98:AB122)</f>
        <v>0</v>
      </c>
      <c r="AC123" s="62">
        <f t="shared" ref="AC123" si="183">COUNT(AC98:AC122)</f>
        <v>0</v>
      </c>
      <c r="AD123" s="62">
        <f t="shared" ref="AD123" si="184">COUNT(AD98:AD122)</f>
        <v>0</v>
      </c>
      <c r="AE123" s="62">
        <f t="shared" ref="AE123" si="185">COUNT(AE98:AE122)</f>
        <v>0</v>
      </c>
      <c r="AF123" s="62">
        <f t="shared" ref="AF123" si="186">COUNT(AF98:AF122)</f>
        <v>0</v>
      </c>
      <c r="AG123" s="62">
        <f t="shared" ref="AG123" si="187">COUNT(AG98:AG122)</f>
        <v>0</v>
      </c>
      <c r="AH123" s="62">
        <f t="shared" ref="AH123" si="188">COUNT(AH98:AH122)</f>
        <v>0</v>
      </c>
      <c r="AI123" s="62">
        <f t="shared" ref="AI123" si="189">COUNT(AI98:AI122)</f>
        <v>0</v>
      </c>
      <c r="AJ123" s="62">
        <f t="shared" ref="AJ123" si="190">COUNT(AJ98:AJ122)</f>
        <v>0</v>
      </c>
      <c r="AK123" s="62">
        <f t="shared" ref="AK123" si="191">COUNT(AK98:AK122)</f>
        <v>0</v>
      </c>
      <c r="AL123" s="62">
        <f t="shared" ref="AL123" si="192">COUNT(AL98:AL122)</f>
        <v>0</v>
      </c>
      <c r="AM123" s="62">
        <f t="shared" ref="AM123" si="193">COUNT(AM98:AM122)</f>
        <v>0</v>
      </c>
      <c r="AN123" s="62">
        <f t="shared" ref="AN123" si="194">COUNT(AN98:AN122)</f>
        <v>0</v>
      </c>
      <c r="AO123" s="62">
        <f t="shared" ref="AO123" si="195">COUNT(AO98:AO122)</f>
        <v>0</v>
      </c>
      <c r="AP123" s="62">
        <f t="shared" ref="AL123:BQ123" si="196">COUNT(AP98:AP122)</f>
        <v>0</v>
      </c>
      <c r="AQ123" s="62">
        <f t="shared" si="196"/>
        <v>0</v>
      </c>
      <c r="AR123" s="62">
        <f t="shared" si="196"/>
        <v>0</v>
      </c>
      <c r="AS123" s="62">
        <f t="shared" si="196"/>
        <v>0</v>
      </c>
      <c r="AT123" s="62">
        <f t="shared" si="196"/>
        <v>0</v>
      </c>
      <c r="AU123" s="62">
        <f t="shared" si="196"/>
        <v>0</v>
      </c>
      <c r="AV123" s="62">
        <f t="shared" si="196"/>
        <v>0</v>
      </c>
      <c r="AW123" s="62">
        <f t="shared" si="196"/>
        <v>0</v>
      </c>
      <c r="AX123" s="62">
        <f t="shared" si="196"/>
        <v>0</v>
      </c>
      <c r="AY123" s="62">
        <f t="shared" si="196"/>
        <v>0</v>
      </c>
      <c r="AZ123" s="62">
        <f t="shared" si="196"/>
        <v>0</v>
      </c>
      <c r="BA123" s="62">
        <f t="shared" si="196"/>
        <v>0</v>
      </c>
      <c r="BB123" s="62">
        <f t="shared" si="196"/>
        <v>0</v>
      </c>
      <c r="BC123" s="62">
        <f t="shared" si="196"/>
        <v>0</v>
      </c>
      <c r="BD123" s="62">
        <f t="shared" si="196"/>
        <v>0</v>
      </c>
      <c r="BE123" s="62">
        <f t="shared" si="196"/>
        <v>0</v>
      </c>
      <c r="BF123" s="62">
        <f t="shared" si="196"/>
        <v>0</v>
      </c>
      <c r="BG123" s="62">
        <f t="shared" si="196"/>
        <v>0</v>
      </c>
      <c r="BH123" s="62">
        <f t="shared" si="196"/>
        <v>0</v>
      </c>
      <c r="BI123" s="62">
        <f t="shared" si="196"/>
        <v>0</v>
      </c>
      <c r="BJ123" s="62">
        <f t="shared" si="196"/>
        <v>0</v>
      </c>
      <c r="BK123" s="62">
        <f t="shared" si="196"/>
        <v>0</v>
      </c>
      <c r="BL123" s="62">
        <f t="shared" si="196"/>
        <v>0</v>
      </c>
      <c r="BM123" s="62">
        <f t="shared" si="196"/>
        <v>0</v>
      </c>
      <c r="BN123" s="62">
        <f t="shared" si="196"/>
        <v>0</v>
      </c>
      <c r="BO123" s="62">
        <f t="shared" si="196"/>
        <v>0</v>
      </c>
      <c r="BP123" s="62">
        <f t="shared" si="196"/>
        <v>0</v>
      </c>
      <c r="BQ123" s="62">
        <f t="shared" si="196"/>
        <v>0</v>
      </c>
      <c r="BR123" s="62">
        <f t="shared" ref="BR123:CW123" si="197">COUNT(BR98:BR122)</f>
        <v>0</v>
      </c>
      <c r="BS123" s="62">
        <f t="shared" si="197"/>
        <v>0</v>
      </c>
      <c r="BT123" s="62">
        <f t="shared" si="197"/>
        <v>0</v>
      </c>
      <c r="BU123" s="62">
        <f t="shared" si="197"/>
        <v>0</v>
      </c>
      <c r="BV123" s="62">
        <f t="shared" si="197"/>
        <v>0</v>
      </c>
      <c r="BW123" s="62">
        <f t="shared" si="197"/>
        <v>0</v>
      </c>
      <c r="BX123" s="62">
        <f t="shared" si="197"/>
        <v>0</v>
      </c>
      <c r="BY123" s="62">
        <f t="shared" si="197"/>
        <v>0</v>
      </c>
      <c r="BZ123" s="62">
        <f t="shared" si="197"/>
        <v>0</v>
      </c>
      <c r="CA123" s="62">
        <f t="shared" si="197"/>
        <v>0</v>
      </c>
      <c r="CB123" s="62">
        <f t="shared" si="197"/>
        <v>0</v>
      </c>
      <c r="CC123" s="62">
        <f t="shared" si="197"/>
        <v>0</v>
      </c>
      <c r="CD123" s="62">
        <f t="shared" si="197"/>
        <v>0</v>
      </c>
      <c r="CE123" s="62">
        <f t="shared" si="197"/>
        <v>0</v>
      </c>
      <c r="CF123" s="62">
        <f t="shared" si="197"/>
        <v>0</v>
      </c>
      <c r="CG123" s="62">
        <f t="shared" si="197"/>
        <v>0</v>
      </c>
      <c r="CH123" s="62">
        <f t="shared" si="197"/>
        <v>0</v>
      </c>
      <c r="CI123" s="62">
        <f t="shared" si="197"/>
        <v>0</v>
      </c>
      <c r="CJ123" s="62">
        <f t="shared" si="197"/>
        <v>0</v>
      </c>
      <c r="CK123" s="62">
        <f t="shared" si="197"/>
        <v>0</v>
      </c>
      <c r="CL123" s="62">
        <f t="shared" si="197"/>
        <v>0</v>
      </c>
      <c r="CM123" s="62">
        <f t="shared" si="197"/>
        <v>0</v>
      </c>
      <c r="CN123" s="62">
        <f t="shared" si="197"/>
        <v>0</v>
      </c>
      <c r="CO123" s="62">
        <f t="shared" si="197"/>
        <v>0</v>
      </c>
      <c r="CP123" s="62">
        <f t="shared" si="197"/>
        <v>0</v>
      </c>
      <c r="CQ123" s="62">
        <f t="shared" si="197"/>
        <v>0</v>
      </c>
      <c r="CR123" s="62">
        <f t="shared" si="197"/>
        <v>0</v>
      </c>
      <c r="CS123" s="62">
        <f t="shared" si="197"/>
        <v>0</v>
      </c>
      <c r="CT123" s="62">
        <f t="shared" si="197"/>
        <v>0</v>
      </c>
      <c r="CU123" s="62">
        <f t="shared" si="197"/>
        <v>0</v>
      </c>
      <c r="CV123" s="62">
        <f t="shared" si="197"/>
        <v>0</v>
      </c>
      <c r="CW123" s="62">
        <f t="shared" si="197"/>
        <v>0</v>
      </c>
      <c r="CX123" s="62">
        <f t="shared" ref="CX123:EC123" si="198">COUNT(CX98:CX122)</f>
        <v>0</v>
      </c>
      <c r="CY123" s="62">
        <f t="shared" si="198"/>
        <v>0</v>
      </c>
      <c r="CZ123" s="62">
        <f t="shared" si="198"/>
        <v>0</v>
      </c>
      <c r="DA123" s="62">
        <f t="shared" si="198"/>
        <v>0</v>
      </c>
      <c r="DB123" s="62">
        <f t="shared" si="198"/>
        <v>0</v>
      </c>
      <c r="DC123" s="62">
        <f t="shared" si="198"/>
        <v>0</v>
      </c>
      <c r="DD123" s="62">
        <f t="shared" si="198"/>
        <v>0</v>
      </c>
      <c r="DE123" s="62">
        <f t="shared" si="198"/>
        <v>0</v>
      </c>
      <c r="DF123" s="62">
        <f t="shared" si="198"/>
        <v>0</v>
      </c>
      <c r="DG123" s="62">
        <f t="shared" si="198"/>
        <v>0</v>
      </c>
      <c r="DH123" s="62">
        <f t="shared" si="198"/>
        <v>0</v>
      </c>
      <c r="DI123" s="62">
        <f t="shared" si="198"/>
        <v>0</v>
      </c>
      <c r="DJ123" s="62">
        <f t="shared" si="198"/>
        <v>0</v>
      </c>
      <c r="DK123" s="62">
        <f t="shared" si="198"/>
        <v>0</v>
      </c>
      <c r="DL123" s="62">
        <f t="shared" si="198"/>
        <v>0</v>
      </c>
      <c r="DM123" s="62">
        <f t="shared" si="198"/>
        <v>0</v>
      </c>
      <c r="DN123" s="62">
        <f t="shared" si="198"/>
        <v>0</v>
      </c>
      <c r="DO123" s="62">
        <f t="shared" si="198"/>
        <v>0</v>
      </c>
      <c r="DP123" s="62">
        <f t="shared" si="198"/>
        <v>0</v>
      </c>
      <c r="DQ123" s="62">
        <f t="shared" si="198"/>
        <v>0</v>
      </c>
      <c r="DR123" s="62">
        <f t="shared" si="198"/>
        <v>0</v>
      </c>
      <c r="DS123" s="62">
        <f t="shared" si="198"/>
        <v>0</v>
      </c>
      <c r="DT123" s="62">
        <f t="shared" si="198"/>
        <v>0</v>
      </c>
      <c r="DU123" s="62">
        <f t="shared" si="198"/>
        <v>0</v>
      </c>
      <c r="DV123" s="62">
        <f t="shared" si="198"/>
        <v>0</v>
      </c>
      <c r="DW123" s="62">
        <f t="shared" si="198"/>
        <v>0</v>
      </c>
      <c r="DX123" s="62">
        <f t="shared" si="198"/>
        <v>0</v>
      </c>
      <c r="DY123" s="62">
        <f t="shared" si="198"/>
        <v>0</v>
      </c>
      <c r="DZ123" s="62">
        <f t="shared" si="198"/>
        <v>0</v>
      </c>
      <c r="EA123" s="62">
        <f t="shared" si="198"/>
        <v>0</v>
      </c>
      <c r="EB123" s="62">
        <f t="shared" si="198"/>
        <v>0</v>
      </c>
      <c r="EC123" s="62">
        <f t="shared" si="198"/>
        <v>0</v>
      </c>
      <c r="ED123" s="62">
        <f t="shared" ref="ED123:ES123" si="199">COUNT(ED98:ED122)</f>
        <v>0</v>
      </c>
      <c r="EE123" s="62">
        <f t="shared" si="199"/>
        <v>0</v>
      </c>
      <c r="EF123" s="62">
        <f t="shared" si="199"/>
        <v>0</v>
      </c>
      <c r="EG123" s="62">
        <f t="shared" si="199"/>
        <v>0</v>
      </c>
      <c r="EH123" s="62">
        <f t="shared" si="199"/>
        <v>0</v>
      </c>
      <c r="EI123" s="62">
        <f t="shared" si="199"/>
        <v>0</v>
      </c>
      <c r="EJ123" s="62">
        <f t="shared" si="199"/>
        <v>0</v>
      </c>
      <c r="EK123" s="62">
        <f t="shared" si="199"/>
        <v>0</v>
      </c>
      <c r="EL123" s="62">
        <f t="shared" si="199"/>
        <v>0</v>
      </c>
      <c r="EM123" s="62">
        <f t="shared" si="199"/>
        <v>0</v>
      </c>
      <c r="EN123" s="62">
        <f t="shared" si="199"/>
        <v>0</v>
      </c>
      <c r="EO123" s="62">
        <f t="shared" si="199"/>
        <v>0</v>
      </c>
      <c r="EP123" s="62">
        <f t="shared" si="199"/>
        <v>0</v>
      </c>
      <c r="EQ123" s="62">
        <f t="shared" si="199"/>
        <v>0</v>
      </c>
      <c r="ER123" s="62">
        <f t="shared" si="199"/>
        <v>0</v>
      </c>
      <c r="ES123" s="62">
        <f t="shared" si="199"/>
        <v>0</v>
      </c>
    </row>
    <row r="125" spans="1:149" x14ac:dyDescent="0.3">
      <c r="A125" s="15" t="s">
        <v>757</v>
      </c>
      <c r="B125" s="16"/>
      <c r="C125" s="16"/>
      <c r="D125" s="16"/>
      <c r="E125" s="16"/>
    </row>
    <row r="126" spans="1:149" x14ac:dyDescent="0.3">
      <c r="A126" s="14" t="s">
        <v>758</v>
      </c>
      <c r="B126" s="53" t="str">
        <f>IF(INDEX(Prod_Nombre,1)="","Producto 1",INDEX(Prod_Nombre,1))</f>
        <v>Gabinetes metálicos 153 kg</v>
      </c>
      <c r="C126" s="18" t="s">
        <v>680</v>
      </c>
      <c r="D126" s="61">
        <f>INDEX(OV_V,1)</f>
        <v>27.909333</v>
      </c>
    </row>
    <row r="127" spans="1:149" x14ac:dyDescent="0.3">
      <c r="A127" s="14" t="s">
        <v>759</v>
      </c>
      <c r="B127" s="53" t="str">
        <f>IF(INDEX(Prod_Nombre,2)="","Producto 2",INDEX(Prod_Nombre,2))</f>
        <v>Cajas metálicas 13 kg</v>
      </c>
      <c r="C127" s="18" t="s">
        <v>680</v>
      </c>
      <c r="D127" s="61">
        <f>INDEX(OV_V,2)</f>
        <v>2.73</v>
      </c>
    </row>
    <row r="128" spans="1:149" x14ac:dyDescent="0.3">
      <c r="A128" s="14" t="s">
        <v>760</v>
      </c>
      <c r="B128" s="53" t="str">
        <f>IF(INDEX(Prod_Nombre,3)="","Producto 3",INDEX(Prod_Nombre,3))</f>
        <v>Producto 3</v>
      </c>
      <c r="C128" s="18" t="s">
        <v>680</v>
      </c>
      <c r="D128" s="61">
        <f>INDEX(OV_V,3)</f>
        <v>0</v>
      </c>
    </row>
    <row r="129" spans="1:4" x14ac:dyDescent="0.3">
      <c r="A129" s="14" t="s">
        <v>761</v>
      </c>
      <c r="B129" s="53" t="str">
        <f>IF(INDEX(Prod_Nombre,4)="","Producto 4",INDEX(Prod_Nombre,4))</f>
        <v>Producto 4</v>
      </c>
      <c r="C129" s="18" t="s">
        <v>680</v>
      </c>
      <c r="D129" s="61">
        <f>INDEX(OV_V,4)</f>
        <v>0</v>
      </c>
    </row>
    <row r="130" spans="1:4" x14ac:dyDescent="0.3">
      <c r="A130" s="14" t="s">
        <v>762</v>
      </c>
      <c r="B130" s="53" t="str">
        <f>IF(INDEX(Prod_Nombre,5)="","Producto 5",INDEX(Prod_Nombre,5))</f>
        <v>Producto 5</v>
      </c>
      <c r="C130" s="18" t="s">
        <v>680</v>
      </c>
      <c r="D130" s="61">
        <f>INDEX(OV_V,5)</f>
        <v>0</v>
      </c>
    </row>
    <row r="131" spans="1:4" x14ac:dyDescent="0.3">
      <c r="A131" s="14" t="s">
        <v>763</v>
      </c>
      <c r="B131" s="53" t="str">
        <f>IF(INDEX(Prod_Nombre,6)="","Producto 6",INDEX(Prod_Nombre,6))</f>
        <v>Producto 6</v>
      </c>
      <c r="C131" s="18" t="s">
        <v>680</v>
      </c>
      <c r="D131" s="61">
        <f>INDEX(OV_V,6)</f>
        <v>0</v>
      </c>
    </row>
    <row r="132" spans="1:4" x14ac:dyDescent="0.3">
      <c r="A132" s="14" t="s">
        <v>764</v>
      </c>
      <c r="B132" s="53" t="str">
        <f>IF(INDEX(Prod_Nombre,7)="","Producto 7",INDEX(Prod_Nombre,7))</f>
        <v>Producto 7</v>
      </c>
      <c r="C132" s="18" t="s">
        <v>680</v>
      </c>
      <c r="D132" s="61">
        <f>INDEX(OV_V,7)</f>
        <v>0</v>
      </c>
    </row>
    <row r="133" spans="1:4" x14ac:dyDescent="0.3">
      <c r="A133" s="14" t="s">
        <v>765</v>
      </c>
      <c r="B133" s="53" t="str">
        <f>IF(INDEX(Prod_Nombre,8)="","Producto 8",INDEX(Prod_Nombre,8))</f>
        <v>Producto 8</v>
      </c>
      <c r="C133" s="18" t="s">
        <v>680</v>
      </c>
      <c r="D133" s="61">
        <f>INDEX(OV_V,8)</f>
        <v>0</v>
      </c>
    </row>
    <row r="134" spans="1:4" x14ac:dyDescent="0.3">
      <c r="A134" s="14" t="s">
        <v>766</v>
      </c>
      <c r="B134" s="53" t="str">
        <f>IF(INDEX(Prod_Nombre,9)="","Producto 9",INDEX(Prod_Nombre,9))</f>
        <v>Producto 9</v>
      </c>
      <c r="C134" s="18" t="s">
        <v>680</v>
      </c>
      <c r="D134" s="61">
        <f>INDEX(OV_V,9)</f>
        <v>0</v>
      </c>
    </row>
    <row r="135" spans="1:4" x14ac:dyDescent="0.3">
      <c r="A135" s="14" t="s">
        <v>767</v>
      </c>
      <c r="B135" s="53" t="str">
        <f>IF(INDEX(Prod_Nombre,10)="","Producto 10",INDEX(Prod_Nombre,10))</f>
        <v>Producto 10</v>
      </c>
      <c r="C135" s="18" t="s">
        <v>680</v>
      </c>
      <c r="D135" s="61">
        <f>INDEX(OV_V,10)</f>
        <v>0</v>
      </c>
    </row>
    <row r="136" spans="1:4" x14ac:dyDescent="0.3">
      <c r="A136" s="14" t="s">
        <v>768</v>
      </c>
      <c r="B136" s="53" t="str">
        <f>IF(INDEX(Prod_Nombre,11)="","Producto 11",INDEX(Prod_Nombre,11))</f>
        <v>Producto 11</v>
      </c>
      <c r="C136" s="18" t="s">
        <v>680</v>
      </c>
      <c r="D136" s="61">
        <f>INDEX(OV_V,11)</f>
        <v>0</v>
      </c>
    </row>
    <row r="137" spans="1:4" x14ac:dyDescent="0.3">
      <c r="A137" s="14" t="s">
        <v>769</v>
      </c>
      <c r="B137" s="53" t="str">
        <f>IF(INDEX(Prod_Nombre,12)="","Producto 12",INDEX(Prod_Nombre,12))</f>
        <v>Producto 12</v>
      </c>
      <c r="C137" s="18" t="s">
        <v>680</v>
      </c>
      <c r="D137" s="61">
        <f>INDEX(OV_V,12)</f>
        <v>0</v>
      </c>
    </row>
    <row r="138" spans="1:4" x14ac:dyDescent="0.3">
      <c r="A138" s="14" t="s">
        <v>770</v>
      </c>
      <c r="B138" s="53" t="str">
        <f>IF(INDEX(Prod_Nombre,13)="","Producto 13",INDEX(Prod_Nombre,13))</f>
        <v>Producto 13</v>
      </c>
      <c r="C138" s="18" t="s">
        <v>680</v>
      </c>
      <c r="D138" s="61">
        <f>INDEX(OV_V,13)</f>
        <v>0</v>
      </c>
    </row>
    <row r="139" spans="1:4" x14ac:dyDescent="0.3">
      <c r="A139" s="14" t="s">
        <v>771</v>
      </c>
      <c r="B139" s="53" t="str">
        <f>IF(INDEX(Prod_Nombre,14)="","Producto 14",INDEX(Prod_Nombre,14))</f>
        <v>Producto 14</v>
      </c>
      <c r="C139" s="18" t="s">
        <v>680</v>
      </c>
      <c r="D139" s="61">
        <f>INDEX(OV_V,14)</f>
        <v>0</v>
      </c>
    </row>
    <row r="140" spans="1:4" x14ac:dyDescent="0.3">
      <c r="A140" s="14" t="s">
        <v>772</v>
      </c>
      <c r="B140" s="53" t="str">
        <f>IF(INDEX(Prod_Nombre,15)="","Producto 15",INDEX(Prod_Nombre,15))</f>
        <v>Producto 15</v>
      </c>
      <c r="C140" s="18" t="s">
        <v>680</v>
      </c>
      <c r="D140" s="61">
        <f>INDEX(OV_V,15)</f>
        <v>0</v>
      </c>
    </row>
    <row r="141" spans="1:4" x14ac:dyDescent="0.3">
      <c r="A141" s="14" t="s">
        <v>773</v>
      </c>
      <c r="B141" s="53" t="str">
        <f>IF(INDEX(Prod_Nombre,16)="","Producto 16",INDEX(Prod_Nombre,16))</f>
        <v>Producto 16</v>
      </c>
      <c r="C141" s="18" t="s">
        <v>680</v>
      </c>
      <c r="D141" s="61">
        <f>INDEX(OV_V,16)</f>
        <v>0</v>
      </c>
    </row>
    <row r="142" spans="1:4" x14ac:dyDescent="0.3">
      <c r="A142" s="14" t="s">
        <v>774</v>
      </c>
      <c r="B142" s="53" t="str">
        <f>IF(INDEX(Prod_Nombre,17)="","Producto 17",INDEX(Prod_Nombre,17))</f>
        <v>Producto 17</v>
      </c>
      <c r="C142" s="18" t="s">
        <v>680</v>
      </c>
      <c r="D142" s="61">
        <f>INDEX(OV_V,17)</f>
        <v>0</v>
      </c>
    </row>
    <row r="143" spans="1:4" x14ac:dyDescent="0.3">
      <c r="A143" s="14" t="s">
        <v>775</v>
      </c>
      <c r="B143" s="53" t="str">
        <f>IF(INDEX(Prod_Nombre,18)="","Producto 18",INDEX(Prod_Nombre,18))</f>
        <v>Producto 18</v>
      </c>
      <c r="C143" s="18" t="s">
        <v>680</v>
      </c>
      <c r="D143" s="61">
        <f>INDEX(OV_V,18)</f>
        <v>0</v>
      </c>
    </row>
    <row r="144" spans="1:4" x14ac:dyDescent="0.3">
      <c r="A144" s="14" t="s">
        <v>776</v>
      </c>
      <c r="B144" s="53" t="str">
        <f>IF(INDEX(Prod_Nombre,19)="","Producto 19",INDEX(Prod_Nombre,19))</f>
        <v>Producto 19</v>
      </c>
      <c r="C144" s="18" t="s">
        <v>680</v>
      </c>
      <c r="D144" s="61">
        <f>INDEX(OV_V,19)</f>
        <v>0</v>
      </c>
    </row>
    <row r="145" spans="1:149" x14ac:dyDescent="0.3">
      <c r="A145" s="14" t="s">
        <v>777</v>
      </c>
      <c r="B145" s="53" t="str">
        <f>IF(INDEX(Prod_Nombre,20)="","Producto 20",INDEX(Prod_Nombre,20))</f>
        <v>Producto 20</v>
      </c>
      <c r="C145" s="18" t="s">
        <v>680</v>
      </c>
      <c r="D145" s="61">
        <f>INDEX(OV_V,20)</f>
        <v>0</v>
      </c>
    </row>
    <row r="146" spans="1:149" x14ac:dyDescent="0.3">
      <c r="A146" s="14" t="s">
        <v>778</v>
      </c>
      <c r="B146" s="53" t="str">
        <f>IF(INDEX(Prod_Nombre,21)="","Producto 21",INDEX(Prod_Nombre,21))</f>
        <v>Producto 21</v>
      </c>
      <c r="C146" s="18" t="s">
        <v>680</v>
      </c>
      <c r="D146" s="61">
        <f>INDEX(OV_V,21)</f>
        <v>0</v>
      </c>
    </row>
    <row r="147" spans="1:149" x14ac:dyDescent="0.3">
      <c r="A147" s="14" t="s">
        <v>779</v>
      </c>
      <c r="B147" s="53" t="str">
        <f>IF(INDEX(Prod_Nombre,22)="","Producto 22",INDEX(Prod_Nombre,22))</f>
        <v>Producto 22</v>
      </c>
      <c r="C147" s="18" t="s">
        <v>680</v>
      </c>
      <c r="D147" s="61">
        <f>INDEX(OV_V,22)</f>
        <v>0</v>
      </c>
    </row>
    <row r="148" spans="1:149" x14ac:dyDescent="0.3">
      <c r="A148" s="14" t="s">
        <v>780</v>
      </c>
      <c r="B148" s="53" t="str">
        <f>IF(INDEX(Prod_Nombre,23)="","Producto 23",INDEX(Prod_Nombre,23))</f>
        <v>Producto 23</v>
      </c>
      <c r="C148" s="18" t="s">
        <v>680</v>
      </c>
      <c r="D148" s="61">
        <f>INDEX(OV_V,23)</f>
        <v>0</v>
      </c>
    </row>
    <row r="149" spans="1:149" x14ac:dyDescent="0.3">
      <c r="A149" s="14" t="s">
        <v>781</v>
      </c>
      <c r="B149" s="53" t="str">
        <f>IF(INDEX(Prod_Nombre,24)="","Producto 24",INDEX(Prod_Nombre,24))</f>
        <v>Producto 24</v>
      </c>
      <c r="C149" s="18" t="s">
        <v>680</v>
      </c>
      <c r="D149" s="61">
        <f>INDEX(OV_V,24)</f>
        <v>0</v>
      </c>
    </row>
    <row r="150" spans="1:149" x14ac:dyDescent="0.3">
      <c r="A150" s="14" t="s">
        <v>782</v>
      </c>
      <c r="B150" s="53" t="str">
        <f>IF(INDEX(Prod_Nombre,25)="","Producto 25",INDEX(Prod_Nombre,25))</f>
        <v>Producto 25</v>
      </c>
      <c r="C150" s="18" t="s">
        <v>680</v>
      </c>
      <c r="D150" s="61">
        <f>INDEX(OV_V,25)</f>
        <v>0</v>
      </c>
    </row>
    <row r="151" spans="1:149" x14ac:dyDescent="0.3">
      <c r="B151" s="14" t="s">
        <v>651</v>
      </c>
      <c r="F151" s="62">
        <f t="shared" ref="F151" si="200">COUNT(F126:F150)</f>
        <v>0</v>
      </c>
      <c r="G151" s="62">
        <f t="shared" ref="G151" si="201">COUNT(G126:G150)</f>
        <v>0</v>
      </c>
      <c r="H151" s="62">
        <f t="shared" ref="H151" si="202">COUNT(H126:H150)</f>
        <v>0</v>
      </c>
      <c r="I151" s="62">
        <f t="shared" ref="I151" si="203">COUNT(I126:I150)</f>
        <v>0</v>
      </c>
      <c r="J151" s="62">
        <f t="shared" ref="J151" si="204">COUNT(J126:J150)</f>
        <v>0</v>
      </c>
      <c r="K151" s="62">
        <f t="shared" ref="K151" si="205">COUNT(K126:K150)</f>
        <v>0</v>
      </c>
      <c r="L151" s="62">
        <f t="shared" ref="L151" si="206">COUNT(L126:L150)</f>
        <v>0</v>
      </c>
      <c r="M151" s="62">
        <f t="shared" ref="M151" si="207">COUNT(M126:M150)</f>
        <v>0</v>
      </c>
      <c r="N151" s="62">
        <f t="shared" ref="N151" si="208">COUNT(N126:N150)</f>
        <v>0</v>
      </c>
      <c r="O151" s="62">
        <f t="shared" ref="O151" si="209">COUNT(O126:O150)</f>
        <v>0</v>
      </c>
      <c r="P151" s="62">
        <f t="shared" ref="P151" si="210">COUNT(P126:P150)</f>
        <v>0</v>
      </c>
      <c r="Q151" s="62">
        <f t="shared" ref="Q151" si="211">COUNT(Q126:Q150)</f>
        <v>0</v>
      </c>
      <c r="R151" s="62">
        <f t="shared" ref="R151" si="212">COUNT(R126:R150)</f>
        <v>0</v>
      </c>
      <c r="S151" s="62">
        <f t="shared" ref="S151" si="213">COUNT(S126:S150)</f>
        <v>0</v>
      </c>
      <c r="T151" s="62">
        <f t="shared" ref="T151" si="214">COUNT(T126:T150)</f>
        <v>0</v>
      </c>
      <c r="U151" s="62">
        <f t="shared" ref="U151" si="215">COUNT(U126:U150)</f>
        <v>0</v>
      </c>
      <c r="V151" s="62">
        <f t="shared" ref="V151" si="216">COUNT(V126:V150)</f>
        <v>0</v>
      </c>
      <c r="W151" s="62">
        <f t="shared" ref="W151" si="217">COUNT(W126:W150)</f>
        <v>0</v>
      </c>
      <c r="X151" s="62">
        <f t="shared" ref="X151" si="218">COUNT(X126:X150)</f>
        <v>0</v>
      </c>
      <c r="Y151" s="62">
        <f t="shared" ref="Y151" si="219">COUNT(Y126:Y150)</f>
        <v>0</v>
      </c>
      <c r="Z151" s="62">
        <f t="shared" ref="Z151" si="220">COUNT(Z126:Z150)</f>
        <v>0</v>
      </c>
      <c r="AA151" s="62">
        <f t="shared" ref="AA151" si="221">COUNT(AA126:AA150)</f>
        <v>0</v>
      </c>
      <c r="AB151" s="62">
        <f t="shared" ref="AB151" si="222">COUNT(AB126:AB150)</f>
        <v>0</v>
      </c>
      <c r="AC151" s="62">
        <f t="shared" ref="AC151" si="223">COUNT(AC126:AC150)</f>
        <v>0</v>
      </c>
      <c r="AD151" s="62">
        <f t="shared" ref="AD151" si="224">COUNT(AD126:AD150)</f>
        <v>0</v>
      </c>
      <c r="AE151" s="62">
        <f t="shared" ref="AE151" si="225">COUNT(AE126:AE150)</f>
        <v>0</v>
      </c>
      <c r="AF151" s="62">
        <f t="shared" ref="AF151" si="226">COUNT(AF126:AF150)</f>
        <v>0</v>
      </c>
      <c r="AG151" s="62">
        <f t="shared" ref="AG151" si="227">COUNT(AG126:AG150)</f>
        <v>0</v>
      </c>
      <c r="AH151" s="62">
        <f t="shared" ref="AH151" si="228">COUNT(AH126:AH150)</f>
        <v>0</v>
      </c>
      <c r="AI151" s="62">
        <f t="shared" ref="AI151" si="229">COUNT(AI126:AI150)</f>
        <v>0</v>
      </c>
      <c r="AJ151" s="62">
        <f t="shared" ref="AJ151" si="230">COUNT(AJ126:AJ150)</f>
        <v>0</v>
      </c>
      <c r="AK151" s="62">
        <f t="shared" ref="AK151" si="231">COUNT(AK126:AK150)</f>
        <v>0</v>
      </c>
      <c r="AL151" s="62">
        <f t="shared" ref="AL151" si="232">COUNT(AL126:AL150)</f>
        <v>0</v>
      </c>
      <c r="AM151" s="62">
        <f t="shared" ref="AM151" si="233">COUNT(AM126:AM150)</f>
        <v>0</v>
      </c>
      <c r="AN151" s="62">
        <f t="shared" ref="AN151" si="234">COUNT(AN126:AN150)</f>
        <v>0</v>
      </c>
      <c r="AO151" s="62">
        <f t="shared" ref="AO151" si="235">COUNT(AO126:AO150)</f>
        <v>0</v>
      </c>
      <c r="AP151" s="62">
        <f t="shared" ref="AL151:BQ151" si="236">COUNT(AP126:AP150)</f>
        <v>0</v>
      </c>
      <c r="AQ151" s="62">
        <f t="shared" si="236"/>
        <v>0</v>
      </c>
      <c r="AR151" s="62">
        <f t="shared" si="236"/>
        <v>0</v>
      </c>
      <c r="AS151" s="62">
        <f t="shared" si="236"/>
        <v>0</v>
      </c>
      <c r="AT151" s="62">
        <f t="shared" si="236"/>
        <v>0</v>
      </c>
      <c r="AU151" s="62">
        <f t="shared" si="236"/>
        <v>0</v>
      </c>
      <c r="AV151" s="62">
        <f t="shared" si="236"/>
        <v>0</v>
      </c>
      <c r="AW151" s="62">
        <f t="shared" si="236"/>
        <v>0</v>
      </c>
      <c r="AX151" s="62">
        <f t="shared" si="236"/>
        <v>0</v>
      </c>
      <c r="AY151" s="62">
        <f t="shared" si="236"/>
        <v>0</v>
      </c>
      <c r="AZ151" s="62">
        <f t="shared" si="236"/>
        <v>0</v>
      </c>
      <c r="BA151" s="62">
        <f t="shared" si="236"/>
        <v>0</v>
      </c>
      <c r="BB151" s="62">
        <f t="shared" si="236"/>
        <v>0</v>
      </c>
      <c r="BC151" s="62">
        <f t="shared" si="236"/>
        <v>0</v>
      </c>
      <c r="BD151" s="62">
        <f t="shared" si="236"/>
        <v>0</v>
      </c>
      <c r="BE151" s="62">
        <f t="shared" si="236"/>
        <v>0</v>
      </c>
      <c r="BF151" s="62">
        <f t="shared" si="236"/>
        <v>0</v>
      </c>
      <c r="BG151" s="62">
        <f t="shared" si="236"/>
        <v>0</v>
      </c>
      <c r="BH151" s="62">
        <f t="shared" si="236"/>
        <v>0</v>
      </c>
      <c r="BI151" s="62">
        <f t="shared" si="236"/>
        <v>0</v>
      </c>
      <c r="BJ151" s="62">
        <f t="shared" si="236"/>
        <v>0</v>
      </c>
      <c r="BK151" s="62">
        <f t="shared" si="236"/>
        <v>0</v>
      </c>
      <c r="BL151" s="62">
        <f t="shared" si="236"/>
        <v>0</v>
      </c>
      <c r="BM151" s="62">
        <f t="shared" si="236"/>
        <v>0</v>
      </c>
      <c r="BN151" s="62">
        <f t="shared" si="236"/>
        <v>0</v>
      </c>
      <c r="BO151" s="62">
        <f t="shared" si="236"/>
        <v>0</v>
      </c>
      <c r="BP151" s="62">
        <f t="shared" si="236"/>
        <v>0</v>
      </c>
      <c r="BQ151" s="62">
        <f t="shared" si="236"/>
        <v>0</v>
      </c>
      <c r="BR151" s="62">
        <f t="shared" ref="BR151:CW151" si="237">COUNT(BR126:BR150)</f>
        <v>0</v>
      </c>
      <c r="BS151" s="62">
        <f t="shared" si="237"/>
        <v>0</v>
      </c>
      <c r="BT151" s="62">
        <f t="shared" si="237"/>
        <v>0</v>
      </c>
      <c r="BU151" s="62">
        <f t="shared" si="237"/>
        <v>0</v>
      </c>
      <c r="BV151" s="62">
        <f t="shared" si="237"/>
        <v>0</v>
      </c>
      <c r="BW151" s="62">
        <f t="shared" si="237"/>
        <v>0</v>
      </c>
      <c r="BX151" s="62">
        <f t="shared" si="237"/>
        <v>0</v>
      </c>
      <c r="BY151" s="62">
        <f t="shared" si="237"/>
        <v>0</v>
      </c>
      <c r="BZ151" s="62">
        <f t="shared" si="237"/>
        <v>0</v>
      </c>
      <c r="CA151" s="62">
        <f t="shared" si="237"/>
        <v>0</v>
      </c>
      <c r="CB151" s="62">
        <f t="shared" si="237"/>
        <v>0</v>
      </c>
      <c r="CC151" s="62">
        <f t="shared" si="237"/>
        <v>0</v>
      </c>
      <c r="CD151" s="62">
        <f t="shared" si="237"/>
        <v>0</v>
      </c>
      <c r="CE151" s="62">
        <f t="shared" si="237"/>
        <v>0</v>
      </c>
      <c r="CF151" s="62">
        <f t="shared" si="237"/>
        <v>0</v>
      </c>
      <c r="CG151" s="62">
        <f t="shared" si="237"/>
        <v>0</v>
      </c>
      <c r="CH151" s="62">
        <f t="shared" si="237"/>
        <v>0</v>
      </c>
      <c r="CI151" s="62">
        <f t="shared" si="237"/>
        <v>0</v>
      </c>
      <c r="CJ151" s="62">
        <f t="shared" si="237"/>
        <v>0</v>
      </c>
      <c r="CK151" s="62">
        <f t="shared" si="237"/>
        <v>0</v>
      </c>
      <c r="CL151" s="62">
        <f t="shared" si="237"/>
        <v>0</v>
      </c>
      <c r="CM151" s="62">
        <f t="shared" si="237"/>
        <v>0</v>
      </c>
      <c r="CN151" s="62">
        <f t="shared" si="237"/>
        <v>0</v>
      </c>
      <c r="CO151" s="62">
        <f t="shared" si="237"/>
        <v>0</v>
      </c>
      <c r="CP151" s="62">
        <f t="shared" si="237"/>
        <v>0</v>
      </c>
      <c r="CQ151" s="62">
        <f t="shared" si="237"/>
        <v>0</v>
      </c>
      <c r="CR151" s="62">
        <f t="shared" si="237"/>
        <v>0</v>
      </c>
      <c r="CS151" s="62">
        <f t="shared" si="237"/>
        <v>0</v>
      </c>
      <c r="CT151" s="62">
        <f t="shared" si="237"/>
        <v>0</v>
      </c>
      <c r="CU151" s="62">
        <f t="shared" si="237"/>
        <v>0</v>
      </c>
      <c r="CV151" s="62">
        <f t="shared" si="237"/>
        <v>0</v>
      </c>
      <c r="CW151" s="62">
        <f t="shared" si="237"/>
        <v>0</v>
      </c>
      <c r="CX151" s="62">
        <f t="shared" ref="CX151:EC151" si="238">COUNT(CX126:CX150)</f>
        <v>0</v>
      </c>
      <c r="CY151" s="62">
        <f t="shared" si="238"/>
        <v>0</v>
      </c>
      <c r="CZ151" s="62">
        <f t="shared" si="238"/>
        <v>0</v>
      </c>
      <c r="DA151" s="62">
        <f t="shared" si="238"/>
        <v>0</v>
      </c>
      <c r="DB151" s="62">
        <f t="shared" si="238"/>
        <v>0</v>
      </c>
      <c r="DC151" s="62">
        <f t="shared" si="238"/>
        <v>0</v>
      </c>
      <c r="DD151" s="62">
        <f t="shared" si="238"/>
        <v>0</v>
      </c>
      <c r="DE151" s="62">
        <f t="shared" si="238"/>
        <v>0</v>
      </c>
      <c r="DF151" s="62">
        <f t="shared" si="238"/>
        <v>0</v>
      </c>
      <c r="DG151" s="62">
        <f t="shared" si="238"/>
        <v>0</v>
      </c>
      <c r="DH151" s="62">
        <f t="shared" si="238"/>
        <v>0</v>
      </c>
      <c r="DI151" s="62">
        <f t="shared" si="238"/>
        <v>0</v>
      </c>
      <c r="DJ151" s="62">
        <f t="shared" si="238"/>
        <v>0</v>
      </c>
      <c r="DK151" s="62">
        <f t="shared" si="238"/>
        <v>0</v>
      </c>
      <c r="DL151" s="62">
        <f t="shared" si="238"/>
        <v>0</v>
      </c>
      <c r="DM151" s="62">
        <f t="shared" si="238"/>
        <v>0</v>
      </c>
      <c r="DN151" s="62">
        <f t="shared" si="238"/>
        <v>0</v>
      </c>
      <c r="DO151" s="62">
        <f t="shared" si="238"/>
        <v>0</v>
      </c>
      <c r="DP151" s="62">
        <f t="shared" si="238"/>
        <v>0</v>
      </c>
      <c r="DQ151" s="62">
        <f t="shared" si="238"/>
        <v>0</v>
      </c>
      <c r="DR151" s="62">
        <f t="shared" si="238"/>
        <v>0</v>
      </c>
      <c r="DS151" s="62">
        <f t="shared" si="238"/>
        <v>0</v>
      </c>
      <c r="DT151" s="62">
        <f t="shared" si="238"/>
        <v>0</v>
      </c>
      <c r="DU151" s="62">
        <f t="shared" si="238"/>
        <v>0</v>
      </c>
      <c r="DV151" s="62">
        <f t="shared" si="238"/>
        <v>0</v>
      </c>
      <c r="DW151" s="62">
        <f t="shared" si="238"/>
        <v>0</v>
      </c>
      <c r="DX151" s="62">
        <f t="shared" si="238"/>
        <v>0</v>
      </c>
      <c r="DY151" s="62">
        <f t="shared" si="238"/>
        <v>0</v>
      </c>
      <c r="DZ151" s="62">
        <f t="shared" si="238"/>
        <v>0</v>
      </c>
      <c r="EA151" s="62">
        <f t="shared" si="238"/>
        <v>0</v>
      </c>
      <c r="EB151" s="62">
        <f t="shared" si="238"/>
        <v>0</v>
      </c>
      <c r="EC151" s="62">
        <f t="shared" si="238"/>
        <v>0</v>
      </c>
      <c r="ED151" s="62">
        <f t="shared" ref="ED151:ES151" si="239">COUNT(ED126:ED150)</f>
        <v>0</v>
      </c>
      <c r="EE151" s="62">
        <f t="shared" si="239"/>
        <v>0</v>
      </c>
      <c r="EF151" s="62">
        <f t="shared" si="239"/>
        <v>0</v>
      </c>
      <c r="EG151" s="62">
        <f t="shared" si="239"/>
        <v>0</v>
      </c>
      <c r="EH151" s="62">
        <f t="shared" si="239"/>
        <v>0</v>
      </c>
      <c r="EI151" s="62">
        <f t="shared" si="239"/>
        <v>0</v>
      </c>
      <c r="EJ151" s="62">
        <f t="shared" si="239"/>
        <v>0</v>
      </c>
      <c r="EK151" s="62">
        <f t="shared" si="239"/>
        <v>0</v>
      </c>
      <c r="EL151" s="62">
        <f t="shared" si="239"/>
        <v>0</v>
      </c>
      <c r="EM151" s="62">
        <f t="shared" si="239"/>
        <v>0</v>
      </c>
      <c r="EN151" s="62">
        <f t="shared" si="239"/>
        <v>0</v>
      </c>
      <c r="EO151" s="62">
        <f t="shared" si="239"/>
        <v>0</v>
      </c>
      <c r="EP151" s="62">
        <f t="shared" si="239"/>
        <v>0</v>
      </c>
      <c r="EQ151" s="62">
        <f t="shared" si="239"/>
        <v>0</v>
      </c>
      <c r="ER151" s="62">
        <f t="shared" si="239"/>
        <v>0</v>
      </c>
      <c r="ES151" s="62">
        <f t="shared" si="239"/>
        <v>0</v>
      </c>
    </row>
    <row r="153" spans="1:149" x14ac:dyDescent="0.3">
      <c r="A153" s="15" t="s">
        <v>783</v>
      </c>
      <c r="B153" s="16"/>
      <c r="C153" s="16"/>
      <c r="D153" s="16"/>
      <c r="E153" s="16"/>
    </row>
    <row r="154" spans="1:149" x14ac:dyDescent="0.3">
      <c r="A154" s="14" t="s">
        <v>784</v>
      </c>
      <c r="B154" s="53" t="str">
        <f>IF(Costos!$B$6="","Puesto 1",Costos!$B$6)</f>
        <v>Operador láser</v>
      </c>
      <c r="C154" s="53" t="s">
        <v>785</v>
      </c>
      <c r="D154" s="61">
        <f>INDEX(Dot_V,1,1)</f>
        <v>4</v>
      </c>
    </row>
    <row r="155" spans="1:149" x14ac:dyDescent="0.3">
      <c r="A155" s="14" t="s">
        <v>786</v>
      </c>
      <c r="B155" s="53" t="str">
        <f>IF(Costos!$B$7="","Puesto 2",Costos!$B$7)</f>
        <v>Doblador</v>
      </c>
      <c r="C155" s="53" t="s">
        <v>785</v>
      </c>
      <c r="D155" s="61">
        <f>INDEX(Dot_V,2,1)</f>
        <v>8</v>
      </c>
    </row>
    <row r="156" spans="1:149" x14ac:dyDescent="0.3">
      <c r="A156" s="14" t="s">
        <v>787</v>
      </c>
      <c r="B156" s="53" t="str">
        <f>IF(Costos!$B$8="","Puesto 3",Costos!$B$8)</f>
        <v>Soldador</v>
      </c>
      <c r="C156" s="53" t="s">
        <v>785</v>
      </c>
      <c r="D156" s="61">
        <f>INDEX(Dot_V,3,1)</f>
        <v>5</v>
      </c>
    </row>
    <row r="157" spans="1:149" x14ac:dyDescent="0.3">
      <c r="A157" s="14" t="s">
        <v>788</v>
      </c>
      <c r="B157" s="53" t="str">
        <f>IF(Costos!$B$9="","Puesto 4",Costos!$B$9)</f>
        <v>Baño</v>
      </c>
      <c r="C157" s="53" t="s">
        <v>785</v>
      </c>
      <c r="D157" s="61">
        <f>INDEX(Dot_V,4,1)</f>
        <v>2</v>
      </c>
    </row>
    <row r="158" spans="1:149" x14ac:dyDescent="0.3">
      <c r="A158" s="14" t="s">
        <v>789</v>
      </c>
      <c r="B158" s="53" t="str">
        <f>IF(Costos!$B$10="","Puesto 5",Costos!$B$10)</f>
        <v>Pintor</v>
      </c>
      <c r="C158" s="53" t="s">
        <v>785</v>
      </c>
      <c r="D158" s="61">
        <f>INDEX(Dot_V,5,1)</f>
        <v>4</v>
      </c>
    </row>
    <row r="159" spans="1:149" x14ac:dyDescent="0.3">
      <c r="A159" s="14" t="s">
        <v>790</v>
      </c>
      <c r="B159" s="53" t="str">
        <f>IF(Costos!$B$11="","Puesto 6",Costos!$B$11)</f>
        <v>Montador</v>
      </c>
      <c r="C159" s="53" t="s">
        <v>785</v>
      </c>
      <c r="D159" s="61">
        <f>INDEX(Dot_V,6,1)</f>
        <v>10</v>
      </c>
    </row>
    <row r="160" spans="1:149" x14ac:dyDescent="0.3">
      <c r="A160" s="14" t="s">
        <v>791</v>
      </c>
      <c r="B160" s="53" t="str">
        <f>IF(Costos!$B$12="","Puesto 7",Costos!$B$12)</f>
        <v>Ayudante</v>
      </c>
      <c r="C160" s="53" t="s">
        <v>785</v>
      </c>
      <c r="D160" s="61">
        <f>INDEX(Dot_V,7,1)</f>
        <v>10</v>
      </c>
    </row>
    <row r="161" spans="1:4" x14ac:dyDescent="0.3">
      <c r="A161" s="14" t="s">
        <v>792</v>
      </c>
      <c r="B161" s="53" t="str">
        <f>IF(Costos!$B$13="","Puesto 8",Costos!$B$13)</f>
        <v>Gerente General</v>
      </c>
      <c r="C161" s="53" t="s">
        <v>785</v>
      </c>
      <c r="D161" s="61">
        <f>INDEX(Dot_V,8,1)</f>
        <v>1</v>
      </c>
    </row>
    <row r="162" spans="1:4" x14ac:dyDescent="0.3">
      <c r="A162" s="14" t="s">
        <v>793</v>
      </c>
      <c r="B162" s="53" t="str">
        <f>IF(Costos!$B$14="","Puesto 9",Costos!$B$14)</f>
        <v>Gerente Industrial</v>
      </c>
      <c r="C162" s="53" t="s">
        <v>785</v>
      </c>
      <c r="D162" s="61">
        <f>INDEX(Dot_V,9,1)</f>
        <v>1</v>
      </c>
    </row>
    <row r="163" spans="1:4" x14ac:dyDescent="0.3">
      <c r="A163" s="14" t="s">
        <v>794</v>
      </c>
      <c r="B163" s="53" t="str">
        <f>IF(Costos!$B$15="","Puesto 10",Costos!$B$15)</f>
        <v>Coord. Prod. Corte y Deformación</v>
      </c>
      <c r="C163" s="53" t="s">
        <v>785</v>
      </c>
      <c r="D163" s="61">
        <f>INDEX(Dot_V,10,1)</f>
        <v>1</v>
      </c>
    </row>
    <row r="164" spans="1:4" x14ac:dyDescent="0.3">
      <c r="A164" s="14" t="s">
        <v>795</v>
      </c>
      <c r="B164" s="53" t="str">
        <f>IF(Costos!$B$16="","Puesto 11",Costos!$B$16)</f>
        <v>Coord. Prod. Soldadura</v>
      </c>
      <c r="C164" s="53" t="s">
        <v>785</v>
      </c>
      <c r="D164" s="61">
        <f>INDEX(Dot_V,11,1)</f>
        <v>1</v>
      </c>
    </row>
    <row r="165" spans="1:4" x14ac:dyDescent="0.3">
      <c r="A165" s="14" t="s">
        <v>796</v>
      </c>
      <c r="B165" s="53" t="str">
        <f>IF(Costos!$B$17="","Puesto 12",Costos!$B$17)</f>
        <v>Coord. Prod. Trat. Sup. y Pintura</v>
      </c>
      <c r="C165" s="53" t="s">
        <v>785</v>
      </c>
      <c r="D165" s="61">
        <f>INDEX(Dot_V,12,1)</f>
        <v>1</v>
      </c>
    </row>
    <row r="166" spans="1:4" x14ac:dyDescent="0.3">
      <c r="A166" s="14" t="s">
        <v>797</v>
      </c>
      <c r="B166" s="53" t="str">
        <f>IF(Costos!$B$18="","Puesto 13",Costos!$B$18)</f>
        <v>Coord. Prod. Montaje</v>
      </c>
      <c r="C166" s="53" t="s">
        <v>785</v>
      </c>
      <c r="D166" s="61">
        <f>INDEX(Dot_V,13,1)</f>
        <v>1</v>
      </c>
    </row>
    <row r="167" spans="1:4" x14ac:dyDescent="0.3">
      <c r="A167" s="14" t="s">
        <v>798</v>
      </c>
      <c r="B167" s="53" t="str">
        <f>IF(Costos!$B$19="","Puesto 14",Costos!$B$19)</f>
        <v>Ingeniería</v>
      </c>
      <c r="C167" s="53" t="s">
        <v>785</v>
      </c>
      <c r="D167" s="61">
        <f>INDEX(Dot_V,14,1)</f>
        <v>3</v>
      </c>
    </row>
    <row r="168" spans="1:4" x14ac:dyDescent="0.3">
      <c r="A168" s="14" t="s">
        <v>799</v>
      </c>
      <c r="B168" s="53" t="str">
        <f>IF(Costos!$B$20="","Puesto 15",Costos!$B$20)</f>
        <v>Mantenimiento</v>
      </c>
      <c r="C168" s="53" t="s">
        <v>785</v>
      </c>
      <c r="D168" s="61">
        <f>INDEX(Dot_V,15,1)</f>
        <v>2</v>
      </c>
    </row>
    <row r="169" spans="1:4" x14ac:dyDescent="0.3">
      <c r="A169" s="14" t="s">
        <v>800</v>
      </c>
      <c r="B169" s="53" t="str">
        <f>IF(Costos!$B$21="","Puesto 16",Costos!$B$21)</f>
        <v>PCP</v>
      </c>
      <c r="C169" s="53" t="s">
        <v>785</v>
      </c>
      <c r="D169" s="61">
        <f>INDEX(Dot_V,16,1)</f>
        <v>1</v>
      </c>
    </row>
    <row r="170" spans="1:4" x14ac:dyDescent="0.3">
      <c r="A170" s="14" t="s">
        <v>801</v>
      </c>
      <c r="B170" s="53" t="str">
        <f>IF(Costos!$B$22="","Puesto 17",Costos!$B$22)</f>
        <v>Analista PCP</v>
      </c>
      <c r="C170" s="53" t="s">
        <v>785</v>
      </c>
      <c r="D170" s="61">
        <f>INDEX(Dot_V,17,1)</f>
        <v>1</v>
      </c>
    </row>
    <row r="171" spans="1:4" x14ac:dyDescent="0.3">
      <c r="A171" s="14" t="s">
        <v>802</v>
      </c>
      <c r="B171" s="53" t="str">
        <f>IF(Costos!$B$23="","Puesto 18",Costos!$B$23)</f>
        <v>Depósito</v>
      </c>
      <c r="C171" s="53" t="s">
        <v>785</v>
      </c>
      <c r="D171" s="61">
        <f>INDEX(Dot_V,18,1)</f>
        <v>1</v>
      </c>
    </row>
    <row r="172" spans="1:4" x14ac:dyDescent="0.3">
      <c r="A172" s="14" t="s">
        <v>803</v>
      </c>
      <c r="B172" s="53" t="str">
        <f>IF(Costos!$B$24="","Puesto 19",Costos!$B$24)</f>
        <v>Compras</v>
      </c>
      <c r="C172" s="53" t="s">
        <v>785</v>
      </c>
      <c r="D172" s="61">
        <f>INDEX(Dot_V,19,1)</f>
        <v>1</v>
      </c>
    </row>
    <row r="173" spans="1:4" x14ac:dyDescent="0.3">
      <c r="A173" s="14" t="s">
        <v>804</v>
      </c>
      <c r="B173" s="53" t="str">
        <f>IF(Costos!$B$25="","Puesto 20",Costos!$B$25)</f>
        <v>Logística/Comex</v>
      </c>
      <c r="C173" s="53" t="s">
        <v>785</v>
      </c>
      <c r="D173" s="61">
        <f>INDEX(Dot_V,20,1)</f>
        <v>1</v>
      </c>
    </row>
    <row r="174" spans="1:4" x14ac:dyDescent="0.3">
      <c r="A174" s="14" t="s">
        <v>805</v>
      </c>
      <c r="B174" s="53" t="str">
        <f>IF(Costos!$B$26="","Puesto 21",Costos!$B$26)</f>
        <v>Coord. Control Calidad</v>
      </c>
      <c r="C174" s="53" t="s">
        <v>785</v>
      </c>
      <c r="D174" s="61">
        <f>INDEX(Dot_V,21,1)</f>
        <v>1</v>
      </c>
    </row>
    <row r="175" spans="1:4" x14ac:dyDescent="0.3">
      <c r="A175" s="14" t="s">
        <v>806</v>
      </c>
      <c r="B175" s="53" t="str">
        <f>IF(Costos!$B$27="","Puesto 22",Costos!$B$27)</f>
        <v>Asistente Control Calidad</v>
      </c>
      <c r="C175" s="53" t="s">
        <v>785</v>
      </c>
      <c r="D175" s="61">
        <f>INDEX(Dot_V,22,1)</f>
        <v>1</v>
      </c>
    </row>
    <row r="176" spans="1:4" x14ac:dyDescent="0.3">
      <c r="A176" s="14" t="s">
        <v>807</v>
      </c>
      <c r="B176" s="53" t="str">
        <f>IF(Costos!$B$28="","Puesto 23",Costos!$B$28)</f>
        <v>Coord. Procesos</v>
      </c>
      <c r="C176" s="53" t="s">
        <v>785</v>
      </c>
      <c r="D176" s="61">
        <f>INDEX(Dot_V,23,1)</f>
        <v>1</v>
      </c>
    </row>
    <row r="177" spans="1:149" x14ac:dyDescent="0.3">
      <c r="A177" s="14" t="s">
        <v>808</v>
      </c>
      <c r="B177" s="53" t="str">
        <f>IF(Costos!$B$29="","Puesto 24",Costos!$B$29)</f>
        <v>Asistente Procesos</v>
      </c>
      <c r="C177" s="53" t="s">
        <v>785</v>
      </c>
      <c r="D177" s="61">
        <f>INDEX(Dot_V,24,1)</f>
        <v>1</v>
      </c>
    </row>
    <row r="178" spans="1:149" x14ac:dyDescent="0.3">
      <c r="A178" s="14" t="s">
        <v>809</v>
      </c>
      <c r="B178" s="53" t="str">
        <f>IF(Costos!$B$30="","Puesto 25",Costos!$B$30)</f>
        <v>Administrador</v>
      </c>
      <c r="C178" s="53" t="s">
        <v>785</v>
      </c>
      <c r="D178" s="61">
        <f>INDEX(Dot_V,25,1)</f>
        <v>1</v>
      </c>
    </row>
    <row r="179" spans="1:149" x14ac:dyDescent="0.3">
      <c r="A179" s="14" t="s">
        <v>810</v>
      </c>
      <c r="B179" s="53" t="str">
        <f>IF(Costos!$B$31="","Puesto 26",Costos!$B$31)</f>
        <v>Asistente Administrativo</v>
      </c>
      <c r="C179" s="53" t="s">
        <v>785</v>
      </c>
      <c r="D179" s="61">
        <f>INDEX(Dot_V,26,1)</f>
        <v>1</v>
      </c>
    </row>
    <row r="180" spans="1:149" x14ac:dyDescent="0.3">
      <c r="A180" s="14" t="s">
        <v>811</v>
      </c>
      <c r="B180" s="53" t="str">
        <f>IF(Costos!$B$32="","Puesto 27",Costos!$B$32)</f>
        <v>Puesto 27</v>
      </c>
      <c r="C180" s="53" t="s">
        <v>785</v>
      </c>
      <c r="D180" s="61">
        <f>INDEX(Dot_V,27,1)</f>
        <v>0</v>
      </c>
    </row>
    <row r="181" spans="1:149" x14ac:dyDescent="0.3">
      <c r="A181" s="14" t="s">
        <v>812</v>
      </c>
      <c r="B181" s="53" t="str">
        <f>IF(Costos!$B$33="","Puesto 28",Costos!$B$33)</f>
        <v>Puesto 28</v>
      </c>
      <c r="C181" s="53" t="s">
        <v>785</v>
      </c>
      <c r="D181" s="61">
        <f>INDEX(Dot_V,28,1)</f>
        <v>0</v>
      </c>
    </row>
    <row r="182" spans="1:149" x14ac:dyDescent="0.3">
      <c r="A182" s="14" t="s">
        <v>813</v>
      </c>
      <c r="B182" s="53" t="str">
        <f>IF(Costos!$B$34="","Puesto 29",Costos!$B$34)</f>
        <v>Puesto 29</v>
      </c>
      <c r="C182" s="53" t="s">
        <v>785</v>
      </c>
      <c r="D182" s="61">
        <f>INDEX(Dot_V,29,1)</f>
        <v>0</v>
      </c>
    </row>
    <row r="183" spans="1:149" x14ac:dyDescent="0.3">
      <c r="A183" s="14" t="s">
        <v>814</v>
      </c>
      <c r="B183" s="53" t="str">
        <f>IF(Costos!$B$35="","Puesto 30",Costos!$B$35)</f>
        <v>Puesto 30</v>
      </c>
      <c r="C183" s="53" t="s">
        <v>785</v>
      </c>
      <c r="D183" s="61">
        <f>INDEX(Dot_V,30,1)</f>
        <v>0</v>
      </c>
    </row>
    <row r="184" spans="1:149" x14ac:dyDescent="0.3">
      <c r="B184" s="14" t="s">
        <v>651</v>
      </c>
      <c r="F184" s="62">
        <f t="shared" ref="F184" si="240">COUNT(F154:F183)</f>
        <v>0</v>
      </c>
      <c r="G184" s="62">
        <f t="shared" ref="G184" si="241">COUNT(G154:G183)</f>
        <v>0</v>
      </c>
      <c r="H184" s="62">
        <f t="shared" ref="H184" si="242">COUNT(H154:H183)</f>
        <v>0</v>
      </c>
      <c r="I184" s="62">
        <f t="shared" ref="I184" si="243">COUNT(I154:I183)</f>
        <v>0</v>
      </c>
      <c r="J184" s="62">
        <f t="shared" ref="J184" si="244">COUNT(J154:J183)</f>
        <v>0</v>
      </c>
      <c r="K184" s="62">
        <f t="shared" ref="K184" si="245">COUNT(K154:K183)</f>
        <v>0</v>
      </c>
      <c r="L184" s="62">
        <f t="shared" ref="L184" si="246">COUNT(L154:L183)</f>
        <v>0</v>
      </c>
      <c r="M184" s="62">
        <f t="shared" ref="M184" si="247">COUNT(M154:M183)</f>
        <v>0</v>
      </c>
      <c r="N184" s="62">
        <f t="shared" ref="N184" si="248">COUNT(N154:N183)</f>
        <v>0</v>
      </c>
      <c r="O184" s="62">
        <f t="shared" ref="O184" si="249">COUNT(O154:O183)</f>
        <v>0</v>
      </c>
      <c r="P184" s="62">
        <f t="shared" ref="P184" si="250">COUNT(P154:P183)</f>
        <v>0</v>
      </c>
      <c r="Q184" s="62">
        <f t="shared" ref="Q184" si="251">COUNT(Q154:Q183)</f>
        <v>0</v>
      </c>
      <c r="R184" s="62">
        <f t="shared" ref="R184" si="252">COUNT(R154:R183)</f>
        <v>0</v>
      </c>
      <c r="S184" s="62">
        <f t="shared" ref="S184" si="253">COUNT(S154:S183)</f>
        <v>0</v>
      </c>
      <c r="T184" s="62">
        <f t="shared" ref="T184" si="254">COUNT(T154:T183)</f>
        <v>0</v>
      </c>
      <c r="U184" s="62">
        <f t="shared" ref="U184" si="255">COUNT(U154:U183)</f>
        <v>0</v>
      </c>
      <c r="V184" s="62">
        <f t="shared" ref="V184" si="256">COUNT(V154:V183)</f>
        <v>0</v>
      </c>
      <c r="W184" s="62">
        <f t="shared" ref="W184" si="257">COUNT(W154:W183)</f>
        <v>0</v>
      </c>
      <c r="X184" s="62">
        <f t="shared" ref="X184" si="258">COUNT(X154:X183)</f>
        <v>0</v>
      </c>
      <c r="Y184" s="62">
        <f t="shared" ref="Y184" si="259">COUNT(Y154:Y183)</f>
        <v>0</v>
      </c>
      <c r="Z184" s="62">
        <f t="shared" ref="Z184" si="260">COUNT(Z154:Z183)</f>
        <v>0</v>
      </c>
      <c r="AA184" s="62">
        <f t="shared" ref="AA184" si="261">COUNT(AA154:AA183)</f>
        <v>0</v>
      </c>
      <c r="AB184" s="62">
        <f t="shared" ref="AB184" si="262">COUNT(AB154:AB183)</f>
        <v>0</v>
      </c>
      <c r="AC184" s="62">
        <f t="shared" ref="AC184" si="263">COUNT(AC154:AC183)</f>
        <v>0</v>
      </c>
      <c r="AD184" s="62">
        <f t="shared" ref="AD184" si="264">COUNT(AD154:AD183)</f>
        <v>0</v>
      </c>
      <c r="AE184" s="62">
        <f t="shared" ref="AE184" si="265">COUNT(AE154:AE183)</f>
        <v>0</v>
      </c>
      <c r="AF184" s="62">
        <f t="shared" ref="AF184" si="266">COUNT(AF154:AF183)</f>
        <v>0</v>
      </c>
      <c r="AG184" s="62">
        <f t="shared" ref="AG184" si="267">COUNT(AG154:AG183)</f>
        <v>0</v>
      </c>
      <c r="AH184" s="62">
        <f t="shared" ref="AH184" si="268">COUNT(AH154:AH183)</f>
        <v>0</v>
      </c>
      <c r="AI184" s="62">
        <f t="shared" ref="AI184" si="269">COUNT(AI154:AI183)</f>
        <v>0</v>
      </c>
      <c r="AJ184" s="62">
        <f t="shared" ref="AJ184" si="270">COUNT(AJ154:AJ183)</f>
        <v>0</v>
      </c>
      <c r="AK184" s="62">
        <f t="shared" ref="AK184" si="271">COUNT(AK154:AK183)</f>
        <v>0</v>
      </c>
      <c r="AL184" s="62">
        <f t="shared" ref="AL184" si="272">COUNT(AL154:AL183)</f>
        <v>0</v>
      </c>
      <c r="AM184" s="62">
        <f t="shared" ref="AM184" si="273">COUNT(AM154:AM183)</f>
        <v>0</v>
      </c>
      <c r="AN184" s="62">
        <f t="shared" ref="AN184" si="274">COUNT(AN154:AN183)</f>
        <v>0</v>
      </c>
      <c r="AO184" s="62">
        <f t="shared" ref="AO184" si="275">COUNT(AO154:AO183)</f>
        <v>0</v>
      </c>
      <c r="AP184" s="62">
        <f t="shared" ref="AL184:BQ184" si="276">COUNT(AP154:AP183)</f>
        <v>0</v>
      </c>
      <c r="AQ184" s="62">
        <f t="shared" si="276"/>
        <v>0</v>
      </c>
      <c r="AR184" s="62">
        <f t="shared" si="276"/>
        <v>0</v>
      </c>
      <c r="AS184" s="62">
        <f t="shared" si="276"/>
        <v>0</v>
      </c>
      <c r="AT184" s="62">
        <f t="shared" si="276"/>
        <v>0</v>
      </c>
      <c r="AU184" s="62">
        <f t="shared" si="276"/>
        <v>0</v>
      </c>
      <c r="AV184" s="62">
        <f t="shared" si="276"/>
        <v>0</v>
      </c>
      <c r="AW184" s="62">
        <f t="shared" si="276"/>
        <v>0</v>
      </c>
      <c r="AX184" s="62">
        <f t="shared" si="276"/>
        <v>0</v>
      </c>
      <c r="AY184" s="62">
        <f t="shared" si="276"/>
        <v>0</v>
      </c>
      <c r="AZ184" s="62">
        <f t="shared" si="276"/>
        <v>0</v>
      </c>
      <c r="BA184" s="62">
        <f t="shared" si="276"/>
        <v>0</v>
      </c>
      <c r="BB184" s="62">
        <f t="shared" si="276"/>
        <v>0</v>
      </c>
      <c r="BC184" s="62">
        <f t="shared" si="276"/>
        <v>0</v>
      </c>
      <c r="BD184" s="62">
        <f t="shared" si="276"/>
        <v>0</v>
      </c>
      <c r="BE184" s="62">
        <f t="shared" si="276"/>
        <v>0</v>
      </c>
      <c r="BF184" s="62">
        <f t="shared" si="276"/>
        <v>0</v>
      </c>
      <c r="BG184" s="62">
        <f t="shared" si="276"/>
        <v>0</v>
      </c>
      <c r="BH184" s="62">
        <f t="shared" si="276"/>
        <v>0</v>
      </c>
      <c r="BI184" s="62">
        <f t="shared" si="276"/>
        <v>0</v>
      </c>
      <c r="BJ184" s="62">
        <f t="shared" si="276"/>
        <v>0</v>
      </c>
      <c r="BK184" s="62">
        <f t="shared" si="276"/>
        <v>0</v>
      </c>
      <c r="BL184" s="62">
        <f t="shared" si="276"/>
        <v>0</v>
      </c>
      <c r="BM184" s="62">
        <f t="shared" si="276"/>
        <v>0</v>
      </c>
      <c r="BN184" s="62">
        <f t="shared" si="276"/>
        <v>0</v>
      </c>
      <c r="BO184" s="62">
        <f t="shared" si="276"/>
        <v>0</v>
      </c>
      <c r="BP184" s="62">
        <f t="shared" si="276"/>
        <v>0</v>
      </c>
      <c r="BQ184" s="62">
        <f t="shared" si="276"/>
        <v>0</v>
      </c>
      <c r="BR184" s="62">
        <f t="shared" ref="BR184:CW184" si="277">COUNT(BR154:BR183)</f>
        <v>0</v>
      </c>
      <c r="BS184" s="62">
        <f t="shared" si="277"/>
        <v>0</v>
      </c>
      <c r="BT184" s="62">
        <f t="shared" si="277"/>
        <v>0</v>
      </c>
      <c r="BU184" s="62">
        <f t="shared" si="277"/>
        <v>0</v>
      </c>
      <c r="BV184" s="62">
        <f t="shared" si="277"/>
        <v>0</v>
      </c>
      <c r="BW184" s="62">
        <f t="shared" si="277"/>
        <v>0</v>
      </c>
      <c r="BX184" s="62">
        <f t="shared" si="277"/>
        <v>0</v>
      </c>
      <c r="BY184" s="62">
        <f t="shared" si="277"/>
        <v>0</v>
      </c>
      <c r="BZ184" s="62">
        <f t="shared" si="277"/>
        <v>0</v>
      </c>
      <c r="CA184" s="62">
        <f t="shared" si="277"/>
        <v>0</v>
      </c>
      <c r="CB184" s="62">
        <f t="shared" si="277"/>
        <v>0</v>
      </c>
      <c r="CC184" s="62">
        <f t="shared" si="277"/>
        <v>0</v>
      </c>
      <c r="CD184" s="62">
        <f t="shared" si="277"/>
        <v>0</v>
      </c>
      <c r="CE184" s="62">
        <f t="shared" si="277"/>
        <v>0</v>
      </c>
      <c r="CF184" s="62">
        <f t="shared" si="277"/>
        <v>0</v>
      </c>
      <c r="CG184" s="62">
        <f t="shared" si="277"/>
        <v>0</v>
      </c>
      <c r="CH184" s="62">
        <f t="shared" si="277"/>
        <v>0</v>
      </c>
      <c r="CI184" s="62">
        <f t="shared" si="277"/>
        <v>0</v>
      </c>
      <c r="CJ184" s="62">
        <f t="shared" si="277"/>
        <v>0</v>
      </c>
      <c r="CK184" s="62">
        <f t="shared" si="277"/>
        <v>0</v>
      </c>
      <c r="CL184" s="62">
        <f t="shared" si="277"/>
        <v>0</v>
      </c>
      <c r="CM184" s="62">
        <f t="shared" si="277"/>
        <v>0</v>
      </c>
      <c r="CN184" s="62">
        <f t="shared" si="277"/>
        <v>0</v>
      </c>
      <c r="CO184" s="62">
        <f t="shared" si="277"/>
        <v>0</v>
      </c>
      <c r="CP184" s="62">
        <f t="shared" si="277"/>
        <v>0</v>
      </c>
      <c r="CQ184" s="62">
        <f t="shared" si="277"/>
        <v>0</v>
      </c>
      <c r="CR184" s="62">
        <f t="shared" si="277"/>
        <v>0</v>
      </c>
      <c r="CS184" s="62">
        <f t="shared" si="277"/>
        <v>0</v>
      </c>
      <c r="CT184" s="62">
        <f t="shared" si="277"/>
        <v>0</v>
      </c>
      <c r="CU184" s="62">
        <f t="shared" si="277"/>
        <v>0</v>
      </c>
      <c r="CV184" s="62">
        <f t="shared" si="277"/>
        <v>0</v>
      </c>
      <c r="CW184" s="62">
        <f t="shared" si="277"/>
        <v>0</v>
      </c>
      <c r="CX184" s="62">
        <f t="shared" ref="CX184:EC184" si="278">COUNT(CX154:CX183)</f>
        <v>0</v>
      </c>
      <c r="CY184" s="62">
        <f t="shared" si="278"/>
        <v>0</v>
      </c>
      <c r="CZ184" s="62">
        <f t="shared" si="278"/>
        <v>0</v>
      </c>
      <c r="DA184" s="62">
        <f t="shared" si="278"/>
        <v>0</v>
      </c>
      <c r="DB184" s="62">
        <f t="shared" si="278"/>
        <v>0</v>
      </c>
      <c r="DC184" s="62">
        <f t="shared" si="278"/>
        <v>0</v>
      </c>
      <c r="DD184" s="62">
        <f t="shared" si="278"/>
        <v>0</v>
      </c>
      <c r="DE184" s="62">
        <f t="shared" si="278"/>
        <v>0</v>
      </c>
      <c r="DF184" s="62">
        <f t="shared" si="278"/>
        <v>0</v>
      </c>
      <c r="DG184" s="62">
        <f t="shared" si="278"/>
        <v>0</v>
      </c>
      <c r="DH184" s="62">
        <f t="shared" si="278"/>
        <v>0</v>
      </c>
      <c r="DI184" s="62">
        <f t="shared" si="278"/>
        <v>0</v>
      </c>
      <c r="DJ184" s="62">
        <f t="shared" si="278"/>
        <v>0</v>
      </c>
      <c r="DK184" s="62">
        <f t="shared" si="278"/>
        <v>0</v>
      </c>
      <c r="DL184" s="62">
        <f t="shared" si="278"/>
        <v>0</v>
      </c>
      <c r="DM184" s="62">
        <f t="shared" si="278"/>
        <v>0</v>
      </c>
      <c r="DN184" s="62">
        <f t="shared" si="278"/>
        <v>0</v>
      </c>
      <c r="DO184" s="62">
        <f t="shared" si="278"/>
        <v>0</v>
      </c>
      <c r="DP184" s="62">
        <f t="shared" si="278"/>
        <v>0</v>
      </c>
      <c r="DQ184" s="62">
        <f t="shared" si="278"/>
        <v>0</v>
      </c>
      <c r="DR184" s="62">
        <f t="shared" si="278"/>
        <v>0</v>
      </c>
      <c r="DS184" s="62">
        <f t="shared" si="278"/>
        <v>0</v>
      </c>
      <c r="DT184" s="62">
        <f t="shared" si="278"/>
        <v>0</v>
      </c>
      <c r="DU184" s="62">
        <f t="shared" si="278"/>
        <v>0</v>
      </c>
      <c r="DV184" s="62">
        <f t="shared" si="278"/>
        <v>0</v>
      </c>
      <c r="DW184" s="62">
        <f t="shared" si="278"/>
        <v>0</v>
      </c>
      <c r="DX184" s="62">
        <f t="shared" si="278"/>
        <v>0</v>
      </c>
      <c r="DY184" s="62">
        <f t="shared" si="278"/>
        <v>0</v>
      </c>
      <c r="DZ184" s="62">
        <f t="shared" si="278"/>
        <v>0</v>
      </c>
      <c r="EA184" s="62">
        <f t="shared" si="278"/>
        <v>0</v>
      </c>
      <c r="EB184" s="62">
        <f t="shared" si="278"/>
        <v>0</v>
      </c>
      <c r="EC184" s="62">
        <f t="shared" si="278"/>
        <v>0</v>
      </c>
      <c r="ED184" s="62">
        <f t="shared" ref="ED184:ES184" si="279">COUNT(ED154:ED183)</f>
        <v>0</v>
      </c>
      <c r="EE184" s="62">
        <f t="shared" si="279"/>
        <v>0</v>
      </c>
      <c r="EF184" s="62">
        <f t="shared" si="279"/>
        <v>0</v>
      </c>
      <c r="EG184" s="62">
        <f t="shared" si="279"/>
        <v>0</v>
      </c>
      <c r="EH184" s="62">
        <f t="shared" si="279"/>
        <v>0</v>
      </c>
      <c r="EI184" s="62">
        <f t="shared" si="279"/>
        <v>0</v>
      </c>
      <c r="EJ184" s="62">
        <f t="shared" si="279"/>
        <v>0</v>
      </c>
      <c r="EK184" s="62">
        <f t="shared" si="279"/>
        <v>0</v>
      </c>
      <c r="EL184" s="62">
        <f t="shared" si="279"/>
        <v>0</v>
      </c>
      <c r="EM184" s="62">
        <f t="shared" si="279"/>
        <v>0</v>
      </c>
      <c r="EN184" s="62">
        <f t="shared" si="279"/>
        <v>0</v>
      </c>
      <c r="EO184" s="62">
        <f t="shared" si="279"/>
        <v>0</v>
      </c>
      <c r="EP184" s="62">
        <f t="shared" si="279"/>
        <v>0</v>
      </c>
      <c r="EQ184" s="62">
        <f t="shared" si="279"/>
        <v>0</v>
      </c>
      <c r="ER184" s="62">
        <f t="shared" si="279"/>
        <v>0</v>
      </c>
      <c r="ES184" s="62">
        <f t="shared" si="279"/>
        <v>0</v>
      </c>
    </row>
    <row r="186" spans="1:149" x14ac:dyDescent="0.3">
      <c r="A186" s="15" t="s">
        <v>815</v>
      </c>
      <c r="B186" s="16"/>
      <c r="C186" s="16"/>
      <c r="D186" s="16"/>
      <c r="E186" s="16"/>
    </row>
    <row r="187" spans="1:149" x14ac:dyDescent="0.3">
      <c r="A187" s="14" t="s">
        <v>816</v>
      </c>
      <c r="B187" s="53" t="str">
        <f>IF(Costos!$B$6="","Puesto 1",Costos!$B$6)</f>
        <v>Operador láser</v>
      </c>
      <c r="C187" s="53" t="str">
        <f>IF(Costos!$D$6="","",Costos!$D$6)</f>
        <v>PYG</v>
      </c>
      <c r="D187" s="61">
        <f>INDEX(Sal_V,1)</f>
        <v>4668900</v>
      </c>
    </row>
    <row r="188" spans="1:149" x14ac:dyDescent="0.3">
      <c r="A188" s="14" t="s">
        <v>817</v>
      </c>
      <c r="B188" s="53" t="str">
        <f>IF(Costos!$B$7="","Puesto 2",Costos!$B$7)</f>
        <v>Doblador</v>
      </c>
      <c r="C188" s="53" t="str">
        <f>IF(Costos!$D$7="","",Costos!$D$7)</f>
        <v>PYG</v>
      </c>
      <c r="D188" s="61">
        <f>INDEX(Sal_V,2)</f>
        <v>3650655</v>
      </c>
    </row>
    <row r="189" spans="1:149" x14ac:dyDescent="0.3">
      <c r="A189" s="14" t="s">
        <v>818</v>
      </c>
      <c r="B189" s="53" t="str">
        <f>IF(Costos!$B$8="","Puesto 3",Costos!$B$8)</f>
        <v>Soldador</v>
      </c>
      <c r="C189" s="53" t="str">
        <f>IF(Costos!$D$8="","",Costos!$D$8)</f>
        <v>PYG</v>
      </c>
      <c r="D189" s="61">
        <f>INDEX(Sal_V,3)</f>
        <v>3968900</v>
      </c>
    </row>
    <row r="190" spans="1:149" x14ac:dyDescent="0.3">
      <c r="A190" s="14" t="s">
        <v>819</v>
      </c>
      <c r="B190" s="53" t="str">
        <f>IF(Costos!$B$9="","Puesto 4",Costos!$B$9)</f>
        <v>Baño</v>
      </c>
      <c r="C190" s="53" t="str">
        <f>IF(Costos!$D$9="","",Costos!$D$9)</f>
        <v>PYG</v>
      </c>
      <c r="D190" s="61">
        <f>INDEX(Sal_V,4)</f>
        <v>3650655</v>
      </c>
    </row>
    <row r="191" spans="1:149" x14ac:dyDescent="0.3">
      <c r="A191" s="14" t="s">
        <v>820</v>
      </c>
      <c r="B191" s="53" t="str">
        <f>IF(Costos!$B$10="","Puesto 5",Costos!$B$10)</f>
        <v>Pintor</v>
      </c>
      <c r="C191" s="53" t="str">
        <f>IF(Costos!$D$10="","",Costos!$D$10)</f>
        <v>PYG</v>
      </c>
      <c r="D191" s="61">
        <f>INDEX(Sal_V,5)</f>
        <v>3650655</v>
      </c>
    </row>
    <row r="192" spans="1:149" x14ac:dyDescent="0.3">
      <c r="A192" s="14" t="s">
        <v>821</v>
      </c>
      <c r="B192" s="53" t="str">
        <f>IF(Costos!$B$11="","Puesto 6",Costos!$B$11)</f>
        <v>Montador</v>
      </c>
      <c r="C192" s="53" t="str">
        <f>IF(Costos!$D$11="","",Costos!$D$11)</f>
        <v>PYG</v>
      </c>
      <c r="D192" s="61">
        <f>INDEX(Sal_V,6)</f>
        <v>3150655</v>
      </c>
    </row>
    <row r="193" spans="1:4" x14ac:dyDescent="0.3">
      <c r="A193" s="14" t="s">
        <v>822</v>
      </c>
      <c r="B193" s="53" t="str">
        <f>IF(Costos!$B$12="","Puesto 7",Costos!$B$12)</f>
        <v>Ayudante</v>
      </c>
      <c r="C193" s="53" t="str">
        <f>IF(Costos!$D$12="","",Costos!$D$12)</f>
        <v>PYG</v>
      </c>
      <c r="D193" s="61">
        <f>INDEX(Sal_V,7)</f>
        <v>2798309</v>
      </c>
    </row>
    <row r="194" spans="1:4" x14ac:dyDescent="0.3">
      <c r="A194" s="14" t="s">
        <v>823</v>
      </c>
      <c r="B194" s="53" t="str">
        <f>IF(Costos!$B$13="","Puesto 8",Costos!$B$13)</f>
        <v>Gerente General</v>
      </c>
      <c r="C194" s="53" t="str">
        <f>IF(Costos!$D$13="","",Costos!$D$13)</f>
        <v>PYG</v>
      </c>
      <c r="D194" s="61">
        <f>INDEX(Sal_V,8)</f>
        <v>18000000</v>
      </c>
    </row>
    <row r="195" spans="1:4" x14ac:dyDescent="0.3">
      <c r="A195" s="14" t="s">
        <v>824</v>
      </c>
      <c r="B195" s="53" t="str">
        <f>IF(Costos!$B$14="","Puesto 9",Costos!$B$14)</f>
        <v>Gerente Industrial</v>
      </c>
      <c r="C195" s="53" t="str">
        <f>IF(Costos!$D$14="","",Costos!$D$14)</f>
        <v>PYG</v>
      </c>
      <c r="D195" s="61">
        <f>INDEX(Sal_V,9)</f>
        <v>9800000</v>
      </c>
    </row>
    <row r="196" spans="1:4" x14ac:dyDescent="0.3">
      <c r="A196" s="14" t="s">
        <v>825</v>
      </c>
      <c r="B196" s="53" t="str">
        <f>IF(Costos!$B$15="","Puesto 10",Costos!$B$15)</f>
        <v>Coord. Prod. Corte y Deformación</v>
      </c>
      <c r="C196" s="53" t="str">
        <f>IF(Costos!$D$15="","",Costos!$D$15)</f>
        <v>PYG</v>
      </c>
      <c r="D196" s="61">
        <f>INDEX(Sal_V,10)</f>
        <v>6550000</v>
      </c>
    </row>
    <row r="197" spans="1:4" x14ac:dyDescent="0.3">
      <c r="A197" s="14" t="s">
        <v>826</v>
      </c>
      <c r="B197" s="53" t="str">
        <f>IF(Costos!$B$16="","Puesto 11",Costos!$B$16)</f>
        <v>Coord. Prod. Soldadura</v>
      </c>
      <c r="C197" s="53" t="str">
        <f>IF(Costos!$D$16="","",Costos!$D$16)</f>
        <v>PYG</v>
      </c>
      <c r="D197" s="61">
        <f>INDEX(Sal_V,11)</f>
        <v>6550000</v>
      </c>
    </row>
    <row r="198" spans="1:4" x14ac:dyDescent="0.3">
      <c r="A198" s="14" t="s">
        <v>827</v>
      </c>
      <c r="B198" s="53" t="str">
        <f>IF(Costos!$B$17="","Puesto 12",Costos!$B$17)</f>
        <v>Coord. Prod. Trat. Sup. y Pintura</v>
      </c>
      <c r="C198" s="53" t="str">
        <f>IF(Costos!$D$17="","",Costos!$D$17)</f>
        <v>PYG</v>
      </c>
      <c r="D198" s="61">
        <f>INDEX(Sal_V,12)</f>
        <v>6550000</v>
      </c>
    </row>
    <row r="199" spans="1:4" x14ac:dyDescent="0.3">
      <c r="A199" s="14" t="s">
        <v>828</v>
      </c>
      <c r="B199" s="53" t="str">
        <f>IF(Costos!$B$18="","Puesto 13",Costos!$B$18)</f>
        <v>Coord. Prod. Montaje</v>
      </c>
      <c r="C199" s="53" t="str">
        <f>IF(Costos!$D$18="","",Costos!$D$18)</f>
        <v>PYG</v>
      </c>
      <c r="D199" s="61">
        <f>INDEX(Sal_V,13)</f>
        <v>6550000</v>
      </c>
    </row>
    <row r="200" spans="1:4" x14ac:dyDescent="0.3">
      <c r="A200" s="14" t="s">
        <v>829</v>
      </c>
      <c r="B200" s="53" t="str">
        <f>IF(Costos!$B$19="","Puesto 14",Costos!$B$19)</f>
        <v>Ingeniería</v>
      </c>
      <c r="C200" s="53" t="str">
        <f>IF(Costos!$D$19="","",Costos!$D$19)</f>
        <v>PYG</v>
      </c>
      <c r="D200" s="61">
        <f>INDEX(Sal_V,14)</f>
        <v>6550000</v>
      </c>
    </row>
    <row r="201" spans="1:4" x14ac:dyDescent="0.3">
      <c r="A201" s="14" t="s">
        <v>830</v>
      </c>
      <c r="B201" s="53" t="str">
        <f>IF(Costos!$B$20="","Puesto 15",Costos!$B$20)</f>
        <v>Mantenimiento</v>
      </c>
      <c r="C201" s="53" t="str">
        <f>IF(Costos!$D$20="","",Costos!$D$20)</f>
        <v>PYG</v>
      </c>
      <c r="D201" s="61">
        <f>INDEX(Sal_V,15)</f>
        <v>3650655</v>
      </c>
    </row>
    <row r="202" spans="1:4" x14ac:dyDescent="0.3">
      <c r="A202" s="14" t="s">
        <v>831</v>
      </c>
      <c r="B202" s="53" t="str">
        <f>IF(Costos!$B$21="","Puesto 16",Costos!$B$21)</f>
        <v>PCP</v>
      </c>
      <c r="C202" s="53" t="str">
        <f>IF(Costos!$D$21="","",Costos!$D$21)</f>
        <v>PYG</v>
      </c>
      <c r="D202" s="61">
        <f>INDEX(Sal_V,16)</f>
        <v>9800000</v>
      </c>
    </row>
    <row r="203" spans="1:4" x14ac:dyDescent="0.3">
      <c r="A203" s="14" t="s">
        <v>832</v>
      </c>
      <c r="B203" s="53" t="str">
        <f>IF(Costos!$B$22="","Puesto 17",Costos!$B$22)</f>
        <v>Analista PCP</v>
      </c>
      <c r="C203" s="53" t="str">
        <f>IF(Costos!$D$22="","",Costos!$D$22)</f>
        <v>PYG</v>
      </c>
      <c r="D203" s="61">
        <f>INDEX(Sal_V,17)</f>
        <v>2798309</v>
      </c>
    </row>
    <row r="204" spans="1:4" x14ac:dyDescent="0.3">
      <c r="A204" s="14" t="s">
        <v>833</v>
      </c>
      <c r="B204" s="53" t="str">
        <f>IF(Costos!$B$23="","Puesto 18",Costos!$B$23)</f>
        <v>Depósito</v>
      </c>
      <c r="C204" s="53" t="str">
        <f>IF(Costos!$D$23="","",Costos!$D$23)</f>
        <v>PYG</v>
      </c>
      <c r="D204" s="61">
        <f>INDEX(Sal_V,18)</f>
        <v>3150655</v>
      </c>
    </row>
    <row r="205" spans="1:4" x14ac:dyDescent="0.3">
      <c r="A205" s="14" t="s">
        <v>834</v>
      </c>
      <c r="B205" s="53" t="str">
        <f>IF(Costos!$B$24="","Puesto 19",Costos!$B$24)</f>
        <v>Compras</v>
      </c>
      <c r="C205" s="53" t="str">
        <f>IF(Costos!$D$24="","",Costos!$D$24)</f>
        <v>PYG</v>
      </c>
      <c r="D205" s="61">
        <f>INDEX(Sal_V,19)</f>
        <v>6550000</v>
      </c>
    </row>
    <row r="206" spans="1:4" x14ac:dyDescent="0.3">
      <c r="A206" s="14" t="s">
        <v>835</v>
      </c>
      <c r="B206" s="53" t="str">
        <f>IF(Costos!$B$25="","Puesto 20",Costos!$B$25)</f>
        <v>Logística/Comex</v>
      </c>
      <c r="C206" s="53" t="str">
        <f>IF(Costos!$D$25="","",Costos!$D$25)</f>
        <v>PYG</v>
      </c>
      <c r="D206" s="61">
        <f>INDEX(Sal_V,20)</f>
        <v>6550000</v>
      </c>
    </row>
    <row r="207" spans="1:4" x14ac:dyDescent="0.3">
      <c r="A207" s="14" t="s">
        <v>836</v>
      </c>
      <c r="B207" s="53" t="str">
        <f>IF(Costos!$B$26="","Puesto 21",Costos!$B$26)</f>
        <v>Coord. Control Calidad</v>
      </c>
      <c r="C207" s="53" t="str">
        <f>IF(Costos!$D$26="","",Costos!$D$26)</f>
        <v>PYG</v>
      </c>
      <c r="D207" s="61">
        <f>INDEX(Sal_V,21)</f>
        <v>6550000</v>
      </c>
    </row>
    <row r="208" spans="1:4" x14ac:dyDescent="0.3">
      <c r="A208" s="14" t="s">
        <v>837</v>
      </c>
      <c r="B208" s="53" t="str">
        <f>IF(Costos!$B$27="","Puesto 22",Costos!$B$27)</f>
        <v>Asistente Control Calidad</v>
      </c>
      <c r="C208" s="53" t="str">
        <f>IF(Costos!$D$27="","",Costos!$D$27)</f>
        <v>PYG</v>
      </c>
      <c r="D208" s="61">
        <f>INDEX(Sal_V,22)</f>
        <v>2798309</v>
      </c>
    </row>
    <row r="209" spans="1:149" x14ac:dyDescent="0.3">
      <c r="A209" s="14" t="s">
        <v>838</v>
      </c>
      <c r="B209" s="53" t="str">
        <f>IF(Costos!$B$28="","Puesto 23",Costos!$B$28)</f>
        <v>Coord. Procesos</v>
      </c>
      <c r="C209" s="53" t="str">
        <f>IF(Costos!$D$28="","",Costos!$D$28)</f>
        <v>PYG</v>
      </c>
      <c r="D209" s="61">
        <f>INDEX(Sal_V,23)</f>
        <v>6550000</v>
      </c>
    </row>
    <row r="210" spans="1:149" x14ac:dyDescent="0.3">
      <c r="A210" s="14" t="s">
        <v>839</v>
      </c>
      <c r="B210" s="53" t="str">
        <f>IF(Costos!$B$29="","Puesto 24",Costos!$B$29)</f>
        <v>Asistente Procesos</v>
      </c>
      <c r="C210" s="53" t="str">
        <f>IF(Costos!$D$29="","",Costos!$D$29)</f>
        <v>PYG</v>
      </c>
      <c r="D210" s="61">
        <f>INDEX(Sal_V,24)</f>
        <v>2798309</v>
      </c>
    </row>
    <row r="211" spans="1:149" x14ac:dyDescent="0.3">
      <c r="A211" s="14" t="s">
        <v>840</v>
      </c>
      <c r="B211" s="53" t="str">
        <f>IF(Costos!$B$30="","Puesto 25",Costos!$B$30)</f>
        <v>Administrador</v>
      </c>
      <c r="C211" s="53" t="str">
        <f>IF(Costos!$D$30="","",Costos!$D$30)</f>
        <v>PYG</v>
      </c>
      <c r="D211" s="61">
        <f>INDEX(Sal_V,25)</f>
        <v>9800000</v>
      </c>
    </row>
    <row r="212" spans="1:149" x14ac:dyDescent="0.3">
      <c r="A212" s="14" t="s">
        <v>841</v>
      </c>
      <c r="B212" s="53" t="str">
        <f>IF(Costos!$B$31="","Puesto 26",Costos!$B$31)</f>
        <v>Asistente Administrativo</v>
      </c>
      <c r="C212" s="53" t="str">
        <f>IF(Costos!$D$31="","",Costos!$D$31)</f>
        <v>PYG</v>
      </c>
      <c r="D212" s="61">
        <f>INDEX(Sal_V,26)</f>
        <v>2798309</v>
      </c>
    </row>
    <row r="213" spans="1:149" x14ac:dyDescent="0.3">
      <c r="A213" s="14" t="s">
        <v>842</v>
      </c>
      <c r="B213" s="53" t="str">
        <f>IF(Costos!$B$32="","Puesto 27",Costos!$B$32)</f>
        <v>Puesto 27</v>
      </c>
      <c r="C213" s="53" t="str">
        <f>IF(Costos!$D$32="","",Costos!$D$32)</f>
        <v/>
      </c>
      <c r="D213" s="61">
        <f>INDEX(Sal_V,27)</f>
        <v>0</v>
      </c>
    </row>
    <row r="214" spans="1:149" x14ac:dyDescent="0.3">
      <c r="A214" s="14" t="s">
        <v>843</v>
      </c>
      <c r="B214" s="53" t="str">
        <f>IF(Costos!$B$33="","Puesto 28",Costos!$B$33)</f>
        <v>Puesto 28</v>
      </c>
      <c r="C214" s="53" t="str">
        <f>IF(Costos!$D$33="","",Costos!$D$33)</f>
        <v/>
      </c>
      <c r="D214" s="61">
        <f>INDEX(Sal_V,28)</f>
        <v>0</v>
      </c>
    </row>
    <row r="215" spans="1:149" x14ac:dyDescent="0.3">
      <c r="A215" s="14" t="s">
        <v>844</v>
      </c>
      <c r="B215" s="53" t="str">
        <f>IF(Costos!$B$34="","Puesto 29",Costos!$B$34)</f>
        <v>Puesto 29</v>
      </c>
      <c r="C215" s="53" t="str">
        <f>IF(Costos!$D$34="","",Costos!$D$34)</f>
        <v/>
      </c>
      <c r="D215" s="61">
        <f>INDEX(Sal_V,29)</f>
        <v>0</v>
      </c>
    </row>
    <row r="216" spans="1:149" x14ac:dyDescent="0.3">
      <c r="A216" s="14" t="s">
        <v>845</v>
      </c>
      <c r="B216" s="53" t="str">
        <f>IF(Costos!$B$35="","Puesto 30",Costos!$B$35)</f>
        <v>Puesto 30</v>
      </c>
      <c r="C216" s="53" t="str">
        <f>IF(Costos!$D$35="","",Costos!$D$35)</f>
        <v/>
      </c>
      <c r="D216" s="61">
        <f>INDEX(Sal_V,30)</f>
        <v>0</v>
      </c>
    </row>
    <row r="217" spans="1:149" x14ac:dyDescent="0.3">
      <c r="B217" s="14" t="s">
        <v>651</v>
      </c>
      <c r="F217" s="62">
        <f t="shared" ref="F217" si="280">COUNT(F187:F216)</f>
        <v>0</v>
      </c>
      <c r="G217" s="62">
        <f t="shared" ref="G217" si="281">COUNT(G187:G216)</f>
        <v>0</v>
      </c>
      <c r="H217" s="62">
        <f t="shared" ref="H217" si="282">COUNT(H187:H216)</f>
        <v>0</v>
      </c>
      <c r="I217" s="62">
        <f t="shared" ref="I217" si="283">COUNT(I187:I216)</f>
        <v>0</v>
      </c>
      <c r="J217" s="62">
        <f t="shared" ref="J217" si="284">COUNT(J187:J216)</f>
        <v>0</v>
      </c>
      <c r="K217" s="62">
        <f t="shared" ref="K217" si="285">COUNT(K187:K216)</f>
        <v>0</v>
      </c>
      <c r="L217" s="62">
        <f t="shared" ref="L217" si="286">COUNT(L187:L216)</f>
        <v>0</v>
      </c>
      <c r="M217" s="62">
        <f t="shared" ref="M217" si="287">COUNT(M187:M216)</f>
        <v>0</v>
      </c>
      <c r="N217" s="62">
        <f t="shared" ref="N217" si="288">COUNT(N187:N216)</f>
        <v>0</v>
      </c>
      <c r="O217" s="62">
        <f t="shared" ref="O217" si="289">COUNT(O187:O216)</f>
        <v>0</v>
      </c>
      <c r="P217" s="62">
        <f t="shared" ref="P217" si="290">COUNT(P187:P216)</f>
        <v>0</v>
      </c>
      <c r="Q217" s="62">
        <f t="shared" ref="Q217" si="291">COUNT(Q187:Q216)</f>
        <v>0</v>
      </c>
      <c r="R217" s="62">
        <f t="shared" ref="R217" si="292">COUNT(R187:R216)</f>
        <v>0</v>
      </c>
      <c r="S217" s="62">
        <f t="shared" ref="S217" si="293">COUNT(S187:S216)</f>
        <v>0</v>
      </c>
      <c r="T217" s="62">
        <f t="shared" ref="T217" si="294">COUNT(T187:T216)</f>
        <v>0</v>
      </c>
      <c r="U217" s="62">
        <f t="shared" ref="U217" si="295">COUNT(U187:U216)</f>
        <v>0</v>
      </c>
      <c r="V217" s="62">
        <f t="shared" ref="V217" si="296">COUNT(V187:V216)</f>
        <v>0</v>
      </c>
      <c r="W217" s="62">
        <f t="shared" ref="W217" si="297">COUNT(W187:W216)</f>
        <v>0</v>
      </c>
      <c r="X217" s="62">
        <f t="shared" ref="X217" si="298">COUNT(X187:X216)</f>
        <v>0</v>
      </c>
      <c r="Y217" s="62">
        <f t="shared" ref="Y217" si="299">COUNT(Y187:Y216)</f>
        <v>0</v>
      </c>
      <c r="Z217" s="62">
        <f t="shared" ref="Z217" si="300">COUNT(Z187:Z216)</f>
        <v>0</v>
      </c>
      <c r="AA217" s="62">
        <f t="shared" ref="AA217" si="301">COUNT(AA187:AA216)</f>
        <v>0</v>
      </c>
      <c r="AB217" s="62">
        <f t="shared" ref="AB217" si="302">COUNT(AB187:AB216)</f>
        <v>0</v>
      </c>
      <c r="AC217" s="62">
        <f t="shared" ref="AC217" si="303">COUNT(AC187:AC216)</f>
        <v>0</v>
      </c>
      <c r="AD217" s="62">
        <f t="shared" ref="AD217" si="304">COUNT(AD187:AD216)</f>
        <v>0</v>
      </c>
      <c r="AE217" s="62">
        <f t="shared" ref="AE217" si="305">COUNT(AE187:AE216)</f>
        <v>0</v>
      </c>
      <c r="AF217" s="62">
        <f t="shared" ref="AF217" si="306">COUNT(AF187:AF216)</f>
        <v>0</v>
      </c>
      <c r="AG217" s="62">
        <f t="shared" ref="AG217" si="307">COUNT(AG187:AG216)</f>
        <v>0</v>
      </c>
      <c r="AH217" s="62">
        <f t="shared" ref="AH217" si="308">COUNT(AH187:AH216)</f>
        <v>0</v>
      </c>
      <c r="AI217" s="62">
        <f t="shared" ref="AI217" si="309">COUNT(AI187:AI216)</f>
        <v>0</v>
      </c>
      <c r="AJ217" s="62">
        <f t="shared" ref="AJ217" si="310">COUNT(AJ187:AJ216)</f>
        <v>0</v>
      </c>
      <c r="AK217" s="62">
        <f t="shared" ref="AK217" si="311">COUNT(AK187:AK216)</f>
        <v>0</v>
      </c>
      <c r="AL217" s="62">
        <f t="shared" ref="AL217" si="312">COUNT(AL187:AL216)</f>
        <v>0</v>
      </c>
      <c r="AM217" s="62">
        <f t="shared" ref="AM217" si="313">COUNT(AM187:AM216)</f>
        <v>0</v>
      </c>
      <c r="AN217" s="62">
        <f t="shared" ref="AN217" si="314">COUNT(AN187:AN216)</f>
        <v>0</v>
      </c>
      <c r="AO217" s="62">
        <f t="shared" ref="AO217" si="315">COUNT(AO187:AO216)</f>
        <v>0</v>
      </c>
      <c r="AP217" s="62">
        <f t="shared" ref="AL217:BQ217" si="316">COUNT(AP187:AP216)</f>
        <v>0</v>
      </c>
      <c r="AQ217" s="62">
        <f t="shared" si="316"/>
        <v>0</v>
      </c>
      <c r="AR217" s="62">
        <f t="shared" si="316"/>
        <v>0</v>
      </c>
      <c r="AS217" s="62">
        <f t="shared" si="316"/>
        <v>0</v>
      </c>
      <c r="AT217" s="62">
        <f t="shared" si="316"/>
        <v>0</v>
      </c>
      <c r="AU217" s="62">
        <f t="shared" si="316"/>
        <v>0</v>
      </c>
      <c r="AV217" s="62">
        <f t="shared" si="316"/>
        <v>0</v>
      </c>
      <c r="AW217" s="62">
        <f t="shared" si="316"/>
        <v>0</v>
      </c>
      <c r="AX217" s="62">
        <f t="shared" si="316"/>
        <v>0</v>
      </c>
      <c r="AY217" s="62">
        <f t="shared" si="316"/>
        <v>0</v>
      </c>
      <c r="AZ217" s="62">
        <f t="shared" si="316"/>
        <v>0</v>
      </c>
      <c r="BA217" s="62">
        <f t="shared" si="316"/>
        <v>0</v>
      </c>
      <c r="BB217" s="62">
        <f t="shared" si="316"/>
        <v>0</v>
      </c>
      <c r="BC217" s="62">
        <f t="shared" si="316"/>
        <v>0</v>
      </c>
      <c r="BD217" s="62">
        <f t="shared" si="316"/>
        <v>0</v>
      </c>
      <c r="BE217" s="62">
        <f t="shared" si="316"/>
        <v>0</v>
      </c>
      <c r="BF217" s="62">
        <f t="shared" si="316"/>
        <v>0</v>
      </c>
      <c r="BG217" s="62">
        <f t="shared" si="316"/>
        <v>0</v>
      </c>
      <c r="BH217" s="62">
        <f t="shared" si="316"/>
        <v>0</v>
      </c>
      <c r="BI217" s="62">
        <f t="shared" si="316"/>
        <v>0</v>
      </c>
      <c r="BJ217" s="62">
        <f t="shared" si="316"/>
        <v>0</v>
      </c>
      <c r="BK217" s="62">
        <f t="shared" si="316"/>
        <v>0</v>
      </c>
      <c r="BL217" s="62">
        <f t="shared" si="316"/>
        <v>0</v>
      </c>
      <c r="BM217" s="62">
        <f t="shared" si="316"/>
        <v>0</v>
      </c>
      <c r="BN217" s="62">
        <f t="shared" si="316"/>
        <v>0</v>
      </c>
      <c r="BO217" s="62">
        <f t="shared" si="316"/>
        <v>0</v>
      </c>
      <c r="BP217" s="62">
        <f t="shared" si="316"/>
        <v>0</v>
      </c>
      <c r="BQ217" s="62">
        <f t="shared" si="316"/>
        <v>0</v>
      </c>
      <c r="BR217" s="62">
        <f t="shared" ref="BR217:CW217" si="317">COUNT(BR187:BR216)</f>
        <v>0</v>
      </c>
      <c r="BS217" s="62">
        <f t="shared" si="317"/>
        <v>0</v>
      </c>
      <c r="BT217" s="62">
        <f t="shared" si="317"/>
        <v>0</v>
      </c>
      <c r="BU217" s="62">
        <f t="shared" si="317"/>
        <v>0</v>
      </c>
      <c r="BV217" s="62">
        <f t="shared" si="317"/>
        <v>0</v>
      </c>
      <c r="BW217" s="62">
        <f t="shared" si="317"/>
        <v>0</v>
      </c>
      <c r="BX217" s="62">
        <f t="shared" si="317"/>
        <v>0</v>
      </c>
      <c r="BY217" s="62">
        <f t="shared" si="317"/>
        <v>0</v>
      </c>
      <c r="BZ217" s="62">
        <f t="shared" si="317"/>
        <v>0</v>
      </c>
      <c r="CA217" s="62">
        <f t="shared" si="317"/>
        <v>0</v>
      </c>
      <c r="CB217" s="62">
        <f t="shared" si="317"/>
        <v>0</v>
      </c>
      <c r="CC217" s="62">
        <f t="shared" si="317"/>
        <v>0</v>
      </c>
      <c r="CD217" s="62">
        <f t="shared" si="317"/>
        <v>0</v>
      </c>
      <c r="CE217" s="62">
        <f t="shared" si="317"/>
        <v>0</v>
      </c>
      <c r="CF217" s="62">
        <f t="shared" si="317"/>
        <v>0</v>
      </c>
      <c r="CG217" s="62">
        <f t="shared" si="317"/>
        <v>0</v>
      </c>
      <c r="CH217" s="62">
        <f t="shared" si="317"/>
        <v>0</v>
      </c>
      <c r="CI217" s="62">
        <f t="shared" si="317"/>
        <v>0</v>
      </c>
      <c r="CJ217" s="62">
        <f t="shared" si="317"/>
        <v>0</v>
      </c>
      <c r="CK217" s="62">
        <f t="shared" si="317"/>
        <v>0</v>
      </c>
      <c r="CL217" s="62">
        <f t="shared" si="317"/>
        <v>0</v>
      </c>
      <c r="CM217" s="62">
        <f t="shared" si="317"/>
        <v>0</v>
      </c>
      <c r="CN217" s="62">
        <f t="shared" si="317"/>
        <v>0</v>
      </c>
      <c r="CO217" s="62">
        <f t="shared" si="317"/>
        <v>0</v>
      </c>
      <c r="CP217" s="62">
        <f t="shared" si="317"/>
        <v>0</v>
      </c>
      <c r="CQ217" s="62">
        <f t="shared" si="317"/>
        <v>0</v>
      </c>
      <c r="CR217" s="62">
        <f t="shared" si="317"/>
        <v>0</v>
      </c>
      <c r="CS217" s="62">
        <f t="shared" si="317"/>
        <v>0</v>
      </c>
      <c r="CT217" s="62">
        <f t="shared" si="317"/>
        <v>0</v>
      </c>
      <c r="CU217" s="62">
        <f t="shared" si="317"/>
        <v>0</v>
      </c>
      <c r="CV217" s="62">
        <f t="shared" si="317"/>
        <v>0</v>
      </c>
      <c r="CW217" s="62">
        <f t="shared" si="317"/>
        <v>0</v>
      </c>
      <c r="CX217" s="62">
        <f t="shared" ref="CX217:EC217" si="318">COUNT(CX187:CX216)</f>
        <v>0</v>
      </c>
      <c r="CY217" s="62">
        <f t="shared" si="318"/>
        <v>0</v>
      </c>
      <c r="CZ217" s="62">
        <f t="shared" si="318"/>
        <v>0</v>
      </c>
      <c r="DA217" s="62">
        <f t="shared" si="318"/>
        <v>0</v>
      </c>
      <c r="DB217" s="62">
        <f t="shared" si="318"/>
        <v>0</v>
      </c>
      <c r="DC217" s="62">
        <f t="shared" si="318"/>
        <v>0</v>
      </c>
      <c r="DD217" s="62">
        <f t="shared" si="318"/>
        <v>0</v>
      </c>
      <c r="DE217" s="62">
        <f t="shared" si="318"/>
        <v>0</v>
      </c>
      <c r="DF217" s="62">
        <f t="shared" si="318"/>
        <v>0</v>
      </c>
      <c r="DG217" s="62">
        <f t="shared" si="318"/>
        <v>0</v>
      </c>
      <c r="DH217" s="62">
        <f t="shared" si="318"/>
        <v>0</v>
      </c>
      <c r="DI217" s="62">
        <f t="shared" si="318"/>
        <v>0</v>
      </c>
      <c r="DJ217" s="62">
        <f t="shared" si="318"/>
        <v>0</v>
      </c>
      <c r="DK217" s="62">
        <f t="shared" si="318"/>
        <v>0</v>
      </c>
      <c r="DL217" s="62">
        <f t="shared" si="318"/>
        <v>0</v>
      </c>
      <c r="DM217" s="62">
        <f t="shared" si="318"/>
        <v>0</v>
      </c>
      <c r="DN217" s="62">
        <f t="shared" si="318"/>
        <v>0</v>
      </c>
      <c r="DO217" s="62">
        <f t="shared" si="318"/>
        <v>0</v>
      </c>
      <c r="DP217" s="62">
        <f t="shared" si="318"/>
        <v>0</v>
      </c>
      <c r="DQ217" s="62">
        <f t="shared" si="318"/>
        <v>0</v>
      </c>
      <c r="DR217" s="62">
        <f t="shared" si="318"/>
        <v>0</v>
      </c>
      <c r="DS217" s="62">
        <f t="shared" si="318"/>
        <v>0</v>
      </c>
      <c r="DT217" s="62">
        <f t="shared" si="318"/>
        <v>0</v>
      </c>
      <c r="DU217" s="62">
        <f t="shared" si="318"/>
        <v>0</v>
      </c>
      <c r="DV217" s="62">
        <f t="shared" si="318"/>
        <v>0</v>
      </c>
      <c r="DW217" s="62">
        <f t="shared" si="318"/>
        <v>0</v>
      </c>
      <c r="DX217" s="62">
        <f t="shared" si="318"/>
        <v>0</v>
      </c>
      <c r="DY217" s="62">
        <f t="shared" si="318"/>
        <v>0</v>
      </c>
      <c r="DZ217" s="62">
        <f t="shared" si="318"/>
        <v>0</v>
      </c>
      <c r="EA217" s="62">
        <f t="shared" si="318"/>
        <v>0</v>
      </c>
      <c r="EB217" s="62">
        <f t="shared" si="318"/>
        <v>0</v>
      </c>
      <c r="EC217" s="62">
        <f t="shared" si="318"/>
        <v>0</v>
      </c>
      <c r="ED217" s="62">
        <f t="shared" ref="ED217:ES217" si="319">COUNT(ED187:ED216)</f>
        <v>0</v>
      </c>
      <c r="EE217" s="62">
        <f t="shared" si="319"/>
        <v>0</v>
      </c>
      <c r="EF217" s="62">
        <f t="shared" si="319"/>
        <v>0</v>
      </c>
      <c r="EG217" s="62">
        <f t="shared" si="319"/>
        <v>0</v>
      </c>
      <c r="EH217" s="62">
        <f t="shared" si="319"/>
        <v>0</v>
      </c>
      <c r="EI217" s="62">
        <f t="shared" si="319"/>
        <v>0</v>
      </c>
      <c r="EJ217" s="62">
        <f t="shared" si="319"/>
        <v>0</v>
      </c>
      <c r="EK217" s="62">
        <f t="shared" si="319"/>
        <v>0</v>
      </c>
      <c r="EL217" s="62">
        <f t="shared" si="319"/>
        <v>0</v>
      </c>
      <c r="EM217" s="62">
        <f t="shared" si="319"/>
        <v>0</v>
      </c>
      <c r="EN217" s="62">
        <f t="shared" si="319"/>
        <v>0</v>
      </c>
      <c r="EO217" s="62">
        <f t="shared" si="319"/>
        <v>0</v>
      </c>
      <c r="EP217" s="62">
        <f t="shared" si="319"/>
        <v>0</v>
      </c>
      <c r="EQ217" s="62">
        <f t="shared" si="319"/>
        <v>0</v>
      </c>
      <c r="ER217" s="62">
        <f t="shared" si="319"/>
        <v>0</v>
      </c>
      <c r="ES217" s="62">
        <f t="shared" si="319"/>
        <v>0</v>
      </c>
    </row>
    <row r="219" spans="1:149" x14ac:dyDescent="0.3">
      <c r="A219" s="15" t="s">
        <v>846</v>
      </c>
      <c r="B219" s="16"/>
      <c r="C219" s="16"/>
      <c r="D219" s="16"/>
      <c r="E219" s="16"/>
    </row>
    <row r="220" spans="1:149" x14ac:dyDescent="0.3">
      <c r="A220" s="14" t="s">
        <v>847</v>
      </c>
      <c r="B220" s="53" t="str">
        <f>IF(Costos!$B$75="","Concepto 1",Costos!$B$75)</f>
        <v>Energía eléctrica planta</v>
      </c>
      <c r="C220" s="53" t="str">
        <f>IF(Costos!$D$75="","",Costos!$D$75)</f>
        <v>PYG</v>
      </c>
      <c r="D220" s="61">
        <f>INDEX(FC_V,1)</f>
        <v>14000000</v>
      </c>
    </row>
    <row r="221" spans="1:149" x14ac:dyDescent="0.3">
      <c r="A221" s="14" t="s">
        <v>848</v>
      </c>
      <c r="B221" s="53" t="str">
        <f>IF(Costos!$B$76="","Concepto 2",Costos!$B$76)</f>
        <v>Mantenimiento y reparaciones planta</v>
      </c>
      <c r="C221" s="53" t="str">
        <f>IF(Costos!$D$76="","",Costos!$D$76)</f>
        <v>USD</v>
      </c>
      <c r="D221" s="61">
        <f>INDEX(FC_V,2)</f>
        <v>2475.67</v>
      </c>
    </row>
    <row r="222" spans="1:149" x14ac:dyDescent="0.3">
      <c r="A222" s="14" t="s">
        <v>849</v>
      </c>
      <c r="B222" s="53" t="str">
        <f>IF(Costos!$B$77="","Concepto 3",Costos!$B$77)</f>
        <v>Alquiler de nave (3.865 m2 x USD 4 + IVA)</v>
      </c>
      <c r="C222" s="53" t="str">
        <f>IF(Costos!$D$77="","",Costos!$D$77)</f>
        <v>USD</v>
      </c>
      <c r="D222" s="61">
        <f>INDEX(FC_V,3)</f>
        <v>17006</v>
      </c>
    </row>
    <row r="223" spans="1:149" x14ac:dyDescent="0.3">
      <c r="A223" s="14" t="s">
        <v>850</v>
      </c>
      <c r="B223" s="53" t="str">
        <f>IF(Costos!$B$78="","Concepto 4",Costos!$B$78)</f>
        <v>Expensas (USD 0,20/m2)</v>
      </c>
      <c r="C223" s="53" t="str">
        <f>IF(Costos!$D$78="","",Costos!$D$78)</f>
        <v>USD</v>
      </c>
      <c r="D223" s="61">
        <f>INDEX(FC_V,4)</f>
        <v>773</v>
      </c>
    </row>
    <row r="224" spans="1:149" x14ac:dyDescent="0.3">
      <c r="A224" s="14" t="s">
        <v>851</v>
      </c>
      <c r="B224" s="53" t="str">
        <f>IF(Costos!$B$79="","Concepto 5",Costos!$B$79)</f>
        <v>Agua, comunicaciones y electricidad</v>
      </c>
      <c r="C224" s="53" t="str">
        <f>IF(Costos!$D$79="","",Costos!$D$79)</f>
        <v>PYG</v>
      </c>
      <c r="D224" s="61">
        <f>INDEX(FC_V,5)</f>
        <v>750000</v>
      </c>
    </row>
    <row r="225" spans="1:4" x14ac:dyDescent="0.3">
      <c r="A225" s="14" t="s">
        <v>852</v>
      </c>
      <c r="B225" s="53" t="str">
        <f>IF(Costos!$B$80="","Concepto 6",Costos!$B$80)</f>
        <v>Mantenimiento y reparaciones adm.</v>
      </c>
      <c r="C225" s="53" t="str">
        <f>IF(Costos!$D$80="","",Costos!$D$80)</f>
        <v>PYG</v>
      </c>
      <c r="D225" s="61">
        <f>INDEX(FC_V,6)</f>
        <v>3000000</v>
      </c>
    </row>
    <row r="226" spans="1:4" x14ac:dyDescent="0.3">
      <c r="A226" s="14" t="s">
        <v>853</v>
      </c>
      <c r="B226" s="53" t="str">
        <f>IF(Costos!$B$81="","Concepto 7",Costos!$B$81)</f>
        <v>Seguros sobre activos fijos</v>
      </c>
      <c r="C226" s="53" t="str">
        <f>IF(Costos!$D$81="","",Costos!$D$81)</f>
        <v>PYG</v>
      </c>
      <c r="D226" s="61">
        <f>INDEX(FC_V,7)</f>
        <v>5000000</v>
      </c>
    </row>
    <row r="227" spans="1:4" x14ac:dyDescent="0.3">
      <c r="A227" s="14" t="s">
        <v>854</v>
      </c>
      <c r="B227" s="53" t="str">
        <f>IF(Costos!$B$82="","Concepto 8",Costos!$B$82)</f>
        <v>Gastos generales</v>
      </c>
      <c r="C227" s="53" t="str">
        <f>IF(Costos!$D$82="","",Costos!$D$82)</f>
        <v>USD</v>
      </c>
      <c r="D227" s="61">
        <f>INDEX(FC_V,8)</f>
        <v>1838.33</v>
      </c>
    </row>
    <row r="228" spans="1:4" x14ac:dyDescent="0.3">
      <c r="A228" s="14" t="s">
        <v>855</v>
      </c>
      <c r="B228" s="53" t="str">
        <f>IF(Costos!$B$83="","Concepto 9",Costos!$B$83)</f>
        <v>Honorarios y otros fijos</v>
      </c>
      <c r="C228" s="53" t="str">
        <f>IF(Costos!$D$83="","",Costos!$D$83)</f>
        <v>PYG</v>
      </c>
      <c r="D228" s="61">
        <f>INDEX(FC_V,9)</f>
        <v>15166667</v>
      </c>
    </row>
    <row r="229" spans="1:4" x14ac:dyDescent="0.3">
      <c r="A229" s="14" t="s">
        <v>856</v>
      </c>
      <c r="B229" s="53" t="str">
        <f>IF(Costos!$B$84="","Concepto 10",Costos!$B$84)</f>
        <v>Concepto 10</v>
      </c>
      <c r="C229" s="53" t="str">
        <f>IF(Costos!$D$84="","",Costos!$D$84)</f>
        <v/>
      </c>
      <c r="D229" s="61">
        <f>INDEX(FC_V,10)</f>
        <v>0</v>
      </c>
    </row>
    <row r="230" spans="1:4" x14ac:dyDescent="0.3">
      <c r="A230" s="14" t="s">
        <v>857</v>
      </c>
      <c r="B230" s="53" t="str">
        <f>IF(Costos!$B$85="","Concepto 11",Costos!$B$85)</f>
        <v>Concepto 11</v>
      </c>
      <c r="C230" s="53" t="str">
        <f>IF(Costos!$D$85="","",Costos!$D$85)</f>
        <v/>
      </c>
      <c r="D230" s="61">
        <f>INDEX(FC_V,11)</f>
        <v>0</v>
      </c>
    </row>
    <row r="231" spans="1:4" x14ac:dyDescent="0.3">
      <c r="A231" s="14" t="s">
        <v>858</v>
      </c>
      <c r="B231" s="53" t="str">
        <f>IF(Costos!$B$86="","Concepto 12",Costos!$B$86)</f>
        <v>Concepto 12</v>
      </c>
      <c r="C231" s="53" t="str">
        <f>IF(Costos!$D$86="","",Costos!$D$86)</f>
        <v/>
      </c>
      <c r="D231" s="61">
        <f>INDEX(FC_V,12)</f>
        <v>0</v>
      </c>
    </row>
    <row r="232" spans="1:4" x14ac:dyDescent="0.3">
      <c r="A232" s="14" t="s">
        <v>859</v>
      </c>
      <c r="B232" s="53" t="str">
        <f>IF(Costos!$B$87="","Concepto 13",Costos!$B$87)</f>
        <v>Concepto 13</v>
      </c>
      <c r="C232" s="53" t="str">
        <f>IF(Costos!$D$87="","",Costos!$D$87)</f>
        <v/>
      </c>
      <c r="D232" s="61">
        <f>INDEX(FC_V,13)</f>
        <v>0</v>
      </c>
    </row>
    <row r="233" spans="1:4" x14ac:dyDescent="0.3">
      <c r="A233" s="14" t="s">
        <v>860</v>
      </c>
      <c r="B233" s="53" t="str">
        <f>IF(Costos!$B$88="","Concepto 14",Costos!$B$88)</f>
        <v>Concepto 14</v>
      </c>
      <c r="C233" s="53" t="str">
        <f>IF(Costos!$D$88="","",Costos!$D$88)</f>
        <v/>
      </c>
      <c r="D233" s="61">
        <f>INDEX(FC_V,14)</f>
        <v>0</v>
      </c>
    </row>
    <row r="234" spans="1:4" x14ac:dyDescent="0.3">
      <c r="A234" s="14" t="s">
        <v>861</v>
      </c>
      <c r="B234" s="53" t="str">
        <f>IF(Costos!$B$89="","Concepto 15",Costos!$B$89)</f>
        <v>Concepto 15</v>
      </c>
      <c r="C234" s="53" t="str">
        <f>IF(Costos!$D$89="","",Costos!$D$89)</f>
        <v/>
      </c>
      <c r="D234" s="61">
        <f>INDEX(FC_V,15)</f>
        <v>0</v>
      </c>
    </row>
    <row r="235" spans="1:4" x14ac:dyDescent="0.3">
      <c r="A235" s="14" t="s">
        <v>862</v>
      </c>
      <c r="B235" s="53" t="str">
        <f>IF(Costos!$B$90="","Concepto 16",Costos!$B$90)</f>
        <v>Concepto 16</v>
      </c>
      <c r="C235" s="53" t="str">
        <f>IF(Costos!$D$90="","",Costos!$D$90)</f>
        <v/>
      </c>
      <c r="D235" s="61">
        <f>INDEX(FC_V,16)</f>
        <v>0</v>
      </c>
    </row>
    <row r="236" spans="1:4" x14ac:dyDescent="0.3">
      <c r="A236" s="14" t="s">
        <v>863</v>
      </c>
      <c r="B236" s="53" t="str">
        <f>IF(Costos!$B$91="","Concepto 17",Costos!$B$91)</f>
        <v>Concepto 17</v>
      </c>
      <c r="C236" s="53" t="str">
        <f>IF(Costos!$D$91="","",Costos!$D$91)</f>
        <v/>
      </c>
      <c r="D236" s="61">
        <f>INDEX(FC_V,17)</f>
        <v>0</v>
      </c>
    </row>
    <row r="237" spans="1:4" x14ac:dyDescent="0.3">
      <c r="A237" s="14" t="s">
        <v>864</v>
      </c>
      <c r="B237" s="53" t="str">
        <f>IF(Costos!$B$92="","Concepto 18",Costos!$B$92)</f>
        <v>Concepto 18</v>
      </c>
      <c r="C237" s="53" t="str">
        <f>IF(Costos!$D$92="","",Costos!$D$92)</f>
        <v/>
      </c>
      <c r="D237" s="61">
        <f>INDEX(FC_V,18)</f>
        <v>0</v>
      </c>
    </row>
    <row r="238" spans="1:4" x14ac:dyDescent="0.3">
      <c r="A238" s="14" t="s">
        <v>865</v>
      </c>
      <c r="B238" s="53" t="str">
        <f>IF(Costos!$B$93="","Concepto 19",Costos!$B$93)</f>
        <v>Concepto 19</v>
      </c>
      <c r="C238" s="53" t="str">
        <f>IF(Costos!$D$93="","",Costos!$D$93)</f>
        <v/>
      </c>
      <c r="D238" s="61">
        <f>INDEX(FC_V,19)</f>
        <v>0</v>
      </c>
    </row>
    <row r="239" spans="1:4" x14ac:dyDescent="0.3">
      <c r="A239" s="14" t="s">
        <v>866</v>
      </c>
      <c r="B239" s="53" t="str">
        <f>IF(Costos!$B$94="","Concepto 20",Costos!$B$94)</f>
        <v>Concepto 20</v>
      </c>
      <c r="C239" s="53" t="str">
        <f>IF(Costos!$D$94="","",Costos!$D$94)</f>
        <v/>
      </c>
      <c r="D239" s="61">
        <f>INDEX(FC_V,20)</f>
        <v>0</v>
      </c>
    </row>
    <row r="240" spans="1:4" x14ac:dyDescent="0.3">
      <c r="A240" s="14" t="s">
        <v>867</v>
      </c>
      <c r="B240" s="53" t="str">
        <f>IF(Costos!$B$95="","Concepto 21",Costos!$B$95)</f>
        <v>Concepto 21</v>
      </c>
      <c r="C240" s="53" t="str">
        <f>IF(Costos!$D$95="","",Costos!$D$95)</f>
        <v/>
      </c>
      <c r="D240" s="61">
        <f>INDEX(FC_V,21)</f>
        <v>0</v>
      </c>
    </row>
    <row r="241" spans="1:149" x14ac:dyDescent="0.3">
      <c r="A241" s="14" t="s">
        <v>868</v>
      </c>
      <c r="B241" s="53" t="str">
        <f>IF(Costos!$B$96="","Concepto 22",Costos!$B$96)</f>
        <v>Concepto 22</v>
      </c>
      <c r="C241" s="53" t="str">
        <f>IF(Costos!$D$96="","",Costos!$D$96)</f>
        <v/>
      </c>
      <c r="D241" s="61">
        <f>INDEX(FC_V,22)</f>
        <v>0</v>
      </c>
    </row>
    <row r="242" spans="1:149" x14ac:dyDescent="0.3">
      <c r="A242" s="14" t="s">
        <v>869</v>
      </c>
      <c r="B242" s="53" t="str">
        <f>IF(Costos!$B$97="","Concepto 23",Costos!$B$97)</f>
        <v>Concepto 23</v>
      </c>
      <c r="C242" s="53" t="str">
        <f>IF(Costos!$D$97="","",Costos!$D$97)</f>
        <v/>
      </c>
      <c r="D242" s="61">
        <f>INDEX(FC_V,23)</f>
        <v>0</v>
      </c>
    </row>
    <row r="243" spans="1:149" x14ac:dyDescent="0.3">
      <c r="A243" s="14" t="s">
        <v>870</v>
      </c>
      <c r="B243" s="53" t="str">
        <f>IF(Costos!$B$98="","Concepto 24",Costos!$B$98)</f>
        <v>Concepto 24</v>
      </c>
      <c r="C243" s="53" t="str">
        <f>IF(Costos!$D$98="","",Costos!$D$98)</f>
        <v/>
      </c>
      <c r="D243" s="61">
        <f>INDEX(FC_V,24)</f>
        <v>0</v>
      </c>
    </row>
    <row r="244" spans="1:149" x14ac:dyDescent="0.3">
      <c r="A244" s="14" t="s">
        <v>871</v>
      </c>
      <c r="B244" s="53" t="str">
        <f>IF(Costos!$B$99="","Concepto 25",Costos!$B$99)</f>
        <v>Concepto 25</v>
      </c>
      <c r="C244" s="53" t="str">
        <f>IF(Costos!$D$99="","",Costos!$D$99)</f>
        <v/>
      </c>
      <c r="D244" s="61">
        <f>INDEX(FC_V,25)</f>
        <v>0</v>
      </c>
    </row>
    <row r="245" spans="1:149" x14ac:dyDescent="0.3">
      <c r="B245" s="14" t="s">
        <v>651</v>
      </c>
      <c r="F245" s="62">
        <f t="shared" ref="F245" si="320">COUNT(F220:F244)</f>
        <v>0</v>
      </c>
      <c r="G245" s="62">
        <f t="shared" ref="G245" si="321">COUNT(G220:G244)</f>
        <v>0</v>
      </c>
      <c r="H245" s="62">
        <f t="shared" ref="H245" si="322">COUNT(H220:H244)</f>
        <v>0</v>
      </c>
      <c r="I245" s="62">
        <f t="shared" ref="I245" si="323">COUNT(I220:I244)</f>
        <v>0</v>
      </c>
      <c r="J245" s="62">
        <f t="shared" ref="J245" si="324">COUNT(J220:J244)</f>
        <v>0</v>
      </c>
      <c r="K245" s="62">
        <f t="shared" ref="K245" si="325">COUNT(K220:K244)</f>
        <v>0</v>
      </c>
      <c r="L245" s="62">
        <f t="shared" ref="L245" si="326">COUNT(L220:L244)</f>
        <v>0</v>
      </c>
      <c r="M245" s="62">
        <f t="shared" ref="M245" si="327">COUNT(M220:M244)</f>
        <v>0</v>
      </c>
      <c r="N245" s="62">
        <f t="shared" ref="N245" si="328">COUNT(N220:N244)</f>
        <v>0</v>
      </c>
      <c r="O245" s="62">
        <f t="shared" ref="O245" si="329">COUNT(O220:O244)</f>
        <v>0</v>
      </c>
      <c r="P245" s="62">
        <f t="shared" ref="P245" si="330">COUNT(P220:P244)</f>
        <v>0</v>
      </c>
      <c r="Q245" s="62">
        <f t="shared" ref="Q245" si="331">COUNT(Q220:Q244)</f>
        <v>0</v>
      </c>
      <c r="R245" s="62">
        <f t="shared" ref="R245" si="332">COUNT(R220:R244)</f>
        <v>0</v>
      </c>
      <c r="S245" s="62">
        <f t="shared" ref="S245" si="333">COUNT(S220:S244)</f>
        <v>0</v>
      </c>
      <c r="T245" s="62">
        <f t="shared" ref="T245" si="334">COUNT(T220:T244)</f>
        <v>0</v>
      </c>
      <c r="U245" s="62">
        <f t="shared" ref="U245" si="335">COUNT(U220:U244)</f>
        <v>0</v>
      </c>
      <c r="V245" s="62">
        <f t="shared" ref="V245" si="336">COUNT(V220:V244)</f>
        <v>0</v>
      </c>
      <c r="W245" s="62">
        <f t="shared" ref="W245" si="337">COUNT(W220:W244)</f>
        <v>0</v>
      </c>
      <c r="X245" s="62">
        <f t="shared" ref="X245" si="338">COUNT(X220:X244)</f>
        <v>0</v>
      </c>
      <c r="Y245" s="62">
        <f t="shared" ref="Y245" si="339">COUNT(Y220:Y244)</f>
        <v>0</v>
      </c>
      <c r="Z245" s="62">
        <f t="shared" ref="Z245" si="340">COUNT(Z220:Z244)</f>
        <v>0</v>
      </c>
      <c r="AA245" s="62">
        <f t="shared" ref="AA245" si="341">COUNT(AA220:AA244)</f>
        <v>0</v>
      </c>
      <c r="AB245" s="62">
        <f t="shared" ref="AB245" si="342">COUNT(AB220:AB244)</f>
        <v>0</v>
      </c>
      <c r="AC245" s="62">
        <f t="shared" ref="AC245" si="343">COUNT(AC220:AC244)</f>
        <v>0</v>
      </c>
      <c r="AD245" s="62">
        <f t="shared" ref="AD245" si="344">COUNT(AD220:AD244)</f>
        <v>0</v>
      </c>
      <c r="AE245" s="62">
        <f t="shared" ref="AE245" si="345">COUNT(AE220:AE244)</f>
        <v>0</v>
      </c>
      <c r="AF245" s="62">
        <f t="shared" ref="AF245" si="346">COUNT(AF220:AF244)</f>
        <v>0</v>
      </c>
      <c r="AG245" s="62">
        <f t="shared" ref="AG245" si="347">COUNT(AG220:AG244)</f>
        <v>0</v>
      </c>
      <c r="AH245" s="62">
        <f t="shared" ref="AH245" si="348">COUNT(AH220:AH244)</f>
        <v>0</v>
      </c>
      <c r="AI245" s="62">
        <f t="shared" ref="AI245" si="349">COUNT(AI220:AI244)</f>
        <v>0</v>
      </c>
      <c r="AJ245" s="62">
        <f t="shared" ref="AJ245" si="350">COUNT(AJ220:AJ244)</f>
        <v>0</v>
      </c>
      <c r="AK245" s="62">
        <f t="shared" ref="AK245" si="351">COUNT(AK220:AK244)</f>
        <v>0</v>
      </c>
      <c r="AL245" s="62">
        <f t="shared" ref="AL245" si="352">COUNT(AL220:AL244)</f>
        <v>0</v>
      </c>
      <c r="AM245" s="62">
        <f t="shared" ref="AM245" si="353">COUNT(AM220:AM244)</f>
        <v>0</v>
      </c>
      <c r="AN245" s="62">
        <f t="shared" ref="AN245" si="354">COUNT(AN220:AN244)</f>
        <v>0</v>
      </c>
      <c r="AO245" s="62">
        <f t="shared" ref="AO245" si="355">COUNT(AO220:AO244)</f>
        <v>0</v>
      </c>
      <c r="AP245" s="62">
        <f t="shared" ref="AL245:BQ245" si="356">COUNT(AP220:AP244)</f>
        <v>0</v>
      </c>
      <c r="AQ245" s="62">
        <f t="shared" si="356"/>
        <v>0</v>
      </c>
      <c r="AR245" s="62">
        <f t="shared" si="356"/>
        <v>0</v>
      </c>
      <c r="AS245" s="62">
        <f t="shared" si="356"/>
        <v>0</v>
      </c>
      <c r="AT245" s="62">
        <f t="shared" si="356"/>
        <v>0</v>
      </c>
      <c r="AU245" s="62">
        <f t="shared" si="356"/>
        <v>0</v>
      </c>
      <c r="AV245" s="62">
        <f t="shared" si="356"/>
        <v>0</v>
      </c>
      <c r="AW245" s="62">
        <f t="shared" si="356"/>
        <v>0</v>
      </c>
      <c r="AX245" s="62">
        <f t="shared" si="356"/>
        <v>0</v>
      </c>
      <c r="AY245" s="62">
        <f t="shared" si="356"/>
        <v>0</v>
      </c>
      <c r="AZ245" s="62">
        <f t="shared" si="356"/>
        <v>0</v>
      </c>
      <c r="BA245" s="62">
        <f t="shared" si="356"/>
        <v>0</v>
      </c>
      <c r="BB245" s="62">
        <f t="shared" si="356"/>
        <v>0</v>
      </c>
      <c r="BC245" s="62">
        <f t="shared" si="356"/>
        <v>0</v>
      </c>
      <c r="BD245" s="62">
        <f t="shared" si="356"/>
        <v>0</v>
      </c>
      <c r="BE245" s="62">
        <f t="shared" si="356"/>
        <v>0</v>
      </c>
      <c r="BF245" s="62">
        <f t="shared" si="356"/>
        <v>0</v>
      </c>
      <c r="BG245" s="62">
        <f t="shared" si="356"/>
        <v>0</v>
      </c>
      <c r="BH245" s="62">
        <f t="shared" si="356"/>
        <v>0</v>
      </c>
      <c r="BI245" s="62">
        <f t="shared" si="356"/>
        <v>0</v>
      </c>
      <c r="BJ245" s="62">
        <f t="shared" si="356"/>
        <v>0</v>
      </c>
      <c r="BK245" s="62">
        <f t="shared" si="356"/>
        <v>0</v>
      </c>
      <c r="BL245" s="62">
        <f t="shared" si="356"/>
        <v>0</v>
      </c>
      <c r="BM245" s="62">
        <f t="shared" si="356"/>
        <v>0</v>
      </c>
      <c r="BN245" s="62">
        <f t="shared" si="356"/>
        <v>0</v>
      </c>
      <c r="BO245" s="62">
        <f t="shared" si="356"/>
        <v>0</v>
      </c>
      <c r="BP245" s="62">
        <f t="shared" si="356"/>
        <v>0</v>
      </c>
      <c r="BQ245" s="62">
        <f t="shared" si="356"/>
        <v>0</v>
      </c>
      <c r="BR245" s="62">
        <f t="shared" ref="BR245:CW245" si="357">COUNT(BR220:BR244)</f>
        <v>0</v>
      </c>
      <c r="BS245" s="62">
        <f t="shared" si="357"/>
        <v>0</v>
      </c>
      <c r="BT245" s="62">
        <f t="shared" si="357"/>
        <v>0</v>
      </c>
      <c r="BU245" s="62">
        <f t="shared" si="357"/>
        <v>0</v>
      </c>
      <c r="BV245" s="62">
        <f t="shared" si="357"/>
        <v>0</v>
      </c>
      <c r="BW245" s="62">
        <f t="shared" si="357"/>
        <v>0</v>
      </c>
      <c r="BX245" s="62">
        <f t="shared" si="357"/>
        <v>0</v>
      </c>
      <c r="BY245" s="62">
        <f t="shared" si="357"/>
        <v>0</v>
      </c>
      <c r="BZ245" s="62">
        <f t="shared" si="357"/>
        <v>0</v>
      </c>
      <c r="CA245" s="62">
        <f t="shared" si="357"/>
        <v>0</v>
      </c>
      <c r="CB245" s="62">
        <f t="shared" si="357"/>
        <v>0</v>
      </c>
      <c r="CC245" s="62">
        <f t="shared" si="357"/>
        <v>0</v>
      </c>
      <c r="CD245" s="62">
        <f t="shared" si="357"/>
        <v>0</v>
      </c>
      <c r="CE245" s="62">
        <f t="shared" si="357"/>
        <v>0</v>
      </c>
      <c r="CF245" s="62">
        <f t="shared" si="357"/>
        <v>0</v>
      </c>
      <c r="CG245" s="62">
        <f t="shared" si="357"/>
        <v>0</v>
      </c>
      <c r="CH245" s="62">
        <f t="shared" si="357"/>
        <v>0</v>
      </c>
      <c r="CI245" s="62">
        <f t="shared" si="357"/>
        <v>0</v>
      </c>
      <c r="CJ245" s="62">
        <f t="shared" si="357"/>
        <v>0</v>
      </c>
      <c r="CK245" s="62">
        <f t="shared" si="357"/>
        <v>0</v>
      </c>
      <c r="CL245" s="62">
        <f t="shared" si="357"/>
        <v>0</v>
      </c>
      <c r="CM245" s="62">
        <f t="shared" si="357"/>
        <v>0</v>
      </c>
      <c r="CN245" s="62">
        <f t="shared" si="357"/>
        <v>0</v>
      </c>
      <c r="CO245" s="62">
        <f t="shared" si="357"/>
        <v>0</v>
      </c>
      <c r="CP245" s="62">
        <f t="shared" si="357"/>
        <v>0</v>
      </c>
      <c r="CQ245" s="62">
        <f t="shared" si="357"/>
        <v>0</v>
      </c>
      <c r="CR245" s="62">
        <f t="shared" si="357"/>
        <v>0</v>
      </c>
      <c r="CS245" s="62">
        <f t="shared" si="357"/>
        <v>0</v>
      </c>
      <c r="CT245" s="62">
        <f t="shared" si="357"/>
        <v>0</v>
      </c>
      <c r="CU245" s="62">
        <f t="shared" si="357"/>
        <v>0</v>
      </c>
      <c r="CV245" s="62">
        <f t="shared" si="357"/>
        <v>0</v>
      </c>
      <c r="CW245" s="62">
        <f t="shared" si="357"/>
        <v>0</v>
      </c>
      <c r="CX245" s="62">
        <f t="shared" ref="CX245:EC245" si="358">COUNT(CX220:CX244)</f>
        <v>0</v>
      </c>
      <c r="CY245" s="62">
        <f t="shared" si="358"/>
        <v>0</v>
      </c>
      <c r="CZ245" s="62">
        <f t="shared" si="358"/>
        <v>0</v>
      </c>
      <c r="DA245" s="62">
        <f t="shared" si="358"/>
        <v>0</v>
      </c>
      <c r="DB245" s="62">
        <f t="shared" si="358"/>
        <v>0</v>
      </c>
      <c r="DC245" s="62">
        <f t="shared" si="358"/>
        <v>0</v>
      </c>
      <c r="DD245" s="62">
        <f t="shared" si="358"/>
        <v>0</v>
      </c>
      <c r="DE245" s="62">
        <f t="shared" si="358"/>
        <v>0</v>
      </c>
      <c r="DF245" s="62">
        <f t="shared" si="358"/>
        <v>0</v>
      </c>
      <c r="DG245" s="62">
        <f t="shared" si="358"/>
        <v>0</v>
      </c>
      <c r="DH245" s="62">
        <f t="shared" si="358"/>
        <v>0</v>
      </c>
      <c r="DI245" s="62">
        <f t="shared" si="358"/>
        <v>0</v>
      </c>
      <c r="DJ245" s="62">
        <f t="shared" si="358"/>
        <v>0</v>
      </c>
      <c r="DK245" s="62">
        <f t="shared" si="358"/>
        <v>0</v>
      </c>
      <c r="DL245" s="62">
        <f t="shared" si="358"/>
        <v>0</v>
      </c>
      <c r="DM245" s="62">
        <f t="shared" si="358"/>
        <v>0</v>
      </c>
      <c r="DN245" s="62">
        <f t="shared" si="358"/>
        <v>0</v>
      </c>
      <c r="DO245" s="62">
        <f t="shared" si="358"/>
        <v>0</v>
      </c>
      <c r="DP245" s="62">
        <f t="shared" si="358"/>
        <v>0</v>
      </c>
      <c r="DQ245" s="62">
        <f t="shared" si="358"/>
        <v>0</v>
      </c>
      <c r="DR245" s="62">
        <f t="shared" si="358"/>
        <v>0</v>
      </c>
      <c r="DS245" s="62">
        <f t="shared" si="358"/>
        <v>0</v>
      </c>
      <c r="DT245" s="62">
        <f t="shared" si="358"/>
        <v>0</v>
      </c>
      <c r="DU245" s="62">
        <f t="shared" si="358"/>
        <v>0</v>
      </c>
      <c r="DV245" s="62">
        <f t="shared" si="358"/>
        <v>0</v>
      </c>
      <c r="DW245" s="62">
        <f t="shared" si="358"/>
        <v>0</v>
      </c>
      <c r="DX245" s="62">
        <f t="shared" si="358"/>
        <v>0</v>
      </c>
      <c r="DY245" s="62">
        <f t="shared" si="358"/>
        <v>0</v>
      </c>
      <c r="DZ245" s="62">
        <f t="shared" si="358"/>
        <v>0</v>
      </c>
      <c r="EA245" s="62">
        <f t="shared" si="358"/>
        <v>0</v>
      </c>
      <c r="EB245" s="62">
        <f t="shared" si="358"/>
        <v>0</v>
      </c>
      <c r="EC245" s="62">
        <f t="shared" si="358"/>
        <v>0</v>
      </c>
      <c r="ED245" s="62">
        <f t="shared" ref="ED245:ES245" si="359">COUNT(ED220:ED244)</f>
        <v>0</v>
      </c>
      <c r="EE245" s="62">
        <f t="shared" si="359"/>
        <v>0</v>
      </c>
      <c r="EF245" s="62">
        <f t="shared" si="359"/>
        <v>0</v>
      </c>
      <c r="EG245" s="62">
        <f t="shared" si="359"/>
        <v>0</v>
      </c>
      <c r="EH245" s="62">
        <f t="shared" si="359"/>
        <v>0</v>
      </c>
      <c r="EI245" s="62">
        <f t="shared" si="359"/>
        <v>0</v>
      </c>
      <c r="EJ245" s="62">
        <f t="shared" si="359"/>
        <v>0</v>
      </c>
      <c r="EK245" s="62">
        <f t="shared" si="359"/>
        <v>0</v>
      </c>
      <c r="EL245" s="62">
        <f t="shared" si="359"/>
        <v>0</v>
      </c>
      <c r="EM245" s="62">
        <f t="shared" si="359"/>
        <v>0</v>
      </c>
      <c r="EN245" s="62">
        <f t="shared" si="359"/>
        <v>0</v>
      </c>
      <c r="EO245" s="62">
        <f t="shared" si="359"/>
        <v>0</v>
      </c>
      <c r="EP245" s="62">
        <f t="shared" si="359"/>
        <v>0</v>
      </c>
      <c r="EQ245" s="62">
        <f t="shared" si="359"/>
        <v>0</v>
      </c>
      <c r="ER245" s="62">
        <f t="shared" si="359"/>
        <v>0</v>
      </c>
      <c r="ES245" s="62">
        <f t="shared" si="359"/>
        <v>0</v>
      </c>
    </row>
    <row r="247" spans="1:149" x14ac:dyDescent="0.3">
      <c r="B247" s="14" t="s">
        <v>872</v>
      </c>
    </row>
  </sheetData>
  <conditionalFormatting sqref="F7:ES7">
    <cfRule type="cellIs" dxfId="5" priority="4" operator="equal">
      <formula>"Ventana"</formula>
    </cfRule>
  </conditionalFormatting>
  <conditionalFormatting sqref="F10:ES247">
    <cfRule type="expression" dxfId="4" priority="2">
      <formula>AND(F$4&gt;Corte,F$4&lt;=Corte+n_Ventana)</formula>
    </cfRule>
    <cfRule type="expression" dxfId="3" priority="3">
      <formula>F$4&lt;=Corte</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ES84"/>
  <sheetViews>
    <sheetView zoomScale="90" zoomScaleNormal="90" workbookViewId="0">
      <pane xSplit="5" ySplit="7" topLeftCell="F8" activePane="bottomRight" state="frozen"/>
      <selection pane="topRight" activeCell="F1" sqref="F1"/>
      <selection pane="bottomLeft" activeCell="A8" sqref="A8"/>
      <selection pane="bottomRight" activeCell="F16" sqref="F16"/>
    </sheetView>
  </sheetViews>
  <sheetFormatPr baseColWidth="10" defaultColWidth="8.5546875" defaultRowHeight="14.4" x14ac:dyDescent="0.3"/>
  <cols>
    <col min="1" max="1" width="9" customWidth="1"/>
    <col min="2" max="2" width="52" customWidth="1"/>
    <col min="3" max="3" width="8" customWidth="1"/>
    <col min="4" max="4" width="14" customWidth="1"/>
    <col min="5" max="5" width="4" customWidth="1"/>
    <col min="6" max="149" width="11" customWidth="1"/>
  </cols>
  <sheetData>
    <row r="1" spans="1:149" ht="16.8" x14ac:dyDescent="0.3">
      <c r="A1" s="13" t="s">
        <v>873</v>
      </c>
    </row>
    <row r="2" spans="1:149" x14ac:dyDescent="0.3">
      <c r="A2" s="14" t="s">
        <v>874</v>
      </c>
    </row>
    <row r="4" spans="1:149" x14ac:dyDescent="0.3">
      <c r="A4" s="57"/>
      <c r="B4" s="58" t="s">
        <v>645</v>
      </c>
      <c r="C4" s="57"/>
      <c r="D4" s="58" t="s">
        <v>875</v>
      </c>
      <c r="E4" s="57"/>
      <c r="F4" s="17">
        <v>1</v>
      </c>
      <c r="G4" s="17">
        <v>2</v>
      </c>
      <c r="H4" s="17">
        <v>3</v>
      </c>
      <c r="I4" s="17">
        <v>4</v>
      </c>
      <c r="J4" s="17">
        <v>5</v>
      </c>
      <c r="K4" s="17">
        <v>6</v>
      </c>
      <c r="L4" s="17">
        <v>7</v>
      </c>
      <c r="M4" s="17">
        <v>8</v>
      </c>
      <c r="N4" s="17">
        <v>9</v>
      </c>
      <c r="O4" s="17">
        <v>10</v>
      </c>
      <c r="P4" s="17">
        <v>11</v>
      </c>
      <c r="Q4" s="17">
        <v>12</v>
      </c>
      <c r="R4" s="17">
        <v>13</v>
      </c>
      <c r="S4" s="17">
        <v>14</v>
      </c>
      <c r="T4" s="17">
        <v>15</v>
      </c>
      <c r="U4" s="17">
        <v>16</v>
      </c>
      <c r="V4" s="17">
        <v>17</v>
      </c>
      <c r="W4" s="17">
        <v>18</v>
      </c>
      <c r="X4" s="17">
        <v>19</v>
      </c>
      <c r="Y4" s="17">
        <v>20</v>
      </c>
      <c r="Z4" s="17">
        <v>21</v>
      </c>
      <c r="AA4" s="17">
        <v>22</v>
      </c>
      <c r="AB4" s="17">
        <v>23</v>
      </c>
      <c r="AC4" s="17">
        <v>24</v>
      </c>
      <c r="AD4" s="17">
        <v>25</v>
      </c>
      <c r="AE4" s="17">
        <v>26</v>
      </c>
      <c r="AF4" s="17">
        <v>27</v>
      </c>
      <c r="AG4" s="17">
        <v>28</v>
      </c>
      <c r="AH4" s="17">
        <v>29</v>
      </c>
      <c r="AI4" s="17">
        <v>30</v>
      </c>
      <c r="AJ4" s="17">
        <v>31</v>
      </c>
      <c r="AK4" s="17">
        <v>32</v>
      </c>
      <c r="AL4" s="17">
        <v>33</v>
      </c>
      <c r="AM4" s="17">
        <v>34</v>
      </c>
      <c r="AN4" s="17">
        <v>35</v>
      </c>
      <c r="AO4" s="17">
        <v>36</v>
      </c>
      <c r="AP4" s="17">
        <v>37</v>
      </c>
      <c r="AQ4" s="17">
        <v>38</v>
      </c>
      <c r="AR4" s="17">
        <v>39</v>
      </c>
      <c r="AS4" s="17">
        <v>40</v>
      </c>
      <c r="AT4" s="17">
        <v>41</v>
      </c>
      <c r="AU4" s="17">
        <v>42</v>
      </c>
      <c r="AV4" s="17">
        <v>43</v>
      </c>
      <c r="AW4" s="17">
        <v>44</v>
      </c>
      <c r="AX4" s="17">
        <v>45</v>
      </c>
      <c r="AY4" s="17">
        <v>46</v>
      </c>
      <c r="AZ4" s="17">
        <v>47</v>
      </c>
      <c r="BA4" s="17">
        <v>48</v>
      </c>
      <c r="BB4" s="17">
        <v>49</v>
      </c>
      <c r="BC4" s="17">
        <v>50</v>
      </c>
      <c r="BD4" s="17">
        <v>51</v>
      </c>
      <c r="BE4" s="17">
        <v>52</v>
      </c>
      <c r="BF4" s="17">
        <v>53</v>
      </c>
      <c r="BG4" s="17">
        <v>54</v>
      </c>
      <c r="BH4" s="17">
        <v>55</v>
      </c>
      <c r="BI4" s="17">
        <v>56</v>
      </c>
      <c r="BJ4" s="17">
        <v>57</v>
      </c>
      <c r="BK4" s="17">
        <v>58</v>
      </c>
      <c r="BL4" s="17">
        <v>59</v>
      </c>
      <c r="BM4" s="17">
        <v>60</v>
      </c>
      <c r="BN4" s="17">
        <v>61</v>
      </c>
      <c r="BO4" s="17">
        <v>62</v>
      </c>
      <c r="BP4" s="17">
        <v>63</v>
      </c>
      <c r="BQ4" s="17">
        <v>64</v>
      </c>
      <c r="BR4" s="17">
        <v>65</v>
      </c>
      <c r="BS4" s="17">
        <v>66</v>
      </c>
      <c r="BT4" s="17">
        <v>67</v>
      </c>
      <c r="BU4" s="17">
        <v>68</v>
      </c>
      <c r="BV4" s="17">
        <v>69</v>
      </c>
      <c r="BW4" s="17">
        <v>70</v>
      </c>
      <c r="BX4" s="17">
        <v>71</v>
      </c>
      <c r="BY4" s="17">
        <v>72</v>
      </c>
      <c r="BZ4" s="17">
        <v>73</v>
      </c>
      <c r="CA4" s="17">
        <v>74</v>
      </c>
      <c r="CB4" s="17">
        <v>75</v>
      </c>
      <c r="CC4" s="17">
        <v>76</v>
      </c>
      <c r="CD4" s="17">
        <v>77</v>
      </c>
      <c r="CE4" s="17">
        <v>78</v>
      </c>
      <c r="CF4" s="17">
        <v>79</v>
      </c>
      <c r="CG4" s="17">
        <v>80</v>
      </c>
      <c r="CH4" s="17">
        <v>81</v>
      </c>
      <c r="CI4" s="17">
        <v>82</v>
      </c>
      <c r="CJ4" s="17">
        <v>83</v>
      </c>
      <c r="CK4" s="17">
        <v>84</v>
      </c>
      <c r="CL4" s="17">
        <v>85</v>
      </c>
      <c r="CM4" s="17">
        <v>86</v>
      </c>
      <c r="CN4" s="17">
        <v>87</v>
      </c>
      <c r="CO4" s="17">
        <v>88</v>
      </c>
      <c r="CP4" s="17">
        <v>89</v>
      </c>
      <c r="CQ4" s="17">
        <v>90</v>
      </c>
      <c r="CR4" s="17">
        <v>91</v>
      </c>
      <c r="CS4" s="17">
        <v>92</v>
      </c>
      <c r="CT4" s="17">
        <v>93</v>
      </c>
      <c r="CU4" s="17">
        <v>94</v>
      </c>
      <c r="CV4" s="17">
        <v>95</v>
      </c>
      <c r="CW4" s="17">
        <v>96</v>
      </c>
      <c r="CX4" s="17">
        <v>97</v>
      </c>
      <c r="CY4" s="17">
        <v>98</v>
      </c>
      <c r="CZ4" s="17">
        <v>99</v>
      </c>
      <c r="DA4" s="17">
        <v>100</v>
      </c>
      <c r="DB4" s="17">
        <v>101</v>
      </c>
      <c r="DC4" s="17">
        <v>102</v>
      </c>
      <c r="DD4" s="17">
        <v>103</v>
      </c>
      <c r="DE4" s="17">
        <v>104</v>
      </c>
      <c r="DF4" s="17">
        <v>105</v>
      </c>
      <c r="DG4" s="17">
        <v>106</v>
      </c>
      <c r="DH4" s="17">
        <v>107</v>
      </c>
      <c r="DI4" s="17">
        <v>108</v>
      </c>
      <c r="DJ4" s="17">
        <v>109</v>
      </c>
      <c r="DK4" s="17">
        <v>110</v>
      </c>
      <c r="DL4" s="17">
        <v>111</v>
      </c>
      <c r="DM4" s="17">
        <v>112</v>
      </c>
      <c r="DN4" s="17">
        <v>113</v>
      </c>
      <c r="DO4" s="17">
        <v>114</v>
      </c>
      <c r="DP4" s="17">
        <v>115</v>
      </c>
      <c r="DQ4" s="17">
        <v>116</v>
      </c>
      <c r="DR4" s="17">
        <v>117</v>
      </c>
      <c r="DS4" s="17">
        <v>118</v>
      </c>
      <c r="DT4" s="17">
        <v>119</v>
      </c>
      <c r="DU4" s="17">
        <v>120</v>
      </c>
      <c r="DV4" s="17">
        <v>121</v>
      </c>
      <c r="DW4" s="17">
        <v>122</v>
      </c>
      <c r="DX4" s="17">
        <v>123</v>
      </c>
      <c r="DY4" s="17">
        <v>124</v>
      </c>
      <c r="DZ4" s="17">
        <v>125</v>
      </c>
      <c r="EA4" s="17">
        <v>126</v>
      </c>
      <c r="EB4" s="17">
        <v>127</v>
      </c>
      <c r="EC4" s="17">
        <v>128</v>
      </c>
      <c r="ED4" s="17">
        <v>129</v>
      </c>
      <c r="EE4" s="17">
        <v>130</v>
      </c>
      <c r="EF4" s="17">
        <v>131</v>
      </c>
      <c r="EG4" s="17">
        <v>132</v>
      </c>
      <c r="EH4" s="17">
        <v>133</v>
      </c>
      <c r="EI4" s="17">
        <v>134</v>
      </c>
      <c r="EJ4" s="17">
        <v>135</v>
      </c>
      <c r="EK4" s="17">
        <v>136</v>
      </c>
      <c r="EL4" s="17">
        <v>137</v>
      </c>
      <c r="EM4" s="17">
        <v>138</v>
      </c>
      <c r="EN4" s="17">
        <v>139</v>
      </c>
      <c r="EO4" s="17">
        <v>140</v>
      </c>
      <c r="EP4" s="17">
        <v>141</v>
      </c>
      <c r="EQ4" s="17">
        <v>142</v>
      </c>
      <c r="ER4" s="17">
        <v>143</v>
      </c>
      <c r="ES4" s="17">
        <v>144</v>
      </c>
    </row>
    <row r="5" spans="1:149" x14ac:dyDescent="0.3">
      <c r="A5" s="57"/>
      <c r="B5" s="58" t="s">
        <v>1</v>
      </c>
      <c r="C5" s="57"/>
      <c r="D5" s="57"/>
      <c r="E5" s="57"/>
      <c r="F5" s="59" t="str">
        <f>IF(n_Fecha1="","",EOMONTH(n_Fecha1,1-1))</f>
        <v/>
      </c>
      <c r="G5" s="59" t="str">
        <f>IF(n_Fecha1="","",EOMONTH(n_Fecha1,2-1))</f>
        <v/>
      </c>
      <c r="H5" s="59" t="str">
        <f>IF(n_Fecha1="","",EOMONTH(n_Fecha1,3-1))</f>
        <v/>
      </c>
      <c r="I5" s="59" t="str">
        <f>IF(n_Fecha1="","",EOMONTH(n_Fecha1,4-1))</f>
        <v/>
      </c>
      <c r="J5" s="59" t="str">
        <f>IF(n_Fecha1="","",EOMONTH(n_Fecha1,5-1))</f>
        <v/>
      </c>
      <c r="K5" s="59" t="str">
        <f>IF(n_Fecha1="","",EOMONTH(n_Fecha1,6-1))</f>
        <v/>
      </c>
      <c r="L5" s="59" t="str">
        <f>IF(n_Fecha1="","",EOMONTH(n_Fecha1,7-1))</f>
        <v/>
      </c>
      <c r="M5" s="59" t="str">
        <f>IF(n_Fecha1="","",EOMONTH(n_Fecha1,8-1))</f>
        <v/>
      </c>
      <c r="N5" s="59" t="str">
        <f>IF(n_Fecha1="","",EOMONTH(n_Fecha1,9-1))</f>
        <v/>
      </c>
      <c r="O5" s="59" t="str">
        <f>IF(n_Fecha1="","",EOMONTH(n_Fecha1,10-1))</f>
        <v/>
      </c>
      <c r="P5" s="59" t="str">
        <f>IF(n_Fecha1="","",EOMONTH(n_Fecha1,11-1))</f>
        <v/>
      </c>
      <c r="Q5" s="59" t="str">
        <f>IF(n_Fecha1="","",EOMONTH(n_Fecha1,12-1))</f>
        <v/>
      </c>
      <c r="R5" s="59" t="str">
        <f>IF(n_Fecha1="","",EOMONTH(n_Fecha1,13-1))</f>
        <v/>
      </c>
      <c r="S5" s="59" t="str">
        <f>IF(n_Fecha1="","",EOMONTH(n_Fecha1,14-1))</f>
        <v/>
      </c>
      <c r="T5" s="59" t="str">
        <f>IF(n_Fecha1="","",EOMONTH(n_Fecha1,15-1))</f>
        <v/>
      </c>
      <c r="U5" s="59" t="str">
        <f>IF(n_Fecha1="","",EOMONTH(n_Fecha1,16-1))</f>
        <v/>
      </c>
      <c r="V5" s="59" t="str">
        <f>IF(n_Fecha1="","",EOMONTH(n_Fecha1,17-1))</f>
        <v/>
      </c>
      <c r="W5" s="59" t="str">
        <f>IF(n_Fecha1="","",EOMONTH(n_Fecha1,18-1))</f>
        <v/>
      </c>
      <c r="X5" s="59" t="str">
        <f>IF(n_Fecha1="","",EOMONTH(n_Fecha1,19-1))</f>
        <v/>
      </c>
      <c r="Y5" s="59" t="str">
        <f>IF(n_Fecha1="","",EOMONTH(n_Fecha1,20-1))</f>
        <v/>
      </c>
      <c r="Z5" s="59" t="str">
        <f>IF(n_Fecha1="","",EOMONTH(n_Fecha1,21-1))</f>
        <v/>
      </c>
      <c r="AA5" s="59" t="str">
        <f>IF(n_Fecha1="","",EOMONTH(n_Fecha1,22-1))</f>
        <v/>
      </c>
      <c r="AB5" s="59" t="str">
        <f>IF(n_Fecha1="","",EOMONTH(n_Fecha1,23-1))</f>
        <v/>
      </c>
      <c r="AC5" s="59" t="str">
        <f>IF(n_Fecha1="","",EOMONTH(n_Fecha1,24-1))</f>
        <v/>
      </c>
      <c r="AD5" s="59" t="str">
        <f>IF(n_Fecha1="","",EOMONTH(n_Fecha1,25-1))</f>
        <v/>
      </c>
      <c r="AE5" s="59" t="str">
        <f>IF(n_Fecha1="","",EOMONTH(n_Fecha1,26-1))</f>
        <v/>
      </c>
      <c r="AF5" s="59" t="str">
        <f>IF(n_Fecha1="","",EOMONTH(n_Fecha1,27-1))</f>
        <v/>
      </c>
      <c r="AG5" s="59" t="str">
        <f>IF(n_Fecha1="","",EOMONTH(n_Fecha1,28-1))</f>
        <v/>
      </c>
      <c r="AH5" s="59" t="str">
        <f>IF(n_Fecha1="","",EOMONTH(n_Fecha1,29-1))</f>
        <v/>
      </c>
      <c r="AI5" s="59" t="str">
        <f>IF(n_Fecha1="","",EOMONTH(n_Fecha1,30-1))</f>
        <v/>
      </c>
      <c r="AJ5" s="59" t="str">
        <f>IF(n_Fecha1="","",EOMONTH(n_Fecha1,31-1))</f>
        <v/>
      </c>
      <c r="AK5" s="59" t="str">
        <f>IF(n_Fecha1="","",EOMONTH(n_Fecha1,32-1))</f>
        <v/>
      </c>
      <c r="AL5" s="59" t="str">
        <f>IF(n_Fecha1="","",EOMONTH(n_Fecha1,33-1))</f>
        <v/>
      </c>
      <c r="AM5" s="59" t="str">
        <f>IF(n_Fecha1="","",EOMONTH(n_Fecha1,34-1))</f>
        <v/>
      </c>
      <c r="AN5" s="59" t="str">
        <f>IF(n_Fecha1="","",EOMONTH(n_Fecha1,35-1))</f>
        <v/>
      </c>
      <c r="AO5" s="59" t="str">
        <f>IF(n_Fecha1="","",EOMONTH(n_Fecha1,36-1))</f>
        <v/>
      </c>
      <c r="AP5" s="59" t="str">
        <f>IF(n_Fecha1="","",EOMONTH(n_Fecha1,37-1))</f>
        <v/>
      </c>
      <c r="AQ5" s="59" t="str">
        <f>IF(n_Fecha1="","",EOMONTH(n_Fecha1,38-1))</f>
        <v/>
      </c>
      <c r="AR5" s="59" t="str">
        <f>IF(n_Fecha1="","",EOMONTH(n_Fecha1,39-1))</f>
        <v/>
      </c>
      <c r="AS5" s="59" t="str">
        <f>IF(n_Fecha1="","",EOMONTH(n_Fecha1,40-1))</f>
        <v/>
      </c>
      <c r="AT5" s="59" t="str">
        <f>IF(n_Fecha1="","",EOMONTH(n_Fecha1,41-1))</f>
        <v/>
      </c>
      <c r="AU5" s="59" t="str">
        <f>IF(n_Fecha1="","",EOMONTH(n_Fecha1,42-1))</f>
        <v/>
      </c>
      <c r="AV5" s="59" t="str">
        <f>IF(n_Fecha1="","",EOMONTH(n_Fecha1,43-1))</f>
        <v/>
      </c>
      <c r="AW5" s="59" t="str">
        <f>IF(n_Fecha1="","",EOMONTH(n_Fecha1,44-1))</f>
        <v/>
      </c>
      <c r="AX5" s="59" t="str">
        <f>IF(n_Fecha1="","",EOMONTH(n_Fecha1,45-1))</f>
        <v/>
      </c>
      <c r="AY5" s="59" t="str">
        <f>IF(n_Fecha1="","",EOMONTH(n_Fecha1,46-1))</f>
        <v/>
      </c>
      <c r="AZ5" s="59" t="str">
        <f>IF(n_Fecha1="","",EOMONTH(n_Fecha1,47-1))</f>
        <v/>
      </c>
      <c r="BA5" s="59" t="str">
        <f>IF(n_Fecha1="","",EOMONTH(n_Fecha1,48-1))</f>
        <v/>
      </c>
      <c r="BB5" s="59" t="str">
        <f>IF(n_Fecha1="","",EOMONTH(n_Fecha1,49-1))</f>
        <v/>
      </c>
      <c r="BC5" s="59" t="str">
        <f>IF(n_Fecha1="","",EOMONTH(n_Fecha1,50-1))</f>
        <v/>
      </c>
      <c r="BD5" s="59" t="str">
        <f>IF(n_Fecha1="","",EOMONTH(n_Fecha1,51-1))</f>
        <v/>
      </c>
      <c r="BE5" s="59" t="str">
        <f>IF(n_Fecha1="","",EOMONTH(n_Fecha1,52-1))</f>
        <v/>
      </c>
      <c r="BF5" s="59" t="str">
        <f>IF(n_Fecha1="","",EOMONTH(n_Fecha1,53-1))</f>
        <v/>
      </c>
      <c r="BG5" s="59" t="str">
        <f>IF(n_Fecha1="","",EOMONTH(n_Fecha1,54-1))</f>
        <v/>
      </c>
      <c r="BH5" s="59" t="str">
        <f>IF(n_Fecha1="","",EOMONTH(n_Fecha1,55-1))</f>
        <v/>
      </c>
      <c r="BI5" s="59" t="str">
        <f>IF(n_Fecha1="","",EOMONTH(n_Fecha1,56-1))</f>
        <v/>
      </c>
      <c r="BJ5" s="59" t="str">
        <f>IF(n_Fecha1="","",EOMONTH(n_Fecha1,57-1))</f>
        <v/>
      </c>
      <c r="BK5" s="59" t="str">
        <f>IF(n_Fecha1="","",EOMONTH(n_Fecha1,58-1))</f>
        <v/>
      </c>
      <c r="BL5" s="59" t="str">
        <f>IF(n_Fecha1="","",EOMONTH(n_Fecha1,59-1))</f>
        <v/>
      </c>
      <c r="BM5" s="59" t="str">
        <f>IF(n_Fecha1="","",EOMONTH(n_Fecha1,60-1))</f>
        <v/>
      </c>
      <c r="BN5" s="59" t="str">
        <f>IF(n_Fecha1="","",EOMONTH(n_Fecha1,61-1))</f>
        <v/>
      </c>
      <c r="BO5" s="59" t="str">
        <f>IF(n_Fecha1="","",EOMONTH(n_Fecha1,62-1))</f>
        <v/>
      </c>
      <c r="BP5" s="59" t="str">
        <f>IF(n_Fecha1="","",EOMONTH(n_Fecha1,63-1))</f>
        <v/>
      </c>
      <c r="BQ5" s="59" t="str">
        <f>IF(n_Fecha1="","",EOMONTH(n_Fecha1,64-1))</f>
        <v/>
      </c>
      <c r="BR5" s="59" t="str">
        <f>IF(n_Fecha1="","",EOMONTH(n_Fecha1,65-1))</f>
        <v/>
      </c>
      <c r="BS5" s="59" t="str">
        <f>IF(n_Fecha1="","",EOMONTH(n_Fecha1,66-1))</f>
        <v/>
      </c>
      <c r="BT5" s="59" t="str">
        <f>IF(n_Fecha1="","",EOMONTH(n_Fecha1,67-1))</f>
        <v/>
      </c>
      <c r="BU5" s="59" t="str">
        <f>IF(n_Fecha1="","",EOMONTH(n_Fecha1,68-1))</f>
        <v/>
      </c>
      <c r="BV5" s="59" t="str">
        <f>IF(n_Fecha1="","",EOMONTH(n_Fecha1,69-1))</f>
        <v/>
      </c>
      <c r="BW5" s="59" t="str">
        <f>IF(n_Fecha1="","",EOMONTH(n_Fecha1,70-1))</f>
        <v/>
      </c>
      <c r="BX5" s="59" t="str">
        <f>IF(n_Fecha1="","",EOMONTH(n_Fecha1,71-1))</f>
        <v/>
      </c>
      <c r="BY5" s="59" t="str">
        <f>IF(n_Fecha1="","",EOMONTH(n_Fecha1,72-1))</f>
        <v/>
      </c>
      <c r="BZ5" s="59" t="str">
        <f>IF(n_Fecha1="","",EOMONTH(n_Fecha1,73-1))</f>
        <v/>
      </c>
      <c r="CA5" s="59" t="str">
        <f>IF(n_Fecha1="","",EOMONTH(n_Fecha1,74-1))</f>
        <v/>
      </c>
      <c r="CB5" s="59" t="str">
        <f>IF(n_Fecha1="","",EOMONTH(n_Fecha1,75-1))</f>
        <v/>
      </c>
      <c r="CC5" s="59" t="str">
        <f>IF(n_Fecha1="","",EOMONTH(n_Fecha1,76-1))</f>
        <v/>
      </c>
      <c r="CD5" s="59" t="str">
        <f>IF(n_Fecha1="","",EOMONTH(n_Fecha1,77-1))</f>
        <v/>
      </c>
      <c r="CE5" s="59" t="str">
        <f>IF(n_Fecha1="","",EOMONTH(n_Fecha1,78-1))</f>
        <v/>
      </c>
      <c r="CF5" s="59" t="str">
        <f>IF(n_Fecha1="","",EOMONTH(n_Fecha1,79-1))</f>
        <v/>
      </c>
      <c r="CG5" s="59" t="str">
        <f>IF(n_Fecha1="","",EOMONTH(n_Fecha1,80-1))</f>
        <v/>
      </c>
      <c r="CH5" s="59" t="str">
        <f>IF(n_Fecha1="","",EOMONTH(n_Fecha1,81-1))</f>
        <v/>
      </c>
      <c r="CI5" s="59" t="str">
        <f>IF(n_Fecha1="","",EOMONTH(n_Fecha1,82-1))</f>
        <v/>
      </c>
      <c r="CJ5" s="59" t="str">
        <f>IF(n_Fecha1="","",EOMONTH(n_Fecha1,83-1))</f>
        <v/>
      </c>
      <c r="CK5" s="59" t="str">
        <f>IF(n_Fecha1="","",EOMONTH(n_Fecha1,84-1))</f>
        <v/>
      </c>
      <c r="CL5" s="59" t="str">
        <f>IF(n_Fecha1="","",EOMONTH(n_Fecha1,85-1))</f>
        <v/>
      </c>
      <c r="CM5" s="59" t="str">
        <f>IF(n_Fecha1="","",EOMONTH(n_Fecha1,86-1))</f>
        <v/>
      </c>
      <c r="CN5" s="59" t="str">
        <f>IF(n_Fecha1="","",EOMONTH(n_Fecha1,87-1))</f>
        <v/>
      </c>
      <c r="CO5" s="59" t="str">
        <f>IF(n_Fecha1="","",EOMONTH(n_Fecha1,88-1))</f>
        <v/>
      </c>
      <c r="CP5" s="59" t="str">
        <f>IF(n_Fecha1="","",EOMONTH(n_Fecha1,89-1))</f>
        <v/>
      </c>
      <c r="CQ5" s="59" t="str">
        <f>IF(n_Fecha1="","",EOMONTH(n_Fecha1,90-1))</f>
        <v/>
      </c>
      <c r="CR5" s="59" t="str">
        <f>IF(n_Fecha1="","",EOMONTH(n_Fecha1,91-1))</f>
        <v/>
      </c>
      <c r="CS5" s="59" t="str">
        <f>IF(n_Fecha1="","",EOMONTH(n_Fecha1,92-1))</f>
        <v/>
      </c>
      <c r="CT5" s="59" t="str">
        <f>IF(n_Fecha1="","",EOMONTH(n_Fecha1,93-1))</f>
        <v/>
      </c>
      <c r="CU5" s="59" t="str">
        <f>IF(n_Fecha1="","",EOMONTH(n_Fecha1,94-1))</f>
        <v/>
      </c>
      <c r="CV5" s="59" t="str">
        <f>IF(n_Fecha1="","",EOMONTH(n_Fecha1,95-1))</f>
        <v/>
      </c>
      <c r="CW5" s="59" t="str">
        <f>IF(n_Fecha1="","",EOMONTH(n_Fecha1,96-1))</f>
        <v/>
      </c>
      <c r="CX5" s="59" t="str">
        <f>IF(n_Fecha1="","",EOMONTH(n_Fecha1,97-1))</f>
        <v/>
      </c>
      <c r="CY5" s="59" t="str">
        <f>IF(n_Fecha1="","",EOMONTH(n_Fecha1,98-1))</f>
        <v/>
      </c>
      <c r="CZ5" s="59" t="str">
        <f>IF(n_Fecha1="","",EOMONTH(n_Fecha1,99-1))</f>
        <v/>
      </c>
      <c r="DA5" s="59" t="str">
        <f>IF(n_Fecha1="","",EOMONTH(n_Fecha1,100-1))</f>
        <v/>
      </c>
      <c r="DB5" s="59" t="str">
        <f>IF(n_Fecha1="","",EOMONTH(n_Fecha1,101-1))</f>
        <v/>
      </c>
      <c r="DC5" s="59" t="str">
        <f>IF(n_Fecha1="","",EOMONTH(n_Fecha1,102-1))</f>
        <v/>
      </c>
      <c r="DD5" s="59" t="str">
        <f>IF(n_Fecha1="","",EOMONTH(n_Fecha1,103-1))</f>
        <v/>
      </c>
      <c r="DE5" s="59" t="str">
        <f>IF(n_Fecha1="","",EOMONTH(n_Fecha1,104-1))</f>
        <v/>
      </c>
      <c r="DF5" s="59" t="str">
        <f>IF(n_Fecha1="","",EOMONTH(n_Fecha1,105-1))</f>
        <v/>
      </c>
      <c r="DG5" s="59" t="str">
        <f>IF(n_Fecha1="","",EOMONTH(n_Fecha1,106-1))</f>
        <v/>
      </c>
      <c r="DH5" s="59" t="str">
        <f>IF(n_Fecha1="","",EOMONTH(n_Fecha1,107-1))</f>
        <v/>
      </c>
      <c r="DI5" s="59" t="str">
        <f>IF(n_Fecha1="","",EOMONTH(n_Fecha1,108-1))</f>
        <v/>
      </c>
      <c r="DJ5" s="59" t="str">
        <f>IF(n_Fecha1="","",EOMONTH(n_Fecha1,109-1))</f>
        <v/>
      </c>
      <c r="DK5" s="59" t="str">
        <f>IF(n_Fecha1="","",EOMONTH(n_Fecha1,110-1))</f>
        <v/>
      </c>
      <c r="DL5" s="59" t="str">
        <f>IF(n_Fecha1="","",EOMONTH(n_Fecha1,111-1))</f>
        <v/>
      </c>
      <c r="DM5" s="59" t="str">
        <f>IF(n_Fecha1="","",EOMONTH(n_Fecha1,112-1))</f>
        <v/>
      </c>
      <c r="DN5" s="59" t="str">
        <f>IF(n_Fecha1="","",EOMONTH(n_Fecha1,113-1))</f>
        <v/>
      </c>
      <c r="DO5" s="59" t="str">
        <f>IF(n_Fecha1="","",EOMONTH(n_Fecha1,114-1))</f>
        <v/>
      </c>
      <c r="DP5" s="59" t="str">
        <f>IF(n_Fecha1="","",EOMONTH(n_Fecha1,115-1))</f>
        <v/>
      </c>
      <c r="DQ5" s="59" t="str">
        <f>IF(n_Fecha1="","",EOMONTH(n_Fecha1,116-1))</f>
        <v/>
      </c>
      <c r="DR5" s="59" t="str">
        <f>IF(n_Fecha1="","",EOMONTH(n_Fecha1,117-1))</f>
        <v/>
      </c>
      <c r="DS5" s="59" t="str">
        <f>IF(n_Fecha1="","",EOMONTH(n_Fecha1,118-1))</f>
        <v/>
      </c>
      <c r="DT5" s="59" t="str">
        <f>IF(n_Fecha1="","",EOMONTH(n_Fecha1,119-1))</f>
        <v/>
      </c>
      <c r="DU5" s="59" t="str">
        <f>IF(n_Fecha1="","",EOMONTH(n_Fecha1,120-1))</f>
        <v/>
      </c>
      <c r="DV5" s="59" t="str">
        <f>IF(n_Fecha1="","",EOMONTH(n_Fecha1,121-1))</f>
        <v/>
      </c>
      <c r="DW5" s="59" t="str">
        <f>IF(n_Fecha1="","",EOMONTH(n_Fecha1,122-1))</f>
        <v/>
      </c>
      <c r="DX5" s="59" t="str">
        <f>IF(n_Fecha1="","",EOMONTH(n_Fecha1,123-1))</f>
        <v/>
      </c>
      <c r="DY5" s="59" t="str">
        <f>IF(n_Fecha1="","",EOMONTH(n_Fecha1,124-1))</f>
        <v/>
      </c>
      <c r="DZ5" s="59" t="str">
        <f>IF(n_Fecha1="","",EOMONTH(n_Fecha1,125-1))</f>
        <v/>
      </c>
      <c r="EA5" s="59" t="str">
        <f>IF(n_Fecha1="","",EOMONTH(n_Fecha1,126-1))</f>
        <v/>
      </c>
      <c r="EB5" s="59" t="str">
        <f>IF(n_Fecha1="","",EOMONTH(n_Fecha1,127-1))</f>
        <v/>
      </c>
      <c r="EC5" s="59" t="str">
        <f>IF(n_Fecha1="","",EOMONTH(n_Fecha1,128-1))</f>
        <v/>
      </c>
      <c r="ED5" s="59" t="str">
        <f>IF(n_Fecha1="","",EOMONTH(n_Fecha1,129-1))</f>
        <v/>
      </c>
      <c r="EE5" s="59" t="str">
        <f>IF(n_Fecha1="","",EOMONTH(n_Fecha1,130-1))</f>
        <v/>
      </c>
      <c r="EF5" s="59" t="str">
        <f>IF(n_Fecha1="","",EOMONTH(n_Fecha1,131-1))</f>
        <v/>
      </c>
      <c r="EG5" s="59" t="str">
        <f>IF(n_Fecha1="","",EOMONTH(n_Fecha1,132-1))</f>
        <v/>
      </c>
      <c r="EH5" s="59" t="str">
        <f>IF(n_Fecha1="","",EOMONTH(n_Fecha1,133-1))</f>
        <v/>
      </c>
      <c r="EI5" s="59" t="str">
        <f>IF(n_Fecha1="","",EOMONTH(n_Fecha1,134-1))</f>
        <v/>
      </c>
      <c r="EJ5" s="59" t="str">
        <f>IF(n_Fecha1="","",EOMONTH(n_Fecha1,135-1))</f>
        <v/>
      </c>
      <c r="EK5" s="59" t="str">
        <f>IF(n_Fecha1="","",EOMONTH(n_Fecha1,136-1))</f>
        <v/>
      </c>
      <c r="EL5" s="59" t="str">
        <f>IF(n_Fecha1="","",EOMONTH(n_Fecha1,137-1))</f>
        <v/>
      </c>
      <c r="EM5" s="59" t="str">
        <f>IF(n_Fecha1="","",EOMONTH(n_Fecha1,138-1))</f>
        <v/>
      </c>
      <c r="EN5" s="59" t="str">
        <f>IF(n_Fecha1="","",EOMONTH(n_Fecha1,139-1))</f>
        <v/>
      </c>
      <c r="EO5" s="59" t="str">
        <f>IF(n_Fecha1="","",EOMONTH(n_Fecha1,140-1))</f>
        <v/>
      </c>
      <c r="EP5" s="59" t="str">
        <f>IF(n_Fecha1="","",EOMONTH(n_Fecha1,141-1))</f>
        <v/>
      </c>
      <c r="EQ5" s="59" t="str">
        <f>IF(n_Fecha1="","",EOMONTH(n_Fecha1,142-1))</f>
        <v/>
      </c>
      <c r="ER5" s="59" t="str">
        <f>IF(n_Fecha1="","",EOMONTH(n_Fecha1,143-1))</f>
        <v/>
      </c>
      <c r="ES5" s="59" t="str">
        <f>IF(n_Fecha1="","",EOMONTH(n_Fecha1,144-1))</f>
        <v/>
      </c>
    </row>
    <row r="6" spans="1:149" x14ac:dyDescent="0.3">
      <c r="A6" s="57"/>
      <c r="B6" s="58" t="s">
        <v>647</v>
      </c>
      <c r="C6" s="57"/>
      <c r="D6" s="57"/>
      <c r="E6" s="57"/>
      <c r="F6" s="60">
        <f>ROUNDUP(1/12,0)</f>
        <v>1</v>
      </c>
      <c r="G6" s="60">
        <f>ROUNDUP(2/12,0)</f>
        <v>1</v>
      </c>
      <c r="H6" s="60">
        <f>ROUNDUP(3/12,0)</f>
        <v>1</v>
      </c>
      <c r="I6" s="60">
        <f>ROUNDUP(4/12,0)</f>
        <v>1</v>
      </c>
      <c r="J6" s="60">
        <f>ROUNDUP(5/12,0)</f>
        <v>1</v>
      </c>
      <c r="K6" s="60">
        <f>ROUNDUP(6/12,0)</f>
        <v>1</v>
      </c>
      <c r="L6" s="60">
        <f>ROUNDUP(7/12,0)</f>
        <v>1</v>
      </c>
      <c r="M6" s="60">
        <f>ROUNDUP(8/12,0)</f>
        <v>1</v>
      </c>
      <c r="N6" s="60">
        <f>ROUNDUP(9/12,0)</f>
        <v>1</v>
      </c>
      <c r="O6" s="60">
        <f>ROUNDUP(10/12,0)</f>
        <v>1</v>
      </c>
      <c r="P6" s="60">
        <f>ROUNDUP(11/12,0)</f>
        <v>1</v>
      </c>
      <c r="Q6" s="60">
        <f>ROUNDUP(12/12,0)</f>
        <v>1</v>
      </c>
      <c r="R6" s="60">
        <f>ROUNDUP(13/12,0)</f>
        <v>2</v>
      </c>
      <c r="S6" s="60">
        <f>ROUNDUP(14/12,0)</f>
        <v>2</v>
      </c>
      <c r="T6" s="60">
        <f>ROUNDUP(15/12,0)</f>
        <v>2</v>
      </c>
      <c r="U6" s="60">
        <f>ROUNDUP(16/12,0)</f>
        <v>2</v>
      </c>
      <c r="V6" s="60">
        <f>ROUNDUP(17/12,0)</f>
        <v>2</v>
      </c>
      <c r="W6" s="60">
        <f>ROUNDUP(18/12,0)</f>
        <v>2</v>
      </c>
      <c r="X6" s="60">
        <f>ROUNDUP(19/12,0)</f>
        <v>2</v>
      </c>
      <c r="Y6" s="60">
        <f>ROUNDUP(20/12,0)</f>
        <v>2</v>
      </c>
      <c r="Z6" s="60">
        <f>ROUNDUP(21/12,0)</f>
        <v>2</v>
      </c>
      <c r="AA6" s="60">
        <f>ROUNDUP(22/12,0)</f>
        <v>2</v>
      </c>
      <c r="AB6" s="60">
        <f>ROUNDUP(23/12,0)</f>
        <v>2</v>
      </c>
      <c r="AC6" s="60">
        <f>ROUNDUP(24/12,0)</f>
        <v>2</v>
      </c>
      <c r="AD6" s="60">
        <f>ROUNDUP(25/12,0)</f>
        <v>3</v>
      </c>
      <c r="AE6" s="60">
        <f>ROUNDUP(26/12,0)</f>
        <v>3</v>
      </c>
      <c r="AF6" s="60">
        <f>ROUNDUP(27/12,0)</f>
        <v>3</v>
      </c>
      <c r="AG6" s="60">
        <f>ROUNDUP(28/12,0)</f>
        <v>3</v>
      </c>
      <c r="AH6" s="60">
        <f>ROUNDUP(29/12,0)</f>
        <v>3</v>
      </c>
      <c r="AI6" s="60">
        <f>ROUNDUP(30/12,0)</f>
        <v>3</v>
      </c>
      <c r="AJ6" s="60">
        <f>ROUNDUP(31/12,0)</f>
        <v>3</v>
      </c>
      <c r="AK6" s="60">
        <f>ROUNDUP(32/12,0)</f>
        <v>3</v>
      </c>
      <c r="AL6" s="60">
        <f>ROUNDUP(33/12,0)</f>
        <v>3</v>
      </c>
      <c r="AM6" s="60">
        <f>ROUNDUP(34/12,0)</f>
        <v>3</v>
      </c>
      <c r="AN6" s="60">
        <f>ROUNDUP(35/12,0)</f>
        <v>3</v>
      </c>
      <c r="AO6" s="60">
        <f>ROUNDUP(36/12,0)</f>
        <v>3</v>
      </c>
      <c r="AP6" s="60">
        <f>ROUNDUP(37/12,0)</f>
        <v>4</v>
      </c>
      <c r="AQ6" s="60">
        <f>ROUNDUP(38/12,0)</f>
        <v>4</v>
      </c>
      <c r="AR6" s="60">
        <f>ROUNDUP(39/12,0)</f>
        <v>4</v>
      </c>
      <c r="AS6" s="60">
        <f>ROUNDUP(40/12,0)</f>
        <v>4</v>
      </c>
      <c r="AT6" s="60">
        <f>ROUNDUP(41/12,0)</f>
        <v>4</v>
      </c>
      <c r="AU6" s="60">
        <f>ROUNDUP(42/12,0)</f>
        <v>4</v>
      </c>
      <c r="AV6" s="60">
        <f>ROUNDUP(43/12,0)</f>
        <v>4</v>
      </c>
      <c r="AW6" s="60">
        <f>ROUNDUP(44/12,0)</f>
        <v>4</v>
      </c>
      <c r="AX6" s="60">
        <f>ROUNDUP(45/12,0)</f>
        <v>4</v>
      </c>
      <c r="AY6" s="60">
        <f>ROUNDUP(46/12,0)</f>
        <v>4</v>
      </c>
      <c r="AZ6" s="60">
        <f>ROUNDUP(47/12,0)</f>
        <v>4</v>
      </c>
      <c r="BA6" s="60">
        <f>ROUNDUP(48/12,0)</f>
        <v>4</v>
      </c>
      <c r="BB6" s="60">
        <f>ROUNDUP(49/12,0)</f>
        <v>5</v>
      </c>
      <c r="BC6" s="60">
        <f>ROUNDUP(50/12,0)</f>
        <v>5</v>
      </c>
      <c r="BD6" s="60">
        <f>ROUNDUP(51/12,0)</f>
        <v>5</v>
      </c>
      <c r="BE6" s="60">
        <f>ROUNDUP(52/12,0)</f>
        <v>5</v>
      </c>
      <c r="BF6" s="60">
        <f>ROUNDUP(53/12,0)</f>
        <v>5</v>
      </c>
      <c r="BG6" s="60">
        <f>ROUNDUP(54/12,0)</f>
        <v>5</v>
      </c>
      <c r="BH6" s="60">
        <f>ROUNDUP(55/12,0)</f>
        <v>5</v>
      </c>
      <c r="BI6" s="60">
        <f>ROUNDUP(56/12,0)</f>
        <v>5</v>
      </c>
      <c r="BJ6" s="60">
        <f>ROUNDUP(57/12,0)</f>
        <v>5</v>
      </c>
      <c r="BK6" s="60">
        <f>ROUNDUP(58/12,0)</f>
        <v>5</v>
      </c>
      <c r="BL6" s="60">
        <f>ROUNDUP(59/12,0)</f>
        <v>5</v>
      </c>
      <c r="BM6" s="60">
        <f>ROUNDUP(60/12,0)</f>
        <v>5</v>
      </c>
      <c r="BN6" s="60">
        <f>ROUNDUP(61/12,0)</f>
        <v>6</v>
      </c>
      <c r="BO6" s="60">
        <f>ROUNDUP(62/12,0)</f>
        <v>6</v>
      </c>
      <c r="BP6" s="60">
        <f>ROUNDUP(63/12,0)</f>
        <v>6</v>
      </c>
      <c r="BQ6" s="60">
        <f>ROUNDUP(64/12,0)</f>
        <v>6</v>
      </c>
      <c r="BR6" s="60">
        <f>ROUNDUP(65/12,0)</f>
        <v>6</v>
      </c>
      <c r="BS6" s="60">
        <f>ROUNDUP(66/12,0)</f>
        <v>6</v>
      </c>
      <c r="BT6" s="60">
        <f>ROUNDUP(67/12,0)</f>
        <v>6</v>
      </c>
      <c r="BU6" s="60">
        <f>ROUNDUP(68/12,0)</f>
        <v>6</v>
      </c>
      <c r="BV6" s="60">
        <f>ROUNDUP(69/12,0)</f>
        <v>6</v>
      </c>
      <c r="BW6" s="60">
        <f>ROUNDUP(70/12,0)</f>
        <v>6</v>
      </c>
      <c r="BX6" s="60">
        <f>ROUNDUP(71/12,0)</f>
        <v>6</v>
      </c>
      <c r="BY6" s="60">
        <f>ROUNDUP(72/12,0)</f>
        <v>6</v>
      </c>
      <c r="BZ6" s="60">
        <f>ROUNDUP(73/12,0)</f>
        <v>7</v>
      </c>
      <c r="CA6" s="60">
        <f>ROUNDUP(74/12,0)</f>
        <v>7</v>
      </c>
      <c r="CB6" s="60">
        <f>ROUNDUP(75/12,0)</f>
        <v>7</v>
      </c>
      <c r="CC6" s="60">
        <f>ROUNDUP(76/12,0)</f>
        <v>7</v>
      </c>
      <c r="CD6" s="60">
        <f>ROUNDUP(77/12,0)</f>
        <v>7</v>
      </c>
      <c r="CE6" s="60">
        <f>ROUNDUP(78/12,0)</f>
        <v>7</v>
      </c>
      <c r="CF6" s="60">
        <f>ROUNDUP(79/12,0)</f>
        <v>7</v>
      </c>
      <c r="CG6" s="60">
        <f>ROUNDUP(80/12,0)</f>
        <v>7</v>
      </c>
      <c r="CH6" s="60">
        <f>ROUNDUP(81/12,0)</f>
        <v>7</v>
      </c>
      <c r="CI6" s="60">
        <f>ROUNDUP(82/12,0)</f>
        <v>7</v>
      </c>
      <c r="CJ6" s="60">
        <f>ROUNDUP(83/12,0)</f>
        <v>7</v>
      </c>
      <c r="CK6" s="60">
        <f>ROUNDUP(84/12,0)</f>
        <v>7</v>
      </c>
      <c r="CL6" s="60">
        <f>ROUNDUP(85/12,0)</f>
        <v>8</v>
      </c>
      <c r="CM6" s="60">
        <f>ROUNDUP(86/12,0)</f>
        <v>8</v>
      </c>
      <c r="CN6" s="60">
        <f>ROUNDUP(87/12,0)</f>
        <v>8</v>
      </c>
      <c r="CO6" s="60">
        <f>ROUNDUP(88/12,0)</f>
        <v>8</v>
      </c>
      <c r="CP6" s="60">
        <f>ROUNDUP(89/12,0)</f>
        <v>8</v>
      </c>
      <c r="CQ6" s="60">
        <f>ROUNDUP(90/12,0)</f>
        <v>8</v>
      </c>
      <c r="CR6" s="60">
        <f>ROUNDUP(91/12,0)</f>
        <v>8</v>
      </c>
      <c r="CS6" s="60">
        <f>ROUNDUP(92/12,0)</f>
        <v>8</v>
      </c>
      <c r="CT6" s="60">
        <f>ROUNDUP(93/12,0)</f>
        <v>8</v>
      </c>
      <c r="CU6" s="60">
        <f>ROUNDUP(94/12,0)</f>
        <v>8</v>
      </c>
      <c r="CV6" s="60">
        <f>ROUNDUP(95/12,0)</f>
        <v>8</v>
      </c>
      <c r="CW6" s="60">
        <f>ROUNDUP(96/12,0)</f>
        <v>8</v>
      </c>
      <c r="CX6" s="60">
        <f>ROUNDUP(97/12,0)</f>
        <v>9</v>
      </c>
      <c r="CY6" s="60">
        <f>ROUNDUP(98/12,0)</f>
        <v>9</v>
      </c>
      <c r="CZ6" s="60">
        <f>ROUNDUP(99/12,0)</f>
        <v>9</v>
      </c>
      <c r="DA6" s="60">
        <f>ROUNDUP(100/12,0)</f>
        <v>9</v>
      </c>
      <c r="DB6" s="60">
        <f>ROUNDUP(101/12,0)</f>
        <v>9</v>
      </c>
      <c r="DC6" s="60">
        <f>ROUNDUP(102/12,0)</f>
        <v>9</v>
      </c>
      <c r="DD6" s="60">
        <f>ROUNDUP(103/12,0)</f>
        <v>9</v>
      </c>
      <c r="DE6" s="60">
        <f>ROUNDUP(104/12,0)</f>
        <v>9</v>
      </c>
      <c r="DF6" s="60">
        <f>ROUNDUP(105/12,0)</f>
        <v>9</v>
      </c>
      <c r="DG6" s="60">
        <f>ROUNDUP(106/12,0)</f>
        <v>9</v>
      </c>
      <c r="DH6" s="60">
        <f>ROUNDUP(107/12,0)</f>
        <v>9</v>
      </c>
      <c r="DI6" s="60">
        <f>ROUNDUP(108/12,0)</f>
        <v>9</v>
      </c>
      <c r="DJ6" s="60">
        <f>ROUNDUP(109/12,0)</f>
        <v>10</v>
      </c>
      <c r="DK6" s="60">
        <f>ROUNDUP(110/12,0)</f>
        <v>10</v>
      </c>
      <c r="DL6" s="60">
        <f>ROUNDUP(111/12,0)</f>
        <v>10</v>
      </c>
      <c r="DM6" s="60">
        <f>ROUNDUP(112/12,0)</f>
        <v>10</v>
      </c>
      <c r="DN6" s="60">
        <f>ROUNDUP(113/12,0)</f>
        <v>10</v>
      </c>
      <c r="DO6" s="60">
        <f>ROUNDUP(114/12,0)</f>
        <v>10</v>
      </c>
      <c r="DP6" s="60">
        <f>ROUNDUP(115/12,0)</f>
        <v>10</v>
      </c>
      <c r="DQ6" s="60">
        <f>ROUNDUP(116/12,0)</f>
        <v>10</v>
      </c>
      <c r="DR6" s="60">
        <f>ROUNDUP(117/12,0)</f>
        <v>10</v>
      </c>
      <c r="DS6" s="60">
        <f>ROUNDUP(118/12,0)</f>
        <v>10</v>
      </c>
      <c r="DT6" s="60">
        <f>ROUNDUP(119/12,0)</f>
        <v>10</v>
      </c>
      <c r="DU6" s="60">
        <f>ROUNDUP(120/12,0)</f>
        <v>10</v>
      </c>
      <c r="DV6" s="60">
        <f>ROUNDUP(121/12,0)</f>
        <v>11</v>
      </c>
      <c r="DW6" s="60">
        <f>ROUNDUP(122/12,0)</f>
        <v>11</v>
      </c>
      <c r="DX6" s="60">
        <f>ROUNDUP(123/12,0)</f>
        <v>11</v>
      </c>
      <c r="DY6" s="60">
        <f>ROUNDUP(124/12,0)</f>
        <v>11</v>
      </c>
      <c r="DZ6" s="60">
        <f>ROUNDUP(125/12,0)</f>
        <v>11</v>
      </c>
      <c r="EA6" s="60">
        <f>ROUNDUP(126/12,0)</f>
        <v>11</v>
      </c>
      <c r="EB6" s="60">
        <f>ROUNDUP(127/12,0)</f>
        <v>11</v>
      </c>
      <c r="EC6" s="60">
        <f>ROUNDUP(128/12,0)</f>
        <v>11</v>
      </c>
      <c r="ED6" s="60">
        <f>ROUNDUP(129/12,0)</f>
        <v>11</v>
      </c>
      <c r="EE6" s="60">
        <f>ROUNDUP(130/12,0)</f>
        <v>11</v>
      </c>
      <c r="EF6" s="60">
        <f>ROUNDUP(131/12,0)</f>
        <v>11</v>
      </c>
      <c r="EG6" s="60">
        <f>ROUNDUP(132/12,0)</f>
        <v>11</v>
      </c>
      <c r="EH6" s="60">
        <f>ROUNDUP(133/12,0)</f>
        <v>12</v>
      </c>
      <c r="EI6" s="60">
        <f>ROUNDUP(134/12,0)</f>
        <v>12</v>
      </c>
      <c r="EJ6" s="60">
        <f>ROUNDUP(135/12,0)</f>
        <v>12</v>
      </c>
      <c r="EK6" s="60">
        <f>ROUNDUP(136/12,0)</f>
        <v>12</v>
      </c>
      <c r="EL6" s="60">
        <f>ROUNDUP(137/12,0)</f>
        <v>12</v>
      </c>
      <c r="EM6" s="60">
        <f>ROUNDUP(138/12,0)</f>
        <v>12</v>
      </c>
      <c r="EN6" s="60">
        <f>ROUNDUP(139/12,0)</f>
        <v>12</v>
      </c>
      <c r="EO6" s="60">
        <f>ROUNDUP(140/12,0)</f>
        <v>12</v>
      </c>
      <c r="EP6" s="60">
        <f>ROUNDUP(141/12,0)</f>
        <v>12</v>
      </c>
      <c r="EQ6" s="60">
        <f>ROUNDUP(142/12,0)</f>
        <v>12</v>
      </c>
      <c r="ER6" s="60">
        <f>ROUNDUP(143/12,0)</f>
        <v>12</v>
      </c>
      <c r="ES6" s="60">
        <f>ROUNDUP(144/12,0)</f>
        <v>12</v>
      </c>
    </row>
    <row r="7" spans="1:149" x14ac:dyDescent="0.3">
      <c r="A7" s="57"/>
      <c r="B7" s="58" t="s">
        <v>648</v>
      </c>
      <c r="C7" s="57"/>
      <c r="D7" s="57"/>
      <c r="E7" s="57"/>
      <c r="F7" s="17" t="str">
        <f>IF(1&lt;=Corte,"Cerrado","Abierto")</f>
        <v>Abierto</v>
      </c>
      <c r="G7" s="17" t="str">
        <f>IF(2&lt;=Corte,"Cerrado","Abierto")</f>
        <v>Abierto</v>
      </c>
      <c r="H7" s="17" t="str">
        <f>IF(3&lt;=Corte,"Cerrado","Abierto")</f>
        <v>Abierto</v>
      </c>
      <c r="I7" s="17" t="str">
        <f>IF(4&lt;=Corte,"Cerrado","Abierto")</f>
        <v>Abierto</v>
      </c>
      <c r="J7" s="17" t="str">
        <f>IF(5&lt;=Corte,"Cerrado","Abierto")</f>
        <v>Abierto</v>
      </c>
      <c r="K7" s="17" t="str">
        <f>IF(6&lt;=Corte,"Cerrado","Abierto")</f>
        <v>Abierto</v>
      </c>
      <c r="L7" s="17" t="str">
        <f>IF(7&lt;=Corte,"Cerrado","Abierto")</f>
        <v>Abierto</v>
      </c>
      <c r="M7" s="17" t="str">
        <f>IF(8&lt;=Corte,"Cerrado","Abierto")</f>
        <v>Abierto</v>
      </c>
      <c r="N7" s="17" t="str">
        <f>IF(9&lt;=Corte,"Cerrado","Abierto")</f>
        <v>Abierto</v>
      </c>
      <c r="O7" s="17" t="str">
        <f>IF(10&lt;=Corte,"Cerrado","Abierto")</f>
        <v>Abierto</v>
      </c>
      <c r="P7" s="17" t="str">
        <f>IF(11&lt;=Corte,"Cerrado","Abierto")</f>
        <v>Abierto</v>
      </c>
      <c r="Q7" s="17" t="str">
        <f>IF(12&lt;=Corte,"Cerrado","Abierto")</f>
        <v>Abierto</v>
      </c>
      <c r="R7" s="17" t="str">
        <f>IF(13&lt;=Corte,"Cerrado","Abierto")</f>
        <v>Abierto</v>
      </c>
      <c r="S7" s="17" t="str">
        <f>IF(14&lt;=Corte,"Cerrado","Abierto")</f>
        <v>Abierto</v>
      </c>
      <c r="T7" s="17" t="str">
        <f>IF(15&lt;=Corte,"Cerrado","Abierto")</f>
        <v>Abierto</v>
      </c>
      <c r="U7" s="17" t="str">
        <f>IF(16&lt;=Corte,"Cerrado","Abierto")</f>
        <v>Abierto</v>
      </c>
      <c r="V7" s="17" t="str">
        <f>IF(17&lt;=Corte,"Cerrado","Abierto")</f>
        <v>Abierto</v>
      </c>
      <c r="W7" s="17" t="str">
        <f>IF(18&lt;=Corte,"Cerrado","Abierto")</f>
        <v>Abierto</v>
      </c>
      <c r="X7" s="17" t="str">
        <f>IF(19&lt;=Corte,"Cerrado","Abierto")</f>
        <v>Abierto</v>
      </c>
      <c r="Y7" s="17" t="str">
        <f>IF(20&lt;=Corte,"Cerrado","Abierto")</f>
        <v>Abierto</v>
      </c>
      <c r="Z7" s="17" t="str">
        <f>IF(21&lt;=Corte,"Cerrado","Abierto")</f>
        <v>Abierto</v>
      </c>
      <c r="AA7" s="17" t="str">
        <f>IF(22&lt;=Corte,"Cerrado","Abierto")</f>
        <v>Abierto</v>
      </c>
      <c r="AB7" s="17" t="str">
        <f>IF(23&lt;=Corte,"Cerrado","Abierto")</f>
        <v>Abierto</v>
      </c>
      <c r="AC7" s="17" t="str">
        <f>IF(24&lt;=Corte,"Cerrado","Abierto")</f>
        <v>Abierto</v>
      </c>
      <c r="AD7" s="17" t="str">
        <f>IF(25&lt;=Corte,"Cerrado","Abierto")</f>
        <v>Abierto</v>
      </c>
      <c r="AE7" s="17" t="str">
        <f>IF(26&lt;=Corte,"Cerrado","Abierto")</f>
        <v>Abierto</v>
      </c>
      <c r="AF7" s="17" t="str">
        <f>IF(27&lt;=Corte,"Cerrado","Abierto")</f>
        <v>Abierto</v>
      </c>
      <c r="AG7" s="17" t="str">
        <f>IF(28&lt;=Corte,"Cerrado","Abierto")</f>
        <v>Abierto</v>
      </c>
      <c r="AH7" s="17" t="str">
        <f>IF(29&lt;=Corte,"Cerrado","Abierto")</f>
        <v>Abierto</v>
      </c>
      <c r="AI7" s="17" t="str">
        <f>IF(30&lt;=Corte,"Cerrado","Abierto")</f>
        <v>Abierto</v>
      </c>
      <c r="AJ7" s="17" t="str">
        <f>IF(31&lt;=Corte,"Cerrado","Abierto")</f>
        <v>Abierto</v>
      </c>
      <c r="AK7" s="17" t="str">
        <f>IF(32&lt;=Corte,"Cerrado","Abierto")</f>
        <v>Abierto</v>
      </c>
      <c r="AL7" s="17" t="str">
        <f>IF(33&lt;=Corte,"Cerrado","Abierto")</f>
        <v>Abierto</v>
      </c>
      <c r="AM7" s="17" t="str">
        <f>IF(34&lt;=Corte,"Cerrado","Abierto")</f>
        <v>Abierto</v>
      </c>
      <c r="AN7" s="17" t="str">
        <f>IF(35&lt;=Corte,"Cerrado","Abierto")</f>
        <v>Abierto</v>
      </c>
      <c r="AO7" s="17" t="str">
        <f>IF(36&lt;=Corte,"Cerrado","Abierto")</f>
        <v>Abierto</v>
      </c>
      <c r="AP7" s="17" t="str">
        <f>IF(37&lt;=Corte,"Cerrado","Abierto")</f>
        <v>Abierto</v>
      </c>
      <c r="AQ7" s="17" t="str">
        <f>IF(38&lt;=Corte,"Cerrado","Abierto")</f>
        <v>Abierto</v>
      </c>
      <c r="AR7" s="17" t="str">
        <f>IF(39&lt;=Corte,"Cerrado","Abierto")</f>
        <v>Abierto</v>
      </c>
      <c r="AS7" s="17" t="str">
        <f>IF(40&lt;=Corte,"Cerrado","Abierto")</f>
        <v>Abierto</v>
      </c>
      <c r="AT7" s="17" t="str">
        <f>IF(41&lt;=Corte,"Cerrado","Abierto")</f>
        <v>Abierto</v>
      </c>
      <c r="AU7" s="17" t="str">
        <f>IF(42&lt;=Corte,"Cerrado","Abierto")</f>
        <v>Abierto</v>
      </c>
      <c r="AV7" s="17" t="str">
        <f>IF(43&lt;=Corte,"Cerrado","Abierto")</f>
        <v>Abierto</v>
      </c>
      <c r="AW7" s="17" t="str">
        <f>IF(44&lt;=Corte,"Cerrado","Abierto")</f>
        <v>Abierto</v>
      </c>
      <c r="AX7" s="17" t="str">
        <f>IF(45&lt;=Corte,"Cerrado","Abierto")</f>
        <v>Abierto</v>
      </c>
      <c r="AY7" s="17" t="str">
        <f>IF(46&lt;=Corte,"Cerrado","Abierto")</f>
        <v>Abierto</v>
      </c>
      <c r="AZ7" s="17" t="str">
        <f>IF(47&lt;=Corte,"Cerrado","Abierto")</f>
        <v>Abierto</v>
      </c>
      <c r="BA7" s="17" t="str">
        <f>IF(48&lt;=Corte,"Cerrado","Abierto")</f>
        <v>Abierto</v>
      </c>
      <c r="BB7" s="17" t="str">
        <f>IF(49&lt;=Corte,"Cerrado","Abierto")</f>
        <v>Abierto</v>
      </c>
      <c r="BC7" s="17" t="str">
        <f>IF(50&lt;=Corte,"Cerrado","Abierto")</f>
        <v>Abierto</v>
      </c>
      <c r="BD7" s="17" t="str">
        <f>IF(51&lt;=Corte,"Cerrado","Abierto")</f>
        <v>Abierto</v>
      </c>
      <c r="BE7" s="17" t="str">
        <f>IF(52&lt;=Corte,"Cerrado","Abierto")</f>
        <v>Abierto</v>
      </c>
      <c r="BF7" s="17" t="str">
        <f>IF(53&lt;=Corte,"Cerrado","Abierto")</f>
        <v>Abierto</v>
      </c>
      <c r="BG7" s="17" t="str">
        <f>IF(54&lt;=Corte,"Cerrado","Abierto")</f>
        <v>Abierto</v>
      </c>
      <c r="BH7" s="17" t="str">
        <f>IF(55&lt;=Corte,"Cerrado","Abierto")</f>
        <v>Abierto</v>
      </c>
      <c r="BI7" s="17" t="str">
        <f>IF(56&lt;=Corte,"Cerrado","Abierto")</f>
        <v>Abierto</v>
      </c>
      <c r="BJ7" s="17" t="str">
        <f>IF(57&lt;=Corte,"Cerrado","Abierto")</f>
        <v>Abierto</v>
      </c>
      <c r="BK7" s="17" t="str">
        <f>IF(58&lt;=Corte,"Cerrado","Abierto")</f>
        <v>Abierto</v>
      </c>
      <c r="BL7" s="17" t="str">
        <f>IF(59&lt;=Corte,"Cerrado","Abierto")</f>
        <v>Abierto</v>
      </c>
      <c r="BM7" s="17" t="str">
        <f>IF(60&lt;=Corte,"Cerrado","Abierto")</f>
        <v>Abierto</v>
      </c>
      <c r="BN7" s="17" t="str">
        <f>IF(61&lt;=Corte,"Cerrado","Abierto")</f>
        <v>Abierto</v>
      </c>
      <c r="BO7" s="17" t="str">
        <f>IF(62&lt;=Corte,"Cerrado","Abierto")</f>
        <v>Abierto</v>
      </c>
      <c r="BP7" s="17" t="str">
        <f>IF(63&lt;=Corte,"Cerrado","Abierto")</f>
        <v>Abierto</v>
      </c>
      <c r="BQ7" s="17" t="str">
        <f>IF(64&lt;=Corte,"Cerrado","Abierto")</f>
        <v>Abierto</v>
      </c>
      <c r="BR7" s="17" t="str">
        <f>IF(65&lt;=Corte,"Cerrado","Abierto")</f>
        <v>Abierto</v>
      </c>
      <c r="BS7" s="17" t="str">
        <f>IF(66&lt;=Corte,"Cerrado","Abierto")</f>
        <v>Abierto</v>
      </c>
      <c r="BT7" s="17" t="str">
        <f>IF(67&lt;=Corte,"Cerrado","Abierto")</f>
        <v>Abierto</v>
      </c>
      <c r="BU7" s="17" t="str">
        <f>IF(68&lt;=Corte,"Cerrado","Abierto")</f>
        <v>Abierto</v>
      </c>
      <c r="BV7" s="17" t="str">
        <f>IF(69&lt;=Corte,"Cerrado","Abierto")</f>
        <v>Abierto</v>
      </c>
      <c r="BW7" s="17" t="str">
        <f>IF(70&lt;=Corte,"Cerrado","Abierto")</f>
        <v>Abierto</v>
      </c>
      <c r="BX7" s="17" t="str">
        <f>IF(71&lt;=Corte,"Cerrado","Abierto")</f>
        <v>Abierto</v>
      </c>
      <c r="BY7" s="17" t="str">
        <f>IF(72&lt;=Corte,"Cerrado","Abierto")</f>
        <v>Abierto</v>
      </c>
      <c r="BZ7" s="17" t="str">
        <f>IF(73&lt;=Corte,"Cerrado","Abierto")</f>
        <v>Abierto</v>
      </c>
      <c r="CA7" s="17" t="str">
        <f>IF(74&lt;=Corte,"Cerrado","Abierto")</f>
        <v>Abierto</v>
      </c>
      <c r="CB7" s="17" t="str">
        <f>IF(75&lt;=Corte,"Cerrado","Abierto")</f>
        <v>Abierto</v>
      </c>
      <c r="CC7" s="17" t="str">
        <f>IF(76&lt;=Corte,"Cerrado","Abierto")</f>
        <v>Abierto</v>
      </c>
      <c r="CD7" s="17" t="str">
        <f>IF(77&lt;=Corte,"Cerrado","Abierto")</f>
        <v>Abierto</v>
      </c>
      <c r="CE7" s="17" t="str">
        <f>IF(78&lt;=Corte,"Cerrado","Abierto")</f>
        <v>Abierto</v>
      </c>
      <c r="CF7" s="17" t="str">
        <f>IF(79&lt;=Corte,"Cerrado","Abierto")</f>
        <v>Abierto</v>
      </c>
      <c r="CG7" s="17" t="str">
        <f>IF(80&lt;=Corte,"Cerrado","Abierto")</f>
        <v>Abierto</v>
      </c>
      <c r="CH7" s="17" t="str">
        <f>IF(81&lt;=Corte,"Cerrado","Abierto")</f>
        <v>Abierto</v>
      </c>
      <c r="CI7" s="17" t="str">
        <f>IF(82&lt;=Corte,"Cerrado","Abierto")</f>
        <v>Abierto</v>
      </c>
      <c r="CJ7" s="17" t="str">
        <f>IF(83&lt;=Corte,"Cerrado","Abierto")</f>
        <v>Abierto</v>
      </c>
      <c r="CK7" s="17" t="str">
        <f>IF(84&lt;=Corte,"Cerrado","Abierto")</f>
        <v>Abierto</v>
      </c>
      <c r="CL7" s="17" t="str">
        <f>IF(85&lt;=Corte,"Cerrado","Abierto")</f>
        <v>Abierto</v>
      </c>
      <c r="CM7" s="17" t="str">
        <f>IF(86&lt;=Corte,"Cerrado","Abierto")</f>
        <v>Abierto</v>
      </c>
      <c r="CN7" s="17" t="str">
        <f>IF(87&lt;=Corte,"Cerrado","Abierto")</f>
        <v>Abierto</v>
      </c>
      <c r="CO7" s="17" t="str">
        <f>IF(88&lt;=Corte,"Cerrado","Abierto")</f>
        <v>Abierto</v>
      </c>
      <c r="CP7" s="17" t="str">
        <f>IF(89&lt;=Corte,"Cerrado","Abierto")</f>
        <v>Abierto</v>
      </c>
      <c r="CQ7" s="17" t="str">
        <f>IF(90&lt;=Corte,"Cerrado","Abierto")</f>
        <v>Abierto</v>
      </c>
      <c r="CR7" s="17" t="str">
        <f>IF(91&lt;=Corte,"Cerrado","Abierto")</f>
        <v>Abierto</v>
      </c>
      <c r="CS7" s="17" t="str">
        <f>IF(92&lt;=Corte,"Cerrado","Abierto")</f>
        <v>Abierto</v>
      </c>
      <c r="CT7" s="17" t="str">
        <f>IF(93&lt;=Corte,"Cerrado","Abierto")</f>
        <v>Abierto</v>
      </c>
      <c r="CU7" s="17" t="str">
        <f>IF(94&lt;=Corte,"Cerrado","Abierto")</f>
        <v>Abierto</v>
      </c>
      <c r="CV7" s="17" t="str">
        <f>IF(95&lt;=Corte,"Cerrado","Abierto")</f>
        <v>Abierto</v>
      </c>
      <c r="CW7" s="17" t="str">
        <f>IF(96&lt;=Corte,"Cerrado","Abierto")</f>
        <v>Abierto</v>
      </c>
      <c r="CX7" s="17" t="str">
        <f>IF(97&lt;=Corte,"Cerrado","Abierto")</f>
        <v>Abierto</v>
      </c>
      <c r="CY7" s="17" t="str">
        <f>IF(98&lt;=Corte,"Cerrado","Abierto")</f>
        <v>Abierto</v>
      </c>
      <c r="CZ7" s="17" t="str">
        <f>IF(99&lt;=Corte,"Cerrado","Abierto")</f>
        <v>Abierto</v>
      </c>
      <c r="DA7" s="17" t="str">
        <f>IF(100&lt;=Corte,"Cerrado","Abierto")</f>
        <v>Abierto</v>
      </c>
      <c r="DB7" s="17" t="str">
        <f>IF(101&lt;=Corte,"Cerrado","Abierto")</f>
        <v>Abierto</v>
      </c>
      <c r="DC7" s="17" t="str">
        <f>IF(102&lt;=Corte,"Cerrado","Abierto")</f>
        <v>Abierto</v>
      </c>
      <c r="DD7" s="17" t="str">
        <f>IF(103&lt;=Corte,"Cerrado","Abierto")</f>
        <v>Abierto</v>
      </c>
      <c r="DE7" s="17" t="str">
        <f>IF(104&lt;=Corte,"Cerrado","Abierto")</f>
        <v>Abierto</v>
      </c>
      <c r="DF7" s="17" t="str">
        <f>IF(105&lt;=Corte,"Cerrado","Abierto")</f>
        <v>Abierto</v>
      </c>
      <c r="DG7" s="17" t="str">
        <f>IF(106&lt;=Corte,"Cerrado","Abierto")</f>
        <v>Abierto</v>
      </c>
      <c r="DH7" s="17" t="str">
        <f>IF(107&lt;=Corte,"Cerrado","Abierto")</f>
        <v>Abierto</v>
      </c>
      <c r="DI7" s="17" t="str">
        <f>IF(108&lt;=Corte,"Cerrado","Abierto")</f>
        <v>Abierto</v>
      </c>
      <c r="DJ7" s="17" t="str">
        <f>IF(109&lt;=Corte,"Cerrado","Abierto")</f>
        <v>Abierto</v>
      </c>
      <c r="DK7" s="17" t="str">
        <f>IF(110&lt;=Corte,"Cerrado","Abierto")</f>
        <v>Abierto</v>
      </c>
      <c r="DL7" s="17" t="str">
        <f>IF(111&lt;=Corte,"Cerrado","Abierto")</f>
        <v>Abierto</v>
      </c>
      <c r="DM7" s="17" t="str">
        <f>IF(112&lt;=Corte,"Cerrado","Abierto")</f>
        <v>Abierto</v>
      </c>
      <c r="DN7" s="17" t="str">
        <f>IF(113&lt;=Corte,"Cerrado","Abierto")</f>
        <v>Abierto</v>
      </c>
      <c r="DO7" s="17" t="str">
        <f>IF(114&lt;=Corte,"Cerrado","Abierto")</f>
        <v>Abierto</v>
      </c>
      <c r="DP7" s="17" t="str">
        <f>IF(115&lt;=Corte,"Cerrado","Abierto")</f>
        <v>Abierto</v>
      </c>
      <c r="DQ7" s="17" t="str">
        <f>IF(116&lt;=Corte,"Cerrado","Abierto")</f>
        <v>Abierto</v>
      </c>
      <c r="DR7" s="17" t="str">
        <f>IF(117&lt;=Corte,"Cerrado","Abierto")</f>
        <v>Abierto</v>
      </c>
      <c r="DS7" s="17" t="str">
        <f>IF(118&lt;=Corte,"Cerrado","Abierto")</f>
        <v>Abierto</v>
      </c>
      <c r="DT7" s="17" t="str">
        <f>IF(119&lt;=Corte,"Cerrado","Abierto")</f>
        <v>Abierto</v>
      </c>
      <c r="DU7" s="17" t="str">
        <f>IF(120&lt;=Corte,"Cerrado","Abierto")</f>
        <v>Abierto</v>
      </c>
      <c r="DV7" s="17" t="str">
        <f>IF(121&lt;=Corte,"Cerrado","Abierto")</f>
        <v>Abierto</v>
      </c>
      <c r="DW7" s="17" t="str">
        <f>IF(122&lt;=Corte,"Cerrado","Abierto")</f>
        <v>Abierto</v>
      </c>
      <c r="DX7" s="17" t="str">
        <f>IF(123&lt;=Corte,"Cerrado","Abierto")</f>
        <v>Abierto</v>
      </c>
      <c r="DY7" s="17" t="str">
        <f>IF(124&lt;=Corte,"Cerrado","Abierto")</f>
        <v>Abierto</v>
      </c>
      <c r="DZ7" s="17" t="str">
        <f>IF(125&lt;=Corte,"Cerrado","Abierto")</f>
        <v>Abierto</v>
      </c>
      <c r="EA7" s="17" t="str">
        <f>IF(126&lt;=Corte,"Cerrado","Abierto")</f>
        <v>Abierto</v>
      </c>
      <c r="EB7" s="17" t="str">
        <f>IF(127&lt;=Corte,"Cerrado","Abierto")</f>
        <v>Abierto</v>
      </c>
      <c r="EC7" s="17" t="str">
        <f>IF(128&lt;=Corte,"Cerrado","Abierto")</f>
        <v>Abierto</v>
      </c>
      <c r="ED7" s="17" t="str">
        <f>IF(129&lt;=Corte,"Cerrado","Abierto")</f>
        <v>Abierto</v>
      </c>
      <c r="EE7" s="17" t="str">
        <f>IF(130&lt;=Corte,"Cerrado","Abierto")</f>
        <v>Abierto</v>
      </c>
      <c r="EF7" s="17" t="str">
        <f>IF(131&lt;=Corte,"Cerrado","Abierto")</f>
        <v>Abierto</v>
      </c>
      <c r="EG7" s="17" t="str">
        <f>IF(132&lt;=Corte,"Cerrado","Abierto")</f>
        <v>Abierto</v>
      </c>
      <c r="EH7" s="17" t="str">
        <f>IF(133&lt;=Corte,"Cerrado","Abierto")</f>
        <v>Abierto</v>
      </c>
      <c r="EI7" s="17" t="str">
        <f>IF(134&lt;=Corte,"Cerrado","Abierto")</f>
        <v>Abierto</v>
      </c>
      <c r="EJ7" s="17" t="str">
        <f>IF(135&lt;=Corte,"Cerrado","Abierto")</f>
        <v>Abierto</v>
      </c>
      <c r="EK7" s="17" t="str">
        <f>IF(136&lt;=Corte,"Cerrado","Abierto")</f>
        <v>Abierto</v>
      </c>
      <c r="EL7" s="17" t="str">
        <f>IF(137&lt;=Corte,"Cerrado","Abierto")</f>
        <v>Abierto</v>
      </c>
      <c r="EM7" s="17" t="str">
        <f>IF(138&lt;=Corte,"Cerrado","Abierto")</f>
        <v>Abierto</v>
      </c>
      <c r="EN7" s="17" t="str">
        <f>IF(139&lt;=Corte,"Cerrado","Abierto")</f>
        <v>Abierto</v>
      </c>
      <c r="EO7" s="17" t="str">
        <f>IF(140&lt;=Corte,"Cerrado","Abierto")</f>
        <v>Abierto</v>
      </c>
      <c r="EP7" s="17" t="str">
        <f>IF(141&lt;=Corte,"Cerrado","Abierto")</f>
        <v>Abierto</v>
      </c>
      <c r="EQ7" s="17" t="str">
        <f>IF(142&lt;=Corte,"Cerrado","Abierto")</f>
        <v>Abierto</v>
      </c>
      <c r="ER7" s="17" t="str">
        <f>IF(143&lt;=Corte,"Cerrado","Abierto")</f>
        <v>Abierto</v>
      </c>
      <c r="ES7" s="17" t="str">
        <f>IF(144&lt;=Corte,"Cerrado","Abierto")</f>
        <v>Abierto</v>
      </c>
    </row>
    <row r="9" spans="1:149" x14ac:dyDescent="0.3">
      <c r="A9" s="15" t="s">
        <v>876</v>
      </c>
      <c r="B9" s="16"/>
      <c r="C9" s="16"/>
      <c r="D9" s="16"/>
      <c r="E9" s="16"/>
    </row>
    <row r="10" spans="1:149" x14ac:dyDescent="0.3">
      <c r="A10" s="14" t="s">
        <v>395</v>
      </c>
      <c r="B10" s="18" t="s">
        <v>877</v>
      </c>
      <c r="C10" s="18" t="s">
        <v>397</v>
      </c>
      <c r="D10" s="22"/>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37"/>
      <c r="EQ10" s="37"/>
      <c r="ER10" s="37"/>
      <c r="ES10" s="37"/>
    </row>
    <row r="11" spans="1:149" x14ac:dyDescent="0.3">
      <c r="A11" s="15" t="s">
        <v>220</v>
      </c>
      <c r="B11" s="16"/>
      <c r="C11" s="16"/>
      <c r="D11" s="16"/>
      <c r="E11" s="16"/>
    </row>
    <row r="12" spans="1:149" x14ac:dyDescent="0.3">
      <c r="A12" s="14" t="s">
        <v>878</v>
      </c>
      <c r="B12" s="53" t="str">
        <f>IF(INDEX(Prod_Nombre,1)="","Producto 1 (unidades)",INDEX(Prod_Nombre,1)&amp;" (unidades)")</f>
        <v>Gabinetes metálicos 153 kg (unidades)</v>
      </c>
      <c r="C12" s="18" t="s">
        <v>475</v>
      </c>
      <c r="D12" s="22">
        <f t="shared" ref="D12:D36" si="0">SUM(F12:ES12)</f>
        <v>0</v>
      </c>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row>
    <row r="13" spans="1:149" x14ac:dyDescent="0.3">
      <c r="A13" s="14" t="s">
        <v>879</v>
      </c>
      <c r="B13" s="53" t="str">
        <f>IF(INDEX(Prod_Nombre,2)="","Producto 2 (unidades)",INDEX(Prod_Nombre,2)&amp;" (unidades)")</f>
        <v>Cajas metálicas 13 kg (unidades)</v>
      </c>
      <c r="C13" s="18" t="s">
        <v>475</v>
      </c>
      <c r="D13" s="22">
        <f t="shared" si="0"/>
        <v>0</v>
      </c>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row>
    <row r="14" spans="1:149" x14ac:dyDescent="0.3">
      <c r="A14" s="14" t="s">
        <v>880</v>
      </c>
      <c r="B14" s="53" t="str">
        <f>IF(INDEX(Prod_Nombre,3)="","Producto 3 (unidades)",INDEX(Prod_Nombre,3)&amp;" (unidades)")</f>
        <v>Producto 3 (unidades)</v>
      </c>
      <c r="C14" s="18" t="s">
        <v>475</v>
      </c>
      <c r="D14" s="22">
        <f t="shared" si="0"/>
        <v>0</v>
      </c>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row>
    <row r="15" spans="1:149" x14ac:dyDescent="0.3">
      <c r="A15" s="14" t="s">
        <v>881</v>
      </c>
      <c r="B15" s="53" t="str">
        <f>IF(INDEX(Prod_Nombre,4)="","Producto 4 (unidades)",INDEX(Prod_Nombre,4)&amp;" (unidades)")</f>
        <v>Producto 4 (unidades)</v>
      </c>
      <c r="C15" s="18" t="s">
        <v>475</v>
      </c>
      <c r="D15" s="22">
        <f t="shared" si="0"/>
        <v>0</v>
      </c>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row>
    <row r="16" spans="1:149" x14ac:dyDescent="0.3">
      <c r="A16" s="14" t="s">
        <v>882</v>
      </c>
      <c r="B16" s="53" t="str">
        <f>IF(INDEX(Prod_Nombre,5)="","Producto 5 (unidades)",INDEX(Prod_Nombre,5)&amp;" (unidades)")</f>
        <v>Producto 5 (unidades)</v>
      </c>
      <c r="C16" s="18" t="s">
        <v>475</v>
      </c>
      <c r="D16" s="22">
        <f t="shared" si="0"/>
        <v>0</v>
      </c>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row>
    <row r="17" spans="1:149" x14ac:dyDescent="0.3">
      <c r="A17" s="14" t="s">
        <v>883</v>
      </c>
      <c r="B17" s="53" t="str">
        <f>IF(INDEX(Prod_Nombre,6)="","Producto 6 (unidades)",INDEX(Prod_Nombre,6)&amp;" (unidades)")</f>
        <v>Producto 6 (unidades)</v>
      </c>
      <c r="C17" s="18" t="s">
        <v>475</v>
      </c>
      <c r="D17" s="22">
        <f t="shared" si="0"/>
        <v>0</v>
      </c>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row>
    <row r="18" spans="1:149" x14ac:dyDescent="0.3">
      <c r="A18" s="14" t="s">
        <v>884</v>
      </c>
      <c r="B18" s="53" t="str">
        <f>IF(INDEX(Prod_Nombre,7)="","Producto 7 (unidades)",INDEX(Prod_Nombre,7)&amp;" (unidades)")</f>
        <v>Producto 7 (unidades)</v>
      </c>
      <c r="C18" s="18" t="s">
        <v>475</v>
      </c>
      <c r="D18" s="22">
        <f t="shared" si="0"/>
        <v>0</v>
      </c>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row>
    <row r="19" spans="1:149" x14ac:dyDescent="0.3">
      <c r="A19" s="14" t="s">
        <v>885</v>
      </c>
      <c r="B19" s="53" t="str">
        <f>IF(INDEX(Prod_Nombre,8)="","Producto 8 (unidades)",INDEX(Prod_Nombre,8)&amp;" (unidades)")</f>
        <v>Producto 8 (unidades)</v>
      </c>
      <c r="C19" s="18" t="s">
        <v>475</v>
      </c>
      <c r="D19" s="22">
        <f t="shared" si="0"/>
        <v>0</v>
      </c>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row>
    <row r="20" spans="1:149" x14ac:dyDescent="0.3">
      <c r="A20" s="14" t="s">
        <v>886</v>
      </c>
      <c r="B20" s="53" t="str">
        <f>IF(INDEX(Prod_Nombre,9)="","Producto 9 (unidades)",INDEX(Prod_Nombre,9)&amp;" (unidades)")</f>
        <v>Producto 9 (unidades)</v>
      </c>
      <c r="C20" s="18" t="s">
        <v>475</v>
      </c>
      <c r="D20" s="22">
        <f t="shared" si="0"/>
        <v>0</v>
      </c>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row>
    <row r="21" spans="1:149" x14ac:dyDescent="0.3">
      <c r="A21" s="14" t="s">
        <v>887</v>
      </c>
      <c r="B21" s="53" t="str">
        <f>IF(INDEX(Prod_Nombre,10)="","Producto 10 (unidades)",INDEX(Prod_Nombre,10)&amp;" (unidades)")</f>
        <v>Producto 10 (unidades)</v>
      </c>
      <c r="C21" s="18" t="s">
        <v>475</v>
      </c>
      <c r="D21" s="22">
        <f t="shared" si="0"/>
        <v>0</v>
      </c>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row>
    <row r="22" spans="1:149" x14ac:dyDescent="0.3">
      <c r="A22" s="14" t="s">
        <v>888</v>
      </c>
      <c r="B22" s="53" t="str">
        <f>IF(INDEX(Prod_Nombre,11)="","Producto 11 (unidades)",INDEX(Prod_Nombre,11)&amp;" (unidades)")</f>
        <v>Producto 11 (unidades)</v>
      </c>
      <c r="C22" s="18" t="s">
        <v>475</v>
      </c>
      <c r="D22" s="22">
        <f t="shared" si="0"/>
        <v>0</v>
      </c>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row>
    <row r="23" spans="1:149" x14ac:dyDescent="0.3">
      <c r="A23" s="14" t="s">
        <v>889</v>
      </c>
      <c r="B23" s="53" t="str">
        <f>IF(INDEX(Prod_Nombre,12)="","Producto 12 (unidades)",INDEX(Prod_Nombre,12)&amp;" (unidades)")</f>
        <v>Producto 12 (unidades)</v>
      </c>
      <c r="C23" s="18" t="s">
        <v>475</v>
      </c>
      <c r="D23" s="22">
        <f t="shared" si="0"/>
        <v>0</v>
      </c>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row>
    <row r="24" spans="1:149" x14ac:dyDescent="0.3">
      <c r="A24" s="14" t="s">
        <v>890</v>
      </c>
      <c r="B24" s="53" t="str">
        <f>IF(INDEX(Prod_Nombre,13)="","Producto 13 (unidades)",INDEX(Prod_Nombre,13)&amp;" (unidades)")</f>
        <v>Producto 13 (unidades)</v>
      </c>
      <c r="C24" s="18" t="s">
        <v>475</v>
      </c>
      <c r="D24" s="22">
        <f t="shared" si="0"/>
        <v>0</v>
      </c>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row>
    <row r="25" spans="1:149" x14ac:dyDescent="0.3">
      <c r="A25" s="14" t="s">
        <v>891</v>
      </c>
      <c r="B25" s="53" t="str">
        <f>IF(INDEX(Prod_Nombre,14)="","Producto 14 (unidades)",INDEX(Prod_Nombre,14)&amp;" (unidades)")</f>
        <v>Producto 14 (unidades)</v>
      </c>
      <c r="C25" s="18" t="s">
        <v>475</v>
      </c>
      <c r="D25" s="22">
        <f t="shared" si="0"/>
        <v>0</v>
      </c>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row>
    <row r="26" spans="1:149" x14ac:dyDescent="0.3">
      <c r="A26" s="14" t="s">
        <v>892</v>
      </c>
      <c r="B26" s="53" t="str">
        <f>IF(INDEX(Prod_Nombre,15)="","Producto 15 (unidades)",INDEX(Prod_Nombre,15)&amp;" (unidades)")</f>
        <v>Producto 15 (unidades)</v>
      </c>
      <c r="C26" s="18" t="s">
        <v>475</v>
      </c>
      <c r="D26" s="22">
        <f t="shared" si="0"/>
        <v>0</v>
      </c>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K26" s="37"/>
      <c r="DL26" s="37"/>
      <c r="DM26" s="37"/>
      <c r="DN26" s="37"/>
      <c r="DO26" s="37"/>
      <c r="DP26" s="37"/>
      <c r="DQ26" s="37"/>
      <c r="DR26" s="37"/>
      <c r="DS26" s="37"/>
      <c r="DT26" s="37"/>
      <c r="DU26" s="37"/>
      <c r="DV26" s="37"/>
      <c r="DW26" s="37"/>
      <c r="DX26" s="37"/>
      <c r="DY26" s="37"/>
      <c r="DZ26" s="37"/>
      <c r="EA26" s="37"/>
      <c r="EB26" s="37"/>
      <c r="EC26" s="37"/>
      <c r="ED26" s="37"/>
      <c r="EE26" s="37"/>
      <c r="EF26" s="37"/>
      <c r="EG26" s="37"/>
      <c r="EH26" s="37"/>
      <c r="EI26" s="37"/>
      <c r="EJ26" s="37"/>
      <c r="EK26" s="37"/>
      <c r="EL26" s="37"/>
      <c r="EM26" s="37"/>
      <c r="EN26" s="37"/>
      <c r="EO26" s="37"/>
      <c r="EP26" s="37"/>
      <c r="EQ26" s="37"/>
      <c r="ER26" s="37"/>
      <c r="ES26" s="37"/>
    </row>
    <row r="27" spans="1:149" x14ac:dyDescent="0.3">
      <c r="A27" s="14" t="s">
        <v>893</v>
      </c>
      <c r="B27" s="53" t="str">
        <f>IF(INDEX(Prod_Nombre,16)="","Producto 16 (unidades)",INDEX(Prod_Nombre,16)&amp;" (unidades)")</f>
        <v>Producto 16 (unidades)</v>
      </c>
      <c r="C27" s="18" t="s">
        <v>475</v>
      </c>
      <c r="D27" s="22">
        <f t="shared" si="0"/>
        <v>0</v>
      </c>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7"/>
      <c r="EA27" s="37"/>
      <c r="EB27" s="37"/>
      <c r="EC27" s="37"/>
      <c r="ED27" s="37"/>
      <c r="EE27" s="37"/>
      <c r="EF27" s="37"/>
      <c r="EG27" s="37"/>
      <c r="EH27" s="37"/>
      <c r="EI27" s="37"/>
      <c r="EJ27" s="37"/>
      <c r="EK27" s="37"/>
      <c r="EL27" s="37"/>
      <c r="EM27" s="37"/>
      <c r="EN27" s="37"/>
      <c r="EO27" s="37"/>
      <c r="EP27" s="37"/>
      <c r="EQ27" s="37"/>
      <c r="ER27" s="37"/>
      <c r="ES27" s="37"/>
    </row>
    <row r="28" spans="1:149" x14ac:dyDescent="0.3">
      <c r="A28" s="14" t="s">
        <v>894</v>
      </c>
      <c r="B28" s="53" t="str">
        <f>IF(INDEX(Prod_Nombre,17)="","Producto 17 (unidades)",INDEX(Prod_Nombre,17)&amp;" (unidades)")</f>
        <v>Producto 17 (unidades)</v>
      </c>
      <c r="C28" s="18" t="s">
        <v>475</v>
      </c>
      <c r="D28" s="22">
        <f t="shared" si="0"/>
        <v>0</v>
      </c>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c r="DP28" s="37"/>
      <c r="DQ28" s="37"/>
      <c r="DR28" s="37"/>
      <c r="DS28" s="37"/>
      <c r="DT28" s="37"/>
      <c r="DU28" s="37"/>
      <c r="DV28" s="37"/>
      <c r="DW28" s="37"/>
      <c r="DX28" s="37"/>
      <c r="DY28" s="37"/>
      <c r="DZ28" s="37"/>
      <c r="EA28" s="37"/>
      <c r="EB28" s="37"/>
      <c r="EC28" s="37"/>
      <c r="ED28" s="37"/>
      <c r="EE28" s="37"/>
      <c r="EF28" s="37"/>
      <c r="EG28" s="37"/>
      <c r="EH28" s="37"/>
      <c r="EI28" s="37"/>
      <c r="EJ28" s="37"/>
      <c r="EK28" s="37"/>
      <c r="EL28" s="37"/>
      <c r="EM28" s="37"/>
      <c r="EN28" s="37"/>
      <c r="EO28" s="37"/>
      <c r="EP28" s="37"/>
      <c r="EQ28" s="37"/>
      <c r="ER28" s="37"/>
      <c r="ES28" s="37"/>
    </row>
    <row r="29" spans="1:149" x14ac:dyDescent="0.3">
      <c r="A29" s="14" t="s">
        <v>895</v>
      </c>
      <c r="B29" s="53" t="str">
        <f>IF(INDEX(Prod_Nombre,18)="","Producto 18 (unidades)",INDEX(Prod_Nombre,18)&amp;" (unidades)")</f>
        <v>Producto 18 (unidades)</v>
      </c>
      <c r="C29" s="18" t="s">
        <v>475</v>
      </c>
      <c r="D29" s="22">
        <f t="shared" si="0"/>
        <v>0</v>
      </c>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c r="DP29" s="37"/>
      <c r="DQ29" s="37"/>
      <c r="DR29" s="37"/>
      <c r="DS29" s="37"/>
      <c r="DT29" s="37"/>
      <c r="DU29" s="37"/>
      <c r="DV29" s="37"/>
      <c r="DW29" s="37"/>
      <c r="DX29" s="37"/>
      <c r="DY29" s="37"/>
      <c r="DZ29" s="37"/>
      <c r="EA29" s="37"/>
      <c r="EB29" s="37"/>
      <c r="EC29" s="37"/>
      <c r="ED29" s="37"/>
      <c r="EE29" s="37"/>
      <c r="EF29" s="37"/>
      <c r="EG29" s="37"/>
      <c r="EH29" s="37"/>
      <c r="EI29" s="37"/>
      <c r="EJ29" s="37"/>
      <c r="EK29" s="37"/>
      <c r="EL29" s="37"/>
      <c r="EM29" s="37"/>
      <c r="EN29" s="37"/>
      <c r="EO29" s="37"/>
      <c r="EP29" s="37"/>
      <c r="EQ29" s="37"/>
      <c r="ER29" s="37"/>
      <c r="ES29" s="37"/>
    </row>
    <row r="30" spans="1:149" x14ac:dyDescent="0.3">
      <c r="A30" s="14" t="s">
        <v>896</v>
      </c>
      <c r="B30" s="53" t="str">
        <f>IF(INDEX(Prod_Nombre,19)="","Producto 19 (unidades)",INDEX(Prod_Nombre,19)&amp;" (unidades)")</f>
        <v>Producto 19 (unidades)</v>
      </c>
      <c r="C30" s="18" t="s">
        <v>475</v>
      </c>
      <c r="D30" s="22">
        <f t="shared" si="0"/>
        <v>0</v>
      </c>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c r="DV30" s="37"/>
      <c r="DW30" s="37"/>
      <c r="DX30" s="37"/>
      <c r="DY30" s="37"/>
      <c r="DZ30" s="37"/>
      <c r="EA30" s="37"/>
      <c r="EB30" s="37"/>
      <c r="EC30" s="37"/>
      <c r="ED30" s="37"/>
      <c r="EE30" s="37"/>
      <c r="EF30" s="37"/>
      <c r="EG30" s="37"/>
      <c r="EH30" s="37"/>
      <c r="EI30" s="37"/>
      <c r="EJ30" s="37"/>
      <c r="EK30" s="37"/>
      <c r="EL30" s="37"/>
      <c r="EM30" s="37"/>
      <c r="EN30" s="37"/>
      <c r="EO30" s="37"/>
      <c r="EP30" s="37"/>
      <c r="EQ30" s="37"/>
      <c r="ER30" s="37"/>
      <c r="ES30" s="37"/>
    </row>
    <row r="31" spans="1:149" x14ac:dyDescent="0.3">
      <c r="A31" s="14" t="s">
        <v>897</v>
      </c>
      <c r="B31" s="53" t="str">
        <f>IF(INDEX(Prod_Nombre,20)="","Producto 20 (unidades)",INDEX(Prod_Nombre,20)&amp;" (unidades)")</f>
        <v>Producto 20 (unidades)</v>
      </c>
      <c r="C31" s="18" t="s">
        <v>475</v>
      </c>
      <c r="D31" s="22">
        <f t="shared" si="0"/>
        <v>0</v>
      </c>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c r="DV31" s="37"/>
      <c r="DW31" s="37"/>
      <c r="DX31" s="37"/>
      <c r="DY31" s="37"/>
      <c r="DZ31" s="37"/>
      <c r="EA31" s="37"/>
      <c r="EB31" s="37"/>
      <c r="EC31" s="37"/>
      <c r="ED31" s="37"/>
      <c r="EE31" s="37"/>
      <c r="EF31" s="37"/>
      <c r="EG31" s="37"/>
      <c r="EH31" s="37"/>
      <c r="EI31" s="37"/>
      <c r="EJ31" s="37"/>
      <c r="EK31" s="37"/>
      <c r="EL31" s="37"/>
      <c r="EM31" s="37"/>
      <c r="EN31" s="37"/>
      <c r="EO31" s="37"/>
      <c r="EP31" s="37"/>
      <c r="EQ31" s="37"/>
      <c r="ER31" s="37"/>
      <c r="ES31" s="37"/>
    </row>
    <row r="32" spans="1:149" x14ac:dyDescent="0.3">
      <c r="A32" s="14" t="s">
        <v>898</v>
      </c>
      <c r="B32" s="53" t="str">
        <f>IF(INDEX(Prod_Nombre,21)="","Producto 21 (unidades)",INDEX(Prod_Nombre,21)&amp;" (unidades)")</f>
        <v>Producto 21 (unidades)</v>
      </c>
      <c r="C32" s="18" t="s">
        <v>475</v>
      </c>
      <c r="D32" s="22">
        <f t="shared" si="0"/>
        <v>0</v>
      </c>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row>
    <row r="33" spans="1:149" x14ac:dyDescent="0.3">
      <c r="A33" s="14" t="s">
        <v>899</v>
      </c>
      <c r="B33" s="53" t="str">
        <f>IF(INDEX(Prod_Nombre,22)="","Producto 22 (unidades)",INDEX(Prod_Nombre,22)&amp;" (unidades)")</f>
        <v>Producto 22 (unidades)</v>
      </c>
      <c r="C33" s="18" t="s">
        <v>475</v>
      </c>
      <c r="D33" s="22">
        <f t="shared" si="0"/>
        <v>0</v>
      </c>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row>
    <row r="34" spans="1:149" x14ac:dyDescent="0.3">
      <c r="A34" s="14" t="s">
        <v>900</v>
      </c>
      <c r="B34" s="53" t="str">
        <f>IF(INDEX(Prod_Nombre,23)="","Producto 23 (unidades)",INDEX(Prod_Nombre,23)&amp;" (unidades)")</f>
        <v>Producto 23 (unidades)</v>
      </c>
      <c r="C34" s="18" t="s">
        <v>475</v>
      </c>
      <c r="D34" s="22">
        <f t="shared" si="0"/>
        <v>0</v>
      </c>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row>
    <row r="35" spans="1:149" x14ac:dyDescent="0.3">
      <c r="A35" s="14" t="s">
        <v>901</v>
      </c>
      <c r="B35" s="53" t="str">
        <f>IF(INDEX(Prod_Nombre,24)="","Producto 24 (unidades)",INDEX(Prod_Nombre,24)&amp;" (unidades)")</f>
        <v>Producto 24 (unidades)</v>
      </c>
      <c r="C35" s="18" t="s">
        <v>475</v>
      </c>
      <c r="D35" s="22">
        <f t="shared" si="0"/>
        <v>0</v>
      </c>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row>
    <row r="36" spans="1:149" x14ac:dyDescent="0.3">
      <c r="A36" s="14" t="s">
        <v>902</v>
      </c>
      <c r="B36" s="53" t="str">
        <f>IF(INDEX(Prod_Nombre,25)="","Producto 25 (unidades)",INDEX(Prod_Nombre,25)&amp;" (unidades)")</f>
        <v>Producto 25 (unidades)</v>
      </c>
      <c r="C36" s="18" t="s">
        <v>475</v>
      </c>
      <c r="D36" s="22">
        <f t="shared" si="0"/>
        <v>0</v>
      </c>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row>
    <row r="37" spans="1:149" x14ac:dyDescent="0.3">
      <c r="A37" s="15" t="s">
        <v>903</v>
      </c>
      <c r="B37" s="16"/>
      <c r="C37" s="16"/>
      <c r="D37" s="16"/>
      <c r="E37" s="16"/>
    </row>
    <row r="38" spans="1:149" x14ac:dyDescent="0.3">
      <c r="A38" s="14" t="s">
        <v>904</v>
      </c>
      <c r="B38" s="53" t="str">
        <f>IF(INDEX(Prod_Nombre,1)="","Producto 1 (ventas)",INDEX(Prod_Nombre,1)&amp;" (ventas)")</f>
        <v>Gabinetes metálicos 153 kg (ventas)</v>
      </c>
      <c r="C38" s="19" t="s">
        <v>439</v>
      </c>
      <c r="D38" s="22">
        <f t="shared" ref="D38:D62" si="1">SUM(F38:ES38)</f>
        <v>0</v>
      </c>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row>
    <row r="39" spans="1:149" x14ac:dyDescent="0.3">
      <c r="A39" s="14" t="s">
        <v>905</v>
      </c>
      <c r="B39" s="53" t="str">
        <f>IF(INDEX(Prod_Nombre,2)="","Producto 2 (ventas)",INDEX(Prod_Nombre,2)&amp;" (ventas)")</f>
        <v>Cajas metálicas 13 kg (ventas)</v>
      </c>
      <c r="C39" s="19" t="s">
        <v>439</v>
      </c>
      <c r="D39" s="22">
        <f t="shared" si="1"/>
        <v>0</v>
      </c>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row>
    <row r="40" spans="1:149" x14ac:dyDescent="0.3">
      <c r="A40" s="14" t="s">
        <v>906</v>
      </c>
      <c r="B40" s="53" t="str">
        <f>IF(INDEX(Prod_Nombre,3)="","Producto 3 (ventas)",INDEX(Prod_Nombre,3)&amp;" (ventas)")</f>
        <v>Producto 3 (ventas)</v>
      </c>
      <c r="C40" s="19" t="s">
        <v>439</v>
      </c>
      <c r="D40" s="22">
        <f t="shared" si="1"/>
        <v>0</v>
      </c>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row>
    <row r="41" spans="1:149" x14ac:dyDescent="0.3">
      <c r="A41" s="14" t="s">
        <v>907</v>
      </c>
      <c r="B41" s="53" t="str">
        <f>IF(INDEX(Prod_Nombre,4)="","Producto 4 (ventas)",INDEX(Prod_Nombre,4)&amp;" (ventas)")</f>
        <v>Producto 4 (ventas)</v>
      </c>
      <c r="C41" s="19" t="s">
        <v>439</v>
      </c>
      <c r="D41" s="22">
        <f t="shared" si="1"/>
        <v>0</v>
      </c>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row>
    <row r="42" spans="1:149" x14ac:dyDescent="0.3">
      <c r="A42" s="14" t="s">
        <v>908</v>
      </c>
      <c r="B42" s="53" t="str">
        <f>IF(INDEX(Prod_Nombre,5)="","Producto 5 (ventas)",INDEX(Prod_Nombre,5)&amp;" (ventas)")</f>
        <v>Producto 5 (ventas)</v>
      </c>
      <c r="C42" s="19" t="s">
        <v>439</v>
      </c>
      <c r="D42" s="22">
        <f t="shared" si="1"/>
        <v>0</v>
      </c>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row>
    <row r="43" spans="1:149" x14ac:dyDescent="0.3">
      <c r="A43" s="14" t="s">
        <v>909</v>
      </c>
      <c r="B43" s="53" t="str">
        <f>IF(INDEX(Prod_Nombre,6)="","Producto 6 (ventas)",INDEX(Prod_Nombre,6)&amp;" (ventas)")</f>
        <v>Producto 6 (ventas)</v>
      </c>
      <c r="C43" s="19" t="s">
        <v>439</v>
      </c>
      <c r="D43" s="22">
        <f t="shared" si="1"/>
        <v>0</v>
      </c>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row>
    <row r="44" spans="1:149" x14ac:dyDescent="0.3">
      <c r="A44" s="14" t="s">
        <v>910</v>
      </c>
      <c r="B44" s="53" t="str">
        <f>IF(INDEX(Prod_Nombre,7)="","Producto 7 (ventas)",INDEX(Prod_Nombre,7)&amp;" (ventas)")</f>
        <v>Producto 7 (ventas)</v>
      </c>
      <c r="C44" s="19" t="s">
        <v>439</v>
      </c>
      <c r="D44" s="22">
        <f t="shared" si="1"/>
        <v>0</v>
      </c>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row>
    <row r="45" spans="1:149" x14ac:dyDescent="0.3">
      <c r="A45" s="14" t="s">
        <v>911</v>
      </c>
      <c r="B45" s="53" t="str">
        <f>IF(INDEX(Prod_Nombre,8)="","Producto 8 (ventas)",INDEX(Prod_Nombre,8)&amp;" (ventas)")</f>
        <v>Producto 8 (ventas)</v>
      </c>
      <c r="C45" s="19" t="s">
        <v>439</v>
      </c>
      <c r="D45" s="22">
        <f t="shared" si="1"/>
        <v>0</v>
      </c>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row>
    <row r="46" spans="1:149" x14ac:dyDescent="0.3">
      <c r="A46" s="14" t="s">
        <v>912</v>
      </c>
      <c r="B46" s="53" t="str">
        <f>IF(INDEX(Prod_Nombre,9)="","Producto 9 (ventas)",INDEX(Prod_Nombre,9)&amp;" (ventas)")</f>
        <v>Producto 9 (ventas)</v>
      </c>
      <c r="C46" s="19" t="s">
        <v>439</v>
      </c>
      <c r="D46" s="22">
        <f t="shared" si="1"/>
        <v>0</v>
      </c>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row>
    <row r="47" spans="1:149" x14ac:dyDescent="0.3">
      <c r="A47" s="14" t="s">
        <v>913</v>
      </c>
      <c r="B47" s="53" t="str">
        <f>IF(INDEX(Prod_Nombre,10)="","Producto 10 (ventas)",INDEX(Prod_Nombre,10)&amp;" (ventas)")</f>
        <v>Producto 10 (ventas)</v>
      </c>
      <c r="C47" s="19" t="s">
        <v>439</v>
      </c>
      <c r="D47" s="22">
        <f t="shared" si="1"/>
        <v>0</v>
      </c>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row>
    <row r="48" spans="1:149" x14ac:dyDescent="0.3">
      <c r="A48" s="14" t="s">
        <v>914</v>
      </c>
      <c r="B48" s="53" t="str">
        <f>IF(INDEX(Prod_Nombre,11)="","Producto 11 (ventas)",INDEX(Prod_Nombre,11)&amp;" (ventas)")</f>
        <v>Producto 11 (ventas)</v>
      </c>
      <c r="C48" s="19" t="s">
        <v>439</v>
      </c>
      <c r="D48" s="22">
        <f t="shared" si="1"/>
        <v>0</v>
      </c>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row>
    <row r="49" spans="1:149" x14ac:dyDescent="0.3">
      <c r="A49" s="14" t="s">
        <v>915</v>
      </c>
      <c r="B49" s="53" t="str">
        <f>IF(INDEX(Prod_Nombre,12)="","Producto 12 (ventas)",INDEX(Prod_Nombre,12)&amp;" (ventas)")</f>
        <v>Producto 12 (ventas)</v>
      </c>
      <c r="C49" s="19" t="s">
        <v>439</v>
      </c>
      <c r="D49" s="22">
        <f t="shared" si="1"/>
        <v>0</v>
      </c>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row>
    <row r="50" spans="1:149" x14ac:dyDescent="0.3">
      <c r="A50" s="14" t="s">
        <v>916</v>
      </c>
      <c r="B50" s="53" t="str">
        <f>IF(INDEX(Prod_Nombre,13)="","Producto 13 (ventas)",INDEX(Prod_Nombre,13)&amp;" (ventas)")</f>
        <v>Producto 13 (ventas)</v>
      </c>
      <c r="C50" s="19" t="s">
        <v>439</v>
      </c>
      <c r="D50" s="22">
        <f t="shared" si="1"/>
        <v>0</v>
      </c>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row>
    <row r="51" spans="1:149" x14ac:dyDescent="0.3">
      <c r="A51" s="14" t="s">
        <v>917</v>
      </c>
      <c r="B51" s="53" t="str">
        <f>IF(INDEX(Prod_Nombre,14)="","Producto 14 (ventas)",INDEX(Prod_Nombre,14)&amp;" (ventas)")</f>
        <v>Producto 14 (ventas)</v>
      </c>
      <c r="C51" s="19" t="s">
        <v>439</v>
      </c>
      <c r="D51" s="22">
        <f t="shared" si="1"/>
        <v>0</v>
      </c>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row>
    <row r="52" spans="1:149" x14ac:dyDescent="0.3">
      <c r="A52" s="14" t="s">
        <v>918</v>
      </c>
      <c r="B52" s="53" t="str">
        <f>IF(INDEX(Prod_Nombre,15)="","Producto 15 (ventas)",INDEX(Prod_Nombre,15)&amp;" (ventas)")</f>
        <v>Producto 15 (ventas)</v>
      </c>
      <c r="C52" s="19" t="s">
        <v>439</v>
      </c>
      <c r="D52" s="22">
        <f t="shared" si="1"/>
        <v>0</v>
      </c>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row>
    <row r="53" spans="1:149" x14ac:dyDescent="0.3">
      <c r="A53" s="14" t="s">
        <v>919</v>
      </c>
      <c r="B53" s="53" t="str">
        <f>IF(INDEX(Prod_Nombre,16)="","Producto 16 (ventas)",INDEX(Prod_Nombre,16)&amp;" (ventas)")</f>
        <v>Producto 16 (ventas)</v>
      </c>
      <c r="C53" s="19" t="s">
        <v>439</v>
      </c>
      <c r="D53" s="22">
        <f t="shared" si="1"/>
        <v>0</v>
      </c>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row>
    <row r="54" spans="1:149" x14ac:dyDescent="0.3">
      <c r="A54" s="14" t="s">
        <v>920</v>
      </c>
      <c r="B54" s="53" t="str">
        <f>IF(INDEX(Prod_Nombre,17)="","Producto 17 (ventas)",INDEX(Prod_Nombre,17)&amp;" (ventas)")</f>
        <v>Producto 17 (ventas)</v>
      </c>
      <c r="C54" s="19" t="s">
        <v>439</v>
      </c>
      <c r="D54" s="22">
        <f t="shared" si="1"/>
        <v>0</v>
      </c>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row>
    <row r="55" spans="1:149" x14ac:dyDescent="0.3">
      <c r="A55" s="14" t="s">
        <v>921</v>
      </c>
      <c r="B55" s="53" t="str">
        <f>IF(INDEX(Prod_Nombre,18)="","Producto 18 (ventas)",INDEX(Prod_Nombre,18)&amp;" (ventas)")</f>
        <v>Producto 18 (ventas)</v>
      </c>
      <c r="C55" s="19" t="s">
        <v>439</v>
      </c>
      <c r="D55" s="22">
        <f t="shared" si="1"/>
        <v>0</v>
      </c>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row>
    <row r="56" spans="1:149" x14ac:dyDescent="0.3">
      <c r="A56" s="14" t="s">
        <v>922</v>
      </c>
      <c r="B56" s="53" t="str">
        <f>IF(INDEX(Prod_Nombre,19)="","Producto 19 (ventas)",INDEX(Prod_Nombre,19)&amp;" (ventas)")</f>
        <v>Producto 19 (ventas)</v>
      </c>
      <c r="C56" s="19" t="s">
        <v>439</v>
      </c>
      <c r="D56" s="22">
        <f t="shared" si="1"/>
        <v>0</v>
      </c>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row>
    <row r="57" spans="1:149" x14ac:dyDescent="0.3">
      <c r="A57" s="14" t="s">
        <v>923</v>
      </c>
      <c r="B57" s="53" t="str">
        <f>IF(INDEX(Prod_Nombre,20)="","Producto 20 (ventas)",INDEX(Prod_Nombre,20)&amp;" (ventas)")</f>
        <v>Producto 20 (ventas)</v>
      </c>
      <c r="C57" s="19" t="s">
        <v>439</v>
      </c>
      <c r="D57" s="22">
        <f t="shared" si="1"/>
        <v>0</v>
      </c>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row>
    <row r="58" spans="1:149" x14ac:dyDescent="0.3">
      <c r="A58" s="14" t="s">
        <v>924</v>
      </c>
      <c r="B58" s="53" t="str">
        <f>IF(INDEX(Prod_Nombre,21)="","Producto 21 (ventas)",INDEX(Prod_Nombre,21)&amp;" (ventas)")</f>
        <v>Producto 21 (ventas)</v>
      </c>
      <c r="C58" s="19" t="s">
        <v>439</v>
      </c>
      <c r="D58" s="22">
        <f t="shared" si="1"/>
        <v>0</v>
      </c>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row>
    <row r="59" spans="1:149" x14ac:dyDescent="0.3">
      <c r="A59" s="14" t="s">
        <v>925</v>
      </c>
      <c r="B59" s="53" t="str">
        <f>IF(INDEX(Prod_Nombre,22)="","Producto 22 (ventas)",INDEX(Prod_Nombre,22)&amp;" (ventas)")</f>
        <v>Producto 22 (ventas)</v>
      </c>
      <c r="C59" s="19" t="s">
        <v>439</v>
      </c>
      <c r="D59" s="22">
        <f t="shared" si="1"/>
        <v>0</v>
      </c>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row>
    <row r="60" spans="1:149" x14ac:dyDescent="0.3">
      <c r="A60" s="14" t="s">
        <v>926</v>
      </c>
      <c r="B60" s="53" t="str">
        <f>IF(INDEX(Prod_Nombre,23)="","Producto 23 (ventas)",INDEX(Prod_Nombre,23)&amp;" (ventas)")</f>
        <v>Producto 23 (ventas)</v>
      </c>
      <c r="C60" s="19" t="s">
        <v>439</v>
      </c>
      <c r="D60" s="22">
        <f t="shared" si="1"/>
        <v>0</v>
      </c>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row>
    <row r="61" spans="1:149" x14ac:dyDescent="0.3">
      <c r="A61" s="14" t="s">
        <v>927</v>
      </c>
      <c r="B61" s="53" t="str">
        <f>IF(INDEX(Prod_Nombre,24)="","Producto 24 (ventas)",INDEX(Prod_Nombre,24)&amp;" (ventas)")</f>
        <v>Producto 24 (ventas)</v>
      </c>
      <c r="C61" s="19" t="s">
        <v>439</v>
      </c>
      <c r="D61" s="22">
        <f t="shared" si="1"/>
        <v>0</v>
      </c>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row>
    <row r="62" spans="1:149" x14ac:dyDescent="0.3">
      <c r="A62" s="14" t="s">
        <v>928</v>
      </c>
      <c r="B62" s="53" t="str">
        <f>IF(INDEX(Prod_Nombre,25)="","Producto 25 (ventas)",INDEX(Prod_Nombre,25)&amp;" (ventas)")</f>
        <v>Producto 25 (ventas)</v>
      </c>
      <c r="C62" s="19" t="s">
        <v>439</v>
      </c>
      <c r="D62" s="22">
        <f t="shared" si="1"/>
        <v>0</v>
      </c>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row>
    <row r="63" spans="1:149" x14ac:dyDescent="0.3">
      <c r="A63" s="15" t="s">
        <v>929</v>
      </c>
      <c r="B63" s="16"/>
      <c r="C63" s="16"/>
      <c r="D63" s="16"/>
      <c r="E63" s="16"/>
    </row>
    <row r="64" spans="1:149" x14ac:dyDescent="0.3">
      <c r="A64" s="14" t="s">
        <v>930</v>
      </c>
      <c r="B64" s="18" t="s">
        <v>931</v>
      </c>
      <c r="C64" s="19" t="s">
        <v>439</v>
      </c>
      <c r="D64" s="22">
        <f t="shared" ref="D64:D70" si="2">SUM(F64:ES64)</f>
        <v>0</v>
      </c>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row>
    <row r="65" spans="1:149" x14ac:dyDescent="0.3">
      <c r="A65" s="14" t="s">
        <v>932</v>
      </c>
      <c r="B65" s="18" t="s">
        <v>933</v>
      </c>
      <c r="C65" s="19" t="s">
        <v>439</v>
      </c>
      <c r="D65" s="22">
        <f t="shared" si="2"/>
        <v>0</v>
      </c>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row>
    <row r="66" spans="1:149" x14ac:dyDescent="0.3">
      <c r="A66" s="14" t="s">
        <v>934</v>
      </c>
      <c r="B66" s="18" t="s">
        <v>935</v>
      </c>
      <c r="C66" s="19" t="s">
        <v>505</v>
      </c>
      <c r="D66" s="22">
        <f t="shared" si="2"/>
        <v>0</v>
      </c>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row>
    <row r="67" spans="1:149" x14ac:dyDescent="0.3">
      <c r="A67" s="14" t="s">
        <v>936</v>
      </c>
      <c r="B67" s="18" t="s">
        <v>937</v>
      </c>
      <c r="C67" s="19" t="s">
        <v>505</v>
      </c>
      <c r="D67" s="22">
        <f t="shared" si="2"/>
        <v>0</v>
      </c>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row>
    <row r="68" spans="1:149" x14ac:dyDescent="0.3">
      <c r="A68" s="14" t="s">
        <v>938</v>
      </c>
      <c r="B68" s="18" t="s">
        <v>939</v>
      </c>
      <c r="C68" s="19" t="s">
        <v>439</v>
      </c>
      <c r="D68" s="22">
        <f t="shared" si="2"/>
        <v>0</v>
      </c>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row>
    <row r="69" spans="1:149" x14ac:dyDescent="0.3">
      <c r="A69" s="14" t="s">
        <v>940</v>
      </c>
      <c r="B69" s="18" t="s">
        <v>941</v>
      </c>
      <c r="C69" s="19" t="s">
        <v>439</v>
      </c>
      <c r="D69" s="22">
        <f t="shared" si="2"/>
        <v>0</v>
      </c>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row>
    <row r="70" spans="1:149" x14ac:dyDescent="0.3">
      <c r="A70" s="14" t="s">
        <v>942</v>
      </c>
      <c r="B70" s="18" t="s">
        <v>943</v>
      </c>
      <c r="C70" s="19" t="s">
        <v>439</v>
      </c>
      <c r="D70" s="22">
        <f t="shared" si="2"/>
        <v>0</v>
      </c>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row>
    <row r="71" spans="1:149" x14ac:dyDescent="0.3">
      <c r="A71" s="15" t="s">
        <v>944</v>
      </c>
      <c r="B71" s="16"/>
      <c r="C71" s="16"/>
      <c r="D71" s="16"/>
      <c r="E71" s="16"/>
    </row>
    <row r="72" spans="1:149" x14ac:dyDescent="0.3">
      <c r="A72" s="14" t="s">
        <v>945</v>
      </c>
      <c r="B72" s="18" t="s">
        <v>946</v>
      </c>
      <c r="C72" s="19" t="s">
        <v>439</v>
      </c>
      <c r="D72" s="22">
        <f t="shared" ref="D72:D77" si="3">SUM(F72:ES72)</f>
        <v>0</v>
      </c>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row>
    <row r="73" spans="1:149" x14ac:dyDescent="0.3">
      <c r="A73" s="14" t="s">
        <v>947</v>
      </c>
      <c r="B73" s="18" t="s">
        <v>948</v>
      </c>
      <c r="C73" s="19" t="s">
        <v>439</v>
      </c>
      <c r="D73" s="22">
        <f t="shared" si="3"/>
        <v>0</v>
      </c>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row>
    <row r="74" spans="1:149" x14ac:dyDescent="0.3">
      <c r="A74" s="14" t="s">
        <v>949</v>
      </c>
      <c r="B74" s="18" t="s">
        <v>950</v>
      </c>
      <c r="C74" s="19" t="s">
        <v>439</v>
      </c>
      <c r="D74" s="22">
        <f t="shared" si="3"/>
        <v>0</v>
      </c>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row>
    <row r="75" spans="1:149" x14ac:dyDescent="0.3">
      <c r="A75" s="14" t="s">
        <v>951</v>
      </c>
      <c r="B75" s="18" t="s">
        <v>952</v>
      </c>
      <c r="C75" s="19" t="s">
        <v>439</v>
      </c>
      <c r="D75" s="22">
        <f t="shared" si="3"/>
        <v>0</v>
      </c>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row>
    <row r="76" spans="1:149" x14ac:dyDescent="0.3">
      <c r="A76" s="14" t="s">
        <v>953</v>
      </c>
      <c r="B76" s="18" t="s">
        <v>954</v>
      </c>
      <c r="C76" s="19" t="s">
        <v>439</v>
      </c>
      <c r="D76" s="22">
        <f t="shared" si="3"/>
        <v>0</v>
      </c>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row>
    <row r="77" spans="1:149" x14ac:dyDescent="0.3">
      <c r="A77" s="14" t="s">
        <v>955</v>
      </c>
      <c r="B77" s="18" t="s">
        <v>956</v>
      </c>
      <c r="C77" s="19" t="s">
        <v>439</v>
      </c>
      <c r="D77" s="22">
        <f t="shared" si="3"/>
        <v>0</v>
      </c>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row>
    <row r="78" spans="1:149" x14ac:dyDescent="0.3">
      <c r="A78" s="15" t="s">
        <v>957</v>
      </c>
      <c r="B78" s="16"/>
      <c r="C78" s="16"/>
      <c r="D78" s="16"/>
      <c r="E78" s="16"/>
    </row>
    <row r="79" spans="1:149" x14ac:dyDescent="0.3">
      <c r="A79" s="14" t="s">
        <v>958</v>
      </c>
      <c r="B79" s="18" t="s">
        <v>959</v>
      </c>
      <c r="C79" s="19" t="s">
        <v>439</v>
      </c>
      <c r="D79" s="22"/>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row>
    <row r="80" spans="1:149" x14ac:dyDescent="0.3">
      <c r="A80" s="14" t="s">
        <v>960</v>
      </c>
      <c r="B80" s="18" t="s">
        <v>961</v>
      </c>
      <c r="C80" s="19" t="s">
        <v>439</v>
      </c>
      <c r="D80" s="22"/>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row>
    <row r="81" spans="1:149" x14ac:dyDescent="0.3">
      <c r="A81" s="14" t="s">
        <v>962</v>
      </c>
      <c r="B81" s="18" t="s">
        <v>963</v>
      </c>
      <c r="C81" s="19" t="s">
        <v>439</v>
      </c>
      <c r="D81" s="22"/>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row>
    <row r="82" spans="1:149" x14ac:dyDescent="0.3">
      <c r="A82" s="14" t="s">
        <v>964</v>
      </c>
      <c r="B82" s="18" t="s">
        <v>965</v>
      </c>
      <c r="C82" s="19" t="s">
        <v>439</v>
      </c>
      <c r="D82" s="22"/>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row>
    <row r="83" spans="1:149" x14ac:dyDescent="0.3">
      <c r="A83" s="14" t="s">
        <v>966</v>
      </c>
      <c r="B83" s="18" t="s">
        <v>967</v>
      </c>
      <c r="C83" s="19" t="s">
        <v>439</v>
      </c>
      <c r="D83" s="22"/>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row>
    <row r="84" spans="1:149" x14ac:dyDescent="0.3">
      <c r="A84" s="14" t="s">
        <v>968</v>
      </c>
      <c r="B84" s="18" t="s">
        <v>969</v>
      </c>
      <c r="C84" s="19" t="s">
        <v>439</v>
      </c>
      <c r="D84" s="22"/>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row>
  </sheetData>
  <conditionalFormatting sqref="F7:ES7">
    <cfRule type="cellIs" dxfId="2" priority="2" operator="equal">
      <formula>"Cerrado"</formula>
    </cfRule>
  </conditionalFormatting>
  <dataValidations count="1">
    <dataValidation type="list" allowBlank="1" sqref="C38:C84" xr:uid="{00000000-0002-0000-0800-000000000000}">
      <formula1>"USD,PYG"</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ES321"/>
  <sheetViews>
    <sheetView zoomScale="90" zoomScaleNormal="90" workbookViewId="0">
      <pane xSplit="5" ySplit="8" topLeftCell="F9" activePane="bottomRight" state="frozen"/>
      <selection pane="topRight" activeCell="F1" sqref="F1"/>
      <selection pane="bottomLeft" activeCell="A9" sqref="A9"/>
      <selection pane="bottomRight"/>
    </sheetView>
  </sheetViews>
  <sheetFormatPr baseColWidth="10" defaultColWidth="8.5546875" defaultRowHeight="14.4" x14ac:dyDescent="0.3"/>
  <cols>
    <col min="1" max="1" width="9" customWidth="1"/>
    <col min="2" max="2" width="60" customWidth="1"/>
    <col min="3" max="3" width="7" customWidth="1"/>
    <col min="4" max="4" width="3" customWidth="1"/>
    <col min="5" max="5" width="15" customWidth="1"/>
    <col min="6" max="149" width="11" customWidth="1"/>
  </cols>
  <sheetData>
    <row r="1" spans="1:149" ht="16.8" x14ac:dyDescent="0.3">
      <c r="A1" s="13" t="s">
        <v>970</v>
      </c>
    </row>
    <row r="2" spans="1:149" x14ac:dyDescent="0.3">
      <c r="A2" s="14" t="s">
        <v>971</v>
      </c>
    </row>
    <row r="4" spans="1:149" x14ac:dyDescent="0.3">
      <c r="A4" s="14" t="s">
        <v>972</v>
      </c>
      <c r="B4" s="58" t="s">
        <v>645</v>
      </c>
      <c r="F4" s="63">
        <v>1</v>
      </c>
      <c r="G4" s="63">
        <v>2</v>
      </c>
      <c r="H4" s="63">
        <v>3</v>
      </c>
      <c r="I4" s="63">
        <v>4</v>
      </c>
      <c r="J4" s="63">
        <v>5</v>
      </c>
      <c r="K4" s="63">
        <v>6</v>
      </c>
      <c r="L4" s="63">
        <v>7</v>
      </c>
      <c r="M4" s="63">
        <v>8</v>
      </c>
      <c r="N4" s="63">
        <v>9</v>
      </c>
      <c r="O4" s="63">
        <v>10</v>
      </c>
      <c r="P4" s="63">
        <v>11</v>
      </c>
      <c r="Q4" s="63">
        <v>12</v>
      </c>
      <c r="R4" s="63">
        <v>13</v>
      </c>
      <c r="S4" s="63">
        <v>14</v>
      </c>
      <c r="T4" s="63">
        <v>15</v>
      </c>
      <c r="U4" s="63">
        <v>16</v>
      </c>
      <c r="V4" s="63">
        <v>17</v>
      </c>
      <c r="W4" s="63">
        <v>18</v>
      </c>
      <c r="X4" s="63">
        <v>19</v>
      </c>
      <c r="Y4" s="63">
        <v>20</v>
      </c>
      <c r="Z4" s="63">
        <v>21</v>
      </c>
      <c r="AA4" s="63">
        <v>22</v>
      </c>
      <c r="AB4" s="63">
        <v>23</v>
      </c>
      <c r="AC4" s="63">
        <v>24</v>
      </c>
      <c r="AD4" s="63">
        <v>25</v>
      </c>
      <c r="AE4" s="63">
        <v>26</v>
      </c>
      <c r="AF4" s="63">
        <v>27</v>
      </c>
      <c r="AG4" s="63">
        <v>28</v>
      </c>
      <c r="AH4" s="63">
        <v>29</v>
      </c>
      <c r="AI4" s="63">
        <v>30</v>
      </c>
      <c r="AJ4" s="63">
        <v>31</v>
      </c>
      <c r="AK4" s="63">
        <v>32</v>
      </c>
      <c r="AL4" s="63">
        <v>33</v>
      </c>
      <c r="AM4" s="63">
        <v>34</v>
      </c>
      <c r="AN4" s="63">
        <v>35</v>
      </c>
      <c r="AO4" s="63">
        <v>36</v>
      </c>
      <c r="AP4" s="63">
        <v>37</v>
      </c>
      <c r="AQ4" s="63">
        <v>38</v>
      </c>
      <c r="AR4" s="63">
        <v>39</v>
      </c>
      <c r="AS4" s="63">
        <v>40</v>
      </c>
      <c r="AT4" s="63">
        <v>41</v>
      </c>
      <c r="AU4" s="63">
        <v>42</v>
      </c>
      <c r="AV4" s="63">
        <v>43</v>
      </c>
      <c r="AW4" s="63">
        <v>44</v>
      </c>
      <c r="AX4" s="63">
        <v>45</v>
      </c>
      <c r="AY4" s="63">
        <v>46</v>
      </c>
      <c r="AZ4" s="63">
        <v>47</v>
      </c>
      <c r="BA4" s="63">
        <v>48</v>
      </c>
      <c r="BB4" s="63">
        <v>49</v>
      </c>
      <c r="BC4" s="63">
        <v>50</v>
      </c>
      <c r="BD4" s="63">
        <v>51</v>
      </c>
      <c r="BE4" s="63">
        <v>52</v>
      </c>
      <c r="BF4" s="63">
        <v>53</v>
      </c>
      <c r="BG4" s="63">
        <v>54</v>
      </c>
      <c r="BH4" s="63">
        <v>55</v>
      </c>
      <c r="BI4" s="63">
        <v>56</v>
      </c>
      <c r="BJ4" s="63">
        <v>57</v>
      </c>
      <c r="BK4" s="63">
        <v>58</v>
      </c>
      <c r="BL4" s="63">
        <v>59</v>
      </c>
      <c r="BM4" s="63">
        <v>60</v>
      </c>
      <c r="BN4" s="63">
        <v>61</v>
      </c>
      <c r="BO4" s="63">
        <v>62</v>
      </c>
      <c r="BP4" s="63">
        <v>63</v>
      </c>
      <c r="BQ4" s="63">
        <v>64</v>
      </c>
      <c r="BR4" s="63">
        <v>65</v>
      </c>
      <c r="BS4" s="63">
        <v>66</v>
      </c>
      <c r="BT4" s="63">
        <v>67</v>
      </c>
      <c r="BU4" s="63">
        <v>68</v>
      </c>
      <c r="BV4" s="63">
        <v>69</v>
      </c>
      <c r="BW4" s="63">
        <v>70</v>
      </c>
      <c r="BX4" s="63">
        <v>71</v>
      </c>
      <c r="BY4" s="63">
        <v>72</v>
      </c>
      <c r="BZ4" s="63">
        <v>73</v>
      </c>
      <c r="CA4" s="63">
        <v>74</v>
      </c>
      <c r="CB4" s="63">
        <v>75</v>
      </c>
      <c r="CC4" s="63">
        <v>76</v>
      </c>
      <c r="CD4" s="63">
        <v>77</v>
      </c>
      <c r="CE4" s="63">
        <v>78</v>
      </c>
      <c r="CF4" s="63">
        <v>79</v>
      </c>
      <c r="CG4" s="63">
        <v>80</v>
      </c>
      <c r="CH4" s="63">
        <v>81</v>
      </c>
      <c r="CI4" s="63">
        <v>82</v>
      </c>
      <c r="CJ4" s="63">
        <v>83</v>
      </c>
      <c r="CK4" s="63">
        <v>84</v>
      </c>
      <c r="CL4" s="63">
        <v>85</v>
      </c>
      <c r="CM4" s="63">
        <v>86</v>
      </c>
      <c r="CN4" s="63">
        <v>87</v>
      </c>
      <c r="CO4" s="63">
        <v>88</v>
      </c>
      <c r="CP4" s="63">
        <v>89</v>
      </c>
      <c r="CQ4" s="63">
        <v>90</v>
      </c>
      <c r="CR4" s="63">
        <v>91</v>
      </c>
      <c r="CS4" s="63">
        <v>92</v>
      </c>
      <c r="CT4" s="63">
        <v>93</v>
      </c>
      <c r="CU4" s="63">
        <v>94</v>
      </c>
      <c r="CV4" s="63">
        <v>95</v>
      </c>
      <c r="CW4" s="63">
        <v>96</v>
      </c>
      <c r="CX4" s="63">
        <v>97</v>
      </c>
      <c r="CY4" s="63">
        <v>98</v>
      </c>
      <c r="CZ4" s="63">
        <v>99</v>
      </c>
      <c r="DA4" s="63">
        <v>100</v>
      </c>
      <c r="DB4" s="63">
        <v>101</v>
      </c>
      <c r="DC4" s="63">
        <v>102</v>
      </c>
      <c r="DD4" s="63">
        <v>103</v>
      </c>
      <c r="DE4" s="63">
        <v>104</v>
      </c>
      <c r="DF4" s="63">
        <v>105</v>
      </c>
      <c r="DG4" s="63">
        <v>106</v>
      </c>
      <c r="DH4" s="63">
        <v>107</v>
      </c>
      <c r="DI4" s="63">
        <v>108</v>
      </c>
      <c r="DJ4" s="63">
        <v>109</v>
      </c>
      <c r="DK4" s="63">
        <v>110</v>
      </c>
      <c r="DL4" s="63">
        <v>111</v>
      </c>
      <c r="DM4" s="63">
        <v>112</v>
      </c>
      <c r="DN4" s="63">
        <v>113</v>
      </c>
      <c r="DO4" s="63">
        <v>114</v>
      </c>
      <c r="DP4" s="63">
        <v>115</v>
      </c>
      <c r="DQ4" s="63">
        <v>116</v>
      </c>
      <c r="DR4" s="63">
        <v>117</v>
      </c>
      <c r="DS4" s="63">
        <v>118</v>
      </c>
      <c r="DT4" s="63">
        <v>119</v>
      </c>
      <c r="DU4" s="63">
        <v>120</v>
      </c>
      <c r="DV4" s="63">
        <v>121</v>
      </c>
      <c r="DW4" s="63">
        <v>122</v>
      </c>
      <c r="DX4" s="63">
        <v>123</v>
      </c>
      <c r="DY4" s="63">
        <v>124</v>
      </c>
      <c r="DZ4" s="63">
        <v>125</v>
      </c>
      <c r="EA4" s="63">
        <v>126</v>
      </c>
      <c r="EB4" s="63">
        <v>127</v>
      </c>
      <c r="EC4" s="63">
        <v>128</v>
      </c>
      <c r="ED4" s="63">
        <v>129</v>
      </c>
      <c r="EE4" s="63">
        <v>130</v>
      </c>
      <c r="EF4" s="63">
        <v>131</v>
      </c>
      <c r="EG4" s="63">
        <v>132</v>
      </c>
      <c r="EH4" s="63">
        <v>133</v>
      </c>
      <c r="EI4" s="63">
        <v>134</v>
      </c>
      <c r="EJ4" s="63">
        <v>135</v>
      </c>
      <c r="EK4" s="63">
        <v>136</v>
      </c>
      <c r="EL4" s="63">
        <v>137</v>
      </c>
      <c r="EM4" s="63">
        <v>138</v>
      </c>
      <c r="EN4" s="63">
        <v>139</v>
      </c>
      <c r="EO4" s="63">
        <v>140</v>
      </c>
      <c r="EP4" s="63">
        <v>141</v>
      </c>
      <c r="EQ4" s="63">
        <v>142</v>
      </c>
      <c r="ER4" s="63">
        <v>143</v>
      </c>
      <c r="ES4" s="63">
        <v>144</v>
      </c>
    </row>
    <row r="5" spans="1:149" x14ac:dyDescent="0.3">
      <c r="A5" s="14" t="s">
        <v>973</v>
      </c>
      <c r="B5" s="23" t="s">
        <v>1</v>
      </c>
      <c r="F5" s="64" t="str">
        <f>IF(n_Fecha1="","",EOMONTH(n_Fecha1,1-1))</f>
        <v/>
      </c>
      <c r="G5" s="64" t="str">
        <f>IF(n_Fecha1="","",EOMONTH(n_Fecha1,2-1))</f>
        <v/>
      </c>
      <c r="H5" s="64" t="str">
        <f>IF(n_Fecha1="","",EOMONTH(n_Fecha1,3-1))</f>
        <v/>
      </c>
      <c r="I5" s="64" t="str">
        <f>IF(n_Fecha1="","",EOMONTH(n_Fecha1,4-1))</f>
        <v/>
      </c>
      <c r="J5" s="64" t="str">
        <f>IF(n_Fecha1="","",EOMONTH(n_Fecha1,5-1))</f>
        <v/>
      </c>
      <c r="K5" s="64" t="str">
        <f>IF(n_Fecha1="","",EOMONTH(n_Fecha1,6-1))</f>
        <v/>
      </c>
      <c r="L5" s="64" t="str">
        <f>IF(n_Fecha1="","",EOMONTH(n_Fecha1,7-1))</f>
        <v/>
      </c>
      <c r="M5" s="64" t="str">
        <f>IF(n_Fecha1="","",EOMONTH(n_Fecha1,8-1))</f>
        <v/>
      </c>
      <c r="N5" s="64" t="str">
        <f>IF(n_Fecha1="","",EOMONTH(n_Fecha1,9-1))</f>
        <v/>
      </c>
      <c r="O5" s="64" t="str">
        <f>IF(n_Fecha1="","",EOMONTH(n_Fecha1,10-1))</f>
        <v/>
      </c>
      <c r="P5" s="64" t="str">
        <f>IF(n_Fecha1="","",EOMONTH(n_Fecha1,11-1))</f>
        <v/>
      </c>
      <c r="Q5" s="64" t="str">
        <f>IF(n_Fecha1="","",EOMONTH(n_Fecha1,12-1))</f>
        <v/>
      </c>
      <c r="R5" s="64" t="str">
        <f>IF(n_Fecha1="","",EOMONTH(n_Fecha1,13-1))</f>
        <v/>
      </c>
      <c r="S5" s="64" t="str">
        <f>IF(n_Fecha1="","",EOMONTH(n_Fecha1,14-1))</f>
        <v/>
      </c>
      <c r="T5" s="64" t="str">
        <f>IF(n_Fecha1="","",EOMONTH(n_Fecha1,15-1))</f>
        <v/>
      </c>
      <c r="U5" s="64" t="str">
        <f>IF(n_Fecha1="","",EOMONTH(n_Fecha1,16-1))</f>
        <v/>
      </c>
      <c r="V5" s="64" t="str">
        <f>IF(n_Fecha1="","",EOMONTH(n_Fecha1,17-1))</f>
        <v/>
      </c>
      <c r="W5" s="64" t="str">
        <f>IF(n_Fecha1="","",EOMONTH(n_Fecha1,18-1))</f>
        <v/>
      </c>
      <c r="X5" s="64" t="str">
        <f>IF(n_Fecha1="","",EOMONTH(n_Fecha1,19-1))</f>
        <v/>
      </c>
      <c r="Y5" s="64" t="str">
        <f>IF(n_Fecha1="","",EOMONTH(n_Fecha1,20-1))</f>
        <v/>
      </c>
      <c r="Z5" s="64" t="str">
        <f>IF(n_Fecha1="","",EOMONTH(n_Fecha1,21-1))</f>
        <v/>
      </c>
      <c r="AA5" s="64" t="str">
        <f>IF(n_Fecha1="","",EOMONTH(n_Fecha1,22-1))</f>
        <v/>
      </c>
      <c r="AB5" s="64" t="str">
        <f>IF(n_Fecha1="","",EOMONTH(n_Fecha1,23-1))</f>
        <v/>
      </c>
      <c r="AC5" s="64" t="str">
        <f>IF(n_Fecha1="","",EOMONTH(n_Fecha1,24-1))</f>
        <v/>
      </c>
      <c r="AD5" s="64" t="str">
        <f>IF(n_Fecha1="","",EOMONTH(n_Fecha1,25-1))</f>
        <v/>
      </c>
      <c r="AE5" s="64" t="str">
        <f>IF(n_Fecha1="","",EOMONTH(n_Fecha1,26-1))</f>
        <v/>
      </c>
      <c r="AF5" s="64" t="str">
        <f>IF(n_Fecha1="","",EOMONTH(n_Fecha1,27-1))</f>
        <v/>
      </c>
      <c r="AG5" s="64" t="str">
        <f>IF(n_Fecha1="","",EOMONTH(n_Fecha1,28-1))</f>
        <v/>
      </c>
      <c r="AH5" s="64" t="str">
        <f>IF(n_Fecha1="","",EOMONTH(n_Fecha1,29-1))</f>
        <v/>
      </c>
      <c r="AI5" s="64" t="str">
        <f>IF(n_Fecha1="","",EOMONTH(n_Fecha1,30-1))</f>
        <v/>
      </c>
      <c r="AJ5" s="64" t="str">
        <f>IF(n_Fecha1="","",EOMONTH(n_Fecha1,31-1))</f>
        <v/>
      </c>
      <c r="AK5" s="64" t="str">
        <f>IF(n_Fecha1="","",EOMONTH(n_Fecha1,32-1))</f>
        <v/>
      </c>
      <c r="AL5" s="64" t="str">
        <f>IF(n_Fecha1="","",EOMONTH(n_Fecha1,33-1))</f>
        <v/>
      </c>
      <c r="AM5" s="64" t="str">
        <f>IF(n_Fecha1="","",EOMONTH(n_Fecha1,34-1))</f>
        <v/>
      </c>
      <c r="AN5" s="64" t="str">
        <f>IF(n_Fecha1="","",EOMONTH(n_Fecha1,35-1))</f>
        <v/>
      </c>
      <c r="AO5" s="64" t="str">
        <f>IF(n_Fecha1="","",EOMONTH(n_Fecha1,36-1))</f>
        <v/>
      </c>
      <c r="AP5" s="64" t="str">
        <f>IF(n_Fecha1="","",EOMONTH(n_Fecha1,37-1))</f>
        <v/>
      </c>
      <c r="AQ5" s="64" t="str">
        <f>IF(n_Fecha1="","",EOMONTH(n_Fecha1,38-1))</f>
        <v/>
      </c>
      <c r="AR5" s="64" t="str">
        <f>IF(n_Fecha1="","",EOMONTH(n_Fecha1,39-1))</f>
        <v/>
      </c>
      <c r="AS5" s="64" t="str">
        <f>IF(n_Fecha1="","",EOMONTH(n_Fecha1,40-1))</f>
        <v/>
      </c>
      <c r="AT5" s="64" t="str">
        <f>IF(n_Fecha1="","",EOMONTH(n_Fecha1,41-1))</f>
        <v/>
      </c>
      <c r="AU5" s="64" t="str">
        <f>IF(n_Fecha1="","",EOMONTH(n_Fecha1,42-1))</f>
        <v/>
      </c>
      <c r="AV5" s="64" t="str">
        <f>IF(n_Fecha1="","",EOMONTH(n_Fecha1,43-1))</f>
        <v/>
      </c>
      <c r="AW5" s="64" t="str">
        <f>IF(n_Fecha1="","",EOMONTH(n_Fecha1,44-1))</f>
        <v/>
      </c>
      <c r="AX5" s="64" t="str">
        <f>IF(n_Fecha1="","",EOMONTH(n_Fecha1,45-1))</f>
        <v/>
      </c>
      <c r="AY5" s="64" t="str">
        <f>IF(n_Fecha1="","",EOMONTH(n_Fecha1,46-1))</f>
        <v/>
      </c>
      <c r="AZ5" s="64" t="str">
        <f>IF(n_Fecha1="","",EOMONTH(n_Fecha1,47-1))</f>
        <v/>
      </c>
      <c r="BA5" s="64" t="str">
        <f>IF(n_Fecha1="","",EOMONTH(n_Fecha1,48-1))</f>
        <v/>
      </c>
      <c r="BB5" s="64" t="str">
        <f>IF(n_Fecha1="","",EOMONTH(n_Fecha1,49-1))</f>
        <v/>
      </c>
      <c r="BC5" s="64" t="str">
        <f>IF(n_Fecha1="","",EOMONTH(n_Fecha1,50-1))</f>
        <v/>
      </c>
      <c r="BD5" s="64" t="str">
        <f>IF(n_Fecha1="","",EOMONTH(n_Fecha1,51-1))</f>
        <v/>
      </c>
      <c r="BE5" s="64" t="str">
        <f>IF(n_Fecha1="","",EOMONTH(n_Fecha1,52-1))</f>
        <v/>
      </c>
      <c r="BF5" s="64" t="str">
        <f>IF(n_Fecha1="","",EOMONTH(n_Fecha1,53-1))</f>
        <v/>
      </c>
      <c r="BG5" s="64" t="str">
        <f>IF(n_Fecha1="","",EOMONTH(n_Fecha1,54-1))</f>
        <v/>
      </c>
      <c r="BH5" s="64" t="str">
        <f>IF(n_Fecha1="","",EOMONTH(n_Fecha1,55-1))</f>
        <v/>
      </c>
      <c r="BI5" s="64" t="str">
        <f>IF(n_Fecha1="","",EOMONTH(n_Fecha1,56-1))</f>
        <v/>
      </c>
      <c r="BJ5" s="64" t="str">
        <f>IF(n_Fecha1="","",EOMONTH(n_Fecha1,57-1))</f>
        <v/>
      </c>
      <c r="BK5" s="64" t="str">
        <f>IF(n_Fecha1="","",EOMONTH(n_Fecha1,58-1))</f>
        <v/>
      </c>
      <c r="BL5" s="64" t="str">
        <f>IF(n_Fecha1="","",EOMONTH(n_Fecha1,59-1))</f>
        <v/>
      </c>
      <c r="BM5" s="64" t="str">
        <f>IF(n_Fecha1="","",EOMONTH(n_Fecha1,60-1))</f>
        <v/>
      </c>
      <c r="BN5" s="64" t="str">
        <f>IF(n_Fecha1="","",EOMONTH(n_Fecha1,61-1))</f>
        <v/>
      </c>
      <c r="BO5" s="64" t="str">
        <f>IF(n_Fecha1="","",EOMONTH(n_Fecha1,62-1))</f>
        <v/>
      </c>
      <c r="BP5" s="64" t="str">
        <f>IF(n_Fecha1="","",EOMONTH(n_Fecha1,63-1))</f>
        <v/>
      </c>
      <c r="BQ5" s="64" t="str">
        <f>IF(n_Fecha1="","",EOMONTH(n_Fecha1,64-1))</f>
        <v/>
      </c>
      <c r="BR5" s="64" t="str">
        <f>IF(n_Fecha1="","",EOMONTH(n_Fecha1,65-1))</f>
        <v/>
      </c>
      <c r="BS5" s="64" t="str">
        <f>IF(n_Fecha1="","",EOMONTH(n_Fecha1,66-1))</f>
        <v/>
      </c>
      <c r="BT5" s="64" t="str">
        <f>IF(n_Fecha1="","",EOMONTH(n_Fecha1,67-1))</f>
        <v/>
      </c>
      <c r="BU5" s="64" t="str">
        <f>IF(n_Fecha1="","",EOMONTH(n_Fecha1,68-1))</f>
        <v/>
      </c>
      <c r="BV5" s="64" t="str">
        <f>IF(n_Fecha1="","",EOMONTH(n_Fecha1,69-1))</f>
        <v/>
      </c>
      <c r="BW5" s="64" t="str">
        <f>IF(n_Fecha1="","",EOMONTH(n_Fecha1,70-1))</f>
        <v/>
      </c>
      <c r="BX5" s="64" t="str">
        <f>IF(n_Fecha1="","",EOMONTH(n_Fecha1,71-1))</f>
        <v/>
      </c>
      <c r="BY5" s="64" t="str">
        <f>IF(n_Fecha1="","",EOMONTH(n_Fecha1,72-1))</f>
        <v/>
      </c>
      <c r="BZ5" s="64" t="str">
        <f>IF(n_Fecha1="","",EOMONTH(n_Fecha1,73-1))</f>
        <v/>
      </c>
      <c r="CA5" s="64" t="str">
        <f>IF(n_Fecha1="","",EOMONTH(n_Fecha1,74-1))</f>
        <v/>
      </c>
      <c r="CB5" s="64" t="str">
        <f>IF(n_Fecha1="","",EOMONTH(n_Fecha1,75-1))</f>
        <v/>
      </c>
      <c r="CC5" s="64" t="str">
        <f>IF(n_Fecha1="","",EOMONTH(n_Fecha1,76-1))</f>
        <v/>
      </c>
      <c r="CD5" s="64" t="str">
        <f>IF(n_Fecha1="","",EOMONTH(n_Fecha1,77-1))</f>
        <v/>
      </c>
      <c r="CE5" s="64" t="str">
        <f>IF(n_Fecha1="","",EOMONTH(n_Fecha1,78-1))</f>
        <v/>
      </c>
      <c r="CF5" s="64" t="str">
        <f>IF(n_Fecha1="","",EOMONTH(n_Fecha1,79-1))</f>
        <v/>
      </c>
      <c r="CG5" s="64" t="str">
        <f>IF(n_Fecha1="","",EOMONTH(n_Fecha1,80-1))</f>
        <v/>
      </c>
      <c r="CH5" s="64" t="str">
        <f>IF(n_Fecha1="","",EOMONTH(n_Fecha1,81-1))</f>
        <v/>
      </c>
      <c r="CI5" s="64" t="str">
        <f>IF(n_Fecha1="","",EOMONTH(n_Fecha1,82-1))</f>
        <v/>
      </c>
      <c r="CJ5" s="64" t="str">
        <f>IF(n_Fecha1="","",EOMONTH(n_Fecha1,83-1))</f>
        <v/>
      </c>
      <c r="CK5" s="64" t="str">
        <f>IF(n_Fecha1="","",EOMONTH(n_Fecha1,84-1))</f>
        <v/>
      </c>
      <c r="CL5" s="64" t="str">
        <f>IF(n_Fecha1="","",EOMONTH(n_Fecha1,85-1))</f>
        <v/>
      </c>
      <c r="CM5" s="64" t="str">
        <f>IF(n_Fecha1="","",EOMONTH(n_Fecha1,86-1))</f>
        <v/>
      </c>
      <c r="CN5" s="64" t="str">
        <f>IF(n_Fecha1="","",EOMONTH(n_Fecha1,87-1))</f>
        <v/>
      </c>
      <c r="CO5" s="64" t="str">
        <f>IF(n_Fecha1="","",EOMONTH(n_Fecha1,88-1))</f>
        <v/>
      </c>
      <c r="CP5" s="64" t="str">
        <f>IF(n_Fecha1="","",EOMONTH(n_Fecha1,89-1))</f>
        <v/>
      </c>
      <c r="CQ5" s="64" t="str">
        <f>IF(n_Fecha1="","",EOMONTH(n_Fecha1,90-1))</f>
        <v/>
      </c>
      <c r="CR5" s="64" t="str">
        <f>IF(n_Fecha1="","",EOMONTH(n_Fecha1,91-1))</f>
        <v/>
      </c>
      <c r="CS5" s="64" t="str">
        <f>IF(n_Fecha1="","",EOMONTH(n_Fecha1,92-1))</f>
        <v/>
      </c>
      <c r="CT5" s="64" t="str">
        <f>IF(n_Fecha1="","",EOMONTH(n_Fecha1,93-1))</f>
        <v/>
      </c>
      <c r="CU5" s="64" t="str">
        <f>IF(n_Fecha1="","",EOMONTH(n_Fecha1,94-1))</f>
        <v/>
      </c>
      <c r="CV5" s="64" t="str">
        <f>IF(n_Fecha1="","",EOMONTH(n_Fecha1,95-1))</f>
        <v/>
      </c>
      <c r="CW5" s="64" t="str">
        <f>IF(n_Fecha1="","",EOMONTH(n_Fecha1,96-1))</f>
        <v/>
      </c>
      <c r="CX5" s="64" t="str">
        <f>IF(n_Fecha1="","",EOMONTH(n_Fecha1,97-1))</f>
        <v/>
      </c>
      <c r="CY5" s="64" t="str">
        <f>IF(n_Fecha1="","",EOMONTH(n_Fecha1,98-1))</f>
        <v/>
      </c>
      <c r="CZ5" s="64" t="str">
        <f>IF(n_Fecha1="","",EOMONTH(n_Fecha1,99-1))</f>
        <v/>
      </c>
      <c r="DA5" s="64" t="str">
        <f>IF(n_Fecha1="","",EOMONTH(n_Fecha1,100-1))</f>
        <v/>
      </c>
      <c r="DB5" s="64" t="str">
        <f>IF(n_Fecha1="","",EOMONTH(n_Fecha1,101-1))</f>
        <v/>
      </c>
      <c r="DC5" s="64" t="str">
        <f>IF(n_Fecha1="","",EOMONTH(n_Fecha1,102-1))</f>
        <v/>
      </c>
      <c r="DD5" s="64" t="str">
        <f>IF(n_Fecha1="","",EOMONTH(n_Fecha1,103-1))</f>
        <v/>
      </c>
      <c r="DE5" s="64" t="str">
        <f>IF(n_Fecha1="","",EOMONTH(n_Fecha1,104-1))</f>
        <v/>
      </c>
      <c r="DF5" s="64" t="str">
        <f>IF(n_Fecha1="","",EOMONTH(n_Fecha1,105-1))</f>
        <v/>
      </c>
      <c r="DG5" s="64" t="str">
        <f>IF(n_Fecha1="","",EOMONTH(n_Fecha1,106-1))</f>
        <v/>
      </c>
      <c r="DH5" s="64" t="str">
        <f>IF(n_Fecha1="","",EOMONTH(n_Fecha1,107-1))</f>
        <v/>
      </c>
      <c r="DI5" s="64" t="str">
        <f>IF(n_Fecha1="","",EOMONTH(n_Fecha1,108-1))</f>
        <v/>
      </c>
      <c r="DJ5" s="64" t="str">
        <f>IF(n_Fecha1="","",EOMONTH(n_Fecha1,109-1))</f>
        <v/>
      </c>
      <c r="DK5" s="64" t="str">
        <f>IF(n_Fecha1="","",EOMONTH(n_Fecha1,110-1))</f>
        <v/>
      </c>
      <c r="DL5" s="64" t="str">
        <f>IF(n_Fecha1="","",EOMONTH(n_Fecha1,111-1))</f>
        <v/>
      </c>
      <c r="DM5" s="64" t="str">
        <f>IF(n_Fecha1="","",EOMONTH(n_Fecha1,112-1))</f>
        <v/>
      </c>
      <c r="DN5" s="64" t="str">
        <f>IF(n_Fecha1="","",EOMONTH(n_Fecha1,113-1))</f>
        <v/>
      </c>
      <c r="DO5" s="64" t="str">
        <f>IF(n_Fecha1="","",EOMONTH(n_Fecha1,114-1))</f>
        <v/>
      </c>
      <c r="DP5" s="64" t="str">
        <f>IF(n_Fecha1="","",EOMONTH(n_Fecha1,115-1))</f>
        <v/>
      </c>
      <c r="DQ5" s="64" t="str">
        <f>IF(n_Fecha1="","",EOMONTH(n_Fecha1,116-1))</f>
        <v/>
      </c>
      <c r="DR5" s="64" t="str">
        <f>IF(n_Fecha1="","",EOMONTH(n_Fecha1,117-1))</f>
        <v/>
      </c>
      <c r="DS5" s="64" t="str">
        <f>IF(n_Fecha1="","",EOMONTH(n_Fecha1,118-1))</f>
        <v/>
      </c>
      <c r="DT5" s="64" t="str">
        <f>IF(n_Fecha1="","",EOMONTH(n_Fecha1,119-1))</f>
        <v/>
      </c>
      <c r="DU5" s="64" t="str">
        <f>IF(n_Fecha1="","",EOMONTH(n_Fecha1,120-1))</f>
        <v/>
      </c>
      <c r="DV5" s="64" t="str">
        <f>IF(n_Fecha1="","",EOMONTH(n_Fecha1,121-1))</f>
        <v/>
      </c>
      <c r="DW5" s="64" t="str">
        <f>IF(n_Fecha1="","",EOMONTH(n_Fecha1,122-1))</f>
        <v/>
      </c>
      <c r="DX5" s="64" t="str">
        <f>IF(n_Fecha1="","",EOMONTH(n_Fecha1,123-1))</f>
        <v/>
      </c>
      <c r="DY5" s="64" t="str">
        <f>IF(n_Fecha1="","",EOMONTH(n_Fecha1,124-1))</f>
        <v/>
      </c>
      <c r="DZ5" s="64" t="str">
        <f>IF(n_Fecha1="","",EOMONTH(n_Fecha1,125-1))</f>
        <v/>
      </c>
      <c r="EA5" s="64" t="str">
        <f>IF(n_Fecha1="","",EOMONTH(n_Fecha1,126-1))</f>
        <v/>
      </c>
      <c r="EB5" s="64" t="str">
        <f>IF(n_Fecha1="","",EOMONTH(n_Fecha1,127-1))</f>
        <v/>
      </c>
      <c r="EC5" s="64" t="str">
        <f>IF(n_Fecha1="","",EOMONTH(n_Fecha1,128-1))</f>
        <v/>
      </c>
      <c r="ED5" s="64" t="str">
        <f>IF(n_Fecha1="","",EOMONTH(n_Fecha1,129-1))</f>
        <v/>
      </c>
      <c r="EE5" s="64" t="str">
        <f>IF(n_Fecha1="","",EOMONTH(n_Fecha1,130-1))</f>
        <v/>
      </c>
      <c r="EF5" s="64" t="str">
        <f>IF(n_Fecha1="","",EOMONTH(n_Fecha1,131-1))</f>
        <v/>
      </c>
      <c r="EG5" s="64" t="str">
        <f>IF(n_Fecha1="","",EOMONTH(n_Fecha1,132-1))</f>
        <v/>
      </c>
      <c r="EH5" s="64" t="str">
        <f>IF(n_Fecha1="","",EOMONTH(n_Fecha1,133-1))</f>
        <v/>
      </c>
      <c r="EI5" s="64" t="str">
        <f>IF(n_Fecha1="","",EOMONTH(n_Fecha1,134-1))</f>
        <v/>
      </c>
      <c r="EJ5" s="64" t="str">
        <f>IF(n_Fecha1="","",EOMONTH(n_Fecha1,135-1))</f>
        <v/>
      </c>
      <c r="EK5" s="64" t="str">
        <f>IF(n_Fecha1="","",EOMONTH(n_Fecha1,136-1))</f>
        <v/>
      </c>
      <c r="EL5" s="64" t="str">
        <f>IF(n_Fecha1="","",EOMONTH(n_Fecha1,137-1))</f>
        <v/>
      </c>
      <c r="EM5" s="64" t="str">
        <f>IF(n_Fecha1="","",EOMONTH(n_Fecha1,138-1))</f>
        <v/>
      </c>
      <c r="EN5" s="64" t="str">
        <f>IF(n_Fecha1="","",EOMONTH(n_Fecha1,139-1))</f>
        <v/>
      </c>
      <c r="EO5" s="64" t="str">
        <f>IF(n_Fecha1="","",EOMONTH(n_Fecha1,140-1))</f>
        <v/>
      </c>
      <c r="EP5" s="64" t="str">
        <f>IF(n_Fecha1="","",EOMONTH(n_Fecha1,141-1))</f>
        <v/>
      </c>
      <c r="EQ5" s="64" t="str">
        <f>IF(n_Fecha1="","",EOMONTH(n_Fecha1,142-1))</f>
        <v/>
      </c>
      <c r="ER5" s="64" t="str">
        <f>IF(n_Fecha1="","",EOMONTH(n_Fecha1,143-1))</f>
        <v/>
      </c>
      <c r="ES5" s="64" t="str">
        <f>IF(n_Fecha1="","",EOMONTH(n_Fecha1,144-1))</f>
        <v/>
      </c>
    </row>
    <row r="6" spans="1:149" x14ac:dyDescent="0.3">
      <c r="A6" s="14" t="s">
        <v>974</v>
      </c>
      <c r="B6" s="23" t="s">
        <v>647</v>
      </c>
      <c r="F6" s="34">
        <f>ROUNDUP(1/12,0)</f>
        <v>1</v>
      </c>
      <c r="G6" s="34">
        <f>ROUNDUP(2/12,0)</f>
        <v>1</v>
      </c>
      <c r="H6" s="34">
        <f>ROUNDUP(3/12,0)</f>
        <v>1</v>
      </c>
      <c r="I6" s="34">
        <f>ROUNDUP(4/12,0)</f>
        <v>1</v>
      </c>
      <c r="J6" s="34">
        <f>ROUNDUP(5/12,0)</f>
        <v>1</v>
      </c>
      <c r="K6" s="34">
        <f>ROUNDUP(6/12,0)</f>
        <v>1</v>
      </c>
      <c r="L6" s="34">
        <f>ROUNDUP(7/12,0)</f>
        <v>1</v>
      </c>
      <c r="M6" s="34">
        <f>ROUNDUP(8/12,0)</f>
        <v>1</v>
      </c>
      <c r="N6" s="34">
        <f>ROUNDUP(9/12,0)</f>
        <v>1</v>
      </c>
      <c r="O6" s="34">
        <f>ROUNDUP(10/12,0)</f>
        <v>1</v>
      </c>
      <c r="P6" s="34">
        <f>ROUNDUP(11/12,0)</f>
        <v>1</v>
      </c>
      <c r="Q6" s="34">
        <f>ROUNDUP(12/12,0)</f>
        <v>1</v>
      </c>
      <c r="R6" s="34">
        <f>ROUNDUP(13/12,0)</f>
        <v>2</v>
      </c>
      <c r="S6" s="34">
        <f>ROUNDUP(14/12,0)</f>
        <v>2</v>
      </c>
      <c r="T6" s="34">
        <f>ROUNDUP(15/12,0)</f>
        <v>2</v>
      </c>
      <c r="U6" s="34">
        <f>ROUNDUP(16/12,0)</f>
        <v>2</v>
      </c>
      <c r="V6" s="34">
        <f>ROUNDUP(17/12,0)</f>
        <v>2</v>
      </c>
      <c r="W6" s="34">
        <f>ROUNDUP(18/12,0)</f>
        <v>2</v>
      </c>
      <c r="X6" s="34">
        <f>ROUNDUP(19/12,0)</f>
        <v>2</v>
      </c>
      <c r="Y6" s="34">
        <f>ROUNDUP(20/12,0)</f>
        <v>2</v>
      </c>
      <c r="Z6" s="34">
        <f>ROUNDUP(21/12,0)</f>
        <v>2</v>
      </c>
      <c r="AA6" s="34">
        <f>ROUNDUP(22/12,0)</f>
        <v>2</v>
      </c>
      <c r="AB6" s="34">
        <f>ROUNDUP(23/12,0)</f>
        <v>2</v>
      </c>
      <c r="AC6" s="34">
        <f>ROUNDUP(24/12,0)</f>
        <v>2</v>
      </c>
      <c r="AD6" s="34">
        <f>ROUNDUP(25/12,0)</f>
        <v>3</v>
      </c>
      <c r="AE6" s="34">
        <f>ROUNDUP(26/12,0)</f>
        <v>3</v>
      </c>
      <c r="AF6" s="34">
        <f>ROUNDUP(27/12,0)</f>
        <v>3</v>
      </c>
      <c r="AG6" s="34">
        <f>ROUNDUP(28/12,0)</f>
        <v>3</v>
      </c>
      <c r="AH6" s="34">
        <f>ROUNDUP(29/12,0)</f>
        <v>3</v>
      </c>
      <c r="AI6" s="34">
        <f>ROUNDUP(30/12,0)</f>
        <v>3</v>
      </c>
      <c r="AJ6" s="34">
        <f>ROUNDUP(31/12,0)</f>
        <v>3</v>
      </c>
      <c r="AK6" s="34">
        <f>ROUNDUP(32/12,0)</f>
        <v>3</v>
      </c>
      <c r="AL6" s="34">
        <f>ROUNDUP(33/12,0)</f>
        <v>3</v>
      </c>
      <c r="AM6" s="34">
        <f>ROUNDUP(34/12,0)</f>
        <v>3</v>
      </c>
      <c r="AN6" s="34">
        <f>ROUNDUP(35/12,0)</f>
        <v>3</v>
      </c>
      <c r="AO6" s="34">
        <f>ROUNDUP(36/12,0)</f>
        <v>3</v>
      </c>
      <c r="AP6" s="34">
        <f>ROUNDUP(37/12,0)</f>
        <v>4</v>
      </c>
      <c r="AQ6" s="34">
        <f>ROUNDUP(38/12,0)</f>
        <v>4</v>
      </c>
      <c r="AR6" s="34">
        <f>ROUNDUP(39/12,0)</f>
        <v>4</v>
      </c>
      <c r="AS6" s="34">
        <f>ROUNDUP(40/12,0)</f>
        <v>4</v>
      </c>
      <c r="AT6" s="34">
        <f>ROUNDUP(41/12,0)</f>
        <v>4</v>
      </c>
      <c r="AU6" s="34">
        <f>ROUNDUP(42/12,0)</f>
        <v>4</v>
      </c>
      <c r="AV6" s="34">
        <f>ROUNDUP(43/12,0)</f>
        <v>4</v>
      </c>
      <c r="AW6" s="34">
        <f>ROUNDUP(44/12,0)</f>
        <v>4</v>
      </c>
      <c r="AX6" s="34">
        <f>ROUNDUP(45/12,0)</f>
        <v>4</v>
      </c>
      <c r="AY6" s="34">
        <f>ROUNDUP(46/12,0)</f>
        <v>4</v>
      </c>
      <c r="AZ6" s="34">
        <f>ROUNDUP(47/12,0)</f>
        <v>4</v>
      </c>
      <c r="BA6" s="34">
        <f>ROUNDUP(48/12,0)</f>
        <v>4</v>
      </c>
      <c r="BB6" s="34">
        <f>ROUNDUP(49/12,0)</f>
        <v>5</v>
      </c>
      <c r="BC6" s="34">
        <f>ROUNDUP(50/12,0)</f>
        <v>5</v>
      </c>
      <c r="BD6" s="34">
        <f>ROUNDUP(51/12,0)</f>
        <v>5</v>
      </c>
      <c r="BE6" s="34">
        <f>ROUNDUP(52/12,0)</f>
        <v>5</v>
      </c>
      <c r="BF6" s="34">
        <f>ROUNDUP(53/12,0)</f>
        <v>5</v>
      </c>
      <c r="BG6" s="34">
        <f>ROUNDUP(54/12,0)</f>
        <v>5</v>
      </c>
      <c r="BH6" s="34">
        <f>ROUNDUP(55/12,0)</f>
        <v>5</v>
      </c>
      <c r="BI6" s="34">
        <f>ROUNDUP(56/12,0)</f>
        <v>5</v>
      </c>
      <c r="BJ6" s="34">
        <f>ROUNDUP(57/12,0)</f>
        <v>5</v>
      </c>
      <c r="BK6" s="34">
        <f>ROUNDUP(58/12,0)</f>
        <v>5</v>
      </c>
      <c r="BL6" s="34">
        <f>ROUNDUP(59/12,0)</f>
        <v>5</v>
      </c>
      <c r="BM6" s="34">
        <f>ROUNDUP(60/12,0)</f>
        <v>5</v>
      </c>
      <c r="BN6" s="34">
        <f>ROUNDUP(61/12,0)</f>
        <v>6</v>
      </c>
      <c r="BO6" s="34">
        <f>ROUNDUP(62/12,0)</f>
        <v>6</v>
      </c>
      <c r="BP6" s="34">
        <f>ROUNDUP(63/12,0)</f>
        <v>6</v>
      </c>
      <c r="BQ6" s="34">
        <f>ROUNDUP(64/12,0)</f>
        <v>6</v>
      </c>
      <c r="BR6" s="34">
        <f>ROUNDUP(65/12,0)</f>
        <v>6</v>
      </c>
      <c r="BS6" s="34">
        <f>ROUNDUP(66/12,0)</f>
        <v>6</v>
      </c>
      <c r="BT6" s="34">
        <f>ROUNDUP(67/12,0)</f>
        <v>6</v>
      </c>
      <c r="BU6" s="34">
        <f>ROUNDUP(68/12,0)</f>
        <v>6</v>
      </c>
      <c r="BV6" s="34">
        <f>ROUNDUP(69/12,0)</f>
        <v>6</v>
      </c>
      <c r="BW6" s="34">
        <f>ROUNDUP(70/12,0)</f>
        <v>6</v>
      </c>
      <c r="BX6" s="34">
        <f>ROUNDUP(71/12,0)</f>
        <v>6</v>
      </c>
      <c r="BY6" s="34">
        <f>ROUNDUP(72/12,0)</f>
        <v>6</v>
      </c>
      <c r="BZ6" s="34">
        <f>ROUNDUP(73/12,0)</f>
        <v>7</v>
      </c>
      <c r="CA6" s="34">
        <f>ROUNDUP(74/12,0)</f>
        <v>7</v>
      </c>
      <c r="CB6" s="34">
        <f>ROUNDUP(75/12,0)</f>
        <v>7</v>
      </c>
      <c r="CC6" s="34">
        <f>ROUNDUP(76/12,0)</f>
        <v>7</v>
      </c>
      <c r="CD6" s="34">
        <f>ROUNDUP(77/12,0)</f>
        <v>7</v>
      </c>
      <c r="CE6" s="34">
        <f>ROUNDUP(78/12,0)</f>
        <v>7</v>
      </c>
      <c r="CF6" s="34">
        <f>ROUNDUP(79/12,0)</f>
        <v>7</v>
      </c>
      <c r="CG6" s="34">
        <f>ROUNDUP(80/12,0)</f>
        <v>7</v>
      </c>
      <c r="CH6" s="34">
        <f>ROUNDUP(81/12,0)</f>
        <v>7</v>
      </c>
      <c r="CI6" s="34">
        <f>ROUNDUP(82/12,0)</f>
        <v>7</v>
      </c>
      <c r="CJ6" s="34">
        <f>ROUNDUP(83/12,0)</f>
        <v>7</v>
      </c>
      <c r="CK6" s="34">
        <f>ROUNDUP(84/12,0)</f>
        <v>7</v>
      </c>
      <c r="CL6" s="34">
        <f>ROUNDUP(85/12,0)</f>
        <v>8</v>
      </c>
      <c r="CM6" s="34">
        <f>ROUNDUP(86/12,0)</f>
        <v>8</v>
      </c>
      <c r="CN6" s="34">
        <f>ROUNDUP(87/12,0)</f>
        <v>8</v>
      </c>
      <c r="CO6" s="34">
        <f>ROUNDUP(88/12,0)</f>
        <v>8</v>
      </c>
      <c r="CP6" s="34">
        <f>ROUNDUP(89/12,0)</f>
        <v>8</v>
      </c>
      <c r="CQ6" s="34">
        <f>ROUNDUP(90/12,0)</f>
        <v>8</v>
      </c>
      <c r="CR6" s="34">
        <f>ROUNDUP(91/12,0)</f>
        <v>8</v>
      </c>
      <c r="CS6" s="34">
        <f>ROUNDUP(92/12,0)</f>
        <v>8</v>
      </c>
      <c r="CT6" s="34">
        <f>ROUNDUP(93/12,0)</f>
        <v>8</v>
      </c>
      <c r="CU6" s="34">
        <f>ROUNDUP(94/12,0)</f>
        <v>8</v>
      </c>
      <c r="CV6" s="34">
        <f>ROUNDUP(95/12,0)</f>
        <v>8</v>
      </c>
      <c r="CW6" s="34">
        <f>ROUNDUP(96/12,0)</f>
        <v>8</v>
      </c>
      <c r="CX6" s="34">
        <f>ROUNDUP(97/12,0)</f>
        <v>9</v>
      </c>
      <c r="CY6" s="34">
        <f>ROUNDUP(98/12,0)</f>
        <v>9</v>
      </c>
      <c r="CZ6" s="34">
        <f>ROUNDUP(99/12,0)</f>
        <v>9</v>
      </c>
      <c r="DA6" s="34">
        <f>ROUNDUP(100/12,0)</f>
        <v>9</v>
      </c>
      <c r="DB6" s="34">
        <f>ROUNDUP(101/12,0)</f>
        <v>9</v>
      </c>
      <c r="DC6" s="34">
        <f>ROUNDUP(102/12,0)</f>
        <v>9</v>
      </c>
      <c r="DD6" s="34">
        <f>ROUNDUP(103/12,0)</f>
        <v>9</v>
      </c>
      <c r="DE6" s="34">
        <f>ROUNDUP(104/12,0)</f>
        <v>9</v>
      </c>
      <c r="DF6" s="34">
        <f>ROUNDUP(105/12,0)</f>
        <v>9</v>
      </c>
      <c r="DG6" s="34">
        <f>ROUNDUP(106/12,0)</f>
        <v>9</v>
      </c>
      <c r="DH6" s="34">
        <f>ROUNDUP(107/12,0)</f>
        <v>9</v>
      </c>
      <c r="DI6" s="34">
        <f>ROUNDUP(108/12,0)</f>
        <v>9</v>
      </c>
      <c r="DJ6" s="34">
        <f>ROUNDUP(109/12,0)</f>
        <v>10</v>
      </c>
      <c r="DK6" s="34">
        <f>ROUNDUP(110/12,0)</f>
        <v>10</v>
      </c>
      <c r="DL6" s="34">
        <f>ROUNDUP(111/12,0)</f>
        <v>10</v>
      </c>
      <c r="DM6" s="34">
        <f>ROUNDUP(112/12,0)</f>
        <v>10</v>
      </c>
      <c r="DN6" s="34">
        <f>ROUNDUP(113/12,0)</f>
        <v>10</v>
      </c>
      <c r="DO6" s="34">
        <f>ROUNDUP(114/12,0)</f>
        <v>10</v>
      </c>
      <c r="DP6" s="34">
        <f>ROUNDUP(115/12,0)</f>
        <v>10</v>
      </c>
      <c r="DQ6" s="34">
        <f>ROUNDUP(116/12,0)</f>
        <v>10</v>
      </c>
      <c r="DR6" s="34">
        <f>ROUNDUP(117/12,0)</f>
        <v>10</v>
      </c>
      <c r="DS6" s="34">
        <f>ROUNDUP(118/12,0)</f>
        <v>10</v>
      </c>
      <c r="DT6" s="34">
        <f>ROUNDUP(119/12,0)</f>
        <v>10</v>
      </c>
      <c r="DU6" s="34">
        <f>ROUNDUP(120/12,0)</f>
        <v>10</v>
      </c>
      <c r="DV6" s="34">
        <f>ROUNDUP(121/12,0)</f>
        <v>11</v>
      </c>
      <c r="DW6" s="34">
        <f>ROUNDUP(122/12,0)</f>
        <v>11</v>
      </c>
      <c r="DX6" s="34">
        <f>ROUNDUP(123/12,0)</f>
        <v>11</v>
      </c>
      <c r="DY6" s="34">
        <f>ROUNDUP(124/12,0)</f>
        <v>11</v>
      </c>
      <c r="DZ6" s="34">
        <f>ROUNDUP(125/12,0)</f>
        <v>11</v>
      </c>
      <c r="EA6" s="34">
        <f>ROUNDUP(126/12,0)</f>
        <v>11</v>
      </c>
      <c r="EB6" s="34">
        <f>ROUNDUP(127/12,0)</f>
        <v>11</v>
      </c>
      <c r="EC6" s="34">
        <f>ROUNDUP(128/12,0)</f>
        <v>11</v>
      </c>
      <c r="ED6" s="34">
        <f>ROUNDUP(129/12,0)</f>
        <v>11</v>
      </c>
      <c r="EE6" s="34">
        <f>ROUNDUP(130/12,0)</f>
        <v>11</v>
      </c>
      <c r="EF6" s="34">
        <f>ROUNDUP(131/12,0)</f>
        <v>11</v>
      </c>
      <c r="EG6" s="34">
        <f>ROUNDUP(132/12,0)</f>
        <v>11</v>
      </c>
      <c r="EH6" s="34">
        <f>ROUNDUP(133/12,0)</f>
        <v>12</v>
      </c>
      <c r="EI6" s="34">
        <f>ROUNDUP(134/12,0)</f>
        <v>12</v>
      </c>
      <c r="EJ6" s="34">
        <f>ROUNDUP(135/12,0)</f>
        <v>12</v>
      </c>
      <c r="EK6" s="34">
        <f>ROUNDUP(136/12,0)</f>
        <v>12</v>
      </c>
      <c r="EL6" s="34">
        <f>ROUNDUP(137/12,0)</f>
        <v>12</v>
      </c>
      <c r="EM6" s="34">
        <f>ROUNDUP(138/12,0)</f>
        <v>12</v>
      </c>
      <c r="EN6" s="34">
        <f>ROUNDUP(139/12,0)</f>
        <v>12</v>
      </c>
      <c r="EO6" s="34">
        <f>ROUNDUP(140/12,0)</f>
        <v>12</v>
      </c>
      <c r="EP6" s="34">
        <f>ROUNDUP(141/12,0)</f>
        <v>12</v>
      </c>
      <c r="EQ6" s="34">
        <f>ROUNDUP(142/12,0)</f>
        <v>12</v>
      </c>
      <c r="ER6" s="34">
        <f>ROUNDUP(143/12,0)</f>
        <v>12</v>
      </c>
      <c r="ES6" s="34">
        <f>ROUNDUP(144/12,0)</f>
        <v>12</v>
      </c>
    </row>
    <row r="7" spans="1:149" x14ac:dyDescent="0.3">
      <c r="A7" s="14" t="s">
        <v>290</v>
      </c>
      <c r="B7" s="23" t="s">
        <v>975</v>
      </c>
      <c r="F7" s="34">
        <f>MOD(1-1,12)+1</f>
        <v>1</v>
      </c>
      <c r="G7" s="34">
        <f>MOD(2-1,12)+1</f>
        <v>2</v>
      </c>
      <c r="H7" s="34">
        <f>MOD(3-1,12)+1</f>
        <v>3</v>
      </c>
      <c r="I7" s="34">
        <f>MOD(4-1,12)+1</f>
        <v>4</v>
      </c>
      <c r="J7" s="34">
        <f>MOD(5-1,12)+1</f>
        <v>5</v>
      </c>
      <c r="K7" s="34">
        <f>MOD(6-1,12)+1</f>
        <v>6</v>
      </c>
      <c r="L7" s="34">
        <f>MOD(7-1,12)+1</f>
        <v>7</v>
      </c>
      <c r="M7" s="34">
        <f>MOD(8-1,12)+1</f>
        <v>8</v>
      </c>
      <c r="N7" s="34">
        <f>MOD(9-1,12)+1</f>
        <v>9</v>
      </c>
      <c r="O7" s="34">
        <f>MOD(10-1,12)+1</f>
        <v>10</v>
      </c>
      <c r="P7" s="34">
        <f>MOD(11-1,12)+1</f>
        <v>11</v>
      </c>
      <c r="Q7" s="34">
        <f>MOD(12-1,12)+1</f>
        <v>12</v>
      </c>
      <c r="R7" s="34">
        <f>MOD(13-1,12)+1</f>
        <v>1</v>
      </c>
      <c r="S7" s="34">
        <f>MOD(14-1,12)+1</f>
        <v>2</v>
      </c>
      <c r="T7" s="34">
        <f>MOD(15-1,12)+1</f>
        <v>3</v>
      </c>
      <c r="U7" s="34">
        <f>MOD(16-1,12)+1</f>
        <v>4</v>
      </c>
      <c r="V7" s="34">
        <f>MOD(17-1,12)+1</f>
        <v>5</v>
      </c>
      <c r="W7" s="34">
        <f>MOD(18-1,12)+1</f>
        <v>6</v>
      </c>
      <c r="X7" s="34">
        <f>MOD(19-1,12)+1</f>
        <v>7</v>
      </c>
      <c r="Y7" s="34">
        <f>MOD(20-1,12)+1</f>
        <v>8</v>
      </c>
      <c r="Z7" s="34">
        <f>MOD(21-1,12)+1</f>
        <v>9</v>
      </c>
      <c r="AA7" s="34">
        <f>MOD(22-1,12)+1</f>
        <v>10</v>
      </c>
      <c r="AB7" s="34">
        <f>MOD(23-1,12)+1</f>
        <v>11</v>
      </c>
      <c r="AC7" s="34">
        <f>MOD(24-1,12)+1</f>
        <v>12</v>
      </c>
      <c r="AD7" s="34">
        <f>MOD(25-1,12)+1</f>
        <v>1</v>
      </c>
      <c r="AE7" s="34">
        <f>MOD(26-1,12)+1</f>
        <v>2</v>
      </c>
      <c r="AF7" s="34">
        <f>MOD(27-1,12)+1</f>
        <v>3</v>
      </c>
      <c r="AG7" s="34">
        <f>MOD(28-1,12)+1</f>
        <v>4</v>
      </c>
      <c r="AH7" s="34">
        <f>MOD(29-1,12)+1</f>
        <v>5</v>
      </c>
      <c r="AI7" s="34">
        <f>MOD(30-1,12)+1</f>
        <v>6</v>
      </c>
      <c r="AJ7" s="34">
        <f>MOD(31-1,12)+1</f>
        <v>7</v>
      </c>
      <c r="AK7" s="34">
        <f>MOD(32-1,12)+1</f>
        <v>8</v>
      </c>
      <c r="AL7" s="34">
        <f>MOD(33-1,12)+1</f>
        <v>9</v>
      </c>
      <c r="AM7" s="34">
        <f>MOD(34-1,12)+1</f>
        <v>10</v>
      </c>
      <c r="AN7" s="34">
        <f>MOD(35-1,12)+1</f>
        <v>11</v>
      </c>
      <c r="AO7" s="34">
        <f>MOD(36-1,12)+1</f>
        <v>12</v>
      </c>
      <c r="AP7" s="34">
        <f>MOD(37-1,12)+1</f>
        <v>1</v>
      </c>
      <c r="AQ7" s="34">
        <f>MOD(38-1,12)+1</f>
        <v>2</v>
      </c>
      <c r="AR7" s="34">
        <f>MOD(39-1,12)+1</f>
        <v>3</v>
      </c>
      <c r="AS7" s="34">
        <f>MOD(40-1,12)+1</f>
        <v>4</v>
      </c>
      <c r="AT7" s="34">
        <f>MOD(41-1,12)+1</f>
        <v>5</v>
      </c>
      <c r="AU7" s="34">
        <f>MOD(42-1,12)+1</f>
        <v>6</v>
      </c>
      <c r="AV7" s="34">
        <f>MOD(43-1,12)+1</f>
        <v>7</v>
      </c>
      <c r="AW7" s="34">
        <f>MOD(44-1,12)+1</f>
        <v>8</v>
      </c>
      <c r="AX7" s="34">
        <f>MOD(45-1,12)+1</f>
        <v>9</v>
      </c>
      <c r="AY7" s="34">
        <f>MOD(46-1,12)+1</f>
        <v>10</v>
      </c>
      <c r="AZ7" s="34">
        <f>MOD(47-1,12)+1</f>
        <v>11</v>
      </c>
      <c r="BA7" s="34">
        <f>MOD(48-1,12)+1</f>
        <v>12</v>
      </c>
      <c r="BB7" s="34">
        <f>MOD(49-1,12)+1</f>
        <v>1</v>
      </c>
      <c r="BC7" s="34">
        <f>MOD(50-1,12)+1</f>
        <v>2</v>
      </c>
      <c r="BD7" s="34">
        <f>MOD(51-1,12)+1</f>
        <v>3</v>
      </c>
      <c r="BE7" s="34">
        <f>MOD(52-1,12)+1</f>
        <v>4</v>
      </c>
      <c r="BF7" s="34">
        <f>MOD(53-1,12)+1</f>
        <v>5</v>
      </c>
      <c r="BG7" s="34">
        <f>MOD(54-1,12)+1</f>
        <v>6</v>
      </c>
      <c r="BH7" s="34">
        <f>MOD(55-1,12)+1</f>
        <v>7</v>
      </c>
      <c r="BI7" s="34">
        <f>MOD(56-1,12)+1</f>
        <v>8</v>
      </c>
      <c r="BJ7" s="34">
        <f>MOD(57-1,12)+1</f>
        <v>9</v>
      </c>
      <c r="BK7" s="34">
        <f>MOD(58-1,12)+1</f>
        <v>10</v>
      </c>
      <c r="BL7" s="34">
        <f>MOD(59-1,12)+1</f>
        <v>11</v>
      </c>
      <c r="BM7" s="34">
        <f>MOD(60-1,12)+1</f>
        <v>12</v>
      </c>
      <c r="BN7" s="34">
        <f>MOD(61-1,12)+1</f>
        <v>1</v>
      </c>
      <c r="BO7" s="34">
        <f>MOD(62-1,12)+1</f>
        <v>2</v>
      </c>
      <c r="BP7" s="34">
        <f>MOD(63-1,12)+1</f>
        <v>3</v>
      </c>
      <c r="BQ7" s="34">
        <f>MOD(64-1,12)+1</f>
        <v>4</v>
      </c>
      <c r="BR7" s="34">
        <f>MOD(65-1,12)+1</f>
        <v>5</v>
      </c>
      <c r="BS7" s="34">
        <f>MOD(66-1,12)+1</f>
        <v>6</v>
      </c>
      <c r="BT7" s="34">
        <f>MOD(67-1,12)+1</f>
        <v>7</v>
      </c>
      <c r="BU7" s="34">
        <f>MOD(68-1,12)+1</f>
        <v>8</v>
      </c>
      <c r="BV7" s="34">
        <f>MOD(69-1,12)+1</f>
        <v>9</v>
      </c>
      <c r="BW7" s="34">
        <f>MOD(70-1,12)+1</f>
        <v>10</v>
      </c>
      <c r="BX7" s="34">
        <f>MOD(71-1,12)+1</f>
        <v>11</v>
      </c>
      <c r="BY7" s="34">
        <f>MOD(72-1,12)+1</f>
        <v>12</v>
      </c>
      <c r="BZ7" s="34">
        <f>MOD(73-1,12)+1</f>
        <v>1</v>
      </c>
      <c r="CA7" s="34">
        <f>MOD(74-1,12)+1</f>
        <v>2</v>
      </c>
      <c r="CB7" s="34">
        <f>MOD(75-1,12)+1</f>
        <v>3</v>
      </c>
      <c r="CC7" s="34">
        <f>MOD(76-1,12)+1</f>
        <v>4</v>
      </c>
      <c r="CD7" s="34">
        <f>MOD(77-1,12)+1</f>
        <v>5</v>
      </c>
      <c r="CE7" s="34">
        <f>MOD(78-1,12)+1</f>
        <v>6</v>
      </c>
      <c r="CF7" s="34">
        <f>MOD(79-1,12)+1</f>
        <v>7</v>
      </c>
      <c r="CG7" s="34">
        <f>MOD(80-1,12)+1</f>
        <v>8</v>
      </c>
      <c r="CH7" s="34">
        <f>MOD(81-1,12)+1</f>
        <v>9</v>
      </c>
      <c r="CI7" s="34">
        <f>MOD(82-1,12)+1</f>
        <v>10</v>
      </c>
      <c r="CJ7" s="34">
        <f>MOD(83-1,12)+1</f>
        <v>11</v>
      </c>
      <c r="CK7" s="34">
        <f>MOD(84-1,12)+1</f>
        <v>12</v>
      </c>
      <c r="CL7" s="34">
        <f>MOD(85-1,12)+1</f>
        <v>1</v>
      </c>
      <c r="CM7" s="34">
        <f>MOD(86-1,12)+1</f>
        <v>2</v>
      </c>
      <c r="CN7" s="34">
        <f>MOD(87-1,12)+1</f>
        <v>3</v>
      </c>
      <c r="CO7" s="34">
        <f>MOD(88-1,12)+1</f>
        <v>4</v>
      </c>
      <c r="CP7" s="34">
        <f>MOD(89-1,12)+1</f>
        <v>5</v>
      </c>
      <c r="CQ7" s="34">
        <f>MOD(90-1,12)+1</f>
        <v>6</v>
      </c>
      <c r="CR7" s="34">
        <f>MOD(91-1,12)+1</f>
        <v>7</v>
      </c>
      <c r="CS7" s="34">
        <f>MOD(92-1,12)+1</f>
        <v>8</v>
      </c>
      <c r="CT7" s="34">
        <f>MOD(93-1,12)+1</f>
        <v>9</v>
      </c>
      <c r="CU7" s="34">
        <f>MOD(94-1,12)+1</f>
        <v>10</v>
      </c>
      <c r="CV7" s="34">
        <f>MOD(95-1,12)+1</f>
        <v>11</v>
      </c>
      <c r="CW7" s="34">
        <f>MOD(96-1,12)+1</f>
        <v>12</v>
      </c>
      <c r="CX7" s="34">
        <f>MOD(97-1,12)+1</f>
        <v>1</v>
      </c>
      <c r="CY7" s="34">
        <f>MOD(98-1,12)+1</f>
        <v>2</v>
      </c>
      <c r="CZ7" s="34">
        <f>MOD(99-1,12)+1</f>
        <v>3</v>
      </c>
      <c r="DA7" s="34">
        <f>MOD(100-1,12)+1</f>
        <v>4</v>
      </c>
      <c r="DB7" s="34">
        <f>MOD(101-1,12)+1</f>
        <v>5</v>
      </c>
      <c r="DC7" s="34">
        <f>MOD(102-1,12)+1</f>
        <v>6</v>
      </c>
      <c r="DD7" s="34">
        <f>MOD(103-1,12)+1</f>
        <v>7</v>
      </c>
      <c r="DE7" s="34">
        <f>MOD(104-1,12)+1</f>
        <v>8</v>
      </c>
      <c r="DF7" s="34">
        <f>MOD(105-1,12)+1</f>
        <v>9</v>
      </c>
      <c r="DG7" s="34">
        <f>MOD(106-1,12)+1</f>
        <v>10</v>
      </c>
      <c r="DH7" s="34">
        <f>MOD(107-1,12)+1</f>
        <v>11</v>
      </c>
      <c r="DI7" s="34">
        <f>MOD(108-1,12)+1</f>
        <v>12</v>
      </c>
      <c r="DJ7" s="34">
        <f>MOD(109-1,12)+1</f>
        <v>1</v>
      </c>
      <c r="DK7" s="34">
        <f>MOD(110-1,12)+1</f>
        <v>2</v>
      </c>
      <c r="DL7" s="34">
        <f>MOD(111-1,12)+1</f>
        <v>3</v>
      </c>
      <c r="DM7" s="34">
        <f>MOD(112-1,12)+1</f>
        <v>4</v>
      </c>
      <c r="DN7" s="34">
        <f>MOD(113-1,12)+1</f>
        <v>5</v>
      </c>
      <c r="DO7" s="34">
        <f>MOD(114-1,12)+1</f>
        <v>6</v>
      </c>
      <c r="DP7" s="34">
        <f>MOD(115-1,12)+1</f>
        <v>7</v>
      </c>
      <c r="DQ7" s="34">
        <f>MOD(116-1,12)+1</f>
        <v>8</v>
      </c>
      <c r="DR7" s="34">
        <f>MOD(117-1,12)+1</f>
        <v>9</v>
      </c>
      <c r="DS7" s="34">
        <f>MOD(118-1,12)+1</f>
        <v>10</v>
      </c>
      <c r="DT7" s="34">
        <f>MOD(119-1,12)+1</f>
        <v>11</v>
      </c>
      <c r="DU7" s="34">
        <f>MOD(120-1,12)+1</f>
        <v>12</v>
      </c>
      <c r="DV7" s="34">
        <f>MOD(121-1,12)+1</f>
        <v>1</v>
      </c>
      <c r="DW7" s="34">
        <f>MOD(122-1,12)+1</f>
        <v>2</v>
      </c>
      <c r="DX7" s="34">
        <f>MOD(123-1,12)+1</f>
        <v>3</v>
      </c>
      <c r="DY7" s="34">
        <f>MOD(124-1,12)+1</f>
        <v>4</v>
      </c>
      <c r="DZ7" s="34">
        <f>MOD(125-1,12)+1</f>
        <v>5</v>
      </c>
      <c r="EA7" s="34">
        <f>MOD(126-1,12)+1</f>
        <v>6</v>
      </c>
      <c r="EB7" s="34">
        <f>MOD(127-1,12)+1</f>
        <v>7</v>
      </c>
      <c r="EC7" s="34">
        <f>MOD(128-1,12)+1</f>
        <v>8</v>
      </c>
      <c r="ED7" s="34">
        <f>MOD(129-1,12)+1</f>
        <v>9</v>
      </c>
      <c r="EE7" s="34">
        <f>MOD(130-1,12)+1</f>
        <v>10</v>
      </c>
      <c r="EF7" s="34">
        <f>MOD(131-1,12)+1</f>
        <v>11</v>
      </c>
      <c r="EG7" s="34">
        <f>MOD(132-1,12)+1</f>
        <v>12</v>
      </c>
      <c r="EH7" s="34">
        <f>MOD(133-1,12)+1</f>
        <v>1</v>
      </c>
      <c r="EI7" s="34">
        <f>MOD(134-1,12)+1</f>
        <v>2</v>
      </c>
      <c r="EJ7" s="34">
        <f>MOD(135-1,12)+1</f>
        <v>3</v>
      </c>
      <c r="EK7" s="34">
        <f>MOD(136-1,12)+1</f>
        <v>4</v>
      </c>
      <c r="EL7" s="34">
        <f>MOD(137-1,12)+1</f>
        <v>5</v>
      </c>
      <c r="EM7" s="34">
        <f>MOD(138-1,12)+1</f>
        <v>6</v>
      </c>
      <c r="EN7" s="34">
        <f>MOD(139-1,12)+1</f>
        <v>7</v>
      </c>
      <c r="EO7" s="34">
        <f>MOD(140-1,12)+1</f>
        <v>8</v>
      </c>
      <c r="EP7" s="34">
        <f>MOD(141-1,12)+1</f>
        <v>9</v>
      </c>
      <c r="EQ7" s="34">
        <f>MOD(142-1,12)+1</f>
        <v>10</v>
      </c>
      <c r="ER7" s="34">
        <f>MOD(143-1,12)+1</f>
        <v>11</v>
      </c>
      <c r="ES7" s="34">
        <f>MOD(144-1,12)+1</f>
        <v>12</v>
      </c>
    </row>
    <row r="8" spans="1:149" x14ac:dyDescent="0.3">
      <c r="A8" s="14" t="s">
        <v>976</v>
      </c>
      <c r="B8" s="23" t="s">
        <v>977</v>
      </c>
      <c r="F8" s="34">
        <f>IF(1&lt;=Corte,1,0)</f>
        <v>0</v>
      </c>
      <c r="G8" s="34">
        <f>IF(2&lt;=Corte,1,0)</f>
        <v>0</v>
      </c>
      <c r="H8" s="34">
        <f>IF(3&lt;=Corte,1,0)</f>
        <v>0</v>
      </c>
      <c r="I8" s="34">
        <f>IF(4&lt;=Corte,1,0)</f>
        <v>0</v>
      </c>
      <c r="J8" s="34">
        <f>IF(5&lt;=Corte,1,0)</f>
        <v>0</v>
      </c>
      <c r="K8" s="34">
        <f>IF(6&lt;=Corte,1,0)</f>
        <v>0</v>
      </c>
      <c r="L8" s="34">
        <f>IF(7&lt;=Corte,1,0)</f>
        <v>0</v>
      </c>
      <c r="M8" s="34">
        <f>IF(8&lt;=Corte,1,0)</f>
        <v>0</v>
      </c>
      <c r="N8" s="34">
        <f>IF(9&lt;=Corte,1,0)</f>
        <v>0</v>
      </c>
      <c r="O8" s="34">
        <f>IF(10&lt;=Corte,1,0)</f>
        <v>0</v>
      </c>
      <c r="P8" s="34">
        <f>IF(11&lt;=Corte,1,0)</f>
        <v>0</v>
      </c>
      <c r="Q8" s="34">
        <f>IF(12&lt;=Corte,1,0)</f>
        <v>0</v>
      </c>
      <c r="R8" s="34">
        <f>IF(13&lt;=Corte,1,0)</f>
        <v>0</v>
      </c>
      <c r="S8" s="34">
        <f>IF(14&lt;=Corte,1,0)</f>
        <v>0</v>
      </c>
      <c r="T8" s="34">
        <f>IF(15&lt;=Corte,1,0)</f>
        <v>0</v>
      </c>
      <c r="U8" s="34">
        <f>IF(16&lt;=Corte,1,0)</f>
        <v>0</v>
      </c>
      <c r="V8" s="34">
        <f>IF(17&lt;=Corte,1,0)</f>
        <v>0</v>
      </c>
      <c r="W8" s="34">
        <f>IF(18&lt;=Corte,1,0)</f>
        <v>0</v>
      </c>
      <c r="X8" s="34">
        <f>IF(19&lt;=Corte,1,0)</f>
        <v>0</v>
      </c>
      <c r="Y8" s="34">
        <f>IF(20&lt;=Corte,1,0)</f>
        <v>0</v>
      </c>
      <c r="Z8" s="34">
        <f>IF(21&lt;=Corte,1,0)</f>
        <v>0</v>
      </c>
      <c r="AA8" s="34">
        <f>IF(22&lt;=Corte,1,0)</f>
        <v>0</v>
      </c>
      <c r="AB8" s="34">
        <f>IF(23&lt;=Corte,1,0)</f>
        <v>0</v>
      </c>
      <c r="AC8" s="34">
        <f>IF(24&lt;=Corte,1,0)</f>
        <v>0</v>
      </c>
      <c r="AD8" s="34">
        <f>IF(25&lt;=Corte,1,0)</f>
        <v>0</v>
      </c>
      <c r="AE8" s="34">
        <f>IF(26&lt;=Corte,1,0)</f>
        <v>0</v>
      </c>
      <c r="AF8" s="34">
        <f>IF(27&lt;=Corte,1,0)</f>
        <v>0</v>
      </c>
      <c r="AG8" s="34">
        <f>IF(28&lt;=Corte,1,0)</f>
        <v>0</v>
      </c>
      <c r="AH8" s="34">
        <f>IF(29&lt;=Corte,1,0)</f>
        <v>0</v>
      </c>
      <c r="AI8" s="34">
        <f>IF(30&lt;=Corte,1,0)</f>
        <v>0</v>
      </c>
      <c r="AJ8" s="34">
        <f>IF(31&lt;=Corte,1,0)</f>
        <v>0</v>
      </c>
      <c r="AK8" s="34">
        <f>IF(32&lt;=Corte,1,0)</f>
        <v>0</v>
      </c>
      <c r="AL8" s="34">
        <f>IF(33&lt;=Corte,1,0)</f>
        <v>0</v>
      </c>
      <c r="AM8" s="34">
        <f>IF(34&lt;=Corte,1,0)</f>
        <v>0</v>
      </c>
      <c r="AN8" s="34">
        <f>IF(35&lt;=Corte,1,0)</f>
        <v>0</v>
      </c>
      <c r="AO8" s="34">
        <f>IF(36&lt;=Corte,1,0)</f>
        <v>0</v>
      </c>
      <c r="AP8" s="34">
        <f>IF(37&lt;=Corte,1,0)</f>
        <v>0</v>
      </c>
      <c r="AQ8" s="34">
        <f>IF(38&lt;=Corte,1,0)</f>
        <v>0</v>
      </c>
      <c r="AR8" s="34">
        <f>IF(39&lt;=Corte,1,0)</f>
        <v>0</v>
      </c>
      <c r="AS8" s="34">
        <f>IF(40&lt;=Corte,1,0)</f>
        <v>0</v>
      </c>
      <c r="AT8" s="34">
        <f>IF(41&lt;=Corte,1,0)</f>
        <v>0</v>
      </c>
      <c r="AU8" s="34">
        <f>IF(42&lt;=Corte,1,0)</f>
        <v>0</v>
      </c>
      <c r="AV8" s="34">
        <f>IF(43&lt;=Corte,1,0)</f>
        <v>0</v>
      </c>
      <c r="AW8" s="34">
        <f>IF(44&lt;=Corte,1,0)</f>
        <v>0</v>
      </c>
      <c r="AX8" s="34">
        <f>IF(45&lt;=Corte,1,0)</f>
        <v>0</v>
      </c>
      <c r="AY8" s="34">
        <f>IF(46&lt;=Corte,1,0)</f>
        <v>0</v>
      </c>
      <c r="AZ8" s="34">
        <f>IF(47&lt;=Corte,1,0)</f>
        <v>0</v>
      </c>
      <c r="BA8" s="34">
        <f>IF(48&lt;=Corte,1,0)</f>
        <v>0</v>
      </c>
      <c r="BB8" s="34">
        <f>IF(49&lt;=Corte,1,0)</f>
        <v>0</v>
      </c>
      <c r="BC8" s="34">
        <f>IF(50&lt;=Corte,1,0)</f>
        <v>0</v>
      </c>
      <c r="BD8" s="34">
        <f>IF(51&lt;=Corte,1,0)</f>
        <v>0</v>
      </c>
      <c r="BE8" s="34">
        <f>IF(52&lt;=Corte,1,0)</f>
        <v>0</v>
      </c>
      <c r="BF8" s="34">
        <f>IF(53&lt;=Corte,1,0)</f>
        <v>0</v>
      </c>
      <c r="BG8" s="34">
        <f>IF(54&lt;=Corte,1,0)</f>
        <v>0</v>
      </c>
      <c r="BH8" s="34">
        <f>IF(55&lt;=Corte,1,0)</f>
        <v>0</v>
      </c>
      <c r="BI8" s="34">
        <f>IF(56&lt;=Corte,1,0)</f>
        <v>0</v>
      </c>
      <c r="BJ8" s="34">
        <f>IF(57&lt;=Corte,1,0)</f>
        <v>0</v>
      </c>
      <c r="BK8" s="34">
        <f>IF(58&lt;=Corte,1,0)</f>
        <v>0</v>
      </c>
      <c r="BL8" s="34">
        <f>IF(59&lt;=Corte,1,0)</f>
        <v>0</v>
      </c>
      <c r="BM8" s="34">
        <f>IF(60&lt;=Corte,1,0)</f>
        <v>0</v>
      </c>
      <c r="BN8" s="34">
        <f>IF(61&lt;=Corte,1,0)</f>
        <v>0</v>
      </c>
      <c r="BO8" s="34">
        <f>IF(62&lt;=Corte,1,0)</f>
        <v>0</v>
      </c>
      <c r="BP8" s="34">
        <f>IF(63&lt;=Corte,1,0)</f>
        <v>0</v>
      </c>
      <c r="BQ8" s="34">
        <f>IF(64&lt;=Corte,1,0)</f>
        <v>0</v>
      </c>
      <c r="BR8" s="34">
        <f>IF(65&lt;=Corte,1,0)</f>
        <v>0</v>
      </c>
      <c r="BS8" s="34">
        <f>IF(66&lt;=Corte,1,0)</f>
        <v>0</v>
      </c>
      <c r="BT8" s="34">
        <f>IF(67&lt;=Corte,1,0)</f>
        <v>0</v>
      </c>
      <c r="BU8" s="34">
        <f>IF(68&lt;=Corte,1,0)</f>
        <v>0</v>
      </c>
      <c r="BV8" s="34">
        <f>IF(69&lt;=Corte,1,0)</f>
        <v>0</v>
      </c>
      <c r="BW8" s="34">
        <f>IF(70&lt;=Corte,1,0)</f>
        <v>0</v>
      </c>
      <c r="BX8" s="34">
        <f>IF(71&lt;=Corte,1,0)</f>
        <v>0</v>
      </c>
      <c r="BY8" s="34">
        <f>IF(72&lt;=Corte,1,0)</f>
        <v>0</v>
      </c>
      <c r="BZ8" s="34">
        <f>IF(73&lt;=Corte,1,0)</f>
        <v>0</v>
      </c>
      <c r="CA8" s="34">
        <f>IF(74&lt;=Corte,1,0)</f>
        <v>0</v>
      </c>
      <c r="CB8" s="34">
        <f>IF(75&lt;=Corte,1,0)</f>
        <v>0</v>
      </c>
      <c r="CC8" s="34">
        <f>IF(76&lt;=Corte,1,0)</f>
        <v>0</v>
      </c>
      <c r="CD8" s="34">
        <f>IF(77&lt;=Corte,1,0)</f>
        <v>0</v>
      </c>
      <c r="CE8" s="34">
        <f>IF(78&lt;=Corte,1,0)</f>
        <v>0</v>
      </c>
      <c r="CF8" s="34">
        <f>IF(79&lt;=Corte,1,0)</f>
        <v>0</v>
      </c>
      <c r="CG8" s="34">
        <f>IF(80&lt;=Corte,1,0)</f>
        <v>0</v>
      </c>
      <c r="CH8" s="34">
        <f>IF(81&lt;=Corte,1,0)</f>
        <v>0</v>
      </c>
      <c r="CI8" s="34">
        <f>IF(82&lt;=Corte,1,0)</f>
        <v>0</v>
      </c>
      <c r="CJ8" s="34">
        <f>IF(83&lt;=Corte,1,0)</f>
        <v>0</v>
      </c>
      <c r="CK8" s="34">
        <f>IF(84&lt;=Corte,1,0)</f>
        <v>0</v>
      </c>
      <c r="CL8" s="34">
        <f>IF(85&lt;=Corte,1,0)</f>
        <v>0</v>
      </c>
      <c r="CM8" s="34">
        <f>IF(86&lt;=Corte,1,0)</f>
        <v>0</v>
      </c>
      <c r="CN8" s="34">
        <f>IF(87&lt;=Corte,1,0)</f>
        <v>0</v>
      </c>
      <c r="CO8" s="34">
        <f>IF(88&lt;=Corte,1,0)</f>
        <v>0</v>
      </c>
      <c r="CP8" s="34">
        <f>IF(89&lt;=Corte,1,0)</f>
        <v>0</v>
      </c>
      <c r="CQ8" s="34">
        <f>IF(90&lt;=Corte,1,0)</f>
        <v>0</v>
      </c>
      <c r="CR8" s="34">
        <f>IF(91&lt;=Corte,1,0)</f>
        <v>0</v>
      </c>
      <c r="CS8" s="34">
        <f>IF(92&lt;=Corte,1,0)</f>
        <v>0</v>
      </c>
      <c r="CT8" s="34">
        <f>IF(93&lt;=Corte,1,0)</f>
        <v>0</v>
      </c>
      <c r="CU8" s="34">
        <f>IF(94&lt;=Corte,1,0)</f>
        <v>0</v>
      </c>
      <c r="CV8" s="34">
        <f>IF(95&lt;=Corte,1,0)</f>
        <v>0</v>
      </c>
      <c r="CW8" s="34">
        <f>IF(96&lt;=Corte,1,0)</f>
        <v>0</v>
      </c>
      <c r="CX8" s="34">
        <f>IF(97&lt;=Corte,1,0)</f>
        <v>0</v>
      </c>
      <c r="CY8" s="34">
        <f>IF(98&lt;=Corte,1,0)</f>
        <v>0</v>
      </c>
      <c r="CZ8" s="34">
        <f>IF(99&lt;=Corte,1,0)</f>
        <v>0</v>
      </c>
      <c r="DA8" s="34">
        <f>IF(100&lt;=Corte,1,0)</f>
        <v>0</v>
      </c>
      <c r="DB8" s="34">
        <f>IF(101&lt;=Corte,1,0)</f>
        <v>0</v>
      </c>
      <c r="DC8" s="34">
        <f>IF(102&lt;=Corte,1,0)</f>
        <v>0</v>
      </c>
      <c r="DD8" s="34">
        <f>IF(103&lt;=Corte,1,0)</f>
        <v>0</v>
      </c>
      <c r="DE8" s="34">
        <f>IF(104&lt;=Corte,1,0)</f>
        <v>0</v>
      </c>
      <c r="DF8" s="34">
        <f>IF(105&lt;=Corte,1,0)</f>
        <v>0</v>
      </c>
      <c r="DG8" s="34">
        <f>IF(106&lt;=Corte,1,0)</f>
        <v>0</v>
      </c>
      <c r="DH8" s="34">
        <f>IF(107&lt;=Corte,1,0)</f>
        <v>0</v>
      </c>
      <c r="DI8" s="34">
        <f>IF(108&lt;=Corte,1,0)</f>
        <v>0</v>
      </c>
      <c r="DJ8" s="34">
        <f>IF(109&lt;=Corte,1,0)</f>
        <v>0</v>
      </c>
      <c r="DK8" s="34">
        <f>IF(110&lt;=Corte,1,0)</f>
        <v>0</v>
      </c>
      <c r="DL8" s="34">
        <f>IF(111&lt;=Corte,1,0)</f>
        <v>0</v>
      </c>
      <c r="DM8" s="34">
        <f>IF(112&lt;=Corte,1,0)</f>
        <v>0</v>
      </c>
      <c r="DN8" s="34">
        <f>IF(113&lt;=Corte,1,0)</f>
        <v>0</v>
      </c>
      <c r="DO8" s="34">
        <f>IF(114&lt;=Corte,1,0)</f>
        <v>0</v>
      </c>
      <c r="DP8" s="34">
        <f>IF(115&lt;=Corte,1,0)</f>
        <v>0</v>
      </c>
      <c r="DQ8" s="34">
        <f>IF(116&lt;=Corte,1,0)</f>
        <v>0</v>
      </c>
      <c r="DR8" s="34">
        <f>IF(117&lt;=Corte,1,0)</f>
        <v>0</v>
      </c>
      <c r="DS8" s="34">
        <f>IF(118&lt;=Corte,1,0)</f>
        <v>0</v>
      </c>
      <c r="DT8" s="34">
        <f>IF(119&lt;=Corte,1,0)</f>
        <v>0</v>
      </c>
      <c r="DU8" s="34">
        <f>IF(120&lt;=Corte,1,0)</f>
        <v>0</v>
      </c>
      <c r="DV8" s="34">
        <f>IF(121&lt;=Corte,1,0)</f>
        <v>0</v>
      </c>
      <c r="DW8" s="34">
        <f>IF(122&lt;=Corte,1,0)</f>
        <v>0</v>
      </c>
      <c r="DX8" s="34">
        <f>IF(123&lt;=Corte,1,0)</f>
        <v>0</v>
      </c>
      <c r="DY8" s="34">
        <f>IF(124&lt;=Corte,1,0)</f>
        <v>0</v>
      </c>
      <c r="DZ8" s="34">
        <f>IF(125&lt;=Corte,1,0)</f>
        <v>0</v>
      </c>
      <c r="EA8" s="34">
        <f>IF(126&lt;=Corte,1,0)</f>
        <v>0</v>
      </c>
      <c r="EB8" s="34">
        <f>IF(127&lt;=Corte,1,0)</f>
        <v>0</v>
      </c>
      <c r="EC8" s="34">
        <f>IF(128&lt;=Corte,1,0)</f>
        <v>0</v>
      </c>
      <c r="ED8" s="34">
        <f>IF(129&lt;=Corte,1,0)</f>
        <v>0</v>
      </c>
      <c r="EE8" s="34">
        <f>IF(130&lt;=Corte,1,0)</f>
        <v>0</v>
      </c>
      <c r="EF8" s="34">
        <f>IF(131&lt;=Corte,1,0)</f>
        <v>0</v>
      </c>
      <c r="EG8" s="34">
        <f>IF(132&lt;=Corte,1,0)</f>
        <v>0</v>
      </c>
      <c r="EH8" s="34">
        <f>IF(133&lt;=Corte,1,0)</f>
        <v>0</v>
      </c>
      <c r="EI8" s="34">
        <f>IF(134&lt;=Corte,1,0)</f>
        <v>0</v>
      </c>
      <c r="EJ8" s="34">
        <f>IF(135&lt;=Corte,1,0)</f>
        <v>0</v>
      </c>
      <c r="EK8" s="34">
        <f>IF(136&lt;=Corte,1,0)</f>
        <v>0</v>
      </c>
      <c r="EL8" s="34">
        <f>IF(137&lt;=Corte,1,0)</f>
        <v>0</v>
      </c>
      <c r="EM8" s="34">
        <f>IF(138&lt;=Corte,1,0)</f>
        <v>0</v>
      </c>
      <c r="EN8" s="34">
        <f>IF(139&lt;=Corte,1,0)</f>
        <v>0</v>
      </c>
      <c r="EO8" s="34">
        <f>IF(140&lt;=Corte,1,0)</f>
        <v>0</v>
      </c>
      <c r="EP8" s="34">
        <f>IF(141&lt;=Corte,1,0)</f>
        <v>0</v>
      </c>
      <c r="EQ8" s="34">
        <f>IF(142&lt;=Corte,1,0)</f>
        <v>0</v>
      </c>
      <c r="ER8" s="34">
        <f>IF(143&lt;=Corte,1,0)</f>
        <v>0</v>
      </c>
      <c r="ES8" s="34">
        <f>IF(144&lt;=Corte,1,0)</f>
        <v>0</v>
      </c>
    </row>
    <row r="9" spans="1:149" x14ac:dyDescent="0.3">
      <c r="A9" s="14" t="s">
        <v>978</v>
      </c>
      <c r="B9" s="23" t="s">
        <v>979</v>
      </c>
      <c r="F9" s="34">
        <f>IF(1&lt;=Fin,1,0)</f>
        <v>1</v>
      </c>
      <c r="G9" s="34">
        <f>IF(2&lt;=Fin,1,0)</f>
        <v>1</v>
      </c>
      <c r="H9" s="34">
        <f>IF(3&lt;=Fin,1,0)</f>
        <v>1</v>
      </c>
      <c r="I9" s="34">
        <f>IF(4&lt;=Fin,1,0)</f>
        <v>1</v>
      </c>
      <c r="J9" s="34">
        <f>IF(5&lt;=Fin,1,0)</f>
        <v>1</v>
      </c>
      <c r="K9" s="34">
        <f>IF(6&lt;=Fin,1,0)</f>
        <v>1</v>
      </c>
      <c r="L9" s="34">
        <f>IF(7&lt;=Fin,1,0)</f>
        <v>1</v>
      </c>
      <c r="M9" s="34">
        <f>IF(8&lt;=Fin,1,0)</f>
        <v>1</v>
      </c>
      <c r="N9" s="34">
        <f>IF(9&lt;=Fin,1,0)</f>
        <v>1</v>
      </c>
      <c r="O9" s="34">
        <f>IF(10&lt;=Fin,1,0)</f>
        <v>1</v>
      </c>
      <c r="P9" s="34">
        <f>IF(11&lt;=Fin,1,0)</f>
        <v>1</v>
      </c>
      <c r="Q9" s="34">
        <f>IF(12&lt;=Fin,1,0)</f>
        <v>1</v>
      </c>
      <c r="R9" s="34">
        <f>IF(13&lt;=Fin,1,0)</f>
        <v>1</v>
      </c>
      <c r="S9" s="34">
        <f>IF(14&lt;=Fin,1,0)</f>
        <v>1</v>
      </c>
      <c r="T9" s="34">
        <f>IF(15&lt;=Fin,1,0)</f>
        <v>1</v>
      </c>
      <c r="U9" s="34">
        <f>IF(16&lt;=Fin,1,0)</f>
        <v>1</v>
      </c>
      <c r="V9" s="34">
        <f>IF(17&lt;=Fin,1,0)</f>
        <v>1</v>
      </c>
      <c r="W9" s="34">
        <f>IF(18&lt;=Fin,1,0)</f>
        <v>1</v>
      </c>
      <c r="X9" s="34">
        <f>IF(19&lt;=Fin,1,0)</f>
        <v>1</v>
      </c>
      <c r="Y9" s="34">
        <f>IF(20&lt;=Fin,1,0)</f>
        <v>1</v>
      </c>
      <c r="Z9" s="34">
        <f>IF(21&lt;=Fin,1,0)</f>
        <v>1</v>
      </c>
      <c r="AA9" s="34">
        <f>IF(22&lt;=Fin,1,0)</f>
        <v>1</v>
      </c>
      <c r="AB9" s="34">
        <f>IF(23&lt;=Fin,1,0)</f>
        <v>1</v>
      </c>
      <c r="AC9" s="34">
        <f>IF(24&lt;=Fin,1,0)</f>
        <v>1</v>
      </c>
      <c r="AD9" s="34">
        <f>IF(25&lt;=Fin,1,0)</f>
        <v>1</v>
      </c>
      <c r="AE9" s="34">
        <f>IF(26&lt;=Fin,1,0)</f>
        <v>1</v>
      </c>
      <c r="AF9" s="34">
        <f>IF(27&lt;=Fin,1,0)</f>
        <v>1</v>
      </c>
      <c r="AG9" s="34">
        <f>IF(28&lt;=Fin,1,0)</f>
        <v>1</v>
      </c>
      <c r="AH9" s="34">
        <f>IF(29&lt;=Fin,1,0)</f>
        <v>1</v>
      </c>
      <c r="AI9" s="34">
        <f>IF(30&lt;=Fin,1,0)</f>
        <v>1</v>
      </c>
      <c r="AJ9" s="34">
        <f>IF(31&lt;=Fin,1,0)</f>
        <v>1</v>
      </c>
      <c r="AK9" s="34">
        <f>IF(32&lt;=Fin,1,0)</f>
        <v>1</v>
      </c>
      <c r="AL9" s="34">
        <f>IF(33&lt;=Fin,1,0)</f>
        <v>1</v>
      </c>
      <c r="AM9" s="34">
        <f>IF(34&lt;=Fin,1,0)</f>
        <v>1</v>
      </c>
      <c r="AN9" s="34">
        <f>IF(35&lt;=Fin,1,0)</f>
        <v>1</v>
      </c>
      <c r="AO9" s="34">
        <f>IF(36&lt;=Fin,1,0)</f>
        <v>1</v>
      </c>
      <c r="AP9" s="34">
        <f>IF(37&lt;=Fin,1,0)</f>
        <v>1</v>
      </c>
      <c r="AQ9" s="34">
        <f>IF(38&lt;=Fin,1,0)</f>
        <v>1</v>
      </c>
      <c r="AR9" s="34">
        <f>IF(39&lt;=Fin,1,0)</f>
        <v>1</v>
      </c>
      <c r="AS9" s="34">
        <f>IF(40&lt;=Fin,1,0)</f>
        <v>1</v>
      </c>
      <c r="AT9" s="34">
        <f>IF(41&lt;=Fin,1,0)</f>
        <v>1</v>
      </c>
      <c r="AU9" s="34">
        <f>IF(42&lt;=Fin,1,0)</f>
        <v>1</v>
      </c>
      <c r="AV9" s="34">
        <f>IF(43&lt;=Fin,1,0)</f>
        <v>1</v>
      </c>
      <c r="AW9" s="34">
        <f>IF(44&lt;=Fin,1,0)</f>
        <v>1</v>
      </c>
      <c r="AX9" s="34">
        <f>IF(45&lt;=Fin,1,0)</f>
        <v>1</v>
      </c>
      <c r="AY9" s="34">
        <f>IF(46&lt;=Fin,1,0)</f>
        <v>1</v>
      </c>
      <c r="AZ9" s="34">
        <f>IF(47&lt;=Fin,1,0)</f>
        <v>1</v>
      </c>
      <c r="BA9" s="34">
        <f>IF(48&lt;=Fin,1,0)</f>
        <v>1</v>
      </c>
      <c r="BB9" s="34">
        <f>IF(49&lt;=Fin,1,0)</f>
        <v>1</v>
      </c>
      <c r="BC9" s="34">
        <f>IF(50&lt;=Fin,1,0)</f>
        <v>1</v>
      </c>
      <c r="BD9" s="34">
        <f>IF(51&lt;=Fin,1,0)</f>
        <v>1</v>
      </c>
      <c r="BE9" s="34">
        <f>IF(52&lt;=Fin,1,0)</f>
        <v>1</v>
      </c>
      <c r="BF9" s="34">
        <f>IF(53&lt;=Fin,1,0)</f>
        <v>1</v>
      </c>
      <c r="BG9" s="34">
        <f>IF(54&lt;=Fin,1,0)</f>
        <v>1</v>
      </c>
      <c r="BH9" s="34">
        <f>IF(55&lt;=Fin,1,0)</f>
        <v>1</v>
      </c>
      <c r="BI9" s="34">
        <f>IF(56&lt;=Fin,1,0)</f>
        <v>1</v>
      </c>
      <c r="BJ9" s="34">
        <f>IF(57&lt;=Fin,1,0)</f>
        <v>1</v>
      </c>
      <c r="BK9" s="34">
        <f>IF(58&lt;=Fin,1,0)</f>
        <v>1</v>
      </c>
      <c r="BL9" s="34">
        <f>IF(59&lt;=Fin,1,0)</f>
        <v>1</v>
      </c>
      <c r="BM9" s="34">
        <f>IF(60&lt;=Fin,1,0)</f>
        <v>1</v>
      </c>
      <c r="BN9" s="34">
        <f>IF(61&lt;=Fin,1,0)</f>
        <v>1</v>
      </c>
      <c r="BO9" s="34">
        <f>IF(62&lt;=Fin,1,0)</f>
        <v>1</v>
      </c>
      <c r="BP9" s="34">
        <f>IF(63&lt;=Fin,1,0)</f>
        <v>1</v>
      </c>
      <c r="BQ9" s="34">
        <f>IF(64&lt;=Fin,1,0)</f>
        <v>1</v>
      </c>
      <c r="BR9" s="34">
        <f>IF(65&lt;=Fin,1,0)</f>
        <v>1</v>
      </c>
      <c r="BS9" s="34">
        <f>IF(66&lt;=Fin,1,0)</f>
        <v>1</v>
      </c>
      <c r="BT9" s="34">
        <f>IF(67&lt;=Fin,1,0)</f>
        <v>1</v>
      </c>
      <c r="BU9" s="34">
        <f>IF(68&lt;=Fin,1,0)</f>
        <v>1</v>
      </c>
      <c r="BV9" s="34">
        <f>IF(69&lt;=Fin,1,0)</f>
        <v>1</v>
      </c>
      <c r="BW9" s="34">
        <f>IF(70&lt;=Fin,1,0)</f>
        <v>1</v>
      </c>
      <c r="BX9" s="34">
        <f>IF(71&lt;=Fin,1,0)</f>
        <v>1</v>
      </c>
      <c r="BY9" s="34">
        <f>IF(72&lt;=Fin,1,0)</f>
        <v>1</v>
      </c>
      <c r="BZ9" s="34">
        <f>IF(73&lt;=Fin,1,0)</f>
        <v>1</v>
      </c>
      <c r="CA9" s="34">
        <f>IF(74&lt;=Fin,1,0)</f>
        <v>1</v>
      </c>
      <c r="CB9" s="34">
        <f>IF(75&lt;=Fin,1,0)</f>
        <v>1</v>
      </c>
      <c r="CC9" s="34">
        <f>IF(76&lt;=Fin,1,0)</f>
        <v>1</v>
      </c>
      <c r="CD9" s="34">
        <f>IF(77&lt;=Fin,1,0)</f>
        <v>1</v>
      </c>
      <c r="CE9" s="34">
        <f>IF(78&lt;=Fin,1,0)</f>
        <v>1</v>
      </c>
      <c r="CF9" s="34">
        <f>IF(79&lt;=Fin,1,0)</f>
        <v>1</v>
      </c>
      <c r="CG9" s="34">
        <f>IF(80&lt;=Fin,1,0)</f>
        <v>1</v>
      </c>
      <c r="CH9" s="34">
        <f>IF(81&lt;=Fin,1,0)</f>
        <v>1</v>
      </c>
      <c r="CI9" s="34">
        <f>IF(82&lt;=Fin,1,0)</f>
        <v>1</v>
      </c>
      <c r="CJ9" s="34">
        <f>IF(83&lt;=Fin,1,0)</f>
        <v>1</v>
      </c>
      <c r="CK9" s="34">
        <f>IF(84&lt;=Fin,1,0)</f>
        <v>1</v>
      </c>
      <c r="CL9" s="34">
        <f>IF(85&lt;=Fin,1,0)</f>
        <v>1</v>
      </c>
      <c r="CM9" s="34">
        <f>IF(86&lt;=Fin,1,0)</f>
        <v>1</v>
      </c>
      <c r="CN9" s="34">
        <f>IF(87&lt;=Fin,1,0)</f>
        <v>1</v>
      </c>
      <c r="CO9" s="34">
        <f>IF(88&lt;=Fin,1,0)</f>
        <v>1</v>
      </c>
      <c r="CP9" s="34">
        <f>IF(89&lt;=Fin,1,0)</f>
        <v>1</v>
      </c>
      <c r="CQ9" s="34">
        <f>IF(90&lt;=Fin,1,0)</f>
        <v>1</v>
      </c>
      <c r="CR9" s="34">
        <f>IF(91&lt;=Fin,1,0)</f>
        <v>1</v>
      </c>
      <c r="CS9" s="34">
        <f>IF(92&lt;=Fin,1,0)</f>
        <v>1</v>
      </c>
      <c r="CT9" s="34">
        <f>IF(93&lt;=Fin,1,0)</f>
        <v>1</v>
      </c>
      <c r="CU9" s="34">
        <f>IF(94&lt;=Fin,1,0)</f>
        <v>1</v>
      </c>
      <c r="CV9" s="34">
        <f>IF(95&lt;=Fin,1,0)</f>
        <v>1</v>
      </c>
      <c r="CW9" s="34">
        <f>IF(96&lt;=Fin,1,0)</f>
        <v>1</v>
      </c>
      <c r="CX9" s="34">
        <f>IF(97&lt;=Fin,1,0)</f>
        <v>1</v>
      </c>
      <c r="CY9" s="34">
        <f>IF(98&lt;=Fin,1,0)</f>
        <v>1</v>
      </c>
      <c r="CZ9" s="34">
        <f>IF(99&lt;=Fin,1,0)</f>
        <v>1</v>
      </c>
      <c r="DA9" s="34">
        <f>IF(100&lt;=Fin,1,0)</f>
        <v>1</v>
      </c>
      <c r="DB9" s="34">
        <f>IF(101&lt;=Fin,1,0)</f>
        <v>1</v>
      </c>
      <c r="DC9" s="34">
        <f>IF(102&lt;=Fin,1,0)</f>
        <v>1</v>
      </c>
      <c r="DD9" s="34">
        <f>IF(103&lt;=Fin,1,0)</f>
        <v>1</v>
      </c>
      <c r="DE9" s="34">
        <f>IF(104&lt;=Fin,1,0)</f>
        <v>1</v>
      </c>
      <c r="DF9" s="34">
        <f>IF(105&lt;=Fin,1,0)</f>
        <v>1</v>
      </c>
      <c r="DG9" s="34">
        <f>IF(106&lt;=Fin,1,0)</f>
        <v>1</v>
      </c>
      <c r="DH9" s="34">
        <f>IF(107&lt;=Fin,1,0)</f>
        <v>1</v>
      </c>
      <c r="DI9" s="34">
        <f>IF(108&lt;=Fin,1,0)</f>
        <v>1</v>
      </c>
      <c r="DJ9" s="34">
        <f>IF(109&lt;=Fin,1,0)</f>
        <v>1</v>
      </c>
      <c r="DK9" s="34">
        <f>IF(110&lt;=Fin,1,0)</f>
        <v>1</v>
      </c>
      <c r="DL9" s="34">
        <f>IF(111&lt;=Fin,1,0)</f>
        <v>1</v>
      </c>
      <c r="DM9" s="34">
        <f>IF(112&lt;=Fin,1,0)</f>
        <v>1</v>
      </c>
      <c r="DN9" s="34">
        <f>IF(113&lt;=Fin,1,0)</f>
        <v>1</v>
      </c>
      <c r="DO9" s="34">
        <f>IF(114&lt;=Fin,1,0)</f>
        <v>1</v>
      </c>
      <c r="DP9" s="34">
        <f>IF(115&lt;=Fin,1,0)</f>
        <v>1</v>
      </c>
      <c r="DQ9" s="34">
        <f>IF(116&lt;=Fin,1,0)</f>
        <v>1</v>
      </c>
      <c r="DR9" s="34">
        <f>IF(117&lt;=Fin,1,0)</f>
        <v>1</v>
      </c>
      <c r="DS9" s="34">
        <f>IF(118&lt;=Fin,1,0)</f>
        <v>1</v>
      </c>
      <c r="DT9" s="34">
        <f>IF(119&lt;=Fin,1,0)</f>
        <v>1</v>
      </c>
      <c r="DU9" s="34">
        <f>IF(120&lt;=Fin,1,0)</f>
        <v>1</v>
      </c>
      <c r="DV9" s="34">
        <f>IF(121&lt;=Fin,1,0)</f>
        <v>0</v>
      </c>
      <c r="DW9" s="34">
        <f>IF(122&lt;=Fin,1,0)</f>
        <v>0</v>
      </c>
      <c r="DX9" s="34">
        <f>IF(123&lt;=Fin,1,0)</f>
        <v>0</v>
      </c>
      <c r="DY9" s="34">
        <f>IF(124&lt;=Fin,1,0)</f>
        <v>0</v>
      </c>
      <c r="DZ9" s="34">
        <f>IF(125&lt;=Fin,1,0)</f>
        <v>0</v>
      </c>
      <c r="EA9" s="34">
        <f>IF(126&lt;=Fin,1,0)</f>
        <v>0</v>
      </c>
      <c r="EB9" s="34">
        <f>IF(127&lt;=Fin,1,0)</f>
        <v>0</v>
      </c>
      <c r="EC9" s="34">
        <f>IF(128&lt;=Fin,1,0)</f>
        <v>0</v>
      </c>
      <c r="ED9" s="34">
        <f>IF(129&lt;=Fin,1,0)</f>
        <v>0</v>
      </c>
      <c r="EE9" s="34">
        <f>IF(130&lt;=Fin,1,0)</f>
        <v>0</v>
      </c>
      <c r="EF9" s="34">
        <f>IF(131&lt;=Fin,1,0)</f>
        <v>0</v>
      </c>
      <c r="EG9" s="34">
        <f>IF(132&lt;=Fin,1,0)</f>
        <v>0</v>
      </c>
      <c r="EH9" s="34">
        <f>IF(133&lt;=Fin,1,0)</f>
        <v>0</v>
      </c>
      <c r="EI9" s="34">
        <f>IF(134&lt;=Fin,1,0)</f>
        <v>0</v>
      </c>
      <c r="EJ9" s="34">
        <f>IF(135&lt;=Fin,1,0)</f>
        <v>0</v>
      </c>
      <c r="EK9" s="34">
        <f>IF(136&lt;=Fin,1,0)</f>
        <v>0</v>
      </c>
      <c r="EL9" s="34">
        <f>IF(137&lt;=Fin,1,0)</f>
        <v>0</v>
      </c>
      <c r="EM9" s="34">
        <f>IF(138&lt;=Fin,1,0)</f>
        <v>0</v>
      </c>
      <c r="EN9" s="34">
        <f>IF(139&lt;=Fin,1,0)</f>
        <v>0</v>
      </c>
      <c r="EO9" s="34">
        <f>IF(140&lt;=Fin,1,0)</f>
        <v>0</v>
      </c>
      <c r="EP9" s="34">
        <f>IF(141&lt;=Fin,1,0)</f>
        <v>0</v>
      </c>
      <c r="EQ9" s="34">
        <f>IF(142&lt;=Fin,1,0)</f>
        <v>0</v>
      </c>
      <c r="ER9" s="34">
        <f>IF(143&lt;=Fin,1,0)</f>
        <v>0</v>
      </c>
      <c r="ES9" s="34">
        <f>IF(144&lt;=Fin,1,0)</f>
        <v>0</v>
      </c>
    </row>
    <row r="10" spans="1:149" x14ac:dyDescent="0.3">
      <c r="A10" s="14" t="s">
        <v>980</v>
      </c>
      <c r="B10" s="23" t="s">
        <v>981</v>
      </c>
      <c r="F10" s="48">
        <f>IF(N(Reales!F10)&gt;0,Reales!F10,INDEX(TC_V,1,MIN(10,F$6)))</f>
        <v>7300</v>
      </c>
      <c r="G10" s="48">
        <f>IF(N(Reales!G10)&gt;0,Reales!G10,INDEX(TC_V,1,MIN(10,G$6)))</f>
        <v>7300</v>
      </c>
      <c r="H10" s="48">
        <f>IF(N(Reales!H10)&gt;0,Reales!H10,INDEX(TC_V,1,MIN(10,H$6)))</f>
        <v>7300</v>
      </c>
      <c r="I10" s="48">
        <f>IF(N(Reales!I10)&gt;0,Reales!I10,INDEX(TC_V,1,MIN(10,I$6)))</f>
        <v>7300</v>
      </c>
      <c r="J10" s="48">
        <f>IF(N(Reales!J10)&gt;0,Reales!J10,INDEX(TC_V,1,MIN(10,J$6)))</f>
        <v>7300</v>
      </c>
      <c r="K10" s="48">
        <f>IF(N(Reales!K10)&gt;0,Reales!K10,INDEX(TC_V,1,MIN(10,K$6)))</f>
        <v>7300</v>
      </c>
      <c r="L10" s="48">
        <f>IF(N(Reales!L10)&gt;0,Reales!L10,INDEX(TC_V,1,MIN(10,L$6)))</f>
        <v>7300</v>
      </c>
      <c r="M10" s="48">
        <f>IF(N(Reales!M10)&gt;0,Reales!M10,INDEX(TC_V,1,MIN(10,M$6)))</f>
        <v>7300</v>
      </c>
      <c r="N10" s="48">
        <f>IF(N(Reales!N10)&gt;0,Reales!N10,INDEX(TC_V,1,MIN(10,N$6)))</f>
        <v>7300</v>
      </c>
      <c r="O10" s="48">
        <f>IF(N(Reales!O10)&gt;0,Reales!O10,INDEX(TC_V,1,MIN(10,O$6)))</f>
        <v>7300</v>
      </c>
      <c r="P10" s="48">
        <f>IF(N(Reales!P10)&gt;0,Reales!P10,INDEX(TC_V,1,MIN(10,P$6)))</f>
        <v>7300</v>
      </c>
      <c r="Q10" s="48">
        <f>IF(N(Reales!Q10)&gt;0,Reales!Q10,INDEX(TC_V,1,MIN(10,Q$6)))</f>
        <v>7300</v>
      </c>
      <c r="R10" s="48">
        <f>IF(N(Reales!R10)&gt;0,Reales!R10,INDEX(TC_V,1,MIN(10,R$6)))</f>
        <v>7300</v>
      </c>
      <c r="S10" s="48">
        <f>IF(N(Reales!S10)&gt;0,Reales!S10,INDEX(TC_V,1,MIN(10,S$6)))</f>
        <v>7300</v>
      </c>
      <c r="T10" s="48">
        <f>IF(N(Reales!T10)&gt;0,Reales!T10,INDEX(TC_V,1,MIN(10,T$6)))</f>
        <v>7300</v>
      </c>
      <c r="U10" s="48">
        <f>IF(N(Reales!U10)&gt;0,Reales!U10,INDEX(TC_V,1,MIN(10,U$6)))</f>
        <v>7300</v>
      </c>
      <c r="V10" s="48">
        <f>IF(N(Reales!V10)&gt;0,Reales!V10,INDEX(TC_V,1,MIN(10,V$6)))</f>
        <v>7300</v>
      </c>
      <c r="W10" s="48">
        <f>IF(N(Reales!W10)&gt;0,Reales!W10,INDEX(TC_V,1,MIN(10,W$6)))</f>
        <v>7300</v>
      </c>
      <c r="X10" s="48">
        <f>IF(N(Reales!X10)&gt;0,Reales!X10,INDEX(TC_V,1,MIN(10,X$6)))</f>
        <v>7300</v>
      </c>
      <c r="Y10" s="48">
        <f>IF(N(Reales!Y10)&gt;0,Reales!Y10,INDEX(TC_V,1,MIN(10,Y$6)))</f>
        <v>7300</v>
      </c>
      <c r="Z10" s="48">
        <f>IF(N(Reales!Z10)&gt;0,Reales!Z10,INDEX(TC_V,1,MIN(10,Z$6)))</f>
        <v>7300</v>
      </c>
      <c r="AA10" s="48">
        <f>IF(N(Reales!AA10)&gt;0,Reales!AA10,INDEX(TC_V,1,MIN(10,AA$6)))</f>
        <v>7300</v>
      </c>
      <c r="AB10" s="48">
        <f>IF(N(Reales!AB10)&gt;0,Reales!AB10,INDEX(TC_V,1,MIN(10,AB$6)))</f>
        <v>7300</v>
      </c>
      <c r="AC10" s="48">
        <f>IF(N(Reales!AC10)&gt;0,Reales!AC10,INDEX(TC_V,1,MIN(10,AC$6)))</f>
        <v>7300</v>
      </c>
      <c r="AD10" s="48">
        <f>IF(N(Reales!AD10)&gt;0,Reales!AD10,INDEX(TC_V,1,MIN(10,AD$6)))</f>
        <v>7300</v>
      </c>
      <c r="AE10" s="48">
        <f>IF(N(Reales!AE10)&gt;0,Reales!AE10,INDEX(TC_V,1,MIN(10,AE$6)))</f>
        <v>7300</v>
      </c>
      <c r="AF10" s="48">
        <f>IF(N(Reales!AF10)&gt;0,Reales!AF10,INDEX(TC_V,1,MIN(10,AF$6)))</f>
        <v>7300</v>
      </c>
      <c r="AG10" s="48">
        <f>IF(N(Reales!AG10)&gt;0,Reales!AG10,INDEX(TC_V,1,MIN(10,AG$6)))</f>
        <v>7300</v>
      </c>
      <c r="AH10" s="48">
        <f>IF(N(Reales!AH10)&gt;0,Reales!AH10,INDEX(TC_V,1,MIN(10,AH$6)))</f>
        <v>7300</v>
      </c>
      <c r="AI10" s="48">
        <f>IF(N(Reales!AI10)&gt;0,Reales!AI10,INDEX(TC_V,1,MIN(10,AI$6)))</f>
        <v>7300</v>
      </c>
      <c r="AJ10" s="48">
        <f>IF(N(Reales!AJ10)&gt;0,Reales!AJ10,INDEX(TC_V,1,MIN(10,AJ$6)))</f>
        <v>7300</v>
      </c>
      <c r="AK10" s="48">
        <f>IF(N(Reales!AK10)&gt;0,Reales!AK10,INDEX(TC_V,1,MIN(10,AK$6)))</f>
        <v>7300</v>
      </c>
      <c r="AL10" s="48">
        <f>IF(N(Reales!AL10)&gt;0,Reales!AL10,INDEX(TC_V,1,MIN(10,AL$6)))</f>
        <v>7300</v>
      </c>
      <c r="AM10" s="48">
        <f>IF(N(Reales!AM10)&gt;0,Reales!AM10,INDEX(TC_V,1,MIN(10,AM$6)))</f>
        <v>7300</v>
      </c>
      <c r="AN10" s="48">
        <f>IF(N(Reales!AN10)&gt;0,Reales!AN10,INDEX(TC_V,1,MIN(10,AN$6)))</f>
        <v>7300</v>
      </c>
      <c r="AO10" s="48">
        <f>IF(N(Reales!AO10)&gt;0,Reales!AO10,INDEX(TC_V,1,MIN(10,AO$6)))</f>
        <v>7300</v>
      </c>
      <c r="AP10" s="48">
        <f>IF(N(Reales!AP10)&gt;0,Reales!AP10,INDEX(TC_V,1,MIN(10,AP$6)))</f>
        <v>7300</v>
      </c>
      <c r="AQ10" s="48">
        <f>IF(N(Reales!AQ10)&gt;0,Reales!AQ10,INDEX(TC_V,1,MIN(10,AQ$6)))</f>
        <v>7300</v>
      </c>
      <c r="AR10" s="48">
        <f>IF(N(Reales!AR10)&gt;0,Reales!AR10,INDEX(TC_V,1,MIN(10,AR$6)))</f>
        <v>7300</v>
      </c>
      <c r="AS10" s="48">
        <f>IF(N(Reales!AS10)&gt;0,Reales!AS10,INDEX(TC_V,1,MIN(10,AS$6)))</f>
        <v>7300</v>
      </c>
      <c r="AT10" s="48">
        <f>IF(N(Reales!AT10)&gt;0,Reales!AT10,INDEX(TC_V,1,MIN(10,AT$6)))</f>
        <v>7300</v>
      </c>
      <c r="AU10" s="48">
        <f>IF(N(Reales!AU10)&gt;0,Reales!AU10,INDEX(TC_V,1,MIN(10,AU$6)))</f>
        <v>7300</v>
      </c>
      <c r="AV10" s="48">
        <f>IF(N(Reales!AV10)&gt;0,Reales!AV10,INDEX(TC_V,1,MIN(10,AV$6)))</f>
        <v>7300</v>
      </c>
      <c r="AW10" s="48">
        <f>IF(N(Reales!AW10)&gt;0,Reales!AW10,INDEX(TC_V,1,MIN(10,AW$6)))</f>
        <v>7300</v>
      </c>
      <c r="AX10" s="48">
        <f>IF(N(Reales!AX10)&gt;0,Reales!AX10,INDEX(TC_V,1,MIN(10,AX$6)))</f>
        <v>7300</v>
      </c>
      <c r="AY10" s="48">
        <f>IF(N(Reales!AY10)&gt;0,Reales!AY10,INDEX(TC_V,1,MIN(10,AY$6)))</f>
        <v>7300</v>
      </c>
      <c r="AZ10" s="48">
        <f>IF(N(Reales!AZ10)&gt;0,Reales!AZ10,INDEX(TC_V,1,MIN(10,AZ$6)))</f>
        <v>7300</v>
      </c>
      <c r="BA10" s="48">
        <f>IF(N(Reales!BA10)&gt;0,Reales!BA10,INDEX(TC_V,1,MIN(10,BA$6)))</f>
        <v>7300</v>
      </c>
      <c r="BB10" s="48">
        <f>IF(N(Reales!BB10)&gt;0,Reales!BB10,INDEX(TC_V,1,MIN(10,BB$6)))</f>
        <v>7300</v>
      </c>
      <c r="BC10" s="48">
        <f>IF(N(Reales!BC10)&gt;0,Reales!BC10,INDEX(TC_V,1,MIN(10,BC$6)))</f>
        <v>7300</v>
      </c>
      <c r="BD10" s="48">
        <f>IF(N(Reales!BD10)&gt;0,Reales!BD10,INDEX(TC_V,1,MIN(10,BD$6)))</f>
        <v>7300</v>
      </c>
      <c r="BE10" s="48">
        <f>IF(N(Reales!BE10)&gt;0,Reales!BE10,INDEX(TC_V,1,MIN(10,BE$6)))</f>
        <v>7300</v>
      </c>
      <c r="BF10" s="48">
        <f>IF(N(Reales!BF10)&gt;0,Reales!BF10,INDEX(TC_V,1,MIN(10,BF$6)))</f>
        <v>7300</v>
      </c>
      <c r="BG10" s="48">
        <f>IF(N(Reales!BG10)&gt;0,Reales!BG10,INDEX(TC_V,1,MIN(10,BG$6)))</f>
        <v>7300</v>
      </c>
      <c r="BH10" s="48">
        <f>IF(N(Reales!BH10)&gt;0,Reales!BH10,INDEX(TC_V,1,MIN(10,BH$6)))</f>
        <v>7300</v>
      </c>
      <c r="BI10" s="48">
        <f>IF(N(Reales!BI10)&gt;0,Reales!BI10,INDEX(TC_V,1,MIN(10,BI$6)))</f>
        <v>7300</v>
      </c>
      <c r="BJ10" s="48">
        <f>IF(N(Reales!BJ10)&gt;0,Reales!BJ10,INDEX(TC_V,1,MIN(10,BJ$6)))</f>
        <v>7300</v>
      </c>
      <c r="BK10" s="48">
        <f>IF(N(Reales!BK10)&gt;0,Reales!BK10,INDEX(TC_V,1,MIN(10,BK$6)))</f>
        <v>7300</v>
      </c>
      <c r="BL10" s="48">
        <f>IF(N(Reales!BL10)&gt;0,Reales!BL10,INDEX(TC_V,1,MIN(10,BL$6)))</f>
        <v>7300</v>
      </c>
      <c r="BM10" s="48">
        <f>IF(N(Reales!BM10)&gt;0,Reales!BM10,INDEX(TC_V,1,MIN(10,BM$6)))</f>
        <v>7300</v>
      </c>
      <c r="BN10" s="48">
        <f>IF(N(Reales!BN10)&gt;0,Reales!BN10,INDEX(TC_V,1,MIN(10,BN$6)))</f>
        <v>7300</v>
      </c>
      <c r="BO10" s="48">
        <f>IF(N(Reales!BO10)&gt;0,Reales!BO10,INDEX(TC_V,1,MIN(10,BO$6)))</f>
        <v>7300</v>
      </c>
      <c r="BP10" s="48">
        <f>IF(N(Reales!BP10)&gt;0,Reales!BP10,INDEX(TC_V,1,MIN(10,BP$6)))</f>
        <v>7300</v>
      </c>
      <c r="BQ10" s="48">
        <f>IF(N(Reales!BQ10)&gt;0,Reales!BQ10,INDEX(TC_V,1,MIN(10,BQ$6)))</f>
        <v>7300</v>
      </c>
      <c r="BR10" s="48">
        <f>IF(N(Reales!BR10)&gt;0,Reales!BR10,INDEX(TC_V,1,MIN(10,BR$6)))</f>
        <v>7300</v>
      </c>
      <c r="BS10" s="48">
        <f>IF(N(Reales!BS10)&gt;0,Reales!BS10,INDEX(TC_V,1,MIN(10,BS$6)))</f>
        <v>7300</v>
      </c>
      <c r="BT10" s="48">
        <f>IF(N(Reales!BT10)&gt;0,Reales!BT10,INDEX(TC_V,1,MIN(10,BT$6)))</f>
        <v>7300</v>
      </c>
      <c r="BU10" s="48">
        <f>IF(N(Reales!BU10)&gt;0,Reales!BU10,INDEX(TC_V,1,MIN(10,BU$6)))</f>
        <v>7300</v>
      </c>
      <c r="BV10" s="48">
        <f>IF(N(Reales!BV10)&gt;0,Reales!BV10,INDEX(TC_V,1,MIN(10,BV$6)))</f>
        <v>7300</v>
      </c>
      <c r="BW10" s="48">
        <f>IF(N(Reales!BW10)&gt;0,Reales!BW10,INDEX(TC_V,1,MIN(10,BW$6)))</f>
        <v>7300</v>
      </c>
      <c r="BX10" s="48">
        <f>IF(N(Reales!BX10)&gt;0,Reales!BX10,INDEX(TC_V,1,MIN(10,BX$6)))</f>
        <v>7300</v>
      </c>
      <c r="BY10" s="48">
        <f>IF(N(Reales!BY10)&gt;0,Reales!BY10,INDEX(TC_V,1,MIN(10,BY$6)))</f>
        <v>7300</v>
      </c>
      <c r="BZ10" s="48">
        <f>IF(N(Reales!BZ10)&gt;0,Reales!BZ10,INDEX(TC_V,1,MIN(10,BZ$6)))</f>
        <v>7300</v>
      </c>
      <c r="CA10" s="48">
        <f>IF(N(Reales!CA10)&gt;0,Reales!CA10,INDEX(TC_V,1,MIN(10,CA$6)))</f>
        <v>7300</v>
      </c>
      <c r="CB10" s="48">
        <f>IF(N(Reales!CB10)&gt;0,Reales!CB10,INDEX(TC_V,1,MIN(10,CB$6)))</f>
        <v>7300</v>
      </c>
      <c r="CC10" s="48">
        <f>IF(N(Reales!CC10)&gt;0,Reales!CC10,INDEX(TC_V,1,MIN(10,CC$6)))</f>
        <v>7300</v>
      </c>
      <c r="CD10" s="48">
        <f>IF(N(Reales!CD10)&gt;0,Reales!CD10,INDEX(TC_V,1,MIN(10,CD$6)))</f>
        <v>7300</v>
      </c>
      <c r="CE10" s="48">
        <f>IF(N(Reales!CE10)&gt;0,Reales!CE10,INDEX(TC_V,1,MIN(10,CE$6)))</f>
        <v>7300</v>
      </c>
      <c r="CF10" s="48">
        <f>IF(N(Reales!CF10)&gt;0,Reales!CF10,INDEX(TC_V,1,MIN(10,CF$6)))</f>
        <v>7300</v>
      </c>
      <c r="CG10" s="48">
        <f>IF(N(Reales!CG10)&gt;0,Reales!CG10,INDEX(TC_V,1,MIN(10,CG$6)))</f>
        <v>7300</v>
      </c>
      <c r="CH10" s="48">
        <f>IF(N(Reales!CH10)&gt;0,Reales!CH10,INDEX(TC_V,1,MIN(10,CH$6)))</f>
        <v>7300</v>
      </c>
      <c r="CI10" s="48">
        <f>IF(N(Reales!CI10)&gt;0,Reales!CI10,INDEX(TC_V,1,MIN(10,CI$6)))</f>
        <v>7300</v>
      </c>
      <c r="CJ10" s="48">
        <f>IF(N(Reales!CJ10)&gt;0,Reales!CJ10,INDEX(TC_V,1,MIN(10,CJ$6)))</f>
        <v>7300</v>
      </c>
      <c r="CK10" s="48">
        <f>IF(N(Reales!CK10)&gt;0,Reales!CK10,INDEX(TC_V,1,MIN(10,CK$6)))</f>
        <v>7300</v>
      </c>
      <c r="CL10" s="48">
        <f>IF(N(Reales!CL10)&gt;0,Reales!CL10,INDEX(TC_V,1,MIN(10,CL$6)))</f>
        <v>7300</v>
      </c>
      <c r="CM10" s="48">
        <f>IF(N(Reales!CM10)&gt;0,Reales!CM10,INDEX(TC_V,1,MIN(10,CM$6)))</f>
        <v>7300</v>
      </c>
      <c r="CN10" s="48">
        <f>IF(N(Reales!CN10)&gt;0,Reales!CN10,INDEX(TC_V,1,MIN(10,CN$6)))</f>
        <v>7300</v>
      </c>
      <c r="CO10" s="48">
        <f>IF(N(Reales!CO10)&gt;0,Reales!CO10,INDEX(TC_V,1,MIN(10,CO$6)))</f>
        <v>7300</v>
      </c>
      <c r="CP10" s="48">
        <f>IF(N(Reales!CP10)&gt;0,Reales!CP10,INDEX(TC_V,1,MIN(10,CP$6)))</f>
        <v>7300</v>
      </c>
      <c r="CQ10" s="48">
        <f>IF(N(Reales!CQ10)&gt;0,Reales!CQ10,INDEX(TC_V,1,MIN(10,CQ$6)))</f>
        <v>7300</v>
      </c>
      <c r="CR10" s="48">
        <f>IF(N(Reales!CR10)&gt;0,Reales!CR10,INDEX(TC_V,1,MIN(10,CR$6)))</f>
        <v>7300</v>
      </c>
      <c r="CS10" s="48">
        <f>IF(N(Reales!CS10)&gt;0,Reales!CS10,INDEX(TC_V,1,MIN(10,CS$6)))</f>
        <v>7300</v>
      </c>
      <c r="CT10" s="48">
        <f>IF(N(Reales!CT10)&gt;0,Reales!CT10,INDEX(TC_V,1,MIN(10,CT$6)))</f>
        <v>7300</v>
      </c>
      <c r="CU10" s="48">
        <f>IF(N(Reales!CU10)&gt;0,Reales!CU10,INDEX(TC_V,1,MIN(10,CU$6)))</f>
        <v>7300</v>
      </c>
      <c r="CV10" s="48">
        <f>IF(N(Reales!CV10)&gt;0,Reales!CV10,INDEX(TC_V,1,MIN(10,CV$6)))</f>
        <v>7300</v>
      </c>
      <c r="CW10" s="48">
        <f>IF(N(Reales!CW10)&gt;0,Reales!CW10,INDEX(TC_V,1,MIN(10,CW$6)))</f>
        <v>7300</v>
      </c>
      <c r="CX10" s="48">
        <f>IF(N(Reales!CX10)&gt;0,Reales!CX10,INDEX(TC_V,1,MIN(10,CX$6)))</f>
        <v>7300</v>
      </c>
      <c r="CY10" s="48">
        <f>IF(N(Reales!CY10)&gt;0,Reales!CY10,INDEX(TC_V,1,MIN(10,CY$6)))</f>
        <v>7300</v>
      </c>
      <c r="CZ10" s="48">
        <f>IF(N(Reales!CZ10)&gt;0,Reales!CZ10,INDEX(TC_V,1,MIN(10,CZ$6)))</f>
        <v>7300</v>
      </c>
      <c r="DA10" s="48">
        <f>IF(N(Reales!DA10)&gt;0,Reales!DA10,INDEX(TC_V,1,MIN(10,DA$6)))</f>
        <v>7300</v>
      </c>
      <c r="DB10" s="48">
        <f>IF(N(Reales!DB10)&gt;0,Reales!DB10,INDEX(TC_V,1,MIN(10,DB$6)))</f>
        <v>7300</v>
      </c>
      <c r="DC10" s="48">
        <f>IF(N(Reales!DC10)&gt;0,Reales!DC10,INDEX(TC_V,1,MIN(10,DC$6)))</f>
        <v>7300</v>
      </c>
      <c r="DD10" s="48">
        <f>IF(N(Reales!DD10)&gt;0,Reales!DD10,INDEX(TC_V,1,MIN(10,DD$6)))</f>
        <v>7300</v>
      </c>
      <c r="DE10" s="48">
        <f>IF(N(Reales!DE10)&gt;0,Reales!DE10,INDEX(TC_V,1,MIN(10,DE$6)))</f>
        <v>7300</v>
      </c>
      <c r="DF10" s="48">
        <f>IF(N(Reales!DF10)&gt;0,Reales!DF10,INDEX(TC_V,1,MIN(10,DF$6)))</f>
        <v>7300</v>
      </c>
      <c r="DG10" s="48">
        <f>IF(N(Reales!DG10)&gt;0,Reales!DG10,INDEX(TC_V,1,MIN(10,DG$6)))</f>
        <v>7300</v>
      </c>
      <c r="DH10" s="48">
        <f>IF(N(Reales!DH10)&gt;0,Reales!DH10,INDEX(TC_V,1,MIN(10,DH$6)))</f>
        <v>7300</v>
      </c>
      <c r="DI10" s="48">
        <f>IF(N(Reales!DI10)&gt;0,Reales!DI10,INDEX(TC_V,1,MIN(10,DI$6)))</f>
        <v>7300</v>
      </c>
      <c r="DJ10" s="48">
        <f>IF(N(Reales!DJ10)&gt;0,Reales!DJ10,INDEX(TC_V,1,MIN(10,DJ$6)))</f>
        <v>7300</v>
      </c>
      <c r="DK10" s="48">
        <f>IF(N(Reales!DK10)&gt;0,Reales!DK10,INDEX(TC_V,1,MIN(10,DK$6)))</f>
        <v>7300</v>
      </c>
      <c r="DL10" s="48">
        <f>IF(N(Reales!DL10)&gt;0,Reales!DL10,INDEX(TC_V,1,MIN(10,DL$6)))</f>
        <v>7300</v>
      </c>
      <c r="DM10" s="48">
        <f>IF(N(Reales!DM10)&gt;0,Reales!DM10,INDEX(TC_V,1,MIN(10,DM$6)))</f>
        <v>7300</v>
      </c>
      <c r="DN10" s="48">
        <f>IF(N(Reales!DN10)&gt;0,Reales!DN10,INDEX(TC_V,1,MIN(10,DN$6)))</f>
        <v>7300</v>
      </c>
      <c r="DO10" s="48">
        <f>IF(N(Reales!DO10)&gt;0,Reales!DO10,INDEX(TC_V,1,MIN(10,DO$6)))</f>
        <v>7300</v>
      </c>
      <c r="DP10" s="48">
        <f>IF(N(Reales!DP10)&gt;0,Reales!DP10,INDEX(TC_V,1,MIN(10,DP$6)))</f>
        <v>7300</v>
      </c>
      <c r="DQ10" s="48">
        <f>IF(N(Reales!DQ10)&gt;0,Reales!DQ10,INDEX(TC_V,1,MIN(10,DQ$6)))</f>
        <v>7300</v>
      </c>
      <c r="DR10" s="48">
        <f>IF(N(Reales!DR10)&gt;0,Reales!DR10,INDEX(TC_V,1,MIN(10,DR$6)))</f>
        <v>7300</v>
      </c>
      <c r="DS10" s="48">
        <f>IF(N(Reales!DS10)&gt;0,Reales!DS10,INDEX(TC_V,1,MIN(10,DS$6)))</f>
        <v>7300</v>
      </c>
      <c r="DT10" s="48">
        <f>IF(N(Reales!DT10)&gt;0,Reales!DT10,INDEX(TC_V,1,MIN(10,DT$6)))</f>
        <v>7300</v>
      </c>
      <c r="DU10" s="48">
        <f>IF(N(Reales!DU10)&gt;0,Reales!DU10,INDEX(TC_V,1,MIN(10,DU$6)))</f>
        <v>7300</v>
      </c>
      <c r="DV10" s="48">
        <f>IF(N(Reales!DV10)&gt;0,Reales!DV10,INDEX(TC_V,1,MIN(10,DV$6)))</f>
        <v>7300</v>
      </c>
      <c r="DW10" s="48">
        <f>IF(N(Reales!DW10)&gt;0,Reales!DW10,INDEX(TC_V,1,MIN(10,DW$6)))</f>
        <v>7300</v>
      </c>
      <c r="DX10" s="48">
        <f>IF(N(Reales!DX10)&gt;0,Reales!DX10,INDEX(TC_V,1,MIN(10,DX$6)))</f>
        <v>7300</v>
      </c>
      <c r="DY10" s="48">
        <f>IF(N(Reales!DY10)&gt;0,Reales!DY10,INDEX(TC_V,1,MIN(10,DY$6)))</f>
        <v>7300</v>
      </c>
      <c r="DZ10" s="48">
        <f>IF(N(Reales!DZ10)&gt;0,Reales!DZ10,INDEX(TC_V,1,MIN(10,DZ$6)))</f>
        <v>7300</v>
      </c>
      <c r="EA10" s="48">
        <f>IF(N(Reales!EA10)&gt;0,Reales!EA10,INDEX(TC_V,1,MIN(10,EA$6)))</f>
        <v>7300</v>
      </c>
      <c r="EB10" s="48">
        <f>IF(N(Reales!EB10)&gt;0,Reales!EB10,INDEX(TC_V,1,MIN(10,EB$6)))</f>
        <v>7300</v>
      </c>
      <c r="EC10" s="48">
        <f>IF(N(Reales!EC10)&gt;0,Reales!EC10,INDEX(TC_V,1,MIN(10,EC$6)))</f>
        <v>7300</v>
      </c>
      <c r="ED10" s="48">
        <f>IF(N(Reales!ED10)&gt;0,Reales!ED10,INDEX(TC_V,1,MIN(10,ED$6)))</f>
        <v>7300</v>
      </c>
      <c r="EE10" s="48">
        <f>IF(N(Reales!EE10)&gt;0,Reales!EE10,INDEX(TC_V,1,MIN(10,EE$6)))</f>
        <v>7300</v>
      </c>
      <c r="EF10" s="48">
        <f>IF(N(Reales!EF10)&gt;0,Reales!EF10,INDEX(TC_V,1,MIN(10,EF$6)))</f>
        <v>7300</v>
      </c>
      <c r="EG10" s="48">
        <f>IF(N(Reales!EG10)&gt;0,Reales!EG10,INDEX(TC_V,1,MIN(10,EG$6)))</f>
        <v>7300</v>
      </c>
      <c r="EH10" s="48">
        <f>IF(N(Reales!EH10)&gt;0,Reales!EH10,INDEX(TC_V,1,MIN(10,EH$6)))</f>
        <v>7300</v>
      </c>
      <c r="EI10" s="48">
        <f>IF(N(Reales!EI10)&gt;0,Reales!EI10,INDEX(TC_V,1,MIN(10,EI$6)))</f>
        <v>7300</v>
      </c>
      <c r="EJ10" s="48">
        <f>IF(N(Reales!EJ10)&gt;0,Reales!EJ10,INDEX(TC_V,1,MIN(10,EJ$6)))</f>
        <v>7300</v>
      </c>
      <c r="EK10" s="48">
        <f>IF(N(Reales!EK10)&gt;0,Reales!EK10,INDEX(TC_V,1,MIN(10,EK$6)))</f>
        <v>7300</v>
      </c>
      <c r="EL10" s="48">
        <f>IF(N(Reales!EL10)&gt;0,Reales!EL10,INDEX(TC_V,1,MIN(10,EL$6)))</f>
        <v>7300</v>
      </c>
      <c r="EM10" s="48">
        <f>IF(N(Reales!EM10)&gt;0,Reales!EM10,INDEX(TC_V,1,MIN(10,EM$6)))</f>
        <v>7300</v>
      </c>
      <c r="EN10" s="48">
        <f>IF(N(Reales!EN10)&gt;0,Reales!EN10,INDEX(TC_V,1,MIN(10,EN$6)))</f>
        <v>7300</v>
      </c>
      <c r="EO10" s="48">
        <f>IF(N(Reales!EO10)&gt;0,Reales!EO10,INDEX(TC_V,1,MIN(10,EO$6)))</f>
        <v>7300</v>
      </c>
      <c r="EP10" s="48">
        <f>IF(N(Reales!EP10)&gt;0,Reales!EP10,INDEX(TC_V,1,MIN(10,EP$6)))</f>
        <v>7300</v>
      </c>
      <c r="EQ10" s="48">
        <f>IF(N(Reales!EQ10)&gt;0,Reales!EQ10,INDEX(TC_V,1,MIN(10,EQ$6)))</f>
        <v>7300</v>
      </c>
      <c r="ER10" s="48">
        <f>IF(N(Reales!ER10)&gt;0,Reales!ER10,INDEX(TC_V,1,MIN(10,ER$6)))</f>
        <v>7300</v>
      </c>
      <c r="ES10" s="48">
        <f>IF(N(Reales!ES10)&gt;0,Reales!ES10,INDEX(TC_V,1,MIN(10,ES$6)))</f>
        <v>7300</v>
      </c>
    </row>
    <row r="12" spans="1:149" x14ac:dyDescent="0.3">
      <c r="A12" s="65"/>
      <c r="B12" s="66" t="s">
        <v>982</v>
      </c>
      <c r="C12" s="65"/>
      <c r="D12" s="65"/>
      <c r="E12" s="65"/>
    </row>
    <row r="13" spans="1:149" x14ac:dyDescent="0.3">
      <c r="A13" s="16"/>
      <c r="B13" s="15" t="s">
        <v>983</v>
      </c>
      <c r="C13" s="16"/>
      <c r="D13" s="16"/>
      <c r="E13" s="16"/>
    </row>
    <row r="14" spans="1:149" x14ac:dyDescent="0.3">
      <c r="A14" s="14" t="s">
        <v>984</v>
      </c>
      <c r="B14" s="18" t="s">
        <v>985</v>
      </c>
      <c r="C14" s="18" t="s">
        <v>986</v>
      </c>
      <c r="F14" s="34">
        <f>IF(AND(1&gt;=P_Inicio,1&lt;=Fin),INT((1-P_Inicio)/12)+1,0)</f>
        <v>1</v>
      </c>
      <c r="G14" s="34">
        <f>IF(AND(2&gt;=P_Inicio,2&lt;=Fin),INT((2-P_Inicio)/12)+1,0)</f>
        <v>1</v>
      </c>
      <c r="H14" s="34">
        <f>IF(AND(3&gt;=P_Inicio,3&lt;=Fin),INT((3-P_Inicio)/12)+1,0)</f>
        <v>1</v>
      </c>
      <c r="I14" s="34">
        <f>IF(AND(4&gt;=P_Inicio,4&lt;=Fin),INT((4-P_Inicio)/12)+1,0)</f>
        <v>1</v>
      </c>
      <c r="J14" s="34">
        <f>IF(AND(5&gt;=P_Inicio,5&lt;=Fin),INT((5-P_Inicio)/12)+1,0)</f>
        <v>1</v>
      </c>
      <c r="K14" s="34">
        <f>IF(AND(6&gt;=P_Inicio,6&lt;=Fin),INT((6-P_Inicio)/12)+1,0)</f>
        <v>1</v>
      </c>
      <c r="L14" s="34">
        <f>IF(AND(7&gt;=P_Inicio,7&lt;=Fin),INT((7-P_Inicio)/12)+1,0)</f>
        <v>1</v>
      </c>
      <c r="M14" s="34">
        <f>IF(AND(8&gt;=P_Inicio,8&lt;=Fin),INT((8-P_Inicio)/12)+1,0)</f>
        <v>1</v>
      </c>
      <c r="N14" s="34">
        <f>IF(AND(9&gt;=P_Inicio,9&lt;=Fin),INT((9-P_Inicio)/12)+1,0)</f>
        <v>1</v>
      </c>
      <c r="O14" s="34">
        <f>IF(AND(10&gt;=P_Inicio,10&lt;=Fin),INT((10-P_Inicio)/12)+1,0)</f>
        <v>1</v>
      </c>
      <c r="P14" s="34">
        <f>IF(AND(11&gt;=P_Inicio,11&lt;=Fin),INT((11-P_Inicio)/12)+1,0)</f>
        <v>1</v>
      </c>
      <c r="Q14" s="34">
        <f>IF(AND(12&gt;=P_Inicio,12&lt;=Fin),INT((12-P_Inicio)/12)+1,0)</f>
        <v>1</v>
      </c>
      <c r="R14" s="34">
        <f>IF(AND(13&gt;=P_Inicio,13&lt;=Fin),INT((13-P_Inicio)/12)+1,0)</f>
        <v>2</v>
      </c>
      <c r="S14" s="34">
        <f>IF(AND(14&gt;=P_Inicio,14&lt;=Fin),INT((14-P_Inicio)/12)+1,0)</f>
        <v>2</v>
      </c>
      <c r="T14" s="34">
        <f>IF(AND(15&gt;=P_Inicio,15&lt;=Fin),INT((15-P_Inicio)/12)+1,0)</f>
        <v>2</v>
      </c>
      <c r="U14" s="34">
        <f>IF(AND(16&gt;=P_Inicio,16&lt;=Fin),INT((16-P_Inicio)/12)+1,0)</f>
        <v>2</v>
      </c>
      <c r="V14" s="34">
        <f>IF(AND(17&gt;=P_Inicio,17&lt;=Fin),INT((17-P_Inicio)/12)+1,0)</f>
        <v>2</v>
      </c>
      <c r="W14" s="34">
        <f>IF(AND(18&gt;=P_Inicio,18&lt;=Fin),INT((18-P_Inicio)/12)+1,0)</f>
        <v>2</v>
      </c>
      <c r="X14" s="34">
        <f>IF(AND(19&gt;=P_Inicio,19&lt;=Fin),INT((19-P_Inicio)/12)+1,0)</f>
        <v>2</v>
      </c>
      <c r="Y14" s="34">
        <f>IF(AND(20&gt;=P_Inicio,20&lt;=Fin),INT((20-P_Inicio)/12)+1,0)</f>
        <v>2</v>
      </c>
      <c r="Z14" s="34">
        <f>IF(AND(21&gt;=P_Inicio,21&lt;=Fin),INT((21-P_Inicio)/12)+1,0)</f>
        <v>2</v>
      </c>
      <c r="AA14" s="34">
        <f>IF(AND(22&gt;=P_Inicio,22&lt;=Fin),INT((22-P_Inicio)/12)+1,0)</f>
        <v>2</v>
      </c>
      <c r="AB14" s="34">
        <f>IF(AND(23&gt;=P_Inicio,23&lt;=Fin),INT((23-P_Inicio)/12)+1,0)</f>
        <v>2</v>
      </c>
      <c r="AC14" s="34">
        <f>IF(AND(24&gt;=P_Inicio,24&lt;=Fin),INT((24-P_Inicio)/12)+1,0)</f>
        <v>2</v>
      </c>
      <c r="AD14" s="34">
        <f>IF(AND(25&gt;=P_Inicio,25&lt;=Fin),INT((25-P_Inicio)/12)+1,0)</f>
        <v>3</v>
      </c>
      <c r="AE14" s="34">
        <f>IF(AND(26&gt;=P_Inicio,26&lt;=Fin),INT((26-P_Inicio)/12)+1,0)</f>
        <v>3</v>
      </c>
      <c r="AF14" s="34">
        <f>IF(AND(27&gt;=P_Inicio,27&lt;=Fin),INT((27-P_Inicio)/12)+1,0)</f>
        <v>3</v>
      </c>
      <c r="AG14" s="34">
        <f>IF(AND(28&gt;=P_Inicio,28&lt;=Fin),INT((28-P_Inicio)/12)+1,0)</f>
        <v>3</v>
      </c>
      <c r="AH14" s="34">
        <f>IF(AND(29&gt;=P_Inicio,29&lt;=Fin),INT((29-P_Inicio)/12)+1,0)</f>
        <v>3</v>
      </c>
      <c r="AI14" s="34">
        <f>IF(AND(30&gt;=P_Inicio,30&lt;=Fin),INT((30-P_Inicio)/12)+1,0)</f>
        <v>3</v>
      </c>
      <c r="AJ14" s="34">
        <f>IF(AND(31&gt;=P_Inicio,31&lt;=Fin),INT((31-P_Inicio)/12)+1,0)</f>
        <v>3</v>
      </c>
      <c r="AK14" s="34">
        <f>IF(AND(32&gt;=P_Inicio,32&lt;=Fin),INT((32-P_Inicio)/12)+1,0)</f>
        <v>3</v>
      </c>
      <c r="AL14" s="34">
        <f>IF(AND(33&gt;=P_Inicio,33&lt;=Fin),INT((33-P_Inicio)/12)+1,0)</f>
        <v>3</v>
      </c>
      <c r="AM14" s="34">
        <f>IF(AND(34&gt;=P_Inicio,34&lt;=Fin),INT((34-P_Inicio)/12)+1,0)</f>
        <v>3</v>
      </c>
      <c r="AN14" s="34">
        <f>IF(AND(35&gt;=P_Inicio,35&lt;=Fin),INT((35-P_Inicio)/12)+1,0)</f>
        <v>3</v>
      </c>
      <c r="AO14" s="34">
        <f>IF(AND(36&gt;=P_Inicio,36&lt;=Fin),INT((36-P_Inicio)/12)+1,0)</f>
        <v>3</v>
      </c>
      <c r="AP14" s="34">
        <f>IF(AND(37&gt;=P_Inicio,37&lt;=Fin),INT((37-P_Inicio)/12)+1,0)</f>
        <v>4</v>
      </c>
      <c r="AQ14" s="34">
        <f>IF(AND(38&gt;=P_Inicio,38&lt;=Fin),INT((38-P_Inicio)/12)+1,0)</f>
        <v>4</v>
      </c>
      <c r="AR14" s="34">
        <f>IF(AND(39&gt;=P_Inicio,39&lt;=Fin),INT((39-P_Inicio)/12)+1,0)</f>
        <v>4</v>
      </c>
      <c r="AS14" s="34">
        <f>IF(AND(40&gt;=P_Inicio,40&lt;=Fin),INT((40-P_Inicio)/12)+1,0)</f>
        <v>4</v>
      </c>
      <c r="AT14" s="34">
        <f>IF(AND(41&gt;=P_Inicio,41&lt;=Fin),INT((41-P_Inicio)/12)+1,0)</f>
        <v>4</v>
      </c>
      <c r="AU14" s="34">
        <f>IF(AND(42&gt;=P_Inicio,42&lt;=Fin),INT((42-P_Inicio)/12)+1,0)</f>
        <v>4</v>
      </c>
      <c r="AV14" s="34">
        <f>IF(AND(43&gt;=P_Inicio,43&lt;=Fin),INT((43-P_Inicio)/12)+1,0)</f>
        <v>4</v>
      </c>
      <c r="AW14" s="34">
        <f>IF(AND(44&gt;=P_Inicio,44&lt;=Fin),INT((44-P_Inicio)/12)+1,0)</f>
        <v>4</v>
      </c>
      <c r="AX14" s="34">
        <f>IF(AND(45&gt;=P_Inicio,45&lt;=Fin),INT((45-P_Inicio)/12)+1,0)</f>
        <v>4</v>
      </c>
      <c r="AY14" s="34">
        <f>IF(AND(46&gt;=P_Inicio,46&lt;=Fin),INT((46-P_Inicio)/12)+1,0)</f>
        <v>4</v>
      </c>
      <c r="AZ14" s="34">
        <f>IF(AND(47&gt;=P_Inicio,47&lt;=Fin),INT((47-P_Inicio)/12)+1,0)</f>
        <v>4</v>
      </c>
      <c r="BA14" s="34">
        <f>IF(AND(48&gt;=P_Inicio,48&lt;=Fin),INT((48-P_Inicio)/12)+1,0)</f>
        <v>4</v>
      </c>
      <c r="BB14" s="34">
        <f>IF(AND(49&gt;=P_Inicio,49&lt;=Fin),INT((49-P_Inicio)/12)+1,0)</f>
        <v>5</v>
      </c>
      <c r="BC14" s="34">
        <f>IF(AND(50&gt;=P_Inicio,50&lt;=Fin),INT((50-P_Inicio)/12)+1,0)</f>
        <v>5</v>
      </c>
      <c r="BD14" s="34">
        <f>IF(AND(51&gt;=P_Inicio,51&lt;=Fin),INT((51-P_Inicio)/12)+1,0)</f>
        <v>5</v>
      </c>
      <c r="BE14" s="34">
        <f>IF(AND(52&gt;=P_Inicio,52&lt;=Fin),INT((52-P_Inicio)/12)+1,0)</f>
        <v>5</v>
      </c>
      <c r="BF14" s="34">
        <f>IF(AND(53&gt;=P_Inicio,53&lt;=Fin),INT((53-P_Inicio)/12)+1,0)</f>
        <v>5</v>
      </c>
      <c r="BG14" s="34">
        <f>IF(AND(54&gt;=P_Inicio,54&lt;=Fin),INT((54-P_Inicio)/12)+1,0)</f>
        <v>5</v>
      </c>
      <c r="BH14" s="34">
        <f>IF(AND(55&gt;=P_Inicio,55&lt;=Fin),INT((55-P_Inicio)/12)+1,0)</f>
        <v>5</v>
      </c>
      <c r="BI14" s="34">
        <f>IF(AND(56&gt;=P_Inicio,56&lt;=Fin),INT((56-P_Inicio)/12)+1,0)</f>
        <v>5</v>
      </c>
      <c r="BJ14" s="34">
        <f>IF(AND(57&gt;=P_Inicio,57&lt;=Fin),INT((57-P_Inicio)/12)+1,0)</f>
        <v>5</v>
      </c>
      <c r="BK14" s="34">
        <f>IF(AND(58&gt;=P_Inicio,58&lt;=Fin),INT((58-P_Inicio)/12)+1,0)</f>
        <v>5</v>
      </c>
      <c r="BL14" s="34">
        <f>IF(AND(59&gt;=P_Inicio,59&lt;=Fin),INT((59-P_Inicio)/12)+1,0)</f>
        <v>5</v>
      </c>
      <c r="BM14" s="34">
        <f>IF(AND(60&gt;=P_Inicio,60&lt;=Fin),INT((60-P_Inicio)/12)+1,0)</f>
        <v>5</v>
      </c>
      <c r="BN14" s="34">
        <f>IF(AND(61&gt;=P_Inicio,61&lt;=Fin),INT((61-P_Inicio)/12)+1,0)</f>
        <v>6</v>
      </c>
      <c r="BO14" s="34">
        <f>IF(AND(62&gt;=P_Inicio,62&lt;=Fin),INT((62-P_Inicio)/12)+1,0)</f>
        <v>6</v>
      </c>
      <c r="BP14" s="34">
        <f>IF(AND(63&gt;=P_Inicio,63&lt;=Fin),INT((63-P_Inicio)/12)+1,0)</f>
        <v>6</v>
      </c>
      <c r="BQ14" s="34">
        <f>IF(AND(64&gt;=P_Inicio,64&lt;=Fin),INT((64-P_Inicio)/12)+1,0)</f>
        <v>6</v>
      </c>
      <c r="BR14" s="34">
        <f>IF(AND(65&gt;=P_Inicio,65&lt;=Fin),INT((65-P_Inicio)/12)+1,0)</f>
        <v>6</v>
      </c>
      <c r="BS14" s="34">
        <f>IF(AND(66&gt;=P_Inicio,66&lt;=Fin),INT((66-P_Inicio)/12)+1,0)</f>
        <v>6</v>
      </c>
      <c r="BT14" s="34">
        <f>IF(AND(67&gt;=P_Inicio,67&lt;=Fin),INT((67-P_Inicio)/12)+1,0)</f>
        <v>6</v>
      </c>
      <c r="BU14" s="34">
        <f>IF(AND(68&gt;=P_Inicio,68&lt;=Fin),INT((68-P_Inicio)/12)+1,0)</f>
        <v>6</v>
      </c>
      <c r="BV14" s="34">
        <f>IF(AND(69&gt;=P_Inicio,69&lt;=Fin),INT((69-P_Inicio)/12)+1,0)</f>
        <v>6</v>
      </c>
      <c r="BW14" s="34">
        <f>IF(AND(70&gt;=P_Inicio,70&lt;=Fin),INT((70-P_Inicio)/12)+1,0)</f>
        <v>6</v>
      </c>
      <c r="BX14" s="34">
        <f>IF(AND(71&gt;=P_Inicio,71&lt;=Fin),INT((71-P_Inicio)/12)+1,0)</f>
        <v>6</v>
      </c>
      <c r="BY14" s="34">
        <f>IF(AND(72&gt;=P_Inicio,72&lt;=Fin),INT((72-P_Inicio)/12)+1,0)</f>
        <v>6</v>
      </c>
      <c r="BZ14" s="34">
        <f>IF(AND(73&gt;=P_Inicio,73&lt;=Fin),INT((73-P_Inicio)/12)+1,0)</f>
        <v>7</v>
      </c>
      <c r="CA14" s="34">
        <f>IF(AND(74&gt;=P_Inicio,74&lt;=Fin),INT((74-P_Inicio)/12)+1,0)</f>
        <v>7</v>
      </c>
      <c r="CB14" s="34">
        <f>IF(AND(75&gt;=P_Inicio,75&lt;=Fin),INT((75-P_Inicio)/12)+1,0)</f>
        <v>7</v>
      </c>
      <c r="CC14" s="34">
        <f>IF(AND(76&gt;=P_Inicio,76&lt;=Fin),INT((76-P_Inicio)/12)+1,0)</f>
        <v>7</v>
      </c>
      <c r="CD14" s="34">
        <f>IF(AND(77&gt;=P_Inicio,77&lt;=Fin),INT((77-P_Inicio)/12)+1,0)</f>
        <v>7</v>
      </c>
      <c r="CE14" s="34">
        <f>IF(AND(78&gt;=P_Inicio,78&lt;=Fin),INT((78-P_Inicio)/12)+1,0)</f>
        <v>7</v>
      </c>
      <c r="CF14" s="34">
        <f>IF(AND(79&gt;=P_Inicio,79&lt;=Fin),INT((79-P_Inicio)/12)+1,0)</f>
        <v>7</v>
      </c>
      <c r="CG14" s="34">
        <f>IF(AND(80&gt;=P_Inicio,80&lt;=Fin),INT((80-P_Inicio)/12)+1,0)</f>
        <v>7</v>
      </c>
      <c r="CH14" s="34">
        <f>IF(AND(81&gt;=P_Inicio,81&lt;=Fin),INT((81-P_Inicio)/12)+1,0)</f>
        <v>7</v>
      </c>
      <c r="CI14" s="34">
        <f>IF(AND(82&gt;=P_Inicio,82&lt;=Fin),INT((82-P_Inicio)/12)+1,0)</f>
        <v>7</v>
      </c>
      <c r="CJ14" s="34">
        <f>IF(AND(83&gt;=P_Inicio,83&lt;=Fin),INT((83-P_Inicio)/12)+1,0)</f>
        <v>7</v>
      </c>
      <c r="CK14" s="34">
        <f>IF(AND(84&gt;=P_Inicio,84&lt;=Fin),INT((84-P_Inicio)/12)+1,0)</f>
        <v>7</v>
      </c>
      <c r="CL14" s="34">
        <f>IF(AND(85&gt;=P_Inicio,85&lt;=Fin),INT((85-P_Inicio)/12)+1,0)</f>
        <v>8</v>
      </c>
      <c r="CM14" s="34">
        <f>IF(AND(86&gt;=P_Inicio,86&lt;=Fin),INT((86-P_Inicio)/12)+1,0)</f>
        <v>8</v>
      </c>
      <c r="CN14" s="34">
        <f>IF(AND(87&gt;=P_Inicio,87&lt;=Fin),INT((87-P_Inicio)/12)+1,0)</f>
        <v>8</v>
      </c>
      <c r="CO14" s="34">
        <f>IF(AND(88&gt;=P_Inicio,88&lt;=Fin),INT((88-P_Inicio)/12)+1,0)</f>
        <v>8</v>
      </c>
      <c r="CP14" s="34">
        <f>IF(AND(89&gt;=P_Inicio,89&lt;=Fin),INT((89-P_Inicio)/12)+1,0)</f>
        <v>8</v>
      </c>
      <c r="CQ14" s="34">
        <f>IF(AND(90&gt;=P_Inicio,90&lt;=Fin),INT((90-P_Inicio)/12)+1,0)</f>
        <v>8</v>
      </c>
      <c r="CR14" s="34">
        <f>IF(AND(91&gt;=P_Inicio,91&lt;=Fin),INT((91-P_Inicio)/12)+1,0)</f>
        <v>8</v>
      </c>
      <c r="CS14" s="34">
        <f>IF(AND(92&gt;=P_Inicio,92&lt;=Fin),INT((92-P_Inicio)/12)+1,0)</f>
        <v>8</v>
      </c>
      <c r="CT14" s="34">
        <f>IF(AND(93&gt;=P_Inicio,93&lt;=Fin),INT((93-P_Inicio)/12)+1,0)</f>
        <v>8</v>
      </c>
      <c r="CU14" s="34">
        <f>IF(AND(94&gt;=P_Inicio,94&lt;=Fin),INT((94-P_Inicio)/12)+1,0)</f>
        <v>8</v>
      </c>
      <c r="CV14" s="34">
        <f>IF(AND(95&gt;=P_Inicio,95&lt;=Fin),INT((95-P_Inicio)/12)+1,0)</f>
        <v>8</v>
      </c>
      <c r="CW14" s="34">
        <f>IF(AND(96&gt;=P_Inicio,96&lt;=Fin),INT((96-P_Inicio)/12)+1,0)</f>
        <v>8</v>
      </c>
      <c r="CX14" s="34">
        <f>IF(AND(97&gt;=P_Inicio,97&lt;=Fin),INT((97-P_Inicio)/12)+1,0)</f>
        <v>9</v>
      </c>
      <c r="CY14" s="34">
        <f>IF(AND(98&gt;=P_Inicio,98&lt;=Fin),INT((98-P_Inicio)/12)+1,0)</f>
        <v>9</v>
      </c>
      <c r="CZ14" s="34">
        <f>IF(AND(99&gt;=P_Inicio,99&lt;=Fin),INT((99-P_Inicio)/12)+1,0)</f>
        <v>9</v>
      </c>
      <c r="DA14" s="34">
        <f>IF(AND(100&gt;=P_Inicio,100&lt;=Fin),INT((100-P_Inicio)/12)+1,0)</f>
        <v>9</v>
      </c>
      <c r="DB14" s="34">
        <f>IF(AND(101&gt;=P_Inicio,101&lt;=Fin),INT((101-P_Inicio)/12)+1,0)</f>
        <v>9</v>
      </c>
      <c r="DC14" s="34">
        <f>IF(AND(102&gt;=P_Inicio,102&lt;=Fin),INT((102-P_Inicio)/12)+1,0)</f>
        <v>9</v>
      </c>
      <c r="DD14" s="34">
        <f>IF(AND(103&gt;=P_Inicio,103&lt;=Fin),INT((103-P_Inicio)/12)+1,0)</f>
        <v>9</v>
      </c>
      <c r="DE14" s="34">
        <f>IF(AND(104&gt;=P_Inicio,104&lt;=Fin),INT((104-P_Inicio)/12)+1,0)</f>
        <v>9</v>
      </c>
      <c r="DF14" s="34">
        <f>IF(AND(105&gt;=P_Inicio,105&lt;=Fin),INT((105-P_Inicio)/12)+1,0)</f>
        <v>9</v>
      </c>
      <c r="DG14" s="34">
        <f>IF(AND(106&gt;=P_Inicio,106&lt;=Fin),INT((106-P_Inicio)/12)+1,0)</f>
        <v>9</v>
      </c>
      <c r="DH14" s="34">
        <f>IF(AND(107&gt;=P_Inicio,107&lt;=Fin),INT((107-P_Inicio)/12)+1,0)</f>
        <v>9</v>
      </c>
      <c r="DI14" s="34">
        <f>IF(AND(108&gt;=P_Inicio,108&lt;=Fin),INT((108-P_Inicio)/12)+1,0)</f>
        <v>9</v>
      </c>
      <c r="DJ14" s="34">
        <f>IF(AND(109&gt;=P_Inicio,109&lt;=Fin),INT((109-P_Inicio)/12)+1,0)</f>
        <v>10</v>
      </c>
      <c r="DK14" s="34">
        <f>IF(AND(110&gt;=P_Inicio,110&lt;=Fin),INT((110-P_Inicio)/12)+1,0)</f>
        <v>10</v>
      </c>
      <c r="DL14" s="34">
        <f>IF(AND(111&gt;=P_Inicio,111&lt;=Fin),INT((111-P_Inicio)/12)+1,0)</f>
        <v>10</v>
      </c>
      <c r="DM14" s="34">
        <f>IF(AND(112&gt;=P_Inicio,112&lt;=Fin),INT((112-P_Inicio)/12)+1,0)</f>
        <v>10</v>
      </c>
      <c r="DN14" s="34">
        <f>IF(AND(113&gt;=P_Inicio,113&lt;=Fin),INT((113-P_Inicio)/12)+1,0)</f>
        <v>10</v>
      </c>
      <c r="DO14" s="34">
        <f>IF(AND(114&gt;=P_Inicio,114&lt;=Fin),INT((114-P_Inicio)/12)+1,0)</f>
        <v>10</v>
      </c>
      <c r="DP14" s="34">
        <f>IF(AND(115&gt;=P_Inicio,115&lt;=Fin),INT((115-P_Inicio)/12)+1,0)</f>
        <v>10</v>
      </c>
      <c r="DQ14" s="34">
        <f>IF(AND(116&gt;=P_Inicio,116&lt;=Fin),INT((116-P_Inicio)/12)+1,0)</f>
        <v>10</v>
      </c>
      <c r="DR14" s="34">
        <f>IF(AND(117&gt;=P_Inicio,117&lt;=Fin),INT((117-P_Inicio)/12)+1,0)</f>
        <v>10</v>
      </c>
      <c r="DS14" s="34">
        <f>IF(AND(118&gt;=P_Inicio,118&lt;=Fin),INT((118-P_Inicio)/12)+1,0)</f>
        <v>10</v>
      </c>
      <c r="DT14" s="34">
        <f>IF(AND(119&gt;=P_Inicio,119&lt;=Fin),INT((119-P_Inicio)/12)+1,0)</f>
        <v>10</v>
      </c>
      <c r="DU14" s="34">
        <f>IF(AND(120&gt;=P_Inicio,120&lt;=Fin),INT((120-P_Inicio)/12)+1,0)</f>
        <v>10</v>
      </c>
      <c r="DV14" s="34">
        <f>IF(AND(121&gt;=P_Inicio,121&lt;=Fin),INT((121-P_Inicio)/12)+1,0)</f>
        <v>0</v>
      </c>
      <c r="DW14" s="34">
        <f>IF(AND(122&gt;=P_Inicio,122&lt;=Fin),INT((122-P_Inicio)/12)+1,0)</f>
        <v>0</v>
      </c>
      <c r="DX14" s="34">
        <f>IF(AND(123&gt;=P_Inicio,123&lt;=Fin),INT((123-P_Inicio)/12)+1,0)</f>
        <v>0</v>
      </c>
      <c r="DY14" s="34">
        <f>IF(AND(124&gt;=P_Inicio,124&lt;=Fin),INT((124-P_Inicio)/12)+1,0)</f>
        <v>0</v>
      </c>
      <c r="DZ14" s="34">
        <f>IF(AND(125&gt;=P_Inicio,125&lt;=Fin),INT((125-P_Inicio)/12)+1,0)</f>
        <v>0</v>
      </c>
      <c r="EA14" s="34">
        <f>IF(AND(126&gt;=P_Inicio,126&lt;=Fin),INT((126-P_Inicio)/12)+1,0)</f>
        <v>0</v>
      </c>
      <c r="EB14" s="34">
        <f>IF(AND(127&gt;=P_Inicio,127&lt;=Fin),INT((127-P_Inicio)/12)+1,0)</f>
        <v>0</v>
      </c>
      <c r="EC14" s="34">
        <f>IF(AND(128&gt;=P_Inicio,128&lt;=Fin),INT((128-P_Inicio)/12)+1,0)</f>
        <v>0</v>
      </c>
      <c r="ED14" s="34">
        <f>IF(AND(129&gt;=P_Inicio,129&lt;=Fin),INT((129-P_Inicio)/12)+1,0)</f>
        <v>0</v>
      </c>
      <c r="EE14" s="34">
        <f>IF(AND(130&gt;=P_Inicio,130&lt;=Fin),INT((130-P_Inicio)/12)+1,0)</f>
        <v>0</v>
      </c>
      <c r="EF14" s="34">
        <f>IF(AND(131&gt;=P_Inicio,131&lt;=Fin),INT((131-P_Inicio)/12)+1,0)</f>
        <v>0</v>
      </c>
      <c r="EG14" s="34">
        <f>IF(AND(132&gt;=P_Inicio,132&lt;=Fin),INT((132-P_Inicio)/12)+1,0)</f>
        <v>0</v>
      </c>
      <c r="EH14" s="34">
        <f>IF(AND(133&gt;=P_Inicio,133&lt;=Fin),INT((133-P_Inicio)/12)+1,0)</f>
        <v>0</v>
      </c>
      <c r="EI14" s="34">
        <f>IF(AND(134&gt;=P_Inicio,134&lt;=Fin),INT((134-P_Inicio)/12)+1,0)</f>
        <v>0</v>
      </c>
      <c r="EJ14" s="34">
        <f>IF(AND(135&gt;=P_Inicio,135&lt;=Fin),INT((135-P_Inicio)/12)+1,0)</f>
        <v>0</v>
      </c>
      <c r="EK14" s="34">
        <f>IF(AND(136&gt;=P_Inicio,136&lt;=Fin),INT((136-P_Inicio)/12)+1,0)</f>
        <v>0</v>
      </c>
      <c r="EL14" s="34">
        <f>IF(AND(137&gt;=P_Inicio,137&lt;=Fin),INT((137-P_Inicio)/12)+1,0)</f>
        <v>0</v>
      </c>
      <c r="EM14" s="34">
        <f>IF(AND(138&gt;=P_Inicio,138&lt;=Fin),INT((138-P_Inicio)/12)+1,0)</f>
        <v>0</v>
      </c>
      <c r="EN14" s="34">
        <f>IF(AND(139&gt;=P_Inicio,139&lt;=Fin),INT((139-P_Inicio)/12)+1,0)</f>
        <v>0</v>
      </c>
      <c r="EO14" s="34">
        <f>IF(AND(140&gt;=P_Inicio,140&lt;=Fin),INT((140-P_Inicio)/12)+1,0)</f>
        <v>0</v>
      </c>
      <c r="EP14" s="34">
        <f>IF(AND(141&gt;=P_Inicio,141&lt;=Fin),INT((141-P_Inicio)/12)+1,0)</f>
        <v>0</v>
      </c>
      <c r="EQ14" s="34">
        <f>IF(AND(142&gt;=P_Inicio,142&lt;=Fin),INT((142-P_Inicio)/12)+1,0)</f>
        <v>0</v>
      </c>
      <c r="ER14" s="34">
        <f>IF(AND(143&gt;=P_Inicio,143&lt;=Fin),INT((143-P_Inicio)/12)+1,0)</f>
        <v>0</v>
      </c>
      <c r="ES14" s="34">
        <f>IF(AND(144&gt;=P_Inicio,144&lt;=Fin),INT((144-P_Inicio)/12)+1,0)</f>
        <v>0</v>
      </c>
    </row>
    <row r="15" spans="1:149" x14ac:dyDescent="0.3">
      <c r="A15" s="14" t="s">
        <v>987</v>
      </c>
      <c r="B15" s="18" t="s">
        <v>988</v>
      </c>
      <c r="C15" s="18" t="s">
        <v>989</v>
      </c>
      <c r="E15" s="67">
        <f>SUM(F15:ES15)</f>
        <v>120</v>
      </c>
      <c r="F15" s="34">
        <f t="shared" ref="F15:AK15" si="0">IF(F$14&gt;0,1,0)</f>
        <v>1</v>
      </c>
      <c r="G15" s="34">
        <f t="shared" si="0"/>
        <v>1</v>
      </c>
      <c r="H15" s="34">
        <f t="shared" si="0"/>
        <v>1</v>
      </c>
      <c r="I15" s="34">
        <f t="shared" si="0"/>
        <v>1</v>
      </c>
      <c r="J15" s="34">
        <f t="shared" si="0"/>
        <v>1</v>
      </c>
      <c r="K15" s="34">
        <f t="shared" si="0"/>
        <v>1</v>
      </c>
      <c r="L15" s="34">
        <f t="shared" si="0"/>
        <v>1</v>
      </c>
      <c r="M15" s="34">
        <f t="shared" si="0"/>
        <v>1</v>
      </c>
      <c r="N15" s="34">
        <f t="shared" si="0"/>
        <v>1</v>
      </c>
      <c r="O15" s="34">
        <f t="shared" si="0"/>
        <v>1</v>
      </c>
      <c r="P15" s="34">
        <f t="shared" si="0"/>
        <v>1</v>
      </c>
      <c r="Q15" s="34">
        <f t="shared" si="0"/>
        <v>1</v>
      </c>
      <c r="R15" s="34">
        <f t="shared" si="0"/>
        <v>1</v>
      </c>
      <c r="S15" s="34">
        <f t="shared" si="0"/>
        <v>1</v>
      </c>
      <c r="T15" s="34">
        <f t="shared" si="0"/>
        <v>1</v>
      </c>
      <c r="U15" s="34">
        <f t="shared" si="0"/>
        <v>1</v>
      </c>
      <c r="V15" s="34">
        <f t="shared" si="0"/>
        <v>1</v>
      </c>
      <c r="W15" s="34">
        <f t="shared" si="0"/>
        <v>1</v>
      </c>
      <c r="X15" s="34">
        <f t="shared" si="0"/>
        <v>1</v>
      </c>
      <c r="Y15" s="34">
        <f t="shared" si="0"/>
        <v>1</v>
      </c>
      <c r="Z15" s="34">
        <f t="shared" si="0"/>
        <v>1</v>
      </c>
      <c r="AA15" s="34">
        <f t="shared" si="0"/>
        <v>1</v>
      </c>
      <c r="AB15" s="34">
        <f t="shared" si="0"/>
        <v>1</v>
      </c>
      <c r="AC15" s="34">
        <f t="shared" si="0"/>
        <v>1</v>
      </c>
      <c r="AD15" s="34">
        <f t="shared" si="0"/>
        <v>1</v>
      </c>
      <c r="AE15" s="34">
        <f t="shared" si="0"/>
        <v>1</v>
      </c>
      <c r="AF15" s="34">
        <f t="shared" si="0"/>
        <v>1</v>
      </c>
      <c r="AG15" s="34">
        <f t="shared" si="0"/>
        <v>1</v>
      </c>
      <c r="AH15" s="34">
        <f t="shared" si="0"/>
        <v>1</v>
      </c>
      <c r="AI15" s="34">
        <f t="shared" si="0"/>
        <v>1</v>
      </c>
      <c r="AJ15" s="34">
        <f t="shared" si="0"/>
        <v>1</v>
      </c>
      <c r="AK15" s="34">
        <f t="shared" si="0"/>
        <v>1</v>
      </c>
      <c r="AL15" s="34">
        <f t="shared" ref="AL15:BQ15" si="1">IF(AL$14&gt;0,1,0)</f>
        <v>1</v>
      </c>
      <c r="AM15" s="34">
        <f t="shared" si="1"/>
        <v>1</v>
      </c>
      <c r="AN15" s="34">
        <f t="shared" si="1"/>
        <v>1</v>
      </c>
      <c r="AO15" s="34">
        <f t="shared" si="1"/>
        <v>1</v>
      </c>
      <c r="AP15" s="34">
        <f t="shared" si="1"/>
        <v>1</v>
      </c>
      <c r="AQ15" s="34">
        <f t="shared" si="1"/>
        <v>1</v>
      </c>
      <c r="AR15" s="34">
        <f t="shared" si="1"/>
        <v>1</v>
      </c>
      <c r="AS15" s="34">
        <f t="shared" si="1"/>
        <v>1</v>
      </c>
      <c r="AT15" s="34">
        <f t="shared" si="1"/>
        <v>1</v>
      </c>
      <c r="AU15" s="34">
        <f t="shared" si="1"/>
        <v>1</v>
      </c>
      <c r="AV15" s="34">
        <f t="shared" si="1"/>
        <v>1</v>
      </c>
      <c r="AW15" s="34">
        <f t="shared" si="1"/>
        <v>1</v>
      </c>
      <c r="AX15" s="34">
        <f t="shared" si="1"/>
        <v>1</v>
      </c>
      <c r="AY15" s="34">
        <f t="shared" si="1"/>
        <v>1</v>
      </c>
      <c r="AZ15" s="34">
        <f t="shared" si="1"/>
        <v>1</v>
      </c>
      <c r="BA15" s="34">
        <f t="shared" si="1"/>
        <v>1</v>
      </c>
      <c r="BB15" s="34">
        <f t="shared" si="1"/>
        <v>1</v>
      </c>
      <c r="BC15" s="34">
        <f t="shared" si="1"/>
        <v>1</v>
      </c>
      <c r="BD15" s="34">
        <f t="shared" si="1"/>
        <v>1</v>
      </c>
      <c r="BE15" s="34">
        <f t="shared" si="1"/>
        <v>1</v>
      </c>
      <c r="BF15" s="34">
        <f t="shared" si="1"/>
        <v>1</v>
      </c>
      <c r="BG15" s="34">
        <f t="shared" si="1"/>
        <v>1</v>
      </c>
      <c r="BH15" s="34">
        <f t="shared" si="1"/>
        <v>1</v>
      </c>
      <c r="BI15" s="34">
        <f t="shared" si="1"/>
        <v>1</v>
      </c>
      <c r="BJ15" s="34">
        <f t="shared" si="1"/>
        <v>1</v>
      </c>
      <c r="BK15" s="34">
        <f t="shared" si="1"/>
        <v>1</v>
      </c>
      <c r="BL15" s="34">
        <f t="shared" si="1"/>
        <v>1</v>
      </c>
      <c r="BM15" s="34">
        <f t="shared" si="1"/>
        <v>1</v>
      </c>
      <c r="BN15" s="34">
        <f t="shared" si="1"/>
        <v>1</v>
      </c>
      <c r="BO15" s="34">
        <f t="shared" si="1"/>
        <v>1</v>
      </c>
      <c r="BP15" s="34">
        <f t="shared" si="1"/>
        <v>1</v>
      </c>
      <c r="BQ15" s="34">
        <f t="shared" si="1"/>
        <v>1</v>
      </c>
      <c r="BR15" s="34">
        <f t="shared" ref="BR15:CW15" si="2">IF(BR$14&gt;0,1,0)</f>
        <v>1</v>
      </c>
      <c r="BS15" s="34">
        <f t="shared" si="2"/>
        <v>1</v>
      </c>
      <c r="BT15" s="34">
        <f t="shared" si="2"/>
        <v>1</v>
      </c>
      <c r="BU15" s="34">
        <f t="shared" si="2"/>
        <v>1</v>
      </c>
      <c r="BV15" s="34">
        <f t="shared" si="2"/>
        <v>1</v>
      </c>
      <c r="BW15" s="34">
        <f t="shared" si="2"/>
        <v>1</v>
      </c>
      <c r="BX15" s="34">
        <f t="shared" si="2"/>
        <v>1</v>
      </c>
      <c r="BY15" s="34">
        <f t="shared" si="2"/>
        <v>1</v>
      </c>
      <c r="BZ15" s="34">
        <f t="shared" si="2"/>
        <v>1</v>
      </c>
      <c r="CA15" s="34">
        <f t="shared" si="2"/>
        <v>1</v>
      </c>
      <c r="CB15" s="34">
        <f t="shared" si="2"/>
        <v>1</v>
      </c>
      <c r="CC15" s="34">
        <f t="shared" si="2"/>
        <v>1</v>
      </c>
      <c r="CD15" s="34">
        <f t="shared" si="2"/>
        <v>1</v>
      </c>
      <c r="CE15" s="34">
        <f t="shared" si="2"/>
        <v>1</v>
      </c>
      <c r="CF15" s="34">
        <f t="shared" si="2"/>
        <v>1</v>
      </c>
      <c r="CG15" s="34">
        <f t="shared" si="2"/>
        <v>1</v>
      </c>
      <c r="CH15" s="34">
        <f t="shared" si="2"/>
        <v>1</v>
      </c>
      <c r="CI15" s="34">
        <f t="shared" si="2"/>
        <v>1</v>
      </c>
      <c r="CJ15" s="34">
        <f t="shared" si="2"/>
        <v>1</v>
      </c>
      <c r="CK15" s="34">
        <f t="shared" si="2"/>
        <v>1</v>
      </c>
      <c r="CL15" s="34">
        <f t="shared" si="2"/>
        <v>1</v>
      </c>
      <c r="CM15" s="34">
        <f t="shared" si="2"/>
        <v>1</v>
      </c>
      <c r="CN15" s="34">
        <f t="shared" si="2"/>
        <v>1</v>
      </c>
      <c r="CO15" s="34">
        <f t="shared" si="2"/>
        <v>1</v>
      </c>
      <c r="CP15" s="34">
        <f t="shared" si="2"/>
        <v>1</v>
      </c>
      <c r="CQ15" s="34">
        <f t="shared" si="2"/>
        <v>1</v>
      </c>
      <c r="CR15" s="34">
        <f t="shared" si="2"/>
        <v>1</v>
      </c>
      <c r="CS15" s="34">
        <f t="shared" si="2"/>
        <v>1</v>
      </c>
      <c r="CT15" s="34">
        <f t="shared" si="2"/>
        <v>1</v>
      </c>
      <c r="CU15" s="34">
        <f t="shared" si="2"/>
        <v>1</v>
      </c>
      <c r="CV15" s="34">
        <f t="shared" si="2"/>
        <v>1</v>
      </c>
      <c r="CW15" s="34">
        <f t="shared" si="2"/>
        <v>1</v>
      </c>
      <c r="CX15" s="34">
        <f t="shared" ref="CX15:EC15" si="3">IF(CX$14&gt;0,1,0)</f>
        <v>1</v>
      </c>
      <c r="CY15" s="34">
        <f t="shared" si="3"/>
        <v>1</v>
      </c>
      <c r="CZ15" s="34">
        <f t="shared" si="3"/>
        <v>1</v>
      </c>
      <c r="DA15" s="34">
        <f t="shared" si="3"/>
        <v>1</v>
      </c>
      <c r="DB15" s="34">
        <f t="shared" si="3"/>
        <v>1</v>
      </c>
      <c r="DC15" s="34">
        <f t="shared" si="3"/>
        <v>1</v>
      </c>
      <c r="DD15" s="34">
        <f t="shared" si="3"/>
        <v>1</v>
      </c>
      <c r="DE15" s="34">
        <f t="shared" si="3"/>
        <v>1</v>
      </c>
      <c r="DF15" s="34">
        <f t="shared" si="3"/>
        <v>1</v>
      </c>
      <c r="DG15" s="34">
        <f t="shared" si="3"/>
        <v>1</v>
      </c>
      <c r="DH15" s="34">
        <f t="shared" si="3"/>
        <v>1</v>
      </c>
      <c r="DI15" s="34">
        <f t="shared" si="3"/>
        <v>1</v>
      </c>
      <c r="DJ15" s="34">
        <f t="shared" si="3"/>
        <v>1</v>
      </c>
      <c r="DK15" s="34">
        <f t="shared" si="3"/>
        <v>1</v>
      </c>
      <c r="DL15" s="34">
        <f t="shared" si="3"/>
        <v>1</v>
      </c>
      <c r="DM15" s="34">
        <f t="shared" si="3"/>
        <v>1</v>
      </c>
      <c r="DN15" s="34">
        <f t="shared" si="3"/>
        <v>1</v>
      </c>
      <c r="DO15" s="34">
        <f t="shared" si="3"/>
        <v>1</v>
      </c>
      <c r="DP15" s="34">
        <f t="shared" si="3"/>
        <v>1</v>
      </c>
      <c r="DQ15" s="34">
        <f t="shared" si="3"/>
        <v>1</v>
      </c>
      <c r="DR15" s="34">
        <f t="shared" si="3"/>
        <v>1</v>
      </c>
      <c r="DS15" s="34">
        <f t="shared" si="3"/>
        <v>1</v>
      </c>
      <c r="DT15" s="34">
        <f t="shared" si="3"/>
        <v>1</v>
      </c>
      <c r="DU15" s="34">
        <f t="shared" si="3"/>
        <v>1</v>
      </c>
      <c r="DV15" s="34">
        <f t="shared" si="3"/>
        <v>0</v>
      </c>
      <c r="DW15" s="34">
        <f t="shared" si="3"/>
        <v>0</v>
      </c>
      <c r="DX15" s="34">
        <f t="shared" si="3"/>
        <v>0</v>
      </c>
      <c r="DY15" s="34">
        <f t="shared" si="3"/>
        <v>0</v>
      </c>
      <c r="DZ15" s="34">
        <f t="shared" si="3"/>
        <v>0</v>
      </c>
      <c r="EA15" s="34">
        <f t="shared" si="3"/>
        <v>0</v>
      </c>
      <c r="EB15" s="34">
        <f t="shared" si="3"/>
        <v>0</v>
      </c>
      <c r="EC15" s="34">
        <f t="shared" si="3"/>
        <v>0</v>
      </c>
      <c r="ED15" s="34">
        <f t="shared" ref="ED15:ES15" si="4">IF(ED$14&gt;0,1,0)</f>
        <v>0</v>
      </c>
      <c r="EE15" s="34">
        <f t="shared" si="4"/>
        <v>0</v>
      </c>
      <c r="EF15" s="34">
        <f t="shared" si="4"/>
        <v>0</v>
      </c>
      <c r="EG15" s="34">
        <f t="shared" si="4"/>
        <v>0</v>
      </c>
      <c r="EH15" s="34">
        <f t="shared" si="4"/>
        <v>0</v>
      </c>
      <c r="EI15" s="34">
        <f t="shared" si="4"/>
        <v>0</v>
      </c>
      <c r="EJ15" s="34">
        <f t="shared" si="4"/>
        <v>0</v>
      </c>
      <c r="EK15" s="34">
        <f t="shared" si="4"/>
        <v>0</v>
      </c>
      <c r="EL15" s="34">
        <f t="shared" si="4"/>
        <v>0</v>
      </c>
      <c r="EM15" s="34">
        <f t="shared" si="4"/>
        <v>0</v>
      </c>
      <c r="EN15" s="34">
        <f t="shared" si="4"/>
        <v>0</v>
      </c>
      <c r="EO15" s="34">
        <f t="shared" si="4"/>
        <v>0</v>
      </c>
      <c r="EP15" s="34">
        <f t="shared" si="4"/>
        <v>0</v>
      </c>
      <c r="EQ15" s="34">
        <f t="shared" si="4"/>
        <v>0</v>
      </c>
      <c r="ER15" s="34">
        <f t="shared" si="4"/>
        <v>0</v>
      </c>
      <c r="ES15" s="34">
        <f t="shared" si="4"/>
        <v>0</v>
      </c>
    </row>
    <row r="16" spans="1:149" x14ac:dyDescent="0.3">
      <c r="A16" s="14" t="s">
        <v>990</v>
      </c>
      <c r="B16" s="18" t="s">
        <v>991</v>
      </c>
      <c r="C16" s="18" t="s">
        <v>989</v>
      </c>
      <c r="E16" s="67">
        <f>SUM(F16:ES16)</f>
        <v>0</v>
      </c>
      <c r="F16" s="34">
        <f>IF(AND(1&lt;P_Inicio,1&lt;=Fin),1,0)</f>
        <v>0</v>
      </c>
      <c r="G16" s="34">
        <f>IF(AND(2&lt;P_Inicio,2&lt;=Fin),1,0)</f>
        <v>0</v>
      </c>
      <c r="H16" s="34">
        <f>IF(AND(3&lt;P_Inicio,3&lt;=Fin),1,0)</f>
        <v>0</v>
      </c>
      <c r="I16" s="34">
        <f>IF(AND(4&lt;P_Inicio,4&lt;=Fin),1,0)</f>
        <v>0</v>
      </c>
      <c r="J16" s="34">
        <f>IF(AND(5&lt;P_Inicio,5&lt;=Fin),1,0)</f>
        <v>0</v>
      </c>
      <c r="K16" s="34">
        <f>IF(AND(6&lt;P_Inicio,6&lt;=Fin),1,0)</f>
        <v>0</v>
      </c>
      <c r="L16" s="34">
        <f>IF(AND(7&lt;P_Inicio,7&lt;=Fin),1,0)</f>
        <v>0</v>
      </c>
      <c r="M16" s="34">
        <f>IF(AND(8&lt;P_Inicio,8&lt;=Fin),1,0)</f>
        <v>0</v>
      </c>
      <c r="N16" s="34">
        <f>IF(AND(9&lt;P_Inicio,9&lt;=Fin),1,0)</f>
        <v>0</v>
      </c>
      <c r="O16" s="34">
        <f>IF(AND(10&lt;P_Inicio,10&lt;=Fin),1,0)</f>
        <v>0</v>
      </c>
      <c r="P16" s="34">
        <f>IF(AND(11&lt;P_Inicio,11&lt;=Fin),1,0)</f>
        <v>0</v>
      </c>
      <c r="Q16" s="34">
        <f>IF(AND(12&lt;P_Inicio,12&lt;=Fin),1,0)</f>
        <v>0</v>
      </c>
      <c r="R16" s="34">
        <f>IF(AND(13&lt;P_Inicio,13&lt;=Fin),1,0)</f>
        <v>0</v>
      </c>
      <c r="S16" s="34">
        <f>IF(AND(14&lt;P_Inicio,14&lt;=Fin),1,0)</f>
        <v>0</v>
      </c>
      <c r="T16" s="34">
        <f>IF(AND(15&lt;P_Inicio,15&lt;=Fin),1,0)</f>
        <v>0</v>
      </c>
      <c r="U16" s="34">
        <f>IF(AND(16&lt;P_Inicio,16&lt;=Fin),1,0)</f>
        <v>0</v>
      </c>
      <c r="V16" s="34">
        <f>IF(AND(17&lt;P_Inicio,17&lt;=Fin),1,0)</f>
        <v>0</v>
      </c>
      <c r="W16" s="34">
        <f>IF(AND(18&lt;P_Inicio,18&lt;=Fin),1,0)</f>
        <v>0</v>
      </c>
      <c r="X16" s="34">
        <f>IF(AND(19&lt;P_Inicio,19&lt;=Fin),1,0)</f>
        <v>0</v>
      </c>
      <c r="Y16" s="34">
        <f>IF(AND(20&lt;P_Inicio,20&lt;=Fin),1,0)</f>
        <v>0</v>
      </c>
      <c r="Z16" s="34">
        <f>IF(AND(21&lt;P_Inicio,21&lt;=Fin),1,0)</f>
        <v>0</v>
      </c>
      <c r="AA16" s="34">
        <f>IF(AND(22&lt;P_Inicio,22&lt;=Fin),1,0)</f>
        <v>0</v>
      </c>
      <c r="AB16" s="34">
        <f>IF(AND(23&lt;P_Inicio,23&lt;=Fin),1,0)</f>
        <v>0</v>
      </c>
      <c r="AC16" s="34">
        <f>IF(AND(24&lt;P_Inicio,24&lt;=Fin),1,0)</f>
        <v>0</v>
      </c>
      <c r="AD16" s="34">
        <f>IF(AND(25&lt;P_Inicio,25&lt;=Fin),1,0)</f>
        <v>0</v>
      </c>
      <c r="AE16" s="34">
        <f>IF(AND(26&lt;P_Inicio,26&lt;=Fin),1,0)</f>
        <v>0</v>
      </c>
      <c r="AF16" s="34">
        <f>IF(AND(27&lt;P_Inicio,27&lt;=Fin),1,0)</f>
        <v>0</v>
      </c>
      <c r="AG16" s="34">
        <f>IF(AND(28&lt;P_Inicio,28&lt;=Fin),1,0)</f>
        <v>0</v>
      </c>
      <c r="AH16" s="34">
        <f>IF(AND(29&lt;P_Inicio,29&lt;=Fin),1,0)</f>
        <v>0</v>
      </c>
      <c r="AI16" s="34">
        <f>IF(AND(30&lt;P_Inicio,30&lt;=Fin),1,0)</f>
        <v>0</v>
      </c>
      <c r="AJ16" s="34">
        <f>IF(AND(31&lt;P_Inicio,31&lt;=Fin),1,0)</f>
        <v>0</v>
      </c>
      <c r="AK16" s="34">
        <f>IF(AND(32&lt;P_Inicio,32&lt;=Fin),1,0)</f>
        <v>0</v>
      </c>
      <c r="AL16" s="34">
        <f>IF(AND(33&lt;P_Inicio,33&lt;=Fin),1,0)</f>
        <v>0</v>
      </c>
      <c r="AM16" s="34">
        <f>IF(AND(34&lt;P_Inicio,34&lt;=Fin),1,0)</f>
        <v>0</v>
      </c>
      <c r="AN16" s="34">
        <f>IF(AND(35&lt;P_Inicio,35&lt;=Fin),1,0)</f>
        <v>0</v>
      </c>
      <c r="AO16" s="34">
        <f>IF(AND(36&lt;P_Inicio,36&lt;=Fin),1,0)</f>
        <v>0</v>
      </c>
      <c r="AP16" s="34">
        <f>IF(AND(37&lt;P_Inicio,37&lt;=Fin),1,0)</f>
        <v>0</v>
      </c>
      <c r="AQ16" s="34">
        <f>IF(AND(38&lt;P_Inicio,38&lt;=Fin),1,0)</f>
        <v>0</v>
      </c>
      <c r="AR16" s="34">
        <f>IF(AND(39&lt;P_Inicio,39&lt;=Fin),1,0)</f>
        <v>0</v>
      </c>
      <c r="AS16" s="34">
        <f>IF(AND(40&lt;P_Inicio,40&lt;=Fin),1,0)</f>
        <v>0</v>
      </c>
      <c r="AT16" s="34">
        <f>IF(AND(41&lt;P_Inicio,41&lt;=Fin),1,0)</f>
        <v>0</v>
      </c>
      <c r="AU16" s="34">
        <f>IF(AND(42&lt;P_Inicio,42&lt;=Fin),1,0)</f>
        <v>0</v>
      </c>
      <c r="AV16" s="34">
        <f>IF(AND(43&lt;P_Inicio,43&lt;=Fin),1,0)</f>
        <v>0</v>
      </c>
      <c r="AW16" s="34">
        <f>IF(AND(44&lt;P_Inicio,44&lt;=Fin),1,0)</f>
        <v>0</v>
      </c>
      <c r="AX16" s="34">
        <f>IF(AND(45&lt;P_Inicio,45&lt;=Fin),1,0)</f>
        <v>0</v>
      </c>
      <c r="AY16" s="34">
        <f>IF(AND(46&lt;P_Inicio,46&lt;=Fin),1,0)</f>
        <v>0</v>
      </c>
      <c r="AZ16" s="34">
        <f>IF(AND(47&lt;P_Inicio,47&lt;=Fin),1,0)</f>
        <v>0</v>
      </c>
      <c r="BA16" s="34">
        <f>IF(AND(48&lt;P_Inicio,48&lt;=Fin),1,0)</f>
        <v>0</v>
      </c>
      <c r="BB16" s="34">
        <f>IF(AND(49&lt;P_Inicio,49&lt;=Fin),1,0)</f>
        <v>0</v>
      </c>
      <c r="BC16" s="34">
        <f>IF(AND(50&lt;P_Inicio,50&lt;=Fin),1,0)</f>
        <v>0</v>
      </c>
      <c r="BD16" s="34">
        <f>IF(AND(51&lt;P_Inicio,51&lt;=Fin),1,0)</f>
        <v>0</v>
      </c>
      <c r="BE16" s="34">
        <f>IF(AND(52&lt;P_Inicio,52&lt;=Fin),1,0)</f>
        <v>0</v>
      </c>
      <c r="BF16" s="34">
        <f>IF(AND(53&lt;P_Inicio,53&lt;=Fin),1,0)</f>
        <v>0</v>
      </c>
      <c r="BG16" s="34">
        <f>IF(AND(54&lt;P_Inicio,54&lt;=Fin),1,0)</f>
        <v>0</v>
      </c>
      <c r="BH16" s="34">
        <f>IF(AND(55&lt;P_Inicio,55&lt;=Fin),1,0)</f>
        <v>0</v>
      </c>
      <c r="BI16" s="34">
        <f>IF(AND(56&lt;P_Inicio,56&lt;=Fin),1,0)</f>
        <v>0</v>
      </c>
      <c r="BJ16" s="34">
        <f>IF(AND(57&lt;P_Inicio,57&lt;=Fin),1,0)</f>
        <v>0</v>
      </c>
      <c r="BK16" s="34">
        <f>IF(AND(58&lt;P_Inicio,58&lt;=Fin),1,0)</f>
        <v>0</v>
      </c>
      <c r="BL16" s="34">
        <f>IF(AND(59&lt;P_Inicio,59&lt;=Fin),1,0)</f>
        <v>0</v>
      </c>
      <c r="BM16" s="34">
        <f>IF(AND(60&lt;P_Inicio,60&lt;=Fin),1,0)</f>
        <v>0</v>
      </c>
      <c r="BN16" s="34">
        <f>IF(AND(61&lt;P_Inicio,61&lt;=Fin),1,0)</f>
        <v>0</v>
      </c>
      <c r="BO16" s="34">
        <f>IF(AND(62&lt;P_Inicio,62&lt;=Fin),1,0)</f>
        <v>0</v>
      </c>
      <c r="BP16" s="34">
        <f>IF(AND(63&lt;P_Inicio,63&lt;=Fin),1,0)</f>
        <v>0</v>
      </c>
      <c r="BQ16" s="34">
        <f>IF(AND(64&lt;P_Inicio,64&lt;=Fin),1,0)</f>
        <v>0</v>
      </c>
      <c r="BR16" s="34">
        <f>IF(AND(65&lt;P_Inicio,65&lt;=Fin),1,0)</f>
        <v>0</v>
      </c>
      <c r="BS16" s="34">
        <f>IF(AND(66&lt;P_Inicio,66&lt;=Fin),1,0)</f>
        <v>0</v>
      </c>
      <c r="BT16" s="34">
        <f>IF(AND(67&lt;P_Inicio,67&lt;=Fin),1,0)</f>
        <v>0</v>
      </c>
      <c r="BU16" s="34">
        <f>IF(AND(68&lt;P_Inicio,68&lt;=Fin),1,0)</f>
        <v>0</v>
      </c>
      <c r="BV16" s="34">
        <f>IF(AND(69&lt;P_Inicio,69&lt;=Fin),1,0)</f>
        <v>0</v>
      </c>
      <c r="BW16" s="34">
        <f>IF(AND(70&lt;P_Inicio,70&lt;=Fin),1,0)</f>
        <v>0</v>
      </c>
      <c r="BX16" s="34">
        <f>IF(AND(71&lt;P_Inicio,71&lt;=Fin),1,0)</f>
        <v>0</v>
      </c>
      <c r="BY16" s="34">
        <f>IF(AND(72&lt;P_Inicio,72&lt;=Fin),1,0)</f>
        <v>0</v>
      </c>
      <c r="BZ16" s="34">
        <f>IF(AND(73&lt;P_Inicio,73&lt;=Fin),1,0)</f>
        <v>0</v>
      </c>
      <c r="CA16" s="34">
        <f>IF(AND(74&lt;P_Inicio,74&lt;=Fin),1,0)</f>
        <v>0</v>
      </c>
      <c r="CB16" s="34">
        <f>IF(AND(75&lt;P_Inicio,75&lt;=Fin),1,0)</f>
        <v>0</v>
      </c>
      <c r="CC16" s="34">
        <f>IF(AND(76&lt;P_Inicio,76&lt;=Fin),1,0)</f>
        <v>0</v>
      </c>
      <c r="CD16" s="34">
        <f>IF(AND(77&lt;P_Inicio,77&lt;=Fin),1,0)</f>
        <v>0</v>
      </c>
      <c r="CE16" s="34">
        <f>IF(AND(78&lt;P_Inicio,78&lt;=Fin),1,0)</f>
        <v>0</v>
      </c>
      <c r="CF16" s="34">
        <f>IF(AND(79&lt;P_Inicio,79&lt;=Fin),1,0)</f>
        <v>0</v>
      </c>
      <c r="CG16" s="34">
        <f>IF(AND(80&lt;P_Inicio,80&lt;=Fin),1,0)</f>
        <v>0</v>
      </c>
      <c r="CH16" s="34">
        <f>IF(AND(81&lt;P_Inicio,81&lt;=Fin),1,0)</f>
        <v>0</v>
      </c>
      <c r="CI16" s="34">
        <f>IF(AND(82&lt;P_Inicio,82&lt;=Fin),1,0)</f>
        <v>0</v>
      </c>
      <c r="CJ16" s="34">
        <f>IF(AND(83&lt;P_Inicio,83&lt;=Fin),1,0)</f>
        <v>0</v>
      </c>
      <c r="CK16" s="34">
        <f>IF(AND(84&lt;P_Inicio,84&lt;=Fin),1,0)</f>
        <v>0</v>
      </c>
      <c r="CL16" s="34">
        <f>IF(AND(85&lt;P_Inicio,85&lt;=Fin),1,0)</f>
        <v>0</v>
      </c>
      <c r="CM16" s="34">
        <f>IF(AND(86&lt;P_Inicio,86&lt;=Fin),1,0)</f>
        <v>0</v>
      </c>
      <c r="CN16" s="34">
        <f>IF(AND(87&lt;P_Inicio,87&lt;=Fin),1,0)</f>
        <v>0</v>
      </c>
      <c r="CO16" s="34">
        <f>IF(AND(88&lt;P_Inicio,88&lt;=Fin),1,0)</f>
        <v>0</v>
      </c>
      <c r="CP16" s="34">
        <f>IF(AND(89&lt;P_Inicio,89&lt;=Fin),1,0)</f>
        <v>0</v>
      </c>
      <c r="CQ16" s="34">
        <f>IF(AND(90&lt;P_Inicio,90&lt;=Fin),1,0)</f>
        <v>0</v>
      </c>
      <c r="CR16" s="34">
        <f>IF(AND(91&lt;P_Inicio,91&lt;=Fin),1,0)</f>
        <v>0</v>
      </c>
      <c r="CS16" s="34">
        <f>IF(AND(92&lt;P_Inicio,92&lt;=Fin),1,0)</f>
        <v>0</v>
      </c>
      <c r="CT16" s="34">
        <f>IF(AND(93&lt;P_Inicio,93&lt;=Fin),1,0)</f>
        <v>0</v>
      </c>
      <c r="CU16" s="34">
        <f>IF(AND(94&lt;P_Inicio,94&lt;=Fin),1,0)</f>
        <v>0</v>
      </c>
      <c r="CV16" s="34">
        <f>IF(AND(95&lt;P_Inicio,95&lt;=Fin),1,0)</f>
        <v>0</v>
      </c>
      <c r="CW16" s="34">
        <f>IF(AND(96&lt;P_Inicio,96&lt;=Fin),1,0)</f>
        <v>0</v>
      </c>
      <c r="CX16" s="34">
        <f>IF(AND(97&lt;P_Inicio,97&lt;=Fin),1,0)</f>
        <v>0</v>
      </c>
      <c r="CY16" s="34">
        <f>IF(AND(98&lt;P_Inicio,98&lt;=Fin),1,0)</f>
        <v>0</v>
      </c>
      <c r="CZ16" s="34">
        <f>IF(AND(99&lt;P_Inicio,99&lt;=Fin),1,0)</f>
        <v>0</v>
      </c>
      <c r="DA16" s="34">
        <f>IF(AND(100&lt;P_Inicio,100&lt;=Fin),1,0)</f>
        <v>0</v>
      </c>
      <c r="DB16" s="34">
        <f>IF(AND(101&lt;P_Inicio,101&lt;=Fin),1,0)</f>
        <v>0</v>
      </c>
      <c r="DC16" s="34">
        <f>IF(AND(102&lt;P_Inicio,102&lt;=Fin),1,0)</f>
        <v>0</v>
      </c>
      <c r="DD16" s="34">
        <f>IF(AND(103&lt;P_Inicio,103&lt;=Fin),1,0)</f>
        <v>0</v>
      </c>
      <c r="DE16" s="34">
        <f>IF(AND(104&lt;P_Inicio,104&lt;=Fin),1,0)</f>
        <v>0</v>
      </c>
      <c r="DF16" s="34">
        <f>IF(AND(105&lt;P_Inicio,105&lt;=Fin),1,0)</f>
        <v>0</v>
      </c>
      <c r="DG16" s="34">
        <f>IF(AND(106&lt;P_Inicio,106&lt;=Fin),1,0)</f>
        <v>0</v>
      </c>
      <c r="DH16" s="34">
        <f>IF(AND(107&lt;P_Inicio,107&lt;=Fin),1,0)</f>
        <v>0</v>
      </c>
      <c r="DI16" s="34">
        <f>IF(AND(108&lt;P_Inicio,108&lt;=Fin),1,0)</f>
        <v>0</v>
      </c>
      <c r="DJ16" s="34">
        <f>IF(AND(109&lt;P_Inicio,109&lt;=Fin),1,0)</f>
        <v>0</v>
      </c>
      <c r="DK16" s="34">
        <f>IF(AND(110&lt;P_Inicio,110&lt;=Fin),1,0)</f>
        <v>0</v>
      </c>
      <c r="DL16" s="34">
        <f>IF(AND(111&lt;P_Inicio,111&lt;=Fin),1,0)</f>
        <v>0</v>
      </c>
      <c r="DM16" s="34">
        <f>IF(AND(112&lt;P_Inicio,112&lt;=Fin),1,0)</f>
        <v>0</v>
      </c>
      <c r="DN16" s="34">
        <f>IF(AND(113&lt;P_Inicio,113&lt;=Fin),1,0)</f>
        <v>0</v>
      </c>
      <c r="DO16" s="34">
        <f>IF(AND(114&lt;P_Inicio,114&lt;=Fin),1,0)</f>
        <v>0</v>
      </c>
      <c r="DP16" s="34">
        <f>IF(AND(115&lt;P_Inicio,115&lt;=Fin),1,0)</f>
        <v>0</v>
      </c>
      <c r="DQ16" s="34">
        <f>IF(AND(116&lt;P_Inicio,116&lt;=Fin),1,0)</f>
        <v>0</v>
      </c>
      <c r="DR16" s="34">
        <f>IF(AND(117&lt;P_Inicio,117&lt;=Fin),1,0)</f>
        <v>0</v>
      </c>
      <c r="DS16" s="34">
        <f>IF(AND(118&lt;P_Inicio,118&lt;=Fin),1,0)</f>
        <v>0</v>
      </c>
      <c r="DT16" s="34">
        <f>IF(AND(119&lt;P_Inicio,119&lt;=Fin),1,0)</f>
        <v>0</v>
      </c>
      <c r="DU16" s="34">
        <f>IF(AND(120&lt;P_Inicio,120&lt;=Fin),1,0)</f>
        <v>0</v>
      </c>
      <c r="DV16" s="34">
        <f>IF(AND(121&lt;P_Inicio,121&lt;=Fin),1,0)</f>
        <v>0</v>
      </c>
      <c r="DW16" s="34">
        <f>IF(AND(122&lt;P_Inicio,122&lt;=Fin),1,0)</f>
        <v>0</v>
      </c>
      <c r="DX16" s="34">
        <f>IF(AND(123&lt;P_Inicio,123&lt;=Fin),1,0)</f>
        <v>0</v>
      </c>
      <c r="DY16" s="34">
        <f>IF(AND(124&lt;P_Inicio,124&lt;=Fin),1,0)</f>
        <v>0</v>
      </c>
      <c r="DZ16" s="34">
        <f>IF(AND(125&lt;P_Inicio,125&lt;=Fin),1,0)</f>
        <v>0</v>
      </c>
      <c r="EA16" s="34">
        <f>IF(AND(126&lt;P_Inicio,126&lt;=Fin),1,0)</f>
        <v>0</v>
      </c>
      <c r="EB16" s="34">
        <f>IF(AND(127&lt;P_Inicio,127&lt;=Fin),1,0)</f>
        <v>0</v>
      </c>
      <c r="EC16" s="34">
        <f>IF(AND(128&lt;P_Inicio,128&lt;=Fin),1,0)</f>
        <v>0</v>
      </c>
      <c r="ED16" s="34">
        <f>IF(AND(129&lt;P_Inicio,129&lt;=Fin),1,0)</f>
        <v>0</v>
      </c>
      <c r="EE16" s="34">
        <f>IF(AND(130&lt;P_Inicio,130&lt;=Fin),1,0)</f>
        <v>0</v>
      </c>
      <c r="EF16" s="34">
        <f>IF(AND(131&lt;P_Inicio,131&lt;=Fin),1,0)</f>
        <v>0</v>
      </c>
      <c r="EG16" s="34">
        <f>IF(AND(132&lt;P_Inicio,132&lt;=Fin),1,0)</f>
        <v>0</v>
      </c>
      <c r="EH16" s="34">
        <f>IF(AND(133&lt;P_Inicio,133&lt;=Fin),1,0)</f>
        <v>0</v>
      </c>
      <c r="EI16" s="34">
        <f>IF(AND(134&lt;P_Inicio,134&lt;=Fin),1,0)</f>
        <v>0</v>
      </c>
      <c r="EJ16" s="34">
        <f>IF(AND(135&lt;P_Inicio,135&lt;=Fin),1,0)</f>
        <v>0</v>
      </c>
      <c r="EK16" s="34">
        <f>IF(AND(136&lt;P_Inicio,136&lt;=Fin),1,0)</f>
        <v>0</v>
      </c>
      <c r="EL16" s="34">
        <f>IF(AND(137&lt;P_Inicio,137&lt;=Fin),1,0)</f>
        <v>0</v>
      </c>
      <c r="EM16" s="34">
        <f>IF(AND(138&lt;P_Inicio,138&lt;=Fin),1,0)</f>
        <v>0</v>
      </c>
      <c r="EN16" s="34">
        <f>IF(AND(139&lt;P_Inicio,139&lt;=Fin),1,0)</f>
        <v>0</v>
      </c>
      <c r="EO16" s="34">
        <f>IF(AND(140&lt;P_Inicio,140&lt;=Fin),1,0)</f>
        <v>0</v>
      </c>
      <c r="EP16" s="34">
        <f>IF(AND(141&lt;P_Inicio,141&lt;=Fin),1,0)</f>
        <v>0</v>
      </c>
      <c r="EQ16" s="34">
        <f>IF(AND(142&lt;P_Inicio,142&lt;=Fin),1,0)</f>
        <v>0</v>
      </c>
      <c r="ER16" s="34">
        <f>IF(AND(143&lt;P_Inicio,143&lt;=Fin),1,0)</f>
        <v>0</v>
      </c>
      <c r="ES16" s="34">
        <f>IF(AND(144&lt;P_Inicio,144&lt;=Fin),1,0)</f>
        <v>0</v>
      </c>
    </row>
    <row r="17" spans="1:149" x14ac:dyDescent="0.3">
      <c r="A17" s="14" t="s">
        <v>992</v>
      </c>
      <c r="B17" s="18" t="s">
        <v>993</v>
      </c>
      <c r="C17" s="18" t="s">
        <v>986</v>
      </c>
      <c r="F17" s="34">
        <f t="shared" ref="F17:AK17" si="5">MAX(1,F$14)</f>
        <v>1</v>
      </c>
      <c r="G17" s="34">
        <f t="shared" si="5"/>
        <v>1</v>
      </c>
      <c r="H17" s="34">
        <f t="shared" si="5"/>
        <v>1</v>
      </c>
      <c r="I17" s="34">
        <f t="shared" si="5"/>
        <v>1</v>
      </c>
      <c r="J17" s="34">
        <f t="shared" si="5"/>
        <v>1</v>
      </c>
      <c r="K17" s="34">
        <f t="shared" si="5"/>
        <v>1</v>
      </c>
      <c r="L17" s="34">
        <f t="shared" si="5"/>
        <v>1</v>
      </c>
      <c r="M17" s="34">
        <f t="shared" si="5"/>
        <v>1</v>
      </c>
      <c r="N17" s="34">
        <f t="shared" si="5"/>
        <v>1</v>
      </c>
      <c r="O17" s="34">
        <f t="shared" si="5"/>
        <v>1</v>
      </c>
      <c r="P17" s="34">
        <f t="shared" si="5"/>
        <v>1</v>
      </c>
      <c r="Q17" s="34">
        <f t="shared" si="5"/>
        <v>1</v>
      </c>
      <c r="R17" s="34">
        <f t="shared" si="5"/>
        <v>2</v>
      </c>
      <c r="S17" s="34">
        <f t="shared" si="5"/>
        <v>2</v>
      </c>
      <c r="T17" s="34">
        <f t="shared" si="5"/>
        <v>2</v>
      </c>
      <c r="U17" s="34">
        <f t="shared" si="5"/>
        <v>2</v>
      </c>
      <c r="V17" s="34">
        <f t="shared" si="5"/>
        <v>2</v>
      </c>
      <c r="W17" s="34">
        <f t="shared" si="5"/>
        <v>2</v>
      </c>
      <c r="X17" s="34">
        <f t="shared" si="5"/>
        <v>2</v>
      </c>
      <c r="Y17" s="34">
        <f t="shared" si="5"/>
        <v>2</v>
      </c>
      <c r="Z17" s="34">
        <f t="shared" si="5"/>
        <v>2</v>
      </c>
      <c r="AA17" s="34">
        <f t="shared" si="5"/>
        <v>2</v>
      </c>
      <c r="AB17" s="34">
        <f t="shared" si="5"/>
        <v>2</v>
      </c>
      <c r="AC17" s="34">
        <f t="shared" si="5"/>
        <v>2</v>
      </c>
      <c r="AD17" s="34">
        <f t="shared" si="5"/>
        <v>3</v>
      </c>
      <c r="AE17" s="34">
        <f t="shared" si="5"/>
        <v>3</v>
      </c>
      <c r="AF17" s="34">
        <f t="shared" si="5"/>
        <v>3</v>
      </c>
      <c r="AG17" s="34">
        <f t="shared" si="5"/>
        <v>3</v>
      </c>
      <c r="AH17" s="34">
        <f t="shared" si="5"/>
        <v>3</v>
      </c>
      <c r="AI17" s="34">
        <f t="shared" si="5"/>
        <v>3</v>
      </c>
      <c r="AJ17" s="34">
        <f t="shared" si="5"/>
        <v>3</v>
      </c>
      <c r="AK17" s="34">
        <f t="shared" si="5"/>
        <v>3</v>
      </c>
      <c r="AL17" s="34">
        <f t="shared" ref="AL17:BQ17" si="6">MAX(1,AL$14)</f>
        <v>3</v>
      </c>
      <c r="AM17" s="34">
        <f t="shared" si="6"/>
        <v>3</v>
      </c>
      <c r="AN17" s="34">
        <f t="shared" si="6"/>
        <v>3</v>
      </c>
      <c r="AO17" s="34">
        <f t="shared" si="6"/>
        <v>3</v>
      </c>
      <c r="AP17" s="34">
        <f t="shared" si="6"/>
        <v>4</v>
      </c>
      <c r="AQ17" s="34">
        <f t="shared" si="6"/>
        <v>4</v>
      </c>
      <c r="AR17" s="34">
        <f t="shared" si="6"/>
        <v>4</v>
      </c>
      <c r="AS17" s="34">
        <f t="shared" si="6"/>
        <v>4</v>
      </c>
      <c r="AT17" s="34">
        <f t="shared" si="6"/>
        <v>4</v>
      </c>
      <c r="AU17" s="34">
        <f t="shared" si="6"/>
        <v>4</v>
      </c>
      <c r="AV17" s="34">
        <f t="shared" si="6"/>
        <v>4</v>
      </c>
      <c r="AW17" s="34">
        <f t="shared" si="6"/>
        <v>4</v>
      </c>
      <c r="AX17" s="34">
        <f t="shared" si="6"/>
        <v>4</v>
      </c>
      <c r="AY17" s="34">
        <f t="shared" si="6"/>
        <v>4</v>
      </c>
      <c r="AZ17" s="34">
        <f t="shared" si="6"/>
        <v>4</v>
      </c>
      <c r="BA17" s="34">
        <f t="shared" si="6"/>
        <v>4</v>
      </c>
      <c r="BB17" s="34">
        <f t="shared" si="6"/>
        <v>5</v>
      </c>
      <c r="BC17" s="34">
        <f t="shared" si="6"/>
        <v>5</v>
      </c>
      <c r="BD17" s="34">
        <f t="shared" si="6"/>
        <v>5</v>
      </c>
      <c r="BE17" s="34">
        <f t="shared" si="6"/>
        <v>5</v>
      </c>
      <c r="BF17" s="34">
        <f t="shared" si="6"/>
        <v>5</v>
      </c>
      <c r="BG17" s="34">
        <f t="shared" si="6"/>
        <v>5</v>
      </c>
      <c r="BH17" s="34">
        <f t="shared" si="6"/>
        <v>5</v>
      </c>
      <c r="BI17" s="34">
        <f t="shared" si="6"/>
        <v>5</v>
      </c>
      <c r="BJ17" s="34">
        <f t="shared" si="6"/>
        <v>5</v>
      </c>
      <c r="BK17" s="34">
        <f t="shared" si="6"/>
        <v>5</v>
      </c>
      <c r="BL17" s="34">
        <f t="shared" si="6"/>
        <v>5</v>
      </c>
      <c r="BM17" s="34">
        <f t="shared" si="6"/>
        <v>5</v>
      </c>
      <c r="BN17" s="34">
        <f t="shared" si="6"/>
        <v>6</v>
      </c>
      <c r="BO17" s="34">
        <f t="shared" si="6"/>
        <v>6</v>
      </c>
      <c r="BP17" s="34">
        <f t="shared" si="6"/>
        <v>6</v>
      </c>
      <c r="BQ17" s="34">
        <f t="shared" si="6"/>
        <v>6</v>
      </c>
      <c r="BR17" s="34">
        <f t="shared" ref="BR17:CW17" si="7">MAX(1,BR$14)</f>
        <v>6</v>
      </c>
      <c r="BS17" s="34">
        <f t="shared" si="7"/>
        <v>6</v>
      </c>
      <c r="BT17" s="34">
        <f t="shared" si="7"/>
        <v>6</v>
      </c>
      <c r="BU17" s="34">
        <f t="shared" si="7"/>
        <v>6</v>
      </c>
      <c r="BV17" s="34">
        <f t="shared" si="7"/>
        <v>6</v>
      </c>
      <c r="BW17" s="34">
        <f t="shared" si="7"/>
        <v>6</v>
      </c>
      <c r="BX17" s="34">
        <f t="shared" si="7"/>
        <v>6</v>
      </c>
      <c r="BY17" s="34">
        <f t="shared" si="7"/>
        <v>6</v>
      </c>
      <c r="BZ17" s="34">
        <f t="shared" si="7"/>
        <v>7</v>
      </c>
      <c r="CA17" s="34">
        <f t="shared" si="7"/>
        <v>7</v>
      </c>
      <c r="CB17" s="34">
        <f t="shared" si="7"/>
        <v>7</v>
      </c>
      <c r="CC17" s="34">
        <f t="shared" si="7"/>
        <v>7</v>
      </c>
      <c r="CD17" s="34">
        <f t="shared" si="7"/>
        <v>7</v>
      </c>
      <c r="CE17" s="34">
        <f t="shared" si="7"/>
        <v>7</v>
      </c>
      <c r="CF17" s="34">
        <f t="shared" si="7"/>
        <v>7</v>
      </c>
      <c r="CG17" s="34">
        <f t="shared" si="7"/>
        <v>7</v>
      </c>
      <c r="CH17" s="34">
        <f t="shared" si="7"/>
        <v>7</v>
      </c>
      <c r="CI17" s="34">
        <f t="shared" si="7"/>
        <v>7</v>
      </c>
      <c r="CJ17" s="34">
        <f t="shared" si="7"/>
        <v>7</v>
      </c>
      <c r="CK17" s="34">
        <f t="shared" si="7"/>
        <v>7</v>
      </c>
      <c r="CL17" s="34">
        <f t="shared" si="7"/>
        <v>8</v>
      </c>
      <c r="CM17" s="34">
        <f t="shared" si="7"/>
        <v>8</v>
      </c>
      <c r="CN17" s="34">
        <f t="shared" si="7"/>
        <v>8</v>
      </c>
      <c r="CO17" s="34">
        <f t="shared" si="7"/>
        <v>8</v>
      </c>
      <c r="CP17" s="34">
        <f t="shared" si="7"/>
        <v>8</v>
      </c>
      <c r="CQ17" s="34">
        <f t="shared" si="7"/>
        <v>8</v>
      </c>
      <c r="CR17" s="34">
        <f t="shared" si="7"/>
        <v>8</v>
      </c>
      <c r="CS17" s="34">
        <f t="shared" si="7"/>
        <v>8</v>
      </c>
      <c r="CT17" s="34">
        <f t="shared" si="7"/>
        <v>8</v>
      </c>
      <c r="CU17" s="34">
        <f t="shared" si="7"/>
        <v>8</v>
      </c>
      <c r="CV17" s="34">
        <f t="shared" si="7"/>
        <v>8</v>
      </c>
      <c r="CW17" s="34">
        <f t="shared" si="7"/>
        <v>8</v>
      </c>
      <c r="CX17" s="34">
        <f t="shared" ref="CX17:EC17" si="8">MAX(1,CX$14)</f>
        <v>9</v>
      </c>
      <c r="CY17" s="34">
        <f t="shared" si="8"/>
        <v>9</v>
      </c>
      <c r="CZ17" s="34">
        <f t="shared" si="8"/>
        <v>9</v>
      </c>
      <c r="DA17" s="34">
        <f t="shared" si="8"/>
        <v>9</v>
      </c>
      <c r="DB17" s="34">
        <f t="shared" si="8"/>
        <v>9</v>
      </c>
      <c r="DC17" s="34">
        <f t="shared" si="8"/>
        <v>9</v>
      </c>
      <c r="DD17" s="34">
        <f t="shared" si="8"/>
        <v>9</v>
      </c>
      <c r="DE17" s="34">
        <f t="shared" si="8"/>
        <v>9</v>
      </c>
      <c r="DF17" s="34">
        <f t="shared" si="8"/>
        <v>9</v>
      </c>
      <c r="DG17" s="34">
        <f t="shared" si="8"/>
        <v>9</v>
      </c>
      <c r="DH17" s="34">
        <f t="shared" si="8"/>
        <v>9</v>
      </c>
      <c r="DI17" s="34">
        <f t="shared" si="8"/>
        <v>9</v>
      </c>
      <c r="DJ17" s="34">
        <f t="shared" si="8"/>
        <v>10</v>
      </c>
      <c r="DK17" s="34">
        <f t="shared" si="8"/>
        <v>10</v>
      </c>
      <c r="DL17" s="34">
        <f t="shared" si="8"/>
        <v>10</v>
      </c>
      <c r="DM17" s="34">
        <f t="shared" si="8"/>
        <v>10</v>
      </c>
      <c r="DN17" s="34">
        <f t="shared" si="8"/>
        <v>10</v>
      </c>
      <c r="DO17" s="34">
        <f t="shared" si="8"/>
        <v>10</v>
      </c>
      <c r="DP17" s="34">
        <f t="shared" si="8"/>
        <v>10</v>
      </c>
      <c r="DQ17" s="34">
        <f t="shared" si="8"/>
        <v>10</v>
      </c>
      <c r="DR17" s="34">
        <f t="shared" si="8"/>
        <v>10</v>
      </c>
      <c r="DS17" s="34">
        <f t="shared" si="8"/>
        <v>10</v>
      </c>
      <c r="DT17" s="34">
        <f t="shared" si="8"/>
        <v>10</v>
      </c>
      <c r="DU17" s="34">
        <f t="shared" si="8"/>
        <v>10</v>
      </c>
      <c r="DV17" s="34">
        <f t="shared" si="8"/>
        <v>1</v>
      </c>
      <c r="DW17" s="34">
        <f t="shared" si="8"/>
        <v>1</v>
      </c>
      <c r="DX17" s="34">
        <f t="shared" si="8"/>
        <v>1</v>
      </c>
      <c r="DY17" s="34">
        <f t="shared" si="8"/>
        <v>1</v>
      </c>
      <c r="DZ17" s="34">
        <f t="shared" si="8"/>
        <v>1</v>
      </c>
      <c r="EA17" s="34">
        <f t="shared" si="8"/>
        <v>1</v>
      </c>
      <c r="EB17" s="34">
        <f t="shared" si="8"/>
        <v>1</v>
      </c>
      <c r="EC17" s="34">
        <f t="shared" si="8"/>
        <v>1</v>
      </c>
      <c r="ED17" s="34">
        <f t="shared" ref="ED17:ES17" si="9">MAX(1,ED$14)</f>
        <v>1</v>
      </c>
      <c r="EE17" s="34">
        <f t="shared" si="9"/>
        <v>1</v>
      </c>
      <c r="EF17" s="34">
        <f t="shared" si="9"/>
        <v>1</v>
      </c>
      <c r="EG17" s="34">
        <f t="shared" si="9"/>
        <v>1</v>
      </c>
      <c r="EH17" s="34">
        <f t="shared" si="9"/>
        <v>1</v>
      </c>
      <c r="EI17" s="34">
        <f t="shared" si="9"/>
        <v>1</v>
      </c>
      <c r="EJ17" s="34">
        <f t="shared" si="9"/>
        <v>1</v>
      </c>
      <c r="EK17" s="34">
        <f t="shared" si="9"/>
        <v>1</v>
      </c>
      <c r="EL17" s="34">
        <f t="shared" si="9"/>
        <v>1</v>
      </c>
      <c r="EM17" s="34">
        <f t="shared" si="9"/>
        <v>1</v>
      </c>
      <c r="EN17" s="34">
        <f t="shared" si="9"/>
        <v>1</v>
      </c>
      <c r="EO17" s="34">
        <f t="shared" si="9"/>
        <v>1</v>
      </c>
      <c r="EP17" s="34">
        <f t="shared" si="9"/>
        <v>1</v>
      </c>
      <c r="EQ17" s="34">
        <f t="shared" si="9"/>
        <v>1</v>
      </c>
      <c r="ER17" s="34">
        <f t="shared" si="9"/>
        <v>1</v>
      </c>
      <c r="ES17" s="34">
        <f t="shared" si="9"/>
        <v>1</v>
      </c>
    </row>
    <row r="18" spans="1:149" x14ac:dyDescent="0.3">
      <c r="A18" s="14" t="s">
        <v>994</v>
      </c>
      <c r="B18" s="18" t="s">
        <v>995</v>
      </c>
      <c r="C18" s="18" t="s">
        <v>397</v>
      </c>
      <c r="F18" s="48">
        <f t="shared" ref="F18:AK18" si="10">INDEX(TC_O,1,MIN(10,F$6))*(1+P_dTC)</f>
        <v>7300</v>
      </c>
      <c r="G18" s="48">
        <f t="shared" si="10"/>
        <v>7300</v>
      </c>
      <c r="H18" s="48">
        <f t="shared" si="10"/>
        <v>7300</v>
      </c>
      <c r="I18" s="48">
        <f t="shared" si="10"/>
        <v>7300</v>
      </c>
      <c r="J18" s="48">
        <f t="shared" si="10"/>
        <v>7300</v>
      </c>
      <c r="K18" s="48">
        <f t="shared" si="10"/>
        <v>7300</v>
      </c>
      <c r="L18" s="48">
        <f t="shared" si="10"/>
        <v>7300</v>
      </c>
      <c r="M18" s="48">
        <f t="shared" si="10"/>
        <v>7300</v>
      </c>
      <c r="N18" s="48">
        <f t="shared" si="10"/>
        <v>7300</v>
      </c>
      <c r="O18" s="48">
        <f t="shared" si="10"/>
        <v>7300</v>
      </c>
      <c r="P18" s="48">
        <f t="shared" si="10"/>
        <v>7300</v>
      </c>
      <c r="Q18" s="48">
        <f t="shared" si="10"/>
        <v>7300</v>
      </c>
      <c r="R18" s="48">
        <f t="shared" si="10"/>
        <v>7300</v>
      </c>
      <c r="S18" s="48">
        <f t="shared" si="10"/>
        <v>7300</v>
      </c>
      <c r="T18" s="48">
        <f t="shared" si="10"/>
        <v>7300</v>
      </c>
      <c r="U18" s="48">
        <f t="shared" si="10"/>
        <v>7300</v>
      </c>
      <c r="V18" s="48">
        <f t="shared" si="10"/>
        <v>7300</v>
      </c>
      <c r="W18" s="48">
        <f t="shared" si="10"/>
        <v>7300</v>
      </c>
      <c r="X18" s="48">
        <f t="shared" si="10"/>
        <v>7300</v>
      </c>
      <c r="Y18" s="48">
        <f t="shared" si="10"/>
        <v>7300</v>
      </c>
      <c r="Z18" s="48">
        <f t="shared" si="10"/>
        <v>7300</v>
      </c>
      <c r="AA18" s="48">
        <f t="shared" si="10"/>
        <v>7300</v>
      </c>
      <c r="AB18" s="48">
        <f t="shared" si="10"/>
        <v>7300</v>
      </c>
      <c r="AC18" s="48">
        <f t="shared" si="10"/>
        <v>7300</v>
      </c>
      <c r="AD18" s="48">
        <f t="shared" si="10"/>
        <v>7300</v>
      </c>
      <c r="AE18" s="48">
        <f t="shared" si="10"/>
        <v>7300</v>
      </c>
      <c r="AF18" s="48">
        <f t="shared" si="10"/>
        <v>7300</v>
      </c>
      <c r="AG18" s="48">
        <f t="shared" si="10"/>
        <v>7300</v>
      </c>
      <c r="AH18" s="48">
        <f t="shared" si="10"/>
        <v>7300</v>
      </c>
      <c r="AI18" s="48">
        <f t="shared" si="10"/>
        <v>7300</v>
      </c>
      <c r="AJ18" s="48">
        <f t="shared" si="10"/>
        <v>7300</v>
      </c>
      <c r="AK18" s="48">
        <f t="shared" si="10"/>
        <v>7300</v>
      </c>
      <c r="AL18" s="48">
        <f t="shared" ref="AL18:BQ18" si="11">INDEX(TC_O,1,MIN(10,AL$6))*(1+P_dTC)</f>
        <v>7300</v>
      </c>
      <c r="AM18" s="48">
        <f t="shared" si="11"/>
        <v>7300</v>
      </c>
      <c r="AN18" s="48">
        <f t="shared" si="11"/>
        <v>7300</v>
      </c>
      <c r="AO18" s="48">
        <f t="shared" si="11"/>
        <v>7300</v>
      </c>
      <c r="AP18" s="48">
        <f t="shared" si="11"/>
        <v>7300</v>
      </c>
      <c r="AQ18" s="48">
        <f t="shared" si="11"/>
        <v>7300</v>
      </c>
      <c r="AR18" s="48">
        <f t="shared" si="11"/>
        <v>7300</v>
      </c>
      <c r="AS18" s="48">
        <f t="shared" si="11"/>
        <v>7300</v>
      </c>
      <c r="AT18" s="48">
        <f t="shared" si="11"/>
        <v>7300</v>
      </c>
      <c r="AU18" s="48">
        <f t="shared" si="11"/>
        <v>7300</v>
      </c>
      <c r="AV18" s="48">
        <f t="shared" si="11"/>
        <v>7300</v>
      </c>
      <c r="AW18" s="48">
        <f t="shared" si="11"/>
        <v>7300</v>
      </c>
      <c r="AX18" s="48">
        <f t="shared" si="11"/>
        <v>7300</v>
      </c>
      <c r="AY18" s="48">
        <f t="shared" si="11"/>
        <v>7300</v>
      </c>
      <c r="AZ18" s="48">
        <f t="shared" si="11"/>
        <v>7300</v>
      </c>
      <c r="BA18" s="48">
        <f t="shared" si="11"/>
        <v>7300</v>
      </c>
      <c r="BB18" s="48">
        <f t="shared" si="11"/>
        <v>7300</v>
      </c>
      <c r="BC18" s="48">
        <f t="shared" si="11"/>
        <v>7300</v>
      </c>
      <c r="BD18" s="48">
        <f t="shared" si="11"/>
        <v>7300</v>
      </c>
      <c r="BE18" s="48">
        <f t="shared" si="11"/>
        <v>7300</v>
      </c>
      <c r="BF18" s="48">
        <f t="shared" si="11"/>
        <v>7300</v>
      </c>
      <c r="BG18" s="48">
        <f t="shared" si="11"/>
        <v>7300</v>
      </c>
      <c r="BH18" s="48">
        <f t="shared" si="11"/>
        <v>7300</v>
      </c>
      <c r="BI18" s="48">
        <f t="shared" si="11"/>
        <v>7300</v>
      </c>
      <c r="BJ18" s="48">
        <f t="shared" si="11"/>
        <v>7300</v>
      </c>
      <c r="BK18" s="48">
        <f t="shared" si="11"/>
        <v>7300</v>
      </c>
      <c r="BL18" s="48">
        <f t="shared" si="11"/>
        <v>7300</v>
      </c>
      <c r="BM18" s="48">
        <f t="shared" si="11"/>
        <v>7300</v>
      </c>
      <c r="BN18" s="48">
        <f t="shared" si="11"/>
        <v>7300</v>
      </c>
      <c r="BO18" s="48">
        <f t="shared" si="11"/>
        <v>7300</v>
      </c>
      <c r="BP18" s="48">
        <f t="shared" si="11"/>
        <v>7300</v>
      </c>
      <c r="BQ18" s="48">
        <f t="shared" si="11"/>
        <v>7300</v>
      </c>
      <c r="BR18" s="48">
        <f t="shared" ref="BR18:CW18" si="12">INDEX(TC_O,1,MIN(10,BR$6))*(1+P_dTC)</f>
        <v>7300</v>
      </c>
      <c r="BS18" s="48">
        <f t="shared" si="12"/>
        <v>7300</v>
      </c>
      <c r="BT18" s="48">
        <f t="shared" si="12"/>
        <v>7300</v>
      </c>
      <c r="BU18" s="48">
        <f t="shared" si="12"/>
        <v>7300</v>
      </c>
      <c r="BV18" s="48">
        <f t="shared" si="12"/>
        <v>7300</v>
      </c>
      <c r="BW18" s="48">
        <f t="shared" si="12"/>
        <v>7300</v>
      </c>
      <c r="BX18" s="48">
        <f t="shared" si="12"/>
        <v>7300</v>
      </c>
      <c r="BY18" s="48">
        <f t="shared" si="12"/>
        <v>7300</v>
      </c>
      <c r="BZ18" s="48">
        <f t="shared" si="12"/>
        <v>7300</v>
      </c>
      <c r="CA18" s="48">
        <f t="shared" si="12"/>
        <v>7300</v>
      </c>
      <c r="CB18" s="48">
        <f t="shared" si="12"/>
        <v>7300</v>
      </c>
      <c r="CC18" s="48">
        <f t="shared" si="12"/>
        <v>7300</v>
      </c>
      <c r="CD18" s="48">
        <f t="shared" si="12"/>
        <v>7300</v>
      </c>
      <c r="CE18" s="48">
        <f t="shared" si="12"/>
        <v>7300</v>
      </c>
      <c r="CF18" s="48">
        <f t="shared" si="12"/>
        <v>7300</v>
      </c>
      <c r="CG18" s="48">
        <f t="shared" si="12"/>
        <v>7300</v>
      </c>
      <c r="CH18" s="48">
        <f t="shared" si="12"/>
        <v>7300</v>
      </c>
      <c r="CI18" s="48">
        <f t="shared" si="12"/>
        <v>7300</v>
      </c>
      <c r="CJ18" s="48">
        <f t="shared" si="12"/>
        <v>7300</v>
      </c>
      <c r="CK18" s="48">
        <f t="shared" si="12"/>
        <v>7300</v>
      </c>
      <c r="CL18" s="48">
        <f t="shared" si="12"/>
        <v>7300</v>
      </c>
      <c r="CM18" s="48">
        <f t="shared" si="12"/>
        <v>7300</v>
      </c>
      <c r="CN18" s="48">
        <f t="shared" si="12"/>
        <v>7300</v>
      </c>
      <c r="CO18" s="48">
        <f t="shared" si="12"/>
        <v>7300</v>
      </c>
      <c r="CP18" s="48">
        <f t="shared" si="12"/>
        <v>7300</v>
      </c>
      <c r="CQ18" s="48">
        <f t="shared" si="12"/>
        <v>7300</v>
      </c>
      <c r="CR18" s="48">
        <f t="shared" si="12"/>
        <v>7300</v>
      </c>
      <c r="CS18" s="48">
        <f t="shared" si="12"/>
        <v>7300</v>
      </c>
      <c r="CT18" s="48">
        <f t="shared" si="12"/>
        <v>7300</v>
      </c>
      <c r="CU18" s="48">
        <f t="shared" si="12"/>
        <v>7300</v>
      </c>
      <c r="CV18" s="48">
        <f t="shared" si="12"/>
        <v>7300</v>
      </c>
      <c r="CW18" s="48">
        <f t="shared" si="12"/>
        <v>7300</v>
      </c>
      <c r="CX18" s="48">
        <f t="shared" ref="CX18:EC18" si="13">INDEX(TC_O,1,MIN(10,CX$6))*(1+P_dTC)</f>
        <v>7300</v>
      </c>
      <c r="CY18" s="48">
        <f t="shared" si="13"/>
        <v>7300</v>
      </c>
      <c r="CZ18" s="48">
        <f t="shared" si="13"/>
        <v>7300</v>
      </c>
      <c r="DA18" s="48">
        <f t="shared" si="13"/>
        <v>7300</v>
      </c>
      <c r="DB18" s="48">
        <f t="shared" si="13"/>
        <v>7300</v>
      </c>
      <c r="DC18" s="48">
        <f t="shared" si="13"/>
        <v>7300</v>
      </c>
      <c r="DD18" s="48">
        <f t="shared" si="13"/>
        <v>7300</v>
      </c>
      <c r="DE18" s="48">
        <f t="shared" si="13"/>
        <v>7300</v>
      </c>
      <c r="DF18" s="48">
        <f t="shared" si="13"/>
        <v>7300</v>
      </c>
      <c r="DG18" s="48">
        <f t="shared" si="13"/>
        <v>7300</v>
      </c>
      <c r="DH18" s="48">
        <f t="shared" si="13"/>
        <v>7300</v>
      </c>
      <c r="DI18" s="48">
        <f t="shared" si="13"/>
        <v>7300</v>
      </c>
      <c r="DJ18" s="48">
        <f t="shared" si="13"/>
        <v>7300</v>
      </c>
      <c r="DK18" s="48">
        <f t="shared" si="13"/>
        <v>7300</v>
      </c>
      <c r="DL18" s="48">
        <f t="shared" si="13"/>
        <v>7300</v>
      </c>
      <c r="DM18" s="48">
        <f t="shared" si="13"/>
        <v>7300</v>
      </c>
      <c r="DN18" s="48">
        <f t="shared" si="13"/>
        <v>7300</v>
      </c>
      <c r="DO18" s="48">
        <f t="shared" si="13"/>
        <v>7300</v>
      </c>
      <c r="DP18" s="48">
        <f t="shared" si="13"/>
        <v>7300</v>
      </c>
      <c r="DQ18" s="48">
        <f t="shared" si="13"/>
        <v>7300</v>
      </c>
      <c r="DR18" s="48">
        <f t="shared" si="13"/>
        <v>7300</v>
      </c>
      <c r="DS18" s="48">
        <f t="shared" si="13"/>
        <v>7300</v>
      </c>
      <c r="DT18" s="48">
        <f t="shared" si="13"/>
        <v>7300</v>
      </c>
      <c r="DU18" s="48">
        <f t="shared" si="13"/>
        <v>7300</v>
      </c>
      <c r="DV18" s="48">
        <f t="shared" si="13"/>
        <v>7300</v>
      </c>
      <c r="DW18" s="48">
        <f t="shared" si="13"/>
        <v>7300</v>
      </c>
      <c r="DX18" s="48">
        <f t="shared" si="13"/>
        <v>7300</v>
      </c>
      <c r="DY18" s="48">
        <f t="shared" si="13"/>
        <v>7300</v>
      </c>
      <c r="DZ18" s="48">
        <f t="shared" si="13"/>
        <v>7300</v>
      </c>
      <c r="EA18" s="48">
        <f t="shared" si="13"/>
        <v>7300</v>
      </c>
      <c r="EB18" s="48">
        <f t="shared" si="13"/>
        <v>7300</v>
      </c>
      <c r="EC18" s="48">
        <f t="shared" si="13"/>
        <v>7300</v>
      </c>
      <c r="ED18" s="48">
        <f t="shared" ref="ED18:ES18" si="14">INDEX(TC_O,1,MIN(10,ED$6))*(1+P_dTC)</f>
        <v>7300</v>
      </c>
      <c r="EE18" s="48">
        <f t="shared" si="14"/>
        <v>7300</v>
      </c>
      <c r="EF18" s="48">
        <f t="shared" si="14"/>
        <v>7300</v>
      </c>
      <c r="EG18" s="48">
        <f t="shared" si="14"/>
        <v>7300</v>
      </c>
      <c r="EH18" s="48">
        <f t="shared" si="14"/>
        <v>7300</v>
      </c>
      <c r="EI18" s="48">
        <f t="shared" si="14"/>
        <v>7300</v>
      </c>
      <c r="EJ18" s="48">
        <f t="shared" si="14"/>
        <v>7300</v>
      </c>
      <c r="EK18" s="48">
        <f t="shared" si="14"/>
        <v>7300</v>
      </c>
      <c r="EL18" s="48">
        <f t="shared" si="14"/>
        <v>7300</v>
      </c>
      <c r="EM18" s="48">
        <f t="shared" si="14"/>
        <v>7300</v>
      </c>
      <c r="EN18" s="48">
        <f t="shared" si="14"/>
        <v>7300</v>
      </c>
      <c r="EO18" s="48">
        <f t="shared" si="14"/>
        <v>7300</v>
      </c>
      <c r="EP18" s="48">
        <f t="shared" si="14"/>
        <v>7300</v>
      </c>
      <c r="EQ18" s="48">
        <f t="shared" si="14"/>
        <v>7300</v>
      </c>
      <c r="ER18" s="48">
        <f t="shared" si="14"/>
        <v>7300</v>
      </c>
      <c r="ES18" s="48">
        <f t="shared" si="14"/>
        <v>7300</v>
      </c>
    </row>
    <row r="19" spans="1:149" x14ac:dyDescent="0.3">
      <c r="A19" s="14" t="s">
        <v>996</v>
      </c>
      <c r="B19" s="18" t="s">
        <v>997</v>
      </c>
      <c r="C19" s="18"/>
      <c r="F19" s="42">
        <f t="shared" ref="F19:AK19" si="15">IF(F$18&gt;0,1/F$18,0)</f>
        <v>1.36986301369863E-4</v>
      </c>
      <c r="G19" s="42">
        <f t="shared" si="15"/>
        <v>1.36986301369863E-4</v>
      </c>
      <c r="H19" s="42">
        <f t="shared" si="15"/>
        <v>1.36986301369863E-4</v>
      </c>
      <c r="I19" s="42">
        <f t="shared" si="15"/>
        <v>1.36986301369863E-4</v>
      </c>
      <c r="J19" s="42">
        <f t="shared" si="15"/>
        <v>1.36986301369863E-4</v>
      </c>
      <c r="K19" s="42">
        <f t="shared" si="15"/>
        <v>1.36986301369863E-4</v>
      </c>
      <c r="L19" s="42">
        <f t="shared" si="15"/>
        <v>1.36986301369863E-4</v>
      </c>
      <c r="M19" s="42">
        <f t="shared" si="15"/>
        <v>1.36986301369863E-4</v>
      </c>
      <c r="N19" s="42">
        <f t="shared" si="15"/>
        <v>1.36986301369863E-4</v>
      </c>
      <c r="O19" s="42">
        <f t="shared" si="15"/>
        <v>1.36986301369863E-4</v>
      </c>
      <c r="P19" s="42">
        <f t="shared" si="15"/>
        <v>1.36986301369863E-4</v>
      </c>
      <c r="Q19" s="42">
        <f t="shared" si="15"/>
        <v>1.36986301369863E-4</v>
      </c>
      <c r="R19" s="42">
        <f t="shared" si="15"/>
        <v>1.36986301369863E-4</v>
      </c>
      <c r="S19" s="42">
        <f t="shared" si="15"/>
        <v>1.36986301369863E-4</v>
      </c>
      <c r="T19" s="42">
        <f t="shared" si="15"/>
        <v>1.36986301369863E-4</v>
      </c>
      <c r="U19" s="42">
        <f t="shared" si="15"/>
        <v>1.36986301369863E-4</v>
      </c>
      <c r="V19" s="42">
        <f t="shared" si="15"/>
        <v>1.36986301369863E-4</v>
      </c>
      <c r="W19" s="42">
        <f t="shared" si="15"/>
        <v>1.36986301369863E-4</v>
      </c>
      <c r="X19" s="42">
        <f t="shared" si="15"/>
        <v>1.36986301369863E-4</v>
      </c>
      <c r="Y19" s="42">
        <f t="shared" si="15"/>
        <v>1.36986301369863E-4</v>
      </c>
      <c r="Z19" s="42">
        <f t="shared" si="15"/>
        <v>1.36986301369863E-4</v>
      </c>
      <c r="AA19" s="42">
        <f t="shared" si="15"/>
        <v>1.36986301369863E-4</v>
      </c>
      <c r="AB19" s="42">
        <f t="shared" si="15"/>
        <v>1.36986301369863E-4</v>
      </c>
      <c r="AC19" s="42">
        <f t="shared" si="15"/>
        <v>1.36986301369863E-4</v>
      </c>
      <c r="AD19" s="42">
        <f t="shared" si="15"/>
        <v>1.36986301369863E-4</v>
      </c>
      <c r="AE19" s="42">
        <f t="shared" si="15"/>
        <v>1.36986301369863E-4</v>
      </c>
      <c r="AF19" s="42">
        <f t="shared" si="15"/>
        <v>1.36986301369863E-4</v>
      </c>
      <c r="AG19" s="42">
        <f t="shared" si="15"/>
        <v>1.36986301369863E-4</v>
      </c>
      <c r="AH19" s="42">
        <f t="shared" si="15"/>
        <v>1.36986301369863E-4</v>
      </c>
      <c r="AI19" s="42">
        <f t="shared" si="15"/>
        <v>1.36986301369863E-4</v>
      </c>
      <c r="AJ19" s="42">
        <f t="shared" si="15"/>
        <v>1.36986301369863E-4</v>
      </c>
      <c r="AK19" s="42">
        <f t="shared" si="15"/>
        <v>1.36986301369863E-4</v>
      </c>
      <c r="AL19" s="42">
        <f t="shared" ref="AL19:BQ19" si="16">IF(AL$18&gt;0,1/AL$18,0)</f>
        <v>1.36986301369863E-4</v>
      </c>
      <c r="AM19" s="42">
        <f t="shared" si="16"/>
        <v>1.36986301369863E-4</v>
      </c>
      <c r="AN19" s="42">
        <f t="shared" si="16"/>
        <v>1.36986301369863E-4</v>
      </c>
      <c r="AO19" s="42">
        <f t="shared" si="16"/>
        <v>1.36986301369863E-4</v>
      </c>
      <c r="AP19" s="42">
        <f t="shared" si="16"/>
        <v>1.36986301369863E-4</v>
      </c>
      <c r="AQ19" s="42">
        <f t="shared" si="16"/>
        <v>1.36986301369863E-4</v>
      </c>
      <c r="AR19" s="42">
        <f t="shared" si="16"/>
        <v>1.36986301369863E-4</v>
      </c>
      <c r="AS19" s="42">
        <f t="shared" si="16"/>
        <v>1.36986301369863E-4</v>
      </c>
      <c r="AT19" s="42">
        <f t="shared" si="16"/>
        <v>1.36986301369863E-4</v>
      </c>
      <c r="AU19" s="42">
        <f t="shared" si="16"/>
        <v>1.36986301369863E-4</v>
      </c>
      <c r="AV19" s="42">
        <f t="shared" si="16"/>
        <v>1.36986301369863E-4</v>
      </c>
      <c r="AW19" s="42">
        <f t="shared" si="16"/>
        <v>1.36986301369863E-4</v>
      </c>
      <c r="AX19" s="42">
        <f t="shared" si="16"/>
        <v>1.36986301369863E-4</v>
      </c>
      <c r="AY19" s="42">
        <f t="shared" si="16"/>
        <v>1.36986301369863E-4</v>
      </c>
      <c r="AZ19" s="42">
        <f t="shared" si="16"/>
        <v>1.36986301369863E-4</v>
      </c>
      <c r="BA19" s="42">
        <f t="shared" si="16"/>
        <v>1.36986301369863E-4</v>
      </c>
      <c r="BB19" s="42">
        <f t="shared" si="16"/>
        <v>1.36986301369863E-4</v>
      </c>
      <c r="BC19" s="42">
        <f t="shared" si="16"/>
        <v>1.36986301369863E-4</v>
      </c>
      <c r="BD19" s="42">
        <f t="shared" si="16"/>
        <v>1.36986301369863E-4</v>
      </c>
      <c r="BE19" s="42">
        <f t="shared" si="16"/>
        <v>1.36986301369863E-4</v>
      </c>
      <c r="BF19" s="42">
        <f t="shared" si="16"/>
        <v>1.36986301369863E-4</v>
      </c>
      <c r="BG19" s="42">
        <f t="shared" si="16"/>
        <v>1.36986301369863E-4</v>
      </c>
      <c r="BH19" s="42">
        <f t="shared" si="16"/>
        <v>1.36986301369863E-4</v>
      </c>
      <c r="BI19" s="42">
        <f t="shared" si="16"/>
        <v>1.36986301369863E-4</v>
      </c>
      <c r="BJ19" s="42">
        <f t="shared" si="16"/>
        <v>1.36986301369863E-4</v>
      </c>
      <c r="BK19" s="42">
        <f t="shared" si="16"/>
        <v>1.36986301369863E-4</v>
      </c>
      <c r="BL19" s="42">
        <f t="shared" si="16"/>
        <v>1.36986301369863E-4</v>
      </c>
      <c r="BM19" s="42">
        <f t="shared" si="16"/>
        <v>1.36986301369863E-4</v>
      </c>
      <c r="BN19" s="42">
        <f t="shared" si="16"/>
        <v>1.36986301369863E-4</v>
      </c>
      <c r="BO19" s="42">
        <f t="shared" si="16"/>
        <v>1.36986301369863E-4</v>
      </c>
      <c r="BP19" s="42">
        <f t="shared" si="16"/>
        <v>1.36986301369863E-4</v>
      </c>
      <c r="BQ19" s="42">
        <f t="shared" si="16"/>
        <v>1.36986301369863E-4</v>
      </c>
      <c r="BR19" s="42">
        <f t="shared" ref="BR19:CW19" si="17">IF(BR$18&gt;0,1/BR$18,0)</f>
        <v>1.36986301369863E-4</v>
      </c>
      <c r="BS19" s="42">
        <f t="shared" si="17"/>
        <v>1.36986301369863E-4</v>
      </c>
      <c r="BT19" s="42">
        <f t="shared" si="17"/>
        <v>1.36986301369863E-4</v>
      </c>
      <c r="BU19" s="42">
        <f t="shared" si="17"/>
        <v>1.36986301369863E-4</v>
      </c>
      <c r="BV19" s="42">
        <f t="shared" si="17"/>
        <v>1.36986301369863E-4</v>
      </c>
      <c r="BW19" s="42">
        <f t="shared" si="17"/>
        <v>1.36986301369863E-4</v>
      </c>
      <c r="BX19" s="42">
        <f t="shared" si="17"/>
        <v>1.36986301369863E-4</v>
      </c>
      <c r="BY19" s="42">
        <f t="shared" si="17"/>
        <v>1.36986301369863E-4</v>
      </c>
      <c r="BZ19" s="42">
        <f t="shared" si="17"/>
        <v>1.36986301369863E-4</v>
      </c>
      <c r="CA19" s="42">
        <f t="shared" si="17"/>
        <v>1.36986301369863E-4</v>
      </c>
      <c r="CB19" s="42">
        <f t="shared" si="17"/>
        <v>1.36986301369863E-4</v>
      </c>
      <c r="CC19" s="42">
        <f t="shared" si="17"/>
        <v>1.36986301369863E-4</v>
      </c>
      <c r="CD19" s="42">
        <f t="shared" si="17"/>
        <v>1.36986301369863E-4</v>
      </c>
      <c r="CE19" s="42">
        <f t="shared" si="17"/>
        <v>1.36986301369863E-4</v>
      </c>
      <c r="CF19" s="42">
        <f t="shared" si="17"/>
        <v>1.36986301369863E-4</v>
      </c>
      <c r="CG19" s="42">
        <f t="shared" si="17"/>
        <v>1.36986301369863E-4</v>
      </c>
      <c r="CH19" s="42">
        <f t="shared" si="17"/>
        <v>1.36986301369863E-4</v>
      </c>
      <c r="CI19" s="42">
        <f t="shared" si="17"/>
        <v>1.36986301369863E-4</v>
      </c>
      <c r="CJ19" s="42">
        <f t="shared" si="17"/>
        <v>1.36986301369863E-4</v>
      </c>
      <c r="CK19" s="42">
        <f t="shared" si="17"/>
        <v>1.36986301369863E-4</v>
      </c>
      <c r="CL19" s="42">
        <f t="shared" si="17"/>
        <v>1.36986301369863E-4</v>
      </c>
      <c r="CM19" s="42">
        <f t="shared" si="17"/>
        <v>1.36986301369863E-4</v>
      </c>
      <c r="CN19" s="42">
        <f t="shared" si="17"/>
        <v>1.36986301369863E-4</v>
      </c>
      <c r="CO19" s="42">
        <f t="shared" si="17"/>
        <v>1.36986301369863E-4</v>
      </c>
      <c r="CP19" s="42">
        <f t="shared" si="17"/>
        <v>1.36986301369863E-4</v>
      </c>
      <c r="CQ19" s="42">
        <f t="shared" si="17"/>
        <v>1.36986301369863E-4</v>
      </c>
      <c r="CR19" s="42">
        <f t="shared" si="17"/>
        <v>1.36986301369863E-4</v>
      </c>
      <c r="CS19" s="42">
        <f t="shared" si="17"/>
        <v>1.36986301369863E-4</v>
      </c>
      <c r="CT19" s="42">
        <f t="shared" si="17"/>
        <v>1.36986301369863E-4</v>
      </c>
      <c r="CU19" s="42">
        <f t="shared" si="17"/>
        <v>1.36986301369863E-4</v>
      </c>
      <c r="CV19" s="42">
        <f t="shared" si="17"/>
        <v>1.36986301369863E-4</v>
      </c>
      <c r="CW19" s="42">
        <f t="shared" si="17"/>
        <v>1.36986301369863E-4</v>
      </c>
      <c r="CX19" s="42">
        <f t="shared" ref="CX19:EC19" si="18">IF(CX$18&gt;0,1/CX$18,0)</f>
        <v>1.36986301369863E-4</v>
      </c>
      <c r="CY19" s="42">
        <f t="shared" si="18"/>
        <v>1.36986301369863E-4</v>
      </c>
      <c r="CZ19" s="42">
        <f t="shared" si="18"/>
        <v>1.36986301369863E-4</v>
      </c>
      <c r="DA19" s="42">
        <f t="shared" si="18"/>
        <v>1.36986301369863E-4</v>
      </c>
      <c r="DB19" s="42">
        <f t="shared" si="18"/>
        <v>1.36986301369863E-4</v>
      </c>
      <c r="DC19" s="42">
        <f t="shared" si="18"/>
        <v>1.36986301369863E-4</v>
      </c>
      <c r="DD19" s="42">
        <f t="shared" si="18"/>
        <v>1.36986301369863E-4</v>
      </c>
      <c r="DE19" s="42">
        <f t="shared" si="18"/>
        <v>1.36986301369863E-4</v>
      </c>
      <c r="DF19" s="42">
        <f t="shared" si="18"/>
        <v>1.36986301369863E-4</v>
      </c>
      <c r="DG19" s="42">
        <f t="shared" si="18"/>
        <v>1.36986301369863E-4</v>
      </c>
      <c r="DH19" s="42">
        <f t="shared" si="18"/>
        <v>1.36986301369863E-4</v>
      </c>
      <c r="DI19" s="42">
        <f t="shared" si="18"/>
        <v>1.36986301369863E-4</v>
      </c>
      <c r="DJ19" s="42">
        <f t="shared" si="18"/>
        <v>1.36986301369863E-4</v>
      </c>
      <c r="DK19" s="42">
        <f t="shared" si="18"/>
        <v>1.36986301369863E-4</v>
      </c>
      <c r="DL19" s="42">
        <f t="shared" si="18"/>
        <v>1.36986301369863E-4</v>
      </c>
      <c r="DM19" s="42">
        <f t="shared" si="18"/>
        <v>1.36986301369863E-4</v>
      </c>
      <c r="DN19" s="42">
        <f t="shared" si="18"/>
        <v>1.36986301369863E-4</v>
      </c>
      <c r="DO19" s="42">
        <f t="shared" si="18"/>
        <v>1.36986301369863E-4</v>
      </c>
      <c r="DP19" s="42">
        <f t="shared" si="18"/>
        <v>1.36986301369863E-4</v>
      </c>
      <c r="DQ19" s="42">
        <f t="shared" si="18"/>
        <v>1.36986301369863E-4</v>
      </c>
      <c r="DR19" s="42">
        <f t="shared" si="18"/>
        <v>1.36986301369863E-4</v>
      </c>
      <c r="DS19" s="42">
        <f t="shared" si="18"/>
        <v>1.36986301369863E-4</v>
      </c>
      <c r="DT19" s="42">
        <f t="shared" si="18"/>
        <v>1.36986301369863E-4</v>
      </c>
      <c r="DU19" s="42">
        <f t="shared" si="18"/>
        <v>1.36986301369863E-4</v>
      </c>
      <c r="DV19" s="42">
        <f t="shared" si="18"/>
        <v>1.36986301369863E-4</v>
      </c>
      <c r="DW19" s="42">
        <f t="shared" si="18"/>
        <v>1.36986301369863E-4</v>
      </c>
      <c r="DX19" s="42">
        <f t="shared" si="18"/>
        <v>1.36986301369863E-4</v>
      </c>
      <c r="DY19" s="42">
        <f t="shared" si="18"/>
        <v>1.36986301369863E-4</v>
      </c>
      <c r="DZ19" s="42">
        <f t="shared" si="18"/>
        <v>1.36986301369863E-4</v>
      </c>
      <c r="EA19" s="42">
        <f t="shared" si="18"/>
        <v>1.36986301369863E-4</v>
      </c>
      <c r="EB19" s="42">
        <f t="shared" si="18"/>
        <v>1.36986301369863E-4</v>
      </c>
      <c r="EC19" s="42">
        <f t="shared" si="18"/>
        <v>1.36986301369863E-4</v>
      </c>
      <c r="ED19" s="42">
        <f t="shared" ref="ED19:ES19" si="19">IF(ED$18&gt;0,1/ED$18,0)</f>
        <v>1.36986301369863E-4</v>
      </c>
      <c r="EE19" s="42">
        <f t="shared" si="19"/>
        <v>1.36986301369863E-4</v>
      </c>
      <c r="EF19" s="42">
        <f t="shared" si="19"/>
        <v>1.36986301369863E-4</v>
      </c>
      <c r="EG19" s="42">
        <f t="shared" si="19"/>
        <v>1.36986301369863E-4</v>
      </c>
      <c r="EH19" s="42">
        <f t="shared" si="19"/>
        <v>1.36986301369863E-4</v>
      </c>
      <c r="EI19" s="42">
        <f t="shared" si="19"/>
        <v>1.36986301369863E-4</v>
      </c>
      <c r="EJ19" s="42">
        <f t="shared" si="19"/>
        <v>1.36986301369863E-4</v>
      </c>
      <c r="EK19" s="42">
        <f t="shared" si="19"/>
        <v>1.36986301369863E-4</v>
      </c>
      <c r="EL19" s="42">
        <f t="shared" si="19"/>
        <v>1.36986301369863E-4</v>
      </c>
      <c r="EM19" s="42">
        <f t="shared" si="19"/>
        <v>1.36986301369863E-4</v>
      </c>
      <c r="EN19" s="42">
        <f t="shared" si="19"/>
        <v>1.36986301369863E-4</v>
      </c>
      <c r="EO19" s="42">
        <f t="shared" si="19"/>
        <v>1.36986301369863E-4</v>
      </c>
      <c r="EP19" s="42">
        <f t="shared" si="19"/>
        <v>1.36986301369863E-4</v>
      </c>
      <c r="EQ19" s="42">
        <f t="shared" si="19"/>
        <v>1.36986301369863E-4</v>
      </c>
      <c r="ER19" s="42">
        <f t="shared" si="19"/>
        <v>1.36986301369863E-4</v>
      </c>
      <c r="ES19" s="42">
        <f t="shared" si="19"/>
        <v>1.36986301369863E-4</v>
      </c>
    </row>
    <row r="20" spans="1:149" x14ac:dyDescent="0.3">
      <c r="A20" s="16"/>
      <c r="B20" s="15" t="s">
        <v>437</v>
      </c>
      <c r="C20" s="16"/>
      <c r="D20" s="16"/>
      <c r="E20" s="16"/>
    </row>
    <row r="21" spans="1:149" x14ac:dyDescent="0.3">
      <c r="A21" s="14" t="s">
        <v>998</v>
      </c>
      <c r="B21" s="53" t="str">
        <f>IF(INDEX(Prod_Nombre,1)="","Producto 1",INDEX(Prod_Nombre,1))&amp;" — unidades"</f>
        <v>Gabinetes metálicos 153 kg — unidades</v>
      </c>
      <c r="C21" s="18" t="s">
        <v>475</v>
      </c>
      <c r="E21" s="54">
        <f t="shared" ref="E21:E52" si="20">SUM(F21:ES21)</f>
        <v>192000</v>
      </c>
      <c r="F21" s="48">
        <f t="shared" ref="F21:AK21" si="21">IF(F$15=1,INDEX(Vol_O,1,F$14)/12*(1+P_dVol),0)</f>
        <v>1000</v>
      </c>
      <c r="G21" s="48">
        <f t="shared" si="21"/>
        <v>1000</v>
      </c>
      <c r="H21" s="48">
        <f t="shared" si="21"/>
        <v>1000</v>
      </c>
      <c r="I21" s="48">
        <f t="shared" si="21"/>
        <v>1000</v>
      </c>
      <c r="J21" s="48">
        <f t="shared" si="21"/>
        <v>1000</v>
      </c>
      <c r="K21" s="48">
        <f t="shared" si="21"/>
        <v>1000</v>
      </c>
      <c r="L21" s="48">
        <f t="shared" si="21"/>
        <v>1000</v>
      </c>
      <c r="M21" s="48">
        <f t="shared" si="21"/>
        <v>1000</v>
      </c>
      <c r="N21" s="48">
        <f t="shared" si="21"/>
        <v>1000</v>
      </c>
      <c r="O21" s="48">
        <f t="shared" si="21"/>
        <v>1000</v>
      </c>
      <c r="P21" s="48">
        <f t="shared" si="21"/>
        <v>1000</v>
      </c>
      <c r="Q21" s="48">
        <f t="shared" si="21"/>
        <v>1000</v>
      </c>
      <c r="R21" s="48">
        <f t="shared" si="21"/>
        <v>1250</v>
      </c>
      <c r="S21" s="48">
        <f t="shared" si="21"/>
        <v>1250</v>
      </c>
      <c r="T21" s="48">
        <f t="shared" si="21"/>
        <v>1250</v>
      </c>
      <c r="U21" s="48">
        <f t="shared" si="21"/>
        <v>1250</v>
      </c>
      <c r="V21" s="48">
        <f t="shared" si="21"/>
        <v>1250</v>
      </c>
      <c r="W21" s="48">
        <f t="shared" si="21"/>
        <v>1250</v>
      </c>
      <c r="X21" s="48">
        <f t="shared" si="21"/>
        <v>1250</v>
      </c>
      <c r="Y21" s="48">
        <f t="shared" si="21"/>
        <v>1250</v>
      </c>
      <c r="Z21" s="48">
        <f t="shared" si="21"/>
        <v>1250</v>
      </c>
      <c r="AA21" s="48">
        <f t="shared" si="21"/>
        <v>1250</v>
      </c>
      <c r="AB21" s="48">
        <f t="shared" si="21"/>
        <v>1250</v>
      </c>
      <c r="AC21" s="48">
        <f t="shared" si="21"/>
        <v>1250</v>
      </c>
      <c r="AD21" s="48">
        <f t="shared" si="21"/>
        <v>1500</v>
      </c>
      <c r="AE21" s="48">
        <f t="shared" si="21"/>
        <v>1500</v>
      </c>
      <c r="AF21" s="48">
        <f t="shared" si="21"/>
        <v>1500</v>
      </c>
      <c r="AG21" s="48">
        <f t="shared" si="21"/>
        <v>1500</v>
      </c>
      <c r="AH21" s="48">
        <f t="shared" si="21"/>
        <v>1500</v>
      </c>
      <c r="AI21" s="48">
        <f t="shared" si="21"/>
        <v>1500</v>
      </c>
      <c r="AJ21" s="48">
        <f t="shared" si="21"/>
        <v>1500</v>
      </c>
      <c r="AK21" s="48">
        <f t="shared" si="21"/>
        <v>1500</v>
      </c>
      <c r="AL21" s="48">
        <f t="shared" ref="AL21:BQ21" si="22">IF(AL$15=1,INDEX(Vol_O,1,AL$14)/12*(1+P_dVol),0)</f>
        <v>1500</v>
      </c>
      <c r="AM21" s="48">
        <f t="shared" si="22"/>
        <v>1500</v>
      </c>
      <c r="AN21" s="48">
        <f t="shared" si="22"/>
        <v>1500</v>
      </c>
      <c r="AO21" s="48">
        <f t="shared" si="22"/>
        <v>1500</v>
      </c>
      <c r="AP21" s="48">
        <f t="shared" si="22"/>
        <v>1750</v>
      </c>
      <c r="AQ21" s="48">
        <f t="shared" si="22"/>
        <v>1750</v>
      </c>
      <c r="AR21" s="48">
        <f t="shared" si="22"/>
        <v>1750</v>
      </c>
      <c r="AS21" s="48">
        <f t="shared" si="22"/>
        <v>1750</v>
      </c>
      <c r="AT21" s="48">
        <f t="shared" si="22"/>
        <v>1750</v>
      </c>
      <c r="AU21" s="48">
        <f t="shared" si="22"/>
        <v>1750</v>
      </c>
      <c r="AV21" s="48">
        <f t="shared" si="22"/>
        <v>1750</v>
      </c>
      <c r="AW21" s="48">
        <f t="shared" si="22"/>
        <v>1750</v>
      </c>
      <c r="AX21" s="48">
        <f t="shared" si="22"/>
        <v>1750</v>
      </c>
      <c r="AY21" s="48">
        <f t="shared" si="22"/>
        <v>1750</v>
      </c>
      <c r="AZ21" s="48">
        <f t="shared" si="22"/>
        <v>1750</v>
      </c>
      <c r="BA21" s="48">
        <f t="shared" si="22"/>
        <v>1750</v>
      </c>
      <c r="BB21" s="48">
        <f t="shared" si="22"/>
        <v>1750</v>
      </c>
      <c r="BC21" s="48">
        <f t="shared" si="22"/>
        <v>1750</v>
      </c>
      <c r="BD21" s="48">
        <f t="shared" si="22"/>
        <v>1750</v>
      </c>
      <c r="BE21" s="48">
        <f t="shared" si="22"/>
        <v>1750</v>
      </c>
      <c r="BF21" s="48">
        <f t="shared" si="22"/>
        <v>1750</v>
      </c>
      <c r="BG21" s="48">
        <f t="shared" si="22"/>
        <v>1750</v>
      </c>
      <c r="BH21" s="48">
        <f t="shared" si="22"/>
        <v>1750</v>
      </c>
      <c r="BI21" s="48">
        <f t="shared" si="22"/>
        <v>1750</v>
      </c>
      <c r="BJ21" s="48">
        <f t="shared" si="22"/>
        <v>1750</v>
      </c>
      <c r="BK21" s="48">
        <f t="shared" si="22"/>
        <v>1750</v>
      </c>
      <c r="BL21" s="48">
        <f t="shared" si="22"/>
        <v>1750</v>
      </c>
      <c r="BM21" s="48">
        <f t="shared" si="22"/>
        <v>1750</v>
      </c>
      <c r="BN21" s="48">
        <f t="shared" si="22"/>
        <v>1750</v>
      </c>
      <c r="BO21" s="48">
        <f t="shared" si="22"/>
        <v>1750</v>
      </c>
      <c r="BP21" s="48">
        <f t="shared" si="22"/>
        <v>1750</v>
      </c>
      <c r="BQ21" s="48">
        <f t="shared" si="22"/>
        <v>1750</v>
      </c>
      <c r="BR21" s="48">
        <f t="shared" ref="BR21:CW21" si="23">IF(BR$15=1,INDEX(Vol_O,1,BR$14)/12*(1+P_dVol),0)</f>
        <v>1750</v>
      </c>
      <c r="BS21" s="48">
        <f t="shared" si="23"/>
        <v>1750</v>
      </c>
      <c r="BT21" s="48">
        <f t="shared" si="23"/>
        <v>1750</v>
      </c>
      <c r="BU21" s="48">
        <f t="shared" si="23"/>
        <v>1750</v>
      </c>
      <c r="BV21" s="48">
        <f t="shared" si="23"/>
        <v>1750</v>
      </c>
      <c r="BW21" s="48">
        <f t="shared" si="23"/>
        <v>1750</v>
      </c>
      <c r="BX21" s="48">
        <f t="shared" si="23"/>
        <v>1750</v>
      </c>
      <c r="BY21" s="48">
        <f t="shared" si="23"/>
        <v>1750</v>
      </c>
      <c r="BZ21" s="48">
        <f t="shared" si="23"/>
        <v>1750</v>
      </c>
      <c r="CA21" s="48">
        <f t="shared" si="23"/>
        <v>1750</v>
      </c>
      <c r="CB21" s="48">
        <f t="shared" si="23"/>
        <v>1750</v>
      </c>
      <c r="CC21" s="48">
        <f t="shared" si="23"/>
        <v>1750</v>
      </c>
      <c r="CD21" s="48">
        <f t="shared" si="23"/>
        <v>1750</v>
      </c>
      <c r="CE21" s="48">
        <f t="shared" si="23"/>
        <v>1750</v>
      </c>
      <c r="CF21" s="48">
        <f t="shared" si="23"/>
        <v>1750</v>
      </c>
      <c r="CG21" s="48">
        <f t="shared" si="23"/>
        <v>1750</v>
      </c>
      <c r="CH21" s="48">
        <f t="shared" si="23"/>
        <v>1750</v>
      </c>
      <c r="CI21" s="48">
        <f t="shared" si="23"/>
        <v>1750</v>
      </c>
      <c r="CJ21" s="48">
        <f t="shared" si="23"/>
        <v>1750</v>
      </c>
      <c r="CK21" s="48">
        <f t="shared" si="23"/>
        <v>1750</v>
      </c>
      <c r="CL21" s="48">
        <f t="shared" si="23"/>
        <v>1750</v>
      </c>
      <c r="CM21" s="48">
        <f t="shared" si="23"/>
        <v>1750</v>
      </c>
      <c r="CN21" s="48">
        <f t="shared" si="23"/>
        <v>1750</v>
      </c>
      <c r="CO21" s="48">
        <f t="shared" si="23"/>
        <v>1750</v>
      </c>
      <c r="CP21" s="48">
        <f t="shared" si="23"/>
        <v>1750</v>
      </c>
      <c r="CQ21" s="48">
        <f t="shared" si="23"/>
        <v>1750</v>
      </c>
      <c r="CR21" s="48">
        <f t="shared" si="23"/>
        <v>1750</v>
      </c>
      <c r="CS21" s="48">
        <f t="shared" si="23"/>
        <v>1750</v>
      </c>
      <c r="CT21" s="48">
        <f t="shared" si="23"/>
        <v>1750</v>
      </c>
      <c r="CU21" s="48">
        <f t="shared" si="23"/>
        <v>1750</v>
      </c>
      <c r="CV21" s="48">
        <f t="shared" si="23"/>
        <v>1750</v>
      </c>
      <c r="CW21" s="48">
        <f t="shared" si="23"/>
        <v>1750</v>
      </c>
      <c r="CX21" s="48">
        <f t="shared" ref="CX21:EC21" si="24">IF(CX$15=1,INDEX(Vol_O,1,CX$14)/12*(1+P_dVol),0)</f>
        <v>1750</v>
      </c>
      <c r="CY21" s="48">
        <f t="shared" si="24"/>
        <v>1750</v>
      </c>
      <c r="CZ21" s="48">
        <f t="shared" si="24"/>
        <v>1750</v>
      </c>
      <c r="DA21" s="48">
        <f t="shared" si="24"/>
        <v>1750</v>
      </c>
      <c r="DB21" s="48">
        <f t="shared" si="24"/>
        <v>1750</v>
      </c>
      <c r="DC21" s="48">
        <f t="shared" si="24"/>
        <v>1750</v>
      </c>
      <c r="DD21" s="48">
        <f t="shared" si="24"/>
        <v>1750</v>
      </c>
      <c r="DE21" s="48">
        <f t="shared" si="24"/>
        <v>1750</v>
      </c>
      <c r="DF21" s="48">
        <f t="shared" si="24"/>
        <v>1750</v>
      </c>
      <c r="DG21" s="48">
        <f t="shared" si="24"/>
        <v>1750</v>
      </c>
      <c r="DH21" s="48">
        <f t="shared" si="24"/>
        <v>1750</v>
      </c>
      <c r="DI21" s="48">
        <f t="shared" si="24"/>
        <v>1750</v>
      </c>
      <c r="DJ21" s="48">
        <f t="shared" si="24"/>
        <v>1750</v>
      </c>
      <c r="DK21" s="48">
        <f t="shared" si="24"/>
        <v>1750</v>
      </c>
      <c r="DL21" s="48">
        <f t="shared" si="24"/>
        <v>1750</v>
      </c>
      <c r="DM21" s="48">
        <f t="shared" si="24"/>
        <v>1750</v>
      </c>
      <c r="DN21" s="48">
        <f t="shared" si="24"/>
        <v>1750</v>
      </c>
      <c r="DO21" s="48">
        <f t="shared" si="24"/>
        <v>1750</v>
      </c>
      <c r="DP21" s="48">
        <f t="shared" si="24"/>
        <v>1750</v>
      </c>
      <c r="DQ21" s="48">
        <f t="shared" si="24"/>
        <v>1750</v>
      </c>
      <c r="DR21" s="48">
        <f t="shared" si="24"/>
        <v>1750</v>
      </c>
      <c r="DS21" s="48">
        <f t="shared" si="24"/>
        <v>1750</v>
      </c>
      <c r="DT21" s="48">
        <f t="shared" si="24"/>
        <v>1750</v>
      </c>
      <c r="DU21" s="48">
        <f t="shared" si="24"/>
        <v>1750</v>
      </c>
      <c r="DV21" s="48">
        <f t="shared" si="24"/>
        <v>0</v>
      </c>
      <c r="DW21" s="48">
        <f t="shared" si="24"/>
        <v>0</v>
      </c>
      <c r="DX21" s="48">
        <f t="shared" si="24"/>
        <v>0</v>
      </c>
      <c r="DY21" s="48">
        <f t="shared" si="24"/>
        <v>0</v>
      </c>
      <c r="DZ21" s="48">
        <f t="shared" si="24"/>
        <v>0</v>
      </c>
      <c r="EA21" s="48">
        <f t="shared" si="24"/>
        <v>0</v>
      </c>
      <c r="EB21" s="48">
        <f t="shared" si="24"/>
        <v>0</v>
      </c>
      <c r="EC21" s="48">
        <f t="shared" si="24"/>
        <v>0</v>
      </c>
      <c r="ED21" s="48">
        <f t="shared" ref="ED21:ES21" si="25">IF(ED$15=1,INDEX(Vol_O,1,ED$14)/12*(1+P_dVol),0)</f>
        <v>0</v>
      </c>
      <c r="EE21" s="48">
        <f t="shared" si="25"/>
        <v>0</v>
      </c>
      <c r="EF21" s="48">
        <f t="shared" si="25"/>
        <v>0</v>
      </c>
      <c r="EG21" s="48">
        <f t="shared" si="25"/>
        <v>0</v>
      </c>
      <c r="EH21" s="48">
        <f t="shared" si="25"/>
        <v>0</v>
      </c>
      <c r="EI21" s="48">
        <f t="shared" si="25"/>
        <v>0</v>
      </c>
      <c r="EJ21" s="48">
        <f t="shared" si="25"/>
        <v>0</v>
      </c>
      <c r="EK21" s="48">
        <f t="shared" si="25"/>
        <v>0</v>
      </c>
      <c r="EL21" s="48">
        <f t="shared" si="25"/>
        <v>0</v>
      </c>
      <c r="EM21" s="48">
        <f t="shared" si="25"/>
        <v>0</v>
      </c>
      <c r="EN21" s="48">
        <f t="shared" si="25"/>
        <v>0</v>
      </c>
      <c r="EO21" s="48">
        <f t="shared" si="25"/>
        <v>0</v>
      </c>
      <c r="EP21" s="48">
        <f t="shared" si="25"/>
        <v>0</v>
      </c>
      <c r="EQ21" s="48">
        <f t="shared" si="25"/>
        <v>0</v>
      </c>
      <c r="ER21" s="48">
        <f t="shared" si="25"/>
        <v>0</v>
      </c>
      <c r="ES21" s="48">
        <f t="shared" si="25"/>
        <v>0</v>
      </c>
    </row>
    <row r="22" spans="1:149" x14ac:dyDescent="0.3">
      <c r="A22" s="14" t="s">
        <v>999</v>
      </c>
      <c r="B22" s="53" t="str">
        <f>IF(INDEX(Prod_Nombre,2)="","Producto 2",INDEX(Prod_Nombre,2))&amp;" — unidades"</f>
        <v>Cajas metálicas 13 kg — unidades</v>
      </c>
      <c r="C22" s="18" t="s">
        <v>475</v>
      </c>
      <c r="E22" s="54">
        <f t="shared" si="20"/>
        <v>1110000</v>
      </c>
      <c r="F22" s="48">
        <f t="shared" ref="F22:AK22" si="26">IF(F$15=1,INDEX(Vol_O,2,F$14)/12*(1+P_dVol),0)</f>
        <v>5833.333333333333</v>
      </c>
      <c r="G22" s="48">
        <f t="shared" si="26"/>
        <v>5833.333333333333</v>
      </c>
      <c r="H22" s="48">
        <f t="shared" si="26"/>
        <v>5833.333333333333</v>
      </c>
      <c r="I22" s="48">
        <f t="shared" si="26"/>
        <v>5833.333333333333</v>
      </c>
      <c r="J22" s="48">
        <f t="shared" si="26"/>
        <v>5833.333333333333</v>
      </c>
      <c r="K22" s="48">
        <f t="shared" si="26"/>
        <v>5833.333333333333</v>
      </c>
      <c r="L22" s="48">
        <f t="shared" si="26"/>
        <v>5833.333333333333</v>
      </c>
      <c r="M22" s="48">
        <f t="shared" si="26"/>
        <v>5833.333333333333</v>
      </c>
      <c r="N22" s="48">
        <f t="shared" si="26"/>
        <v>5833.333333333333</v>
      </c>
      <c r="O22" s="48">
        <f t="shared" si="26"/>
        <v>5833.333333333333</v>
      </c>
      <c r="P22" s="48">
        <f t="shared" si="26"/>
        <v>5833.333333333333</v>
      </c>
      <c r="Q22" s="48">
        <f t="shared" si="26"/>
        <v>5833.333333333333</v>
      </c>
      <c r="R22" s="48">
        <f t="shared" si="26"/>
        <v>7500</v>
      </c>
      <c r="S22" s="48">
        <f t="shared" si="26"/>
        <v>7500</v>
      </c>
      <c r="T22" s="48">
        <f t="shared" si="26"/>
        <v>7500</v>
      </c>
      <c r="U22" s="48">
        <f t="shared" si="26"/>
        <v>7500</v>
      </c>
      <c r="V22" s="48">
        <f t="shared" si="26"/>
        <v>7500</v>
      </c>
      <c r="W22" s="48">
        <f t="shared" si="26"/>
        <v>7500</v>
      </c>
      <c r="X22" s="48">
        <f t="shared" si="26"/>
        <v>7500</v>
      </c>
      <c r="Y22" s="48">
        <f t="shared" si="26"/>
        <v>7500</v>
      </c>
      <c r="Z22" s="48">
        <f t="shared" si="26"/>
        <v>7500</v>
      </c>
      <c r="AA22" s="48">
        <f t="shared" si="26"/>
        <v>7500</v>
      </c>
      <c r="AB22" s="48">
        <f t="shared" si="26"/>
        <v>7500</v>
      </c>
      <c r="AC22" s="48">
        <f t="shared" si="26"/>
        <v>7500</v>
      </c>
      <c r="AD22" s="48">
        <f t="shared" si="26"/>
        <v>9166.6666666666661</v>
      </c>
      <c r="AE22" s="48">
        <f t="shared" si="26"/>
        <v>9166.6666666666661</v>
      </c>
      <c r="AF22" s="48">
        <f t="shared" si="26"/>
        <v>9166.6666666666661</v>
      </c>
      <c r="AG22" s="48">
        <f t="shared" si="26"/>
        <v>9166.6666666666661</v>
      </c>
      <c r="AH22" s="48">
        <f t="shared" si="26"/>
        <v>9166.6666666666661</v>
      </c>
      <c r="AI22" s="48">
        <f t="shared" si="26"/>
        <v>9166.6666666666661</v>
      </c>
      <c r="AJ22" s="48">
        <f t="shared" si="26"/>
        <v>9166.6666666666661</v>
      </c>
      <c r="AK22" s="48">
        <f t="shared" si="26"/>
        <v>9166.6666666666661</v>
      </c>
      <c r="AL22" s="48">
        <f t="shared" ref="AL22:BQ22" si="27">IF(AL$15=1,INDEX(Vol_O,2,AL$14)/12*(1+P_dVol),0)</f>
        <v>9166.6666666666661</v>
      </c>
      <c r="AM22" s="48">
        <f t="shared" si="27"/>
        <v>9166.6666666666661</v>
      </c>
      <c r="AN22" s="48">
        <f t="shared" si="27"/>
        <v>9166.6666666666661</v>
      </c>
      <c r="AO22" s="48">
        <f t="shared" si="27"/>
        <v>9166.6666666666661</v>
      </c>
      <c r="AP22" s="48">
        <f t="shared" si="27"/>
        <v>10000</v>
      </c>
      <c r="AQ22" s="48">
        <f t="shared" si="27"/>
        <v>10000</v>
      </c>
      <c r="AR22" s="48">
        <f t="shared" si="27"/>
        <v>10000</v>
      </c>
      <c r="AS22" s="48">
        <f t="shared" si="27"/>
        <v>10000</v>
      </c>
      <c r="AT22" s="48">
        <f t="shared" si="27"/>
        <v>10000</v>
      </c>
      <c r="AU22" s="48">
        <f t="shared" si="27"/>
        <v>10000</v>
      </c>
      <c r="AV22" s="48">
        <f t="shared" si="27"/>
        <v>10000</v>
      </c>
      <c r="AW22" s="48">
        <f t="shared" si="27"/>
        <v>10000</v>
      </c>
      <c r="AX22" s="48">
        <f t="shared" si="27"/>
        <v>10000</v>
      </c>
      <c r="AY22" s="48">
        <f t="shared" si="27"/>
        <v>10000</v>
      </c>
      <c r="AZ22" s="48">
        <f t="shared" si="27"/>
        <v>10000</v>
      </c>
      <c r="BA22" s="48">
        <f t="shared" si="27"/>
        <v>10000</v>
      </c>
      <c r="BB22" s="48">
        <f t="shared" si="27"/>
        <v>10000</v>
      </c>
      <c r="BC22" s="48">
        <f t="shared" si="27"/>
        <v>10000</v>
      </c>
      <c r="BD22" s="48">
        <f t="shared" si="27"/>
        <v>10000</v>
      </c>
      <c r="BE22" s="48">
        <f t="shared" si="27"/>
        <v>10000</v>
      </c>
      <c r="BF22" s="48">
        <f t="shared" si="27"/>
        <v>10000</v>
      </c>
      <c r="BG22" s="48">
        <f t="shared" si="27"/>
        <v>10000</v>
      </c>
      <c r="BH22" s="48">
        <f t="shared" si="27"/>
        <v>10000</v>
      </c>
      <c r="BI22" s="48">
        <f t="shared" si="27"/>
        <v>10000</v>
      </c>
      <c r="BJ22" s="48">
        <f t="shared" si="27"/>
        <v>10000</v>
      </c>
      <c r="BK22" s="48">
        <f t="shared" si="27"/>
        <v>10000</v>
      </c>
      <c r="BL22" s="48">
        <f t="shared" si="27"/>
        <v>10000</v>
      </c>
      <c r="BM22" s="48">
        <f t="shared" si="27"/>
        <v>10000</v>
      </c>
      <c r="BN22" s="48">
        <f t="shared" si="27"/>
        <v>10000</v>
      </c>
      <c r="BO22" s="48">
        <f t="shared" si="27"/>
        <v>10000</v>
      </c>
      <c r="BP22" s="48">
        <f t="shared" si="27"/>
        <v>10000</v>
      </c>
      <c r="BQ22" s="48">
        <f t="shared" si="27"/>
        <v>10000</v>
      </c>
      <c r="BR22" s="48">
        <f t="shared" ref="BR22:CW22" si="28">IF(BR$15=1,INDEX(Vol_O,2,BR$14)/12*(1+P_dVol),0)</f>
        <v>10000</v>
      </c>
      <c r="BS22" s="48">
        <f t="shared" si="28"/>
        <v>10000</v>
      </c>
      <c r="BT22" s="48">
        <f t="shared" si="28"/>
        <v>10000</v>
      </c>
      <c r="BU22" s="48">
        <f t="shared" si="28"/>
        <v>10000</v>
      </c>
      <c r="BV22" s="48">
        <f t="shared" si="28"/>
        <v>10000</v>
      </c>
      <c r="BW22" s="48">
        <f t="shared" si="28"/>
        <v>10000</v>
      </c>
      <c r="BX22" s="48">
        <f t="shared" si="28"/>
        <v>10000</v>
      </c>
      <c r="BY22" s="48">
        <f t="shared" si="28"/>
        <v>10000</v>
      </c>
      <c r="BZ22" s="48">
        <f t="shared" si="28"/>
        <v>10000</v>
      </c>
      <c r="CA22" s="48">
        <f t="shared" si="28"/>
        <v>10000</v>
      </c>
      <c r="CB22" s="48">
        <f t="shared" si="28"/>
        <v>10000</v>
      </c>
      <c r="CC22" s="48">
        <f t="shared" si="28"/>
        <v>10000</v>
      </c>
      <c r="CD22" s="48">
        <f t="shared" si="28"/>
        <v>10000</v>
      </c>
      <c r="CE22" s="48">
        <f t="shared" si="28"/>
        <v>10000</v>
      </c>
      <c r="CF22" s="48">
        <f t="shared" si="28"/>
        <v>10000</v>
      </c>
      <c r="CG22" s="48">
        <f t="shared" si="28"/>
        <v>10000</v>
      </c>
      <c r="CH22" s="48">
        <f t="shared" si="28"/>
        <v>10000</v>
      </c>
      <c r="CI22" s="48">
        <f t="shared" si="28"/>
        <v>10000</v>
      </c>
      <c r="CJ22" s="48">
        <f t="shared" si="28"/>
        <v>10000</v>
      </c>
      <c r="CK22" s="48">
        <f t="shared" si="28"/>
        <v>10000</v>
      </c>
      <c r="CL22" s="48">
        <f t="shared" si="28"/>
        <v>10000</v>
      </c>
      <c r="CM22" s="48">
        <f t="shared" si="28"/>
        <v>10000</v>
      </c>
      <c r="CN22" s="48">
        <f t="shared" si="28"/>
        <v>10000</v>
      </c>
      <c r="CO22" s="48">
        <f t="shared" si="28"/>
        <v>10000</v>
      </c>
      <c r="CP22" s="48">
        <f t="shared" si="28"/>
        <v>10000</v>
      </c>
      <c r="CQ22" s="48">
        <f t="shared" si="28"/>
        <v>10000</v>
      </c>
      <c r="CR22" s="48">
        <f t="shared" si="28"/>
        <v>10000</v>
      </c>
      <c r="CS22" s="48">
        <f t="shared" si="28"/>
        <v>10000</v>
      </c>
      <c r="CT22" s="48">
        <f t="shared" si="28"/>
        <v>10000</v>
      </c>
      <c r="CU22" s="48">
        <f t="shared" si="28"/>
        <v>10000</v>
      </c>
      <c r="CV22" s="48">
        <f t="shared" si="28"/>
        <v>10000</v>
      </c>
      <c r="CW22" s="48">
        <f t="shared" si="28"/>
        <v>10000</v>
      </c>
      <c r="CX22" s="48">
        <f t="shared" ref="CX22:EC22" si="29">IF(CX$15=1,INDEX(Vol_O,2,CX$14)/12*(1+P_dVol),0)</f>
        <v>10000</v>
      </c>
      <c r="CY22" s="48">
        <f t="shared" si="29"/>
        <v>10000</v>
      </c>
      <c r="CZ22" s="48">
        <f t="shared" si="29"/>
        <v>10000</v>
      </c>
      <c r="DA22" s="48">
        <f t="shared" si="29"/>
        <v>10000</v>
      </c>
      <c r="DB22" s="48">
        <f t="shared" si="29"/>
        <v>10000</v>
      </c>
      <c r="DC22" s="48">
        <f t="shared" si="29"/>
        <v>10000</v>
      </c>
      <c r="DD22" s="48">
        <f t="shared" si="29"/>
        <v>10000</v>
      </c>
      <c r="DE22" s="48">
        <f t="shared" si="29"/>
        <v>10000</v>
      </c>
      <c r="DF22" s="48">
        <f t="shared" si="29"/>
        <v>10000</v>
      </c>
      <c r="DG22" s="48">
        <f t="shared" si="29"/>
        <v>10000</v>
      </c>
      <c r="DH22" s="48">
        <f t="shared" si="29"/>
        <v>10000</v>
      </c>
      <c r="DI22" s="48">
        <f t="shared" si="29"/>
        <v>10000</v>
      </c>
      <c r="DJ22" s="48">
        <f t="shared" si="29"/>
        <v>10000</v>
      </c>
      <c r="DK22" s="48">
        <f t="shared" si="29"/>
        <v>10000</v>
      </c>
      <c r="DL22" s="48">
        <f t="shared" si="29"/>
        <v>10000</v>
      </c>
      <c r="DM22" s="48">
        <f t="shared" si="29"/>
        <v>10000</v>
      </c>
      <c r="DN22" s="48">
        <f t="shared" si="29"/>
        <v>10000</v>
      </c>
      <c r="DO22" s="48">
        <f t="shared" si="29"/>
        <v>10000</v>
      </c>
      <c r="DP22" s="48">
        <f t="shared" si="29"/>
        <v>10000</v>
      </c>
      <c r="DQ22" s="48">
        <f t="shared" si="29"/>
        <v>10000</v>
      </c>
      <c r="DR22" s="48">
        <f t="shared" si="29"/>
        <v>10000</v>
      </c>
      <c r="DS22" s="48">
        <f t="shared" si="29"/>
        <v>10000</v>
      </c>
      <c r="DT22" s="48">
        <f t="shared" si="29"/>
        <v>10000</v>
      </c>
      <c r="DU22" s="48">
        <f t="shared" si="29"/>
        <v>10000</v>
      </c>
      <c r="DV22" s="48">
        <f t="shared" si="29"/>
        <v>0</v>
      </c>
      <c r="DW22" s="48">
        <f t="shared" si="29"/>
        <v>0</v>
      </c>
      <c r="DX22" s="48">
        <f t="shared" si="29"/>
        <v>0</v>
      </c>
      <c r="DY22" s="48">
        <f t="shared" si="29"/>
        <v>0</v>
      </c>
      <c r="DZ22" s="48">
        <f t="shared" si="29"/>
        <v>0</v>
      </c>
      <c r="EA22" s="48">
        <f t="shared" si="29"/>
        <v>0</v>
      </c>
      <c r="EB22" s="48">
        <f t="shared" si="29"/>
        <v>0</v>
      </c>
      <c r="EC22" s="48">
        <f t="shared" si="29"/>
        <v>0</v>
      </c>
      <c r="ED22" s="48">
        <f t="shared" ref="ED22:ES22" si="30">IF(ED$15=1,INDEX(Vol_O,2,ED$14)/12*(1+P_dVol),0)</f>
        <v>0</v>
      </c>
      <c r="EE22" s="48">
        <f t="shared" si="30"/>
        <v>0</v>
      </c>
      <c r="EF22" s="48">
        <f t="shared" si="30"/>
        <v>0</v>
      </c>
      <c r="EG22" s="48">
        <f t="shared" si="30"/>
        <v>0</v>
      </c>
      <c r="EH22" s="48">
        <f t="shared" si="30"/>
        <v>0</v>
      </c>
      <c r="EI22" s="48">
        <f t="shared" si="30"/>
        <v>0</v>
      </c>
      <c r="EJ22" s="48">
        <f t="shared" si="30"/>
        <v>0</v>
      </c>
      <c r="EK22" s="48">
        <f t="shared" si="30"/>
        <v>0</v>
      </c>
      <c r="EL22" s="48">
        <f t="shared" si="30"/>
        <v>0</v>
      </c>
      <c r="EM22" s="48">
        <f t="shared" si="30"/>
        <v>0</v>
      </c>
      <c r="EN22" s="48">
        <f t="shared" si="30"/>
        <v>0</v>
      </c>
      <c r="EO22" s="48">
        <f t="shared" si="30"/>
        <v>0</v>
      </c>
      <c r="EP22" s="48">
        <f t="shared" si="30"/>
        <v>0</v>
      </c>
      <c r="EQ22" s="48">
        <f t="shared" si="30"/>
        <v>0</v>
      </c>
      <c r="ER22" s="48">
        <f t="shared" si="30"/>
        <v>0</v>
      </c>
      <c r="ES22" s="48">
        <f t="shared" si="30"/>
        <v>0</v>
      </c>
    </row>
    <row r="23" spans="1:149" x14ac:dyDescent="0.3">
      <c r="A23" s="14" t="s">
        <v>1000</v>
      </c>
      <c r="B23" s="53" t="str">
        <f>IF(INDEX(Prod_Nombre,3)="","Producto 3",INDEX(Prod_Nombre,3))&amp;" — unidades"</f>
        <v>Producto 3 — unidades</v>
      </c>
      <c r="C23" s="18" t="s">
        <v>475</v>
      </c>
      <c r="E23" s="54">
        <f t="shared" si="20"/>
        <v>0</v>
      </c>
      <c r="F23" s="48">
        <f t="shared" ref="F23:AK23" si="31">IF(F$15=1,INDEX(Vol_O,3,F$14)/12*(1+P_dVol),0)</f>
        <v>0</v>
      </c>
      <c r="G23" s="48">
        <f t="shared" si="31"/>
        <v>0</v>
      </c>
      <c r="H23" s="48">
        <f t="shared" si="31"/>
        <v>0</v>
      </c>
      <c r="I23" s="48">
        <f t="shared" si="31"/>
        <v>0</v>
      </c>
      <c r="J23" s="48">
        <f t="shared" si="31"/>
        <v>0</v>
      </c>
      <c r="K23" s="48">
        <f t="shared" si="31"/>
        <v>0</v>
      </c>
      <c r="L23" s="48">
        <f t="shared" si="31"/>
        <v>0</v>
      </c>
      <c r="M23" s="48">
        <f t="shared" si="31"/>
        <v>0</v>
      </c>
      <c r="N23" s="48">
        <f t="shared" si="31"/>
        <v>0</v>
      </c>
      <c r="O23" s="48">
        <f t="shared" si="31"/>
        <v>0</v>
      </c>
      <c r="P23" s="48">
        <f t="shared" si="31"/>
        <v>0</v>
      </c>
      <c r="Q23" s="48">
        <f t="shared" si="31"/>
        <v>0</v>
      </c>
      <c r="R23" s="48">
        <f t="shared" si="31"/>
        <v>0</v>
      </c>
      <c r="S23" s="48">
        <f t="shared" si="31"/>
        <v>0</v>
      </c>
      <c r="T23" s="48">
        <f t="shared" si="31"/>
        <v>0</v>
      </c>
      <c r="U23" s="48">
        <f t="shared" si="31"/>
        <v>0</v>
      </c>
      <c r="V23" s="48">
        <f t="shared" si="31"/>
        <v>0</v>
      </c>
      <c r="W23" s="48">
        <f t="shared" si="31"/>
        <v>0</v>
      </c>
      <c r="X23" s="48">
        <f t="shared" si="31"/>
        <v>0</v>
      </c>
      <c r="Y23" s="48">
        <f t="shared" si="31"/>
        <v>0</v>
      </c>
      <c r="Z23" s="48">
        <f t="shared" si="31"/>
        <v>0</v>
      </c>
      <c r="AA23" s="48">
        <f t="shared" si="31"/>
        <v>0</v>
      </c>
      <c r="AB23" s="48">
        <f t="shared" si="31"/>
        <v>0</v>
      </c>
      <c r="AC23" s="48">
        <f t="shared" si="31"/>
        <v>0</v>
      </c>
      <c r="AD23" s="48">
        <f t="shared" si="31"/>
        <v>0</v>
      </c>
      <c r="AE23" s="48">
        <f t="shared" si="31"/>
        <v>0</v>
      </c>
      <c r="AF23" s="48">
        <f t="shared" si="31"/>
        <v>0</v>
      </c>
      <c r="AG23" s="48">
        <f t="shared" si="31"/>
        <v>0</v>
      </c>
      <c r="AH23" s="48">
        <f t="shared" si="31"/>
        <v>0</v>
      </c>
      <c r="AI23" s="48">
        <f t="shared" si="31"/>
        <v>0</v>
      </c>
      <c r="AJ23" s="48">
        <f t="shared" si="31"/>
        <v>0</v>
      </c>
      <c r="AK23" s="48">
        <f t="shared" si="31"/>
        <v>0</v>
      </c>
      <c r="AL23" s="48">
        <f t="shared" ref="AL23:BQ23" si="32">IF(AL$15=1,INDEX(Vol_O,3,AL$14)/12*(1+P_dVol),0)</f>
        <v>0</v>
      </c>
      <c r="AM23" s="48">
        <f t="shared" si="32"/>
        <v>0</v>
      </c>
      <c r="AN23" s="48">
        <f t="shared" si="32"/>
        <v>0</v>
      </c>
      <c r="AO23" s="48">
        <f t="shared" si="32"/>
        <v>0</v>
      </c>
      <c r="AP23" s="48">
        <f t="shared" si="32"/>
        <v>0</v>
      </c>
      <c r="AQ23" s="48">
        <f t="shared" si="32"/>
        <v>0</v>
      </c>
      <c r="AR23" s="48">
        <f t="shared" si="32"/>
        <v>0</v>
      </c>
      <c r="AS23" s="48">
        <f t="shared" si="32"/>
        <v>0</v>
      </c>
      <c r="AT23" s="48">
        <f t="shared" si="32"/>
        <v>0</v>
      </c>
      <c r="AU23" s="48">
        <f t="shared" si="32"/>
        <v>0</v>
      </c>
      <c r="AV23" s="48">
        <f t="shared" si="32"/>
        <v>0</v>
      </c>
      <c r="AW23" s="48">
        <f t="shared" si="32"/>
        <v>0</v>
      </c>
      <c r="AX23" s="48">
        <f t="shared" si="32"/>
        <v>0</v>
      </c>
      <c r="AY23" s="48">
        <f t="shared" si="32"/>
        <v>0</v>
      </c>
      <c r="AZ23" s="48">
        <f t="shared" si="32"/>
        <v>0</v>
      </c>
      <c r="BA23" s="48">
        <f t="shared" si="32"/>
        <v>0</v>
      </c>
      <c r="BB23" s="48">
        <f t="shared" si="32"/>
        <v>0</v>
      </c>
      <c r="BC23" s="48">
        <f t="shared" si="32"/>
        <v>0</v>
      </c>
      <c r="BD23" s="48">
        <f t="shared" si="32"/>
        <v>0</v>
      </c>
      <c r="BE23" s="48">
        <f t="shared" si="32"/>
        <v>0</v>
      </c>
      <c r="BF23" s="48">
        <f t="shared" si="32"/>
        <v>0</v>
      </c>
      <c r="BG23" s="48">
        <f t="shared" si="32"/>
        <v>0</v>
      </c>
      <c r="BH23" s="48">
        <f t="shared" si="32"/>
        <v>0</v>
      </c>
      <c r="BI23" s="48">
        <f t="shared" si="32"/>
        <v>0</v>
      </c>
      <c r="BJ23" s="48">
        <f t="shared" si="32"/>
        <v>0</v>
      </c>
      <c r="BK23" s="48">
        <f t="shared" si="32"/>
        <v>0</v>
      </c>
      <c r="BL23" s="48">
        <f t="shared" si="32"/>
        <v>0</v>
      </c>
      <c r="BM23" s="48">
        <f t="shared" si="32"/>
        <v>0</v>
      </c>
      <c r="BN23" s="48">
        <f t="shared" si="32"/>
        <v>0</v>
      </c>
      <c r="BO23" s="48">
        <f t="shared" si="32"/>
        <v>0</v>
      </c>
      <c r="BP23" s="48">
        <f t="shared" si="32"/>
        <v>0</v>
      </c>
      <c r="BQ23" s="48">
        <f t="shared" si="32"/>
        <v>0</v>
      </c>
      <c r="BR23" s="48">
        <f t="shared" ref="BR23:CW23" si="33">IF(BR$15=1,INDEX(Vol_O,3,BR$14)/12*(1+P_dVol),0)</f>
        <v>0</v>
      </c>
      <c r="BS23" s="48">
        <f t="shared" si="33"/>
        <v>0</v>
      </c>
      <c r="BT23" s="48">
        <f t="shared" si="33"/>
        <v>0</v>
      </c>
      <c r="BU23" s="48">
        <f t="shared" si="33"/>
        <v>0</v>
      </c>
      <c r="BV23" s="48">
        <f t="shared" si="33"/>
        <v>0</v>
      </c>
      <c r="BW23" s="48">
        <f t="shared" si="33"/>
        <v>0</v>
      </c>
      <c r="BX23" s="48">
        <f t="shared" si="33"/>
        <v>0</v>
      </c>
      <c r="BY23" s="48">
        <f t="shared" si="33"/>
        <v>0</v>
      </c>
      <c r="BZ23" s="48">
        <f t="shared" si="33"/>
        <v>0</v>
      </c>
      <c r="CA23" s="48">
        <f t="shared" si="33"/>
        <v>0</v>
      </c>
      <c r="CB23" s="48">
        <f t="shared" si="33"/>
        <v>0</v>
      </c>
      <c r="CC23" s="48">
        <f t="shared" si="33"/>
        <v>0</v>
      </c>
      <c r="CD23" s="48">
        <f t="shared" si="33"/>
        <v>0</v>
      </c>
      <c r="CE23" s="48">
        <f t="shared" si="33"/>
        <v>0</v>
      </c>
      <c r="CF23" s="48">
        <f t="shared" si="33"/>
        <v>0</v>
      </c>
      <c r="CG23" s="48">
        <f t="shared" si="33"/>
        <v>0</v>
      </c>
      <c r="CH23" s="48">
        <f t="shared" si="33"/>
        <v>0</v>
      </c>
      <c r="CI23" s="48">
        <f t="shared" si="33"/>
        <v>0</v>
      </c>
      <c r="CJ23" s="48">
        <f t="shared" si="33"/>
        <v>0</v>
      </c>
      <c r="CK23" s="48">
        <f t="shared" si="33"/>
        <v>0</v>
      </c>
      <c r="CL23" s="48">
        <f t="shared" si="33"/>
        <v>0</v>
      </c>
      <c r="CM23" s="48">
        <f t="shared" si="33"/>
        <v>0</v>
      </c>
      <c r="CN23" s="48">
        <f t="shared" si="33"/>
        <v>0</v>
      </c>
      <c r="CO23" s="48">
        <f t="shared" si="33"/>
        <v>0</v>
      </c>
      <c r="CP23" s="48">
        <f t="shared" si="33"/>
        <v>0</v>
      </c>
      <c r="CQ23" s="48">
        <f t="shared" si="33"/>
        <v>0</v>
      </c>
      <c r="CR23" s="48">
        <f t="shared" si="33"/>
        <v>0</v>
      </c>
      <c r="CS23" s="48">
        <f t="shared" si="33"/>
        <v>0</v>
      </c>
      <c r="CT23" s="48">
        <f t="shared" si="33"/>
        <v>0</v>
      </c>
      <c r="CU23" s="48">
        <f t="shared" si="33"/>
        <v>0</v>
      </c>
      <c r="CV23" s="48">
        <f t="shared" si="33"/>
        <v>0</v>
      </c>
      <c r="CW23" s="48">
        <f t="shared" si="33"/>
        <v>0</v>
      </c>
      <c r="CX23" s="48">
        <f t="shared" ref="CX23:EC23" si="34">IF(CX$15=1,INDEX(Vol_O,3,CX$14)/12*(1+P_dVol),0)</f>
        <v>0</v>
      </c>
      <c r="CY23" s="48">
        <f t="shared" si="34"/>
        <v>0</v>
      </c>
      <c r="CZ23" s="48">
        <f t="shared" si="34"/>
        <v>0</v>
      </c>
      <c r="DA23" s="48">
        <f t="shared" si="34"/>
        <v>0</v>
      </c>
      <c r="DB23" s="48">
        <f t="shared" si="34"/>
        <v>0</v>
      </c>
      <c r="DC23" s="48">
        <f t="shared" si="34"/>
        <v>0</v>
      </c>
      <c r="DD23" s="48">
        <f t="shared" si="34"/>
        <v>0</v>
      </c>
      <c r="DE23" s="48">
        <f t="shared" si="34"/>
        <v>0</v>
      </c>
      <c r="DF23" s="48">
        <f t="shared" si="34"/>
        <v>0</v>
      </c>
      <c r="DG23" s="48">
        <f t="shared" si="34"/>
        <v>0</v>
      </c>
      <c r="DH23" s="48">
        <f t="shared" si="34"/>
        <v>0</v>
      </c>
      <c r="DI23" s="48">
        <f t="shared" si="34"/>
        <v>0</v>
      </c>
      <c r="DJ23" s="48">
        <f t="shared" si="34"/>
        <v>0</v>
      </c>
      <c r="DK23" s="48">
        <f t="shared" si="34"/>
        <v>0</v>
      </c>
      <c r="DL23" s="48">
        <f t="shared" si="34"/>
        <v>0</v>
      </c>
      <c r="DM23" s="48">
        <f t="shared" si="34"/>
        <v>0</v>
      </c>
      <c r="DN23" s="48">
        <f t="shared" si="34"/>
        <v>0</v>
      </c>
      <c r="DO23" s="48">
        <f t="shared" si="34"/>
        <v>0</v>
      </c>
      <c r="DP23" s="48">
        <f t="shared" si="34"/>
        <v>0</v>
      </c>
      <c r="DQ23" s="48">
        <f t="shared" si="34"/>
        <v>0</v>
      </c>
      <c r="DR23" s="48">
        <f t="shared" si="34"/>
        <v>0</v>
      </c>
      <c r="DS23" s="48">
        <f t="shared" si="34"/>
        <v>0</v>
      </c>
      <c r="DT23" s="48">
        <f t="shared" si="34"/>
        <v>0</v>
      </c>
      <c r="DU23" s="48">
        <f t="shared" si="34"/>
        <v>0</v>
      </c>
      <c r="DV23" s="48">
        <f t="shared" si="34"/>
        <v>0</v>
      </c>
      <c r="DW23" s="48">
        <f t="shared" si="34"/>
        <v>0</v>
      </c>
      <c r="DX23" s="48">
        <f t="shared" si="34"/>
        <v>0</v>
      </c>
      <c r="DY23" s="48">
        <f t="shared" si="34"/>
        <v>0</v>
      </c>
      <c r="DZ23" s="48">
        <f t="shared" si="34"/>
        <v>0</v>
      </c>
      <c r="EA23" s="48">
        <f t="shared" si="34"/>
        <v>0</v>
      </c>
      <c r="EB23" s="48">
        <f t="shared" si="34"/>
        <v>0</v>
      </c>
      <c r="EC23" s="48">
        <f t="shared" si="34"/>
        <v>0</v>
      </c>
      <c r="ED23" s="48">
        <f t="shared" ref="ED23:ES23" si="35">IF(ED$15=1,INDEX(Vol_O,3,ED$14)/12*(1+P_dVol),0)</f>
        <v>0</v>
      </c>
      <c r="EE23" s="48">
        <f t="shared" si="35"/>
        <v>0</v>
      </c>
      <c r="EF23" s="48">
        <f t="shared" si="35"/>
        <v>0</v>
      </c>
      <c r="EG23" s="48">
        <f t="shared" si="35"/>
        <v>0</v>
      </c>
      <c r="EH23" s="48">
        <f t="shared" si="35"/>
        <v>0</v>
      </c>
      <c r="EI23" s="48">
        <f t="shared" si="35"/>
        <v>0</v>
      </c>
      <c r="EJ23" s="48">
        <f t="shared" si="35"/>
        <v>0</v>
      </c>
      <c r="EK23" s="48">
        <f t="shared" si="35"/>
        <v>0</v>
      </c>
      <c r="EL23" s="48">
        <f t="shared" si="35"/>
        <v>0</v>
      </c>
      <c r="EM23" s="48">
        <f t="shared" si="35"/>
        <v>0</v>
      </c>
      <c r="EN23" s="48">
        <f t="shared" si="35"/>
        <v>0</v>
      </c>
      <c r="EO23" s="48">
        <f t="shared" si="35"/>
        <v>0</v>
      </c>
      <c r="EP23" s="48">
        <f t="shared" si="35"/>
        <v>0</v>
      </c>
      <c r="EQ23" s="48">
        <f t="shared" si="35"/>
        <v>0</v>
      </c>
      <c r="ER23" s="48">
        <f t="shared" si="35"/>
        <v>0</v>
      </c>
      <c r="ES23" s="48">
        <f t="shared" si="35"/>
        <v>0</v>
      </c>
    </row>
    <row r="24" spans="1:149" x14ac:dyDescent="0.3">
      <c r="A24" s="14" t="s">
        <v>1001</v>
      </c>
      <c r="B24" s="53" t="str">
        <f>IF(INDEX(Prod_Nombre,4)="","Producto 4",INDEX(Prod_Nombre,4))&amp;" — unidades"</f>
        <v>Producto 4 — unidades</v>
      </c>
      <c r="C24" s="18" t="s">
        <v>475</v>
      </c>
      <c r="E24" s="54">
        <f t="shared" si="20"/>
        <v>0</v>
      </c>
      <c r="F24" s="48">
        <f t="shared" ref="F24:AK24" si="36">IF(F$15=1,INDEX(Vol_O,4,F$14)/12*(1+P_dVol),0)</f>
        <v>0</v>
      </c>
      <c r="G24" s="48">
        <f t="shared" si="36"/>
        <v>0</v>
      </c>
      <c r="H24" s="48">
        <f t="shared" si="36"/>
        <v>0</v>
      </c>
      <c r="I24" s="48">
        <f t="shared" si="36"/>
        <v>0</v>
      </c>
      <c r="J24" s="48">
        <f t="shared" si="36"/>
        <v>0</v>
      </c>
      <c r="K24" s="48">
        <f t="shared" si="36"/>
        <v>0</v>
      </c>
      <c r="L24" s="48">
        <f t="shared" si="36"/>
        <v>0</v>
      </c>
      <c r="M24" s="48">
        <f t="shared" si="36"/>
        <v>0</v>
      </c>
      <c r="N24" s="48">
        <f t="shared" si="36"/>
        <v>0</v>
      </c>
      <c r="O24" s="48">
        <f t="shared" si="36"/>
        <v>0</v>
      </c>
      <c r="P24" s="48">
        <f t="shared" si="36"/>
        <v>0</v>
      </c>
      <c r="Q24" s="48">
        <f t="shared" si="36"/>
        <v>0</v>
      </c>
      <c r="R24" s="48">
        <f t="shared" si="36"/>
        <v>0</v>
      </c>
      <c r="S24" s="48">
        <f t="shared" si="36"/>
        <v>0</v>
      </c>
      <c r="T24" s="48">
        <f t="shared" si="36"/>
        <v>0</v>
      </c>
      <c r="U24" s="48">
        <f t="shared" si="36"/>
        <v>0</v>
      </c>
      <c r="V24" s="48">
        <f t="shared" si="36"/>
        <v>0</v>
      </c>
      <c r="W24" s="48">
        <f t="shared" si="36"/>
        <v>0</v>
      </c>
      <c r="X24" s="48">
        <f t="shared" si="36"/>
        <v>0</v>
      </c>
      <c r="Y24" s="48">
        <f t="shared" si="36"/>
        <v>0</v>
      </c>
      <c r="Z24" s="48">
        <f t="shared" si="36"/>
        <v>0</v>
      </c>
      <c r="AA24" s="48">
        <f t="shared" si="36"/>
        <v>0</v>
      </c>
      <c r="AB24" s="48">
        <f t="shared" si="36"/>
        <v>0</v>
      </c>
      <c r="AC24" s="48">
        <f t="shared" si="36"/>
        <v>0</v>
      </c>
      <c r="AD24" s="48">
        <f t="shared" si="36"/>
        <v>0</v>
      </c>
      <c r="AE24" s="48">
        <f t="shared" si="36"/>
        <v>0</v>
      </c>
      <c r="AF24" s="48">
        <f t="shared" si="36"/>
        <v>0</v>
      </c>
      <c r="AG24" s="48">
        <f t="shared" si="36"/>
        <v>0</v>
      </c>
      <c r="AH24" s="48">
        <f t="shared" si="36"/>
        <v>0</v>
      </c>
      <c r="AI24" s="48">
        <f t="shared" si="36"/>
        <v>0</v>
      </c>
      <c r="AJ24" s="48">
        <f t="shared" si="36"/>
        <v>0</v>
      </c>
      <c r="AK24" s="48">
        <f t="shared" si="36"/>
        <v>0</v>
      </c>
      <c r="AL24" s="48">
        <f t="shared" ref="AL24:BQ24" si="37">IF(AL$15=1,INDEX(Vol_O,4,AL$14)/12*(1+P_dVol),0)</f>
        <v>0</v>
      </c>
      <c r="AM24" s="48">
        <f t="shared" si="37"/>
        <v>0</v>
      </c>
      <c r="AN24" s="48">
        <f t="shared" si="37"/>
        <v>0</v>
      </c>
      <c r="AO24" s="48">
        <f t="shared" si="37"/>
        <v>0</v>
      </c>
      <c r="AP24" s="48">
        <f t="shared" si="37"/>
        <v>0</v>
      </c>
      <c r="AQ24" s="48">
        <f t="shared" si="37"/>
        <v>0</v>
      </c>
      <c r="AR24" s="48">
        <f t="shared" si="37"/>
        <v>0</v>
      </c>
      <c r="AS24" s="48">
        <f t="shared" si="37"/>
        <v>0</v>
      </c>
      <c r="AT24" s="48">
        <f t="shared" si="37"/>
        <v>0</v>
      </c>
      <c r="AU24" s="48">
        <f t="shared" si="37"/>
        <v>0</v>
      </c>
      <c r="AV24" s="48">
        <f t="shared" si="37"/>
        <v>0</v>
      </c>
      <c r="AW24" s="48">
        <f t="shared" si="37"/>
        <v>0</v>
      </c>
      <c r="AX24" s="48">
        <f t="shared" si="37"/>
        <v>0</v>
      </c>
      <c r="AY24" s="48">
        <f t="shared" si="37"/>
        <v>0</v>
      </c>
      <c r="AZ24" s="48">
        <f t="shared" si="37"/>
        <v>0</v>
      </c>
      <c r="BA24" s="48">
        <f t="shared" si="37"/>
        <v>0</v>
      </c>
      <c r="BB24" s="48">
        <f t="shared" si="37"/>
        <v>0</v>
      </c>
      <c r="BC24" s="48">
        <f t="shared" si="37"/>
        <v>0</v>
      </c>
      <c r="BD24" s="48">
        <f t="shared" si="37"/>
        <v>0</v>
      </c>
      <c r="BE24" s="48">
        <f t="shared" si="37"/>
        <v>0</v>
      </c>
      <c r="BF24" s="48">
        <f t="shared" si="37"/>
        <v>0</v>
      </c>
      <c r="BG24" s="48">
        <f t="shared" si="37"/>
        <v>0</v>
      </c>
      <c r="BH24" s="48">
        <f t="shared" si="37"/>
        <v>0</v>
      </c>
      <c r="BI24" s="48">
        <f t="shared" si="37"/>
        <v>0</v>
      </c>
      <c r="BJ24" s="48">
        <f t="shared" si="37"/>
        <v>0</v>
      </c>
      <c r="BK24" s="48">
        <f t="shared" si="37"/>
        <v>0</v>
      </c>
      <c r="BL24" s="48">
        <f t="shared" si="37"/>
        <v>0</v>
      </c>
      <c r="BM24" s="48">
        <f t="shared" si="37"/>
        <v>0</v>
      </c>
      <c r="BN24" s="48">
        <f t="shared" si="37"/>
        <v>0</v>
      </c>
      <c r="BO24" s="48">
        <f t="shared" si="37"/>
        <v>0</v>
      </c>
      <c r="BP24" s="48">
        <f t="shared" si="37"/>
        <v>0</v>
      </c>
      <c r="BQ24" s="48">
        <f t="shared" si="37"/>
        <v>0</v>
      </c>
      <c r="BR24" s="48">
        <f t="shared" ref="BR24:CW24" si="38">IF(BR$15=1,INDEX(Vol_O,4,BR$14)/12*(1+P_dVol),0)</f>
        <v>0</v>
      </c>
      <c r="BS24" s="48">
        <f t="shared" si="38"/>
        <v>0</v>
      </c>
      <c r="BT24" s="48">
        <f t="shared" si="38"/>
        <v>0</v>
      </c>
      <c r="BU24" s="48">
        <f t="shared" si="38"/>
        <v>0</v>
      </c>
      <c r="BV24" s="48">
        <f t="shared" si="38"/>
        <v>0</v>
      </c>
      <c r="BW24" s="48">
        <f t="shared" si="38"/>
        <v>0</v>
      </c>
      <c r="BX24" s="48">
        <f t="shared" si="38"/>
        <v>0</v>
      </c>
      <c r="BY24" s="48">
        <f t="shared" si="38"/>
        <v>0</v>
      </c>
      <c r="BZ24" s="48">
        <f t="shared" si="38"/>
        <v>0</v>
      </c>
      <c r="CA24" s="48">
        <f t="shared" si="38"/>
        <v>0</v>
      </c>
      <c r="CB24" s="48">
        <f t="shared" si="38"/>
        <v>0</v>
      </c>
      <c r="CC24" s="48">
        <f t="shared" si="38"/>
        <v>0</v>
      </c>
      <c r="CD24" s="48">
        <f t="shared" si="38"/>
        <v>0</v>
      </c>
      <c r="CE24" s="48">
        <f t="shared" si="38"/>
        <v>0</v>
      </c>
      <c r="CF24" s="48">
        <f t="shared" si="38"/>
        <v>0</v>
      </c>
      <c r="CG24" s="48">
        <f t="shared" si="38"/>
        <v>0</v>
      </c>
      <c r="CH24" s="48">
        <f t="shared" si="38"/>
        <v>0</v>
      </c>
      <c r="CI24" s="48">
        <f t="shared" si="38"/>
        <v>0</v>
      </c>
      <c r="CJ24" s="48">
        <f t="shared" si="38"/>
        <v>0</v>
      </c>
      <c r="CK24" s="48">
        <f t="shared" si="38"/>
        <v>0</v>
      </c>
      <c r="CL24" s="48">
        <f t="shared" si="38"/>
        <v>0</v>
      </c>
      <c r="CM24" s="48">
        <f t="shared" si="38"/>
        <v>0</v>
      </c>
      <c r="CN24" s="48">
        <f t="shared" si="38"/>
        <v>0</v>
      </c>
      <c r="CO24" s="48">
        <f t="shared" si="38"/>
        <v>0</v>
      </c>
      <c r="CP24" s="48">
        <f t="shared" si="38"/>
        <v>0</v>
      </c>
      <c r="CQ24" s="48">
        <f t="shared" si="38"/>
        <v>0</v>
      </c>
      <c r="CR24" s="48">
        <f t="shared" si="38"/>
        <v>0</v>
      </c>
      <c r="CS24" s="48">
        <f t="shared" si="38"/>
        <v>0</v>
      </c>
      <c r="CT24" s="48">
        <f t="shared" si="38"/>
        <v>0</v>
      </c>
      <c r="CU24" s="48">
        <f t="shared" si="38"/>
        <v>0</v>
      </c>
      <c r="CV24" s="48">
        <f t="shared" si="38"/>
        <v>0</v>
      </c>
      <c r="CW24" s="48">
        <f t="shared" si="38"/>
        <v>0</v>
      </c>
      <c r="CX24" s="48">
        <f t="shared" ref="CX24:EC24" si="39">IF(CX$15=1,INDEX(Vol_O,4,CX$14)/12*(1+P_dVol),0)</f>
        <v>0</v>
      </c>
      <c r="CY24" s="48">
        <f t="shared" si="39"/>
        <v>0</v>
      </c>
      <c r="CZ24" s="48">
        <f t="shared" si="39"/>
        <v>0</v>
      </c>
      <c r="DA24" s="48">
        <f t="shared" si="39"/>
        <v>0</v>
      </c>
      <c r="DB24" s="48">
        <f t="shared" si="39"/>
        <v>0</v>
      </c>
      <c r="DC24" s="48">
        <f t="shared" si="39"/>
        <v>0</v>
      </c>
      <c r="DD24" s="48">
        <f t="shared" si="39"/>
        <v>0</v>
      </c>
      <c r="DE24" s="48">
        <f t="shared" si="39"/>
        <v>0</v>
      </c>
      <c r="DF24" s="48">
        <f t="shared" si="39"/>
        <v>0</v>
      </c>
      <c r="DG24" s="48">
        <f t="shared" si="39"/>
        <v>0</v>
      </c>
      <c r="DH24" s="48">
        <f t="shared" si="39"/>
        <v>0</v>
      </c>
      <c r="DI24" s="48">
        <f t="shared" si="39"/>
        <v>0</v>
      </c>
      <c r="DJ24" s="48">
        <f t="shared" si="39"/>
        <v>0</v>
      </c>
      <c r="DK24" s="48">
        <f t="shared" si="39"/>
        <v>0</v>
      </c>
      <c r="DL24" s="48">
        <f t="shared" si="39"/>
        <v>0</v>
      </c>
      <c r="DM24" s="48">
        <f t="shared" si="39"/>
        <v>0</v>
      </c>
      <c r="DN24" s="48">
        <f t="shared" si="39"/>
        <v>0</v>
      </c>
      <c r="DO24" s="48">
        <f t="shared" si="39"/>
        <v>0</v>
      </c>
      <c r="DP24" s="48">
        <f t="shared" si="39"/>
        <v>0</v>
      </c>
      <c r="DQ24" s="48">
        <f t="shared" si="39"/>
        <v>0</v>
      </c>
      <c r="DR24" s="48">
        <f t="shared" si="39"/>
        <v>0</v>
      </c>
      <c r="DS24" s="48">
        <f t="shared" si="39"/>
        <v>0</v>
      </c>
      <c r="DT24" s="48">
        <f t="shared" si="39"/>
        <v>0</v>
      </c>
      <c r="DU24" s="48">
        <f t="shared" si="39"/>
        <v>0</v>
      </c>
      <c r="DV24" s="48">
        <f t="shared" si="39"/>
        <v>0</v>
      </c>
      <c r="DW24" s="48">
        <f t="shared" si="39"/>
        <v>0</v>
      </c>
      <c r="DX24" s="48">
        <f t="shared" si="39"/>
        <v>0</v>
      </c>
      <c r="DY24" s="48">
        <f t="shared" si="39"/>
        <v>0</v>
      </c>
      <c r="DZ24" s="48">
        <f t="shared" si="39"/>
        <v>0</v>
      </c>
      <c r="EA24" s="48">
        <f t="shared" si="39"/>
        <v>0</v>
      </c>
      <c r="EB24" s="48">
        <f t="shared" si="39"/>
        <v>0</v>
      </c>
      <c r="EC24" s="48">
        <f t="shared" si="39"/>
        <v>0</v>
      </c>
      <c r="ED24" s="48">
        <f t="shared" ref="ED24:ES24" si="40">IF(ED$15=1,INDEX(Vol_O,4,ED$14)/12*(1+P_dVol),0)</f>
        <v>0</v>
      </c>
      <c r="EE24" s="48">
        <f t="shared" si="40"/>
        <v>0</v>
      </c>
      <c r="EF24" s="48">
        <f t="shared" si="40"/>
        <v>0</v>
      </c>
      <c r="EG24" s="48">
        <f t="shared" si="40"/>
        <v>0</v>
      </c>
      <c r="EH24" s="48">
        <f t="shared" si="40"/>
        <v>0</v>
      </c>
      <c r="EI24" s="48">
        <f t="shared" si="40"/>
        <v>0</v>
      </c>
      <c r="EJ24" s="48">
        <f t="shared" si="40"/>
        <v>0</v>
      </c>
      <c r="EK24" s="48">
        <f t="shared" si="40"/>
        <v>0</v>
      </c>
      <c r="EL24" s="48">
        <f t="shared" si="40"/>
        <v>0</v>
      </c>
      <c r="EM24" s="48">
        <f t="shared" si="40"/>
        <v>0</v>
      </c>
      <c r="EN24" s="48">
        <f t="shared" si="40"/>
        <v>0</v>
      </c>
      <c r="EO24" s="48">
        <f t="shared" si="40"/>
        <v>0</v>
      </c>
      <c r="EP24" s="48">
        <f t="shared" si="40"/>
        <v>0</v>
      </c>
      <c r="EQ24" s="48">
        <f t="shared" si="40"/>
        <v>0</v>
      </c>
      <c r="ER24" s="48">
        <f t="shared" si="40"/>
        <v>0</v>
      </c>
      <c r="ES24" s="48">
        <f t="shared" si="40"/>
        <v>0</v>
      </c>
    </row>
    <row r="25" spans="1:149" x14ac:dyDescent="0.3">
      <c r="A25" s="14" t="s">
        <v>1002</v>
      </c>
      <c r="B25" s="53" t="str">
        <f>IF(INDEX(Prod_Nombre,5)="","Producto 5",INDEX(Prod_Nombre,5))&amp;" — unidades"</f>
        <v>Producto 5 — unidades</v>
      </c>
      <c r="C25" s="18" t="s">
        <v>475</v>
      </c>
      <c r="E25" s="54">
        <f t="shared" si="20"/>
        <v>0</v>
      </c>
      <c r="F25" s="48">
        <f t="shared" ref="F25:AK25" si="41">IF(F$15=1,INDEX(Vol_O,5,F$14)/12*(1+P_dVol),0)</f>
        <v>0</v>
      </c>
      <c r="G25" s="48">
        <f t="shared" si="41"/>
        <v>0</v>
      </c>
      <c r="H25" s="48">
        <f t="shared" si="41"/>
        <v>0</v>
      </c>
      <c r="I25" s="48">
        <f t="shared" si="41"/>
        <v>0</v>
      </c>
      <c r="J25" s="48">
        <f t="shared" si="41"/>
        <v>0</v>
      </c>
      <c r="K25" s="48">
        <f t="shared" si="41"/>
        <v>0</v>
      </c>
      <c r="L25" s="48">
        <f t="shared" si="41"/>
        <v>0</v>
      </c>
      <c r="M25" s="48">
        <f t="shared" si="41"/>
        <v>0</v>
      </c>
      <c r="N25" s="48">
        <f t="shared" si="41"/>
        <v>0</v>
      </c>
      <c r="O25" s="48">
        <f t="shared" si="41"/>
        <v>0</v>
      </c>
      <c r="P25" s="48">
        <f t="shared" si="41"/>
        <v>0</v>
      </c>
      <c r="Q25" s="48">
        <f t="shared" si="41"/>
        <v>0</v>
      </c>
      <c r="R25" s="48">
        <f t="shared" si="41"/>
        <v>0</v>
      </c>
      <c r="S25" s="48">
        <f t="shared" si="41"/>
        <v>0</v>
      </c>
      <c r="T25" s="48">
        <f t="shared" si="41"/>
        <v>0</v>
      </c>
      <c r="U25" s="48">
        <f t="shared" si="41"/>
        <v>0</v>
      </c>
      <c r="V25" s="48">
        <f t="shared" si="41"/>
        <v>0</v>
      </c>
      <c r="W25" s="48">
        <f t="shared" si="41"/>
        <v>0</v>
      </c>
      <c r="X25" s="48">
        <f t="shared" si="41"/>
        <v>0</v>
      </c>
      <c r="Y25" s="48">
        <f t="shared" si="41"/>
        <v>0</v>
      </c>
      <c r="Z25" s="48">
        <f t="shared" si="41"/>
        <v>0</v>
      </c>
      <c r="AA25" s="48">
        <f t="shared" si="41"/>
        <v>0</v>
      </c>
      <c r="AB25" s="48">
        <f t="shared" si="41"/>
        <v>0</v>
      </c>
      <c r="AC25" s="48">
        <f t="shared" si="41"/>
        <v>0</v>
      </c>
      <c r="AD25" s="48">
        <f t="shared" si="41"/>
        <v>0</v>
      </c>
      <c r="AE25" s="48">
        <f t="shared" si="41"/>
        <v>0</v>
      </c>
      <c r="AF25" s="48">
        <f t="shared" si="41"/>
        <v>0</v>
      </c>
      <c r="AG25" s="48">
        <f t="shared" si="41"/>
        <v>0</v>
      </c>
      <c r="AH25" s="48">
        <f t="shared" si="41"/>
        <v>0</v>
      </c>
      <c r="AI25" s="48">
        <f t="shared" si="41"/>
        <v>0</v>
      </c>
      <c r="AJ25" s="48">
        <f t="shared" si="41"/>
        <v>0</v>
      </c>
      <c r="AK25" s="48">
        <f t="shared" si="41"/>
        <v>0</v>
      </c>
      <c r="AL25" s="48">
        <f t="shared" ref="AL25:BQ25" si="42">IF(AL$15=1,INDEX(Vol_O,5,AL$14)/12*(1+P_dVol),0)</f>
        <v>0</v>
      </c>
      <c r="AM25" s="48">
        <f t="shared" si="42"/>
        <v>0</v>
      </c>
      <c r="AN25" s="48">
        <f t="shared" si="42"/>
        <v>0</v>
      </c>
      <c r="AO25" s="48">
        <f t="shared" si="42"/>
        <v>0</v>
      </c>
      <c r="AP25" s="48">
        <f t="shared" si="42"/>
        <v>0</v>
      </c>
      <c r="AQ25" s="48">
        <f t="shared" si="42"/>
        <v>0</v>
      </c>
      <c r="AR25" s="48">
        <f t="shared" si="42"/>
        <v>0</v>
      </c>
      <c r="AS25" s="48">
        <f t="shared" si="42"/>
        <v>0</v>
      </c>
      <c r="AT25" s="48">
        <f t="shared" si="42"/>
        <v>0</v>
      </c>
      <c r="AU25" s="48">
        <f t="shared" si="42"/>
        <v>0</v>
      </c>
      <c r="AV25" s="48">
        <f t="shared" si="42"/>
        <v>0</v>
      </c>
      <c r="AW25" s="48">
        <f t="shared" si="42"/>
        <v>0</v>
      </c>
      <c r="AX25" s="48">
        <f t="shared" si="42"/>
        <v>0</v>
      </c>
      <c r="AY25" s="48">
        <f t="shared" si="42"/>
        <v>0</v>
      </c>
      <c r="AZ25" s="48">
        <f t="shared" si="42"/>
        <v>0</v>
      </c>
      <c r="BA25" s="48">
        <f t="shared" si="42"/>
        <v>0</v>
      </c>
      <c r="BB25" s="48">
        <f t="shared" si="42"/>
        <v>0</v>
      </c>
      <c r="BC25" s="48">
        <f t="shared" si="42"/>
        <v>0</v>
      </c>
      <c r="BD25" s="48">
        <f t="shared" si="42"/>
        <v>0</v>
      </c>
      <c r="BE25" s="48">
        <f t="shared" si="42"/>
        <v>0</v>
      </c>
      <c r="BF25" s="48">
        <f t="shared" si="42"/>
        <v>0</v>
      </c>
      <c r="BG25" s="48">
        <f t="shared" si="42"/>
        <v>0</v>
      </c>
      <c r="BH25" s="48">
        <f t="shared" si="42"/>
        <v>0</v>
      </c>
      <c r="BI25" s="48">
        <f t="shared" si="42"/>
        <v>0</v>
      </c>
      <c r="BJ25" s="48">
        <f t="shared" si="42"/>
        <v>0</v>
      </c>
      <c r="BK25" s="48">
        <f t="shared" si="42"/>
        <v>0</v>
      </c>
      <c r="BL25" s="48">
        <f t="shared" si="42"/>
        <v>0</v>
      </c>
      <c r="BM25" s="48">
        <f t="shared" si="42"/>
        <v>0</v>
      </c>
      <c r="BN25" s="48">
        <f t="shared" si="42"/>
        <v>0</v>
      </c>
      <c r="BO25" s="48">
        <f t="shared" si="42"/>
        <v>0</v>
      </c>
      <c r="BP25" s="48">
        <f t="shared" si="42"/>
        <v>0</v>
      </c>
      <c r="BQ25" s="48">
        <f t="shared" si="42"/>
        <v>0</v>
      </c>
      <c r="BR25" s="48">
        <f t="shared" ref="BR25:CW25" si="43">IF(BR$15=1,INDEX(Vol_O,5,BR$14)/12*(1+P_dVol),0)</f>
        <v>0</v>
      </c>
      <c r="BS25" s="48">
        <f t="shared" si="43"/>
        <v>0</v>
      </c>
      <c r="BT25" s="48">
        <f t="shared" si="43"/>
        <v>0</v>
      </c>
      <c r="BU25" s="48">
        <f t="shared" si="43"/>
        <v>0</v>
      </c>
      <c r="BV25" s="48">
        <f t="shared" si="43"/>
        <v>0</v>
      </c>
      <c r="BW25" s="48">
        <f t="shared" si="43"/>
        <v>0</v>
      </c>
      <c r="BX25" s="48">
        <f t="shared" si="43"/>
        <v>0</v>
      </c>
      <c r="BY25" s="48">
        <f t="shared" si="43"/>
        <v>0</v>
      </c>
      <c r="BZ25" s="48">
        <f t="shared" si="43"/>
        <v>0</v>
      </c>
      <c r="CA25" s="48">
        <f t="shared" si="43"/>
        <v>0</v>
      </c>
      <c r="CB25" s="48">
        <f t="shared" si="43"/>
        <v>0</v>
      </c>
      <c r="CC25" s="48">
        <f t="shared" si="43"/>
        <v>0</v>
      </c>
      <c r="CD25" s="48">
        <f t="shared" si="43"/>
        <v>0</v>
      </c>
      <c r="CE25" s="48">
        <f t="shared" si="43"/>
        <v>0</v>
      </c>
      <c r="CF25" s="48">
        <f t="shared" si="43"/>
        <v>0</v>
      </c>
      <c r="CG25" s="48">
        <f t="shared" si="43"/>
        <v>0</v>
      </c>
      <c r="CH25" s="48">
        <f t="shared" si="43"/>
        <v>0</v>
      </c>
      <c r="CI25" s="48">
        <f t="shared" si="43"/>
        <v>0</v>
      </c>
      <c r="CJ25" s="48">
        <f t="shared" si="43"/>
        <v>0</v>
      </c>
      <c r="CK25" s="48">
        <f t="shared" si="43"/>
        <v>0</v>
      </c>
      <c r="CL25" s="48">
        <f t="shared" si="43"/>
        <v>0</v>
      </c>
      <c r="CM25" s="48">
        <f t="shared" si="43"/>
        <v>0</v>
      </c>
      <c r="CN25" s="48">
        <f t="shared" si="43"/>
        <v>0</v>
      </c>
      <c r="CO25" s="48">
        <f t="shared" si="43"/>
        <v>0</v>
      </c>
      <c r="CP25" s="48">
        <f t="shared" si="43"/>
        <v>0</v>
      </c>
      <c r="CQ25" s="48">
        <f t="shared" si="43"/>
        <v>0</v>
      </c>
      <c r="CR25" s="48">
        <f t="shared" si="43"/>
        <v>0</v>
      </c>
      <c r="CS25" s="48">
        <f t="shared" si="43"/>
        <v>0</v>
      </c>
      <c r="CT25" s="48">
        <f t="shared" si="43"/>
        <v>0</v>
      </c>
      <c r="CU25" s="48">
        <f t="shared" si="43"/>
        <v>0</v>
      </c>
      <c r="CV25" s="48">
        <f t="shared" si="43"/>
        <v>0</v>
      </c>
      <c r="CW25" s="48">
        <f t="shared" si="43"/>
        <v>0</v>
      </c>
      <c r="CX25" s="48">
        <f t="shared" ref="CX25:EC25" si="44">IF(CX$15=1,INDEX(Vol_O,5,CX$14)/12*(1+P_dVol),0)</f>
        <v>0</v>
      </c>
      <c r="CY25" s="48">
        <f t="shared" si="44"/>
        <v>0</v>
      </c>
      <c r="CZ25" s="48">
        <f t="shared" si="44"/>
        <v>0</v>
      </c>
      <c r="DA25" s="48">
        <f t="shared" si="44"/>
        <v>0</v>
      </c>
      <c r="DB25" s="48">
        <f t="shared" si="44"/>
        <v>0</v>
      </c>
      <c r="DC25" s="48">
        <f t="shared" si="44"/>
        <v>0</v>
      </c>
      <c r="DD25" s="48">
        <f t="shared" si="44"/>
        <v>0</v>
      </c>
      <c r="DE25" s="48">
        <f t="shared" si="44"/>
        <v>0</v>
      </c>
      <c r="DF25" s="48">
        <f t="shared" si="44"/>
        <v>0</v>
      </c>
      <c r="DG25" s="48">
        <f t="shared" si="44"/>
        <v>0</v>
      </c>
      <c r="DH25" s="48">
        <f t="shared" si="44"/>
        <v>0</v>
      </c>
      <c r="DI25" s="48">
        <f t="shared" si="44"/>
        <v>0</v>
      </c>
      <c r="DJ25" s="48">
        <f t="shared" si="44"/>
        <v>0</v>
      </c>
      <c r="DK25" s="48">
        <f t="shared" si="44"/>
        <v>0</v>
      </c>
      <c r="DL25" s="48">
        <f t="shared" si="44"/>
        <v>0</v>
      </c>
      <c r="DM25" s="48">
        <f t="shared" si="44"/>
        <v>0</v>
      </c>
      <c r="DN25" s="48">
        <f t="shared" si="44"/>
        <v>0</v>
      </c>
      <c r="DO25" s="48">
        <f t="shared" si="44"/>
        <v>0</v>
      </c>
      <c r="DP25" s="48">
        <f t="shared" si="44"/>
        <v>0</v>
      </c>
      <c r="DQ25" s="48">
        <f t="shared" si="44"/>
        <v>0</v>
      </c>
      <c r="DR25" s="48">
        <f t="shared" si="44"/>
        <v>0</v>
      </c>
      <c r="DS25" s="48">
        <f t="shared" si="44"/>
        <v>0</v>
      </c>
      <c r="DT25" s="48">
        <f t="shared" si="44"/>
        <v>0</v>
      </c>
      <c r="DU25" s="48">
        <f t="shared" si="44"/>
        <v>0</v>
      </c>
      <c r="DV25" s="48">
        <f t="shared" si="44"/>
        <v>0</v>
      </c>
      <c r="DW25" s="48">
        <f t="shared" si="44"/>
        <v>0</v>
      </c>
      <c r="DX25" s="48">
        <f t="shared" si="44"/>
        <v>0</v>
      </c>
      <c r="DY25" s="48">
        <f t="shared" si="44"/>
        <v>0</v>
      </c>
      <c r="DZ25" s="48">
        <f t="shared" si="44"/>
        <v>0</v>
      </c>
      <c r="EA25" s="48">
        <f t="shared" si="44"/>
        <v>0</v>
      </c>
      <c r="EB25" s="48">
        <f t="shared" si="44"/>
        <v>0</v>
      </c>
      <c r="EC25" s="48">
        <f t="shared" si="44"/>
        <v>0</v>
      </c>
      <c r="ED25" s="48">
        <f t="shared" ref="ED25:ES25" si="45">IF(ED$15=1,INDEX(Vol_O,5,ED$14)/12*(1+P_dVol),0)</f>
        <v>0</v>
      </c>
      <c r="EE25" s="48">
        <f t="shared" si="45"/>
        <v>0</v>
      </c>
      <c r="EF25" s="48">
        <f t="shared" si="45"/>
        <v>0</v>
      </c>
      <c r="EG25" s="48">
        <f t="shared" si="45"/>
        <v>0</v>
      </c>
      <c r="EH25" s="48">
        <f t="shared" si="45"/>
        <v>0</v>
      </c>
      <c r="EI25" s="48">
        <f t="shared" si="45"/>
        <v>0</v>
      </c>
      <c r="EJ25" s="48">
        <f t="shared" si="45"/>
        <v>0</v>
      </c>
      <c r="EK25" s="48">
        <f t="shared" si="45"/>
        <v>0</v>
      </c>
      <c r="EL25" s="48">
        <f t="shared" si="45"/>
        <v>0</v>
      </c>
      <c r="EM25" s="48">
        <f t="shared" si="45"/>
        <v>0</v>
      </c>
      <c r="EN25" s="48">
        <f t="shared" si="45"/>
        <v>0</v>
      </c>
      <c r="EO25" s="48">
        <f t="shared" si="45"/>
        <v>0</v>
      </c>
      <c r="EP25" s="48">
        <f t="shared" si="45"/>
        <v>0</v>
      </c>
      <c r="EQ25" s="48">
        <f t="shared" si="45"/>
        <v>0</v>
      </c>
      <c r="ER25" s="48">
        <f t="shared" si="45"/>
        <v>0</v>
      </c>
      <c r="ES25" s="48">
        <f t="shared" si="45"/>
        <v>0</v>
      </c>
    </row>
    <row r="26" spans="1:149" x14ac:dyDescent="0.3">
      <c r="A26" s="14" t="s">
        <v>1003</v>
      </c>
      <c r="B26" s="53" t="str">
        <f>IF(INDEX(Prod_Nombre,6)="","Producto 6",INDEX(Prod_Nombre,6))&amp;" — unidades"</f>
        <v>Producto 6 — unidades</v>
      </c>
      <c r="C26" s="18" t="s">
        <v>475</v>
      </c>
      <c r="E26" s="54">
        <f t="shared" si="20"/>
        <v>0</v>
      </c>
      <c r="F26" s="48">
        <f t="shared" ref="F26:AK26" si="46">IF(F$15=1,INDEX(Vol_O,6,F$14)/12*(1+P_dVol),0)</f>
        <v>0</v>
      </c>
      <c r="G26" s="48">
        <f t="shared" si="46"/>
        <v>0</v>
      </c>
      <c r="H26" s="48">
        <f t="shared" si="46"/>
        <v>0</v>
      </c>
      <c r="I26" s="48">
        <f t="shared" si="46"/>
        <v>0</v>
      </c>
      <c r="J26" s="48">
        <f t="shared" si="46"/>
        <v>0</v>
      </c>
      <c r="K26" s="48">
        <f t="shared" si="46"/>
        <v>0</v>
      </c>
      <c r="L26" s="48">
        <f t="shared" si="46"/>
        <v>0</v>
      </c>
      <c r="M26" s="48">
        <f t="shared" si="46"/>
        <v>0</v>
      </c>
      <c r="N26" s="48">
        <f t="shared" si="46"/>
        <v>0</v>
      </c>
      <c r="O26" s="48">
        <f t="shared" si="46"/>
        <v>0</v>
      </c>
      <c r="P26" s="48">
        <f t="shared" si="46"/>
        <v>0</v>
      </c>
      <c r="Q26" s="48">
        <f t="shared" si="46"/>
        <v>0</v>
      </c>
      <c r="R26" s="48">
        <f t="shared" si="46"/>
        <v>0</v>
      </c>
      <c r="S26" s="48">
        <f t="shared" si="46"/>
        <v>0</v>
      </c>
      <c r="T26" s="48">
        <f t="shared" si="46"/>
        <v>0</v>
      </c>
      <c r="U26" s="48">
        <f t="shared" si="46"/>
        <v>0</v>
      </c>
      <c r="V26" s="48">
        <f t="shared" si="46"/>
        <v>0</v>
      </c>
      <c r="W26" s="48">
        <f t="shared" si="46"/>
        <v>0</v>
      </c>
      <c r="X26" s="48">
        <f t="shared" si="46"/>
        <v>0</v>
      </c>
      <c r="Y26" s="48">
        <f t="shared" si="46"/>
        <v>0</v>
      </c>
      <c r="Z26" s="48">
        <f t="shared" si="46"/>
        <v>0</v>
      </c>
      <c r="AA26" s="48">
        <f t="shared" si="46"/>
        <v>0</v>
      </c>
      <c r="AB26" s="48">
        <f t="shared" si="46"/>
        <v>0</v>
      </c>
      <c r="AC26" s="48">
        <f t="shared" si="46"/>
        <v>0</v>
      </c>
      <c r="AD26" s="48">
        <f t="shared" si="46"/>
        <v>0</v>
      </c>
      <c r="AE26" s="48">
        <f t="shared" si="46"/>
        <v>0</v>
      </c>
      <c r="AF26" s="48">
        <f t="shared" si="46"/>
        <v>0</v>
      </c>
      <c r="AG26" s="48">
        <f t="shared" si="46"/>
        <v>0</v>
      </c>
      <c r="AH26" s="48">
        <f t="shared" si="46"/>
        <v>0</v>
      </c>
      <c r="AI26" s="48">
        <f t="shared" si="46"/>
        <v>0</v>
      </c>
      <c r="AJ26" s="48">
        <f t="shared" si="46"/>
        <v>0</v>
      </c>
      <c r="AK26" s="48">
        <f t="shared" si="46"/>
        <v>0</v>
      </c>
      <c r="AL26" s="48">
        <f t="shared" ref="AL26:BQ26" si="47">IF(AL$15=1,INDEX(Vol_O,6,AL$14)/12*(1+P_dVol),0)</f>
        <v>0</v>
      </c>
      <c r="AM26" s="48">
        <f t="shared" si="47"/>
        <v>0</v>
      </c>
      <c r="AN26" s="48">
        <f t="shared" si="47"/>
        <v>0</v>
      </c>
      <c r="AO26" s="48">
        <f t="shared" si="47"/>
        <v>0</v>
      </c>
      <c r="AP26" s="48">
        <f t="shared" si="47"/>
        <v>0</v>
      </c>
      <c r="AQ26" s="48">
        <f t="shared" si="47"/>
        <v>0</v>
      </c>
      <c r="AR26" s="48">
        <f t="shared" si="47"/>
        <v>0</v>
      </c>
      <c r="AS26" s="48">
        <f t="shared" si="47"/>
        <v>0</v>
      </c>
      <c r="AT26" s="48">
        <f t="shared" si="47"/>
        <v>0</v>
      </c>
      <c r="AU26" s="48">
        <f t="shared" si="47"/>
        <v>0</v>
      </c>
      <c r="AV26" s="48">
        <f t="shared" si="47"/>
        <v>0</v>
      </c>
      <c r="AW26" s="48">
        <f t="shared" si="47"/>
        <v>0</v>
      </c>
      <c r="AX26" s="48">
        <f t="shared" si="47"/>
        <v>0</v>
      </c>
      <c r="AY26" s="48">
        <f t="shared" si="47"/>
        <v>0</v>
      </c>
      <c r="AZ26" s="48">
        <f t="shared" si="47"/>
        <v>0</v>
      </c>
      <c r="BA26" s="48">
        <f t="shared" si="47"/>
        <v>0</v>
      </c>
      <c r="BB26" s="48">
        <f t="shared" si="47"/>
        <v>0</v>
      </c>
      <c r="BC26" s="48">
        <f t="shared" si="47"/>
        <v>0</v>
      </c>
      <c r="BD26" s="48">
        <f t="shared" si="47"/>
        <v>0</v>
      </c>
      <c r="BE26" s="48">
        <f t="shared" si="47"/>
        <v>0</v>
      </c>
      <c r="BF26" s="48">
        <f t="shared" si="47"/>
        <v>0</v>
      </c>
      <c r="BG26" s="48">
        <f t="shared" si="47"/>
        <v>0</v>
      </c>
      <c r="BH26" s="48">
        <f t="shared" si="47"/>
        <v>0</v>
      </c>
      <c r="BI26" s="48">
        <f t="shared" si="47"/>
        <v>0</v>
      </c>
      <c r="BJ26" s="48">
        <f t="shared" si="47"/>
        <v>0</v>
      </c>
      <c r="BK26" s="48">
        <f t="shared" si="47"/>
        <v>0</v>
      </c>
      <c r="BL26" s="48">
        <f t="shared" si="47"/>
        <v>0</v>
      </c>
      <c r="BM26" s="48">
        <f t="shared" si="47"/>
        <v>0</v>
      </c>
      <c r="BN26" s="48">
        <f t="shared" si="47"/>
        <v>0</v>
      </c>
      <c r="BO26" s="48">
        <f t="shared" si="47"/>
        <v>0</v>
      </c>
      <c r="BP26" s="48">
        <f t="shared" si="47"/>
        <v>0</v>
      </c>
      <c r="BQ26" s="48">
        <f t="shared" si="47"/>
        <v>0</v>
      </c>
      <c r="BR26" s="48">
        <f t="shared" ref="BR26:CW26" si="48">IF(BR$15=1,INDEX(Vol_O,6,BR$14)/12*(1+P_dVol),0)</f>
        <v>0</v>
      </c>
      <c r="BS26" s="48">
        <f t="shared" si="48"/>
        <v>0</v>
      </c>
      <c r="BT26" s="48">
        <f t="shared" si="48"/>
        <v>0</v>
      </c>
      <c r="BU26" s="48">
        <f t="shared" si="48"/>
        <v>0</v>
      </c>
      <c r="BV26" s="48">
        <f t="shared" si="48"/>
        <v>0</v>
      </c>
      <c r="BW26" s="48">
        <f t="shared" si="48"/>
        <v>0</v>
      </c>
      <c r="BX26" s="48">
        <f t="shared" si="48"/>
        <v>0</v>
      </c>
      <c r="BY26" s="48">
        <f t="shared" si="48"/>
        <v>0</v>
      </c>
      <c r="BZ26" s="48">
        <f t="shared" si="48"/>
        <v>0</v>
      </c>
      <c r="CA26" s="48">
        <f t="shared" si="48"/>
        <v>0</v>
      </c>
      <c r="CB26" s="48">
        <f t="shared" si="48"/>
        <v>0</v>
      </c>
      <c r="CC26" s="48">
        <f t="shared" si="48"/>
        <v>0</v>
      </c>
      <c r="CD26" s="48">
        <f t="shared" si="48"/>
        <v>0</v>
      </c>
      <c r="CE26" s="48">
        <f t="shared" si="48"/>
        <v>0</v>
      </c>
      <c r="CF26" s="48">
        <f t="shared" si="48"/>
        <v>0</v>
      </c>
      <c r="CG26" s="48">
        <f t="shared" si="48"/>
        <v>0</v>
      </c>
      <c r="CH26" s="48">
        <f t="shared" si="48"/>
        <v>0</v>
      </c>
      <c r="CI26" s="48">
        <f t="shared" si="48"/>
        <v>0</v>
      </c>
      <c r="CJ26" s="48">
        <f t="shared" si="48"/>
        <v>0</v>
      </c>
      <c r="CK26" s="48">
        <f t="shared" si="48"/>
        <v>0</v>
      </c>
      <c r="CL26" s="48">
        <f t="shared" si="48"/>
        <v>0</v>
      </c>
      <c r="CM26" s="48">
        <f t="shared" si="48"/>
        <v>0</v>
      </c>
      <c r="CN26" s="48">
        <f t="shared" si="48"/>
        <v>0</v>
      </c>
      <c r="CO26" s="48">
        <f t="shared" si="48"/>
        <v>0</v>
      </c>
      <c r="CP26" s="48">
        <f t="shared" si="48"/>
        <v>0</v>
      </c>
      <c r="CQ26" s="48">
        <f t="shared" si="48"/>
        <v>0</v>
      </c>
      <c r="CR26" s="48">
        <f t="shared" si="48"/>
        <v>0</v>
      </c>
      <c r="CS26" s="48">
        <f t="shared" si="48"/>
        <v>0</v>
      </c>
      <c r="CT26" s="48">
        <f t="shared" si="48"/>
        <v>0</v>
      </c>
      <c r="CU26" s="48">
        <f t="shared" si="48"/>
        <v>0</v>
      </c>
      <c r="CV26" s="48">
        <f t="shared" si="48"/>
        <v>0</v>
      </c>
      <c r="CW26" s="48">
        <f t="shared" si="48"/>
        <v>0</v>
      </c>
      <c r="CX26" s="48">
        <f t="shared" ref="CX26:EC26" si="49">IF(CX$15=1,INDEX(Vol_O,6,CX$14)/12*(1+P_dVol),0)</f>
        <v>0</v>
      </c>
      <c r="CY26" s="48">
        <f t="shared" si="49"/>
        <v>0</v>
      </c>
      <c r="CZ26" s="48">
        <f t="shared" si="49"/>
        <v>0</v>
      </c>
      <c r="DA26" s="48">
        <f t="shared" si="49"/>
        <v>0</v>
      </c>
      <c r="DB26" s="48">
        <f t="shared" si="49"/>
        <v>0</v>
      </c>
      <c r="DC26" s="48">
        <f t="shared" si="49"/>
        <v>0</v>
      </c>
      <c r="DD26" s="48">
        <f t="shared" si="49"/>
        <v>0</v>
      </c>
      <c r="DE26" s="48">
        <f t="shared" si="49"/>
        <v>0</v>
      </c>
      <c r="DF26" s="48">
        <f t="shared" si="49"/>
        <v>0</v>
      </c>
      <c r="DG26" s="48">
        <f t="shared" si="49"/>
        <v>0</v>
      </c>
      <c r="DH26" s="48">
        <f t="shared" si="49"/>
        <v>0</v>
      </c>
      <c r="DI26" s="48">
        <f t="shared" si="49"/>
        <v>0</v>
      </c>
      <c r="DJ26" s="48">
        <f t="shared" si="49"/>
        <v>0</v>
      </c>
      <c r="DK26" s="48">
        <f t="shared" si="49"/>
        <v>0</v>
      </c>
      <c r="DL26" s="48">
        <f t="shared" si="49"/>
        <v>0</v>
      </c>
      <c r="DM26" s="48">
        <f t="shared" si="49"/>
        <v>0</v>
      </c>
      <c r="DN26" s="48">
        <f t="shared" si="49"/>
        <v>0</v>
      </c>
      <c r="DO26" s="48">
        <f t="shared" si="49"/>
        <v>0</v>
      </c>
      <c r="DP26" s="48">
        <f t="shared" si="49"/>
        <v>0</v>
      </c>
      <c r="DQ26" s="48">
        <f t="shared" si="49"/>
        <v>0</v>
      </c>
      <c r="DR26" s="48">
        <f t="shared" si="49"/>
        <v>0</v>
      </c>
      <c r="DS26" s="48">
        <f t="shared" si="49"/>
        <v>0</v>
      </c>
      <c r="DT26" s="48">
        <f t="shared" si="49"/>
        <v>0</v>
      </c>
      <c r="DU26" s="48">
        <f t="shared" si="49"/>
        <v>0</v>
      </c>
      <c r="DV26" s="48">
        <f t="shared" si="49"/>
        <v>0</v>
      </c>
      <c r="DW26" s="48">
        <f t="shared" si="49"/>
        <v>0</v>
      </c>
      <c r="DX26" s="48">
        <f t="shared" si="49"/>
        <v>0</v>
      </c>
      <c r="DY26" s="48">
        <f t="shared" si="49"/>
        <v>0</v>
      </c>
      <c r="DZ26" s="48">
        <f t="shared" si="49"/>
        <v>0</v>
      </c>
      <c r="EA26" s="48">
        <f t="shared" si="49"/>
        <v>0</v>
      </c>
      <c r="EB26" s="48">
        <f t="shared" si="49"/>
        <v>0</v>
      </c>
      <c r="EC26" s="48">
        <f t="shared" si="49"/>
        <v>0</v>
      </c>
      <c r="ED26" s="48">
        <f t="shared" ref="ED26:ES26" si="50">IF(ED$15=1,INDEX(Vol_O,6,ED$14)/12*(1+P_dVol),0)</f>
        <v>0</v>
      </c>
      <c r="EE26" s="48">
        <f t="shared" si="50"/>
        <v>0</v>
      </c>
      <c r="EF26" s="48">
        <f t="shared" si="50"/>
        <v>0</v>
      </c>
      <c r="EG26" s="48">
        <f t="shared" si="50"/>
        <v>0</v>
      </c>
      <c r="EH26" s="48">
        <f t="shared" si="50"/>
        <v>0</v>
      </c>
      <c r="EI26" s="48">
        <f t="shared" si="50"/>
        <v>0</v>
      </c>
      <c r="EJ26" s="48">
        <f t="shared" si="50"/>
        <v>0</v>
      </c>
      <c r="EK26" s="48">
        <f t="shared" si="50"/>
        <v>0</v>
      </c>
      <c r="EL26" s="48">
        <f t="shared" si="50"/>
        <v>0</v>
      </c>
      <c r="EM26" s="48">
        <f t="shared" si="50"/>
        <v>0</v>
      </c>
      <c r="EN26" s="48">
        <f t="shared" si="50"/>
        <v>0</v>
      </c>
      <c r="EO26" s="48">
        <f t="shared" si="50"/>
        <v>0</v>
      </c>
      <c r="EP26" s="48">
        <f t="shared" si="50"/>
        <v>0</v>
      </c>
      <c r="EQ26" s="48">
        <f t="shared" si="50"/>
        <v>0</v>
      </c>
      <c r="ER26" s="48">
        <f t="shared" si="50"/>
        <v>0</v>
      </c>
      <c r="ES26" s="48">
        <f t="shared" si="50"/>
        <v>0</v>
      </c>
    </row>
    <row r="27" spans="1:149" x14ac:dyDescent="0.3">
      <c r="A27" s="14" t="s">
        <v>1004</v>
      </c>
      <c r="B27" s="53" t="str">
        <f>IF(INDEX(Prod_Nombre,7)="","Producto 7",INDEX(Prod_Nombre,7))&amp;" — unidades"</f>
        <v>Producto 7 — unidades</v>
      </c>
      <c r="C27" s="18" t="s">
        <v>475</v>
      </c>
      <c r="E27" s="54">
        <f t="shared" si="20"/>
        <v>0</v>
      </c>
      <c r="F27" s="48">
        <f t="shared" ref="F27:AK27" si="51">IF(F$15=1,INDEX(Vol_O,7,F$14)/12*(1+P_dVol),0)</f>
        <v>0</v>
      </c>
      <c r="G27" s="48">
        <f t="shared" si="51"/>
        <v>0</v>
      </c>
      <c r="H27" s="48">
        <f t="shared" si="51"/>
        <v>0</v>
      </c>
      <c r="I27" s="48">
        <f t="shared" si="51"/>
        <v>0</v>
      </c>
      <c r="J27" s="48">
        <f t="shared" si="51"/>
        <v>0</v>
      </c>
      <c r="K27" s="48">
        <f t="shared" si="51"/>
        <v>0</v>
      </c>
      <c r="L27" s="48">
        <f t="shared" si="51"/>
        <v>0</v>
      </c>
      <c r="M27" s="48">
        <f t="shared" si="51"/>
        <v>0</v>
      </c>
      <c r="N27" s="48">
        <f t="shared" si="51"/>
        <v>0</v>
      </c>
      <c r="O27" s="48">
        <f t="shared" si="51"/>
        <v>0</v>
      </c>
      <c r="P27" s="48">
        <f t="shared" si="51"/>
        <v>0</v>
      </c>
      <c r="Q27" s="48">
        <f t="shared" si="51"/>
        <v>0</v>
      </c>
      <c r="R27" s="48">
        <f t="shared" si="51"/>
        <v>0</v>
      </c>
      <c r="S27" s="48">
        <f t="shared" si="51"/>
        <v>0</v>
      </c>
      <c r="T27" s="48">
        <f t="shared" si="51"/>
        <v>0</v>
      </c>
      <c r="U27" s="48">
        <f t="shared" si="51"/>
        <v>0</v>
      </c>
      <c r="V27" s="48">
        <f t="shared" si="51"/>
        <v>0</v>
      </c>
      <c r="W27" s="48">
        <f t="shared" si="51"/>
        <v>0</v>
      </c>
      <c r="X27" s="48">
        <f t="shared" si="51"/>
        <v>0</v>
      </c>
      <c r="Y27" s="48">
        <f t="shared" si="51"/>
        <v>0</v>
      </c>
      <c r="Z27" s="48">
        <f t="shared" si="51"/>
        <v>0</v>
      </c>
      <c r="AA27" s="48">
        <f t="shared" si="51"/>
        <v>0</v>
      </c>
      <c r="AB27" s="48">
        <f t="shared" si="51"/>
        <v>0</v>
      </c>
      <c r="AC27" s="48">
        <f t="shared" si="51"/>
        <v>0</v>
      </c>
      <c r="AD27" s="48">
        <f t="shared" si="51"/>
        <v>0</v>
      </c>
      <c r="AE27" s="48">
        <f t="shared" si="51"/>
        <v>0</v>
      </c>
      <c r="AF27" s="48">
        <f t="shared" si="51"/>
        <v>0</v>
      </c>
      <c r="AG27" s="48">
        <f t="shared" si="51"/>
        <v>0</v>
      </c>
      <c r="AH27" s="48">
        <f t="shared" si="51"/>
        <v>0</v>
      </c>
      <c r="AI27" s="48">
        <f t="shared" si="51"/>
        <v>0</v>
      </c>
      <c r="AJ27" s="48">
        <f t="shared" si="51"/>
        <v>0</v>
      </c>
      <c r="AK27" s="48">
        <f t="shared" si="51"/>
        <v>0</v>
      </c>
      <c r="AL27" s="48">
        <f t="shared" ref="AL27:BQ27" si="52">IF(AL$15=1,INDEX(Vol_O,7,AL$14)/12*(1+P_dVol),0)</f>
        <v>0</v>
      </c>
      <c r="AM27" s="48">
        <f t="shared" si="52"/>
        <v>0</v>
      </c>
      <c r="AN27" s="48">
        <f t="shared" si="52"/>
        <v>0</v>
      </c>
      <c r="AO27" s="48">
        <f t="shared" si="52"/>
        <v>0</v>
      </c>
      <c r="AP27" s="48">
        <f t="shared" si="52"/>
        <v>0</v>
      </c>
      <c r="AQ27" s="48">
        <f t="shared" si="52"/>
        <v>0</v>
      </c>
      <c r="AR27" s="48">
        <f t="shared" si="52"/>
        <v>0</v>
      </c>
      <c r="AS27" s="48">
        <f t="shared" si="52"/>
        <v>0</v>
      </c>
      <c r="AT27" s="48">
        <f t="shared" si="52"/>
        <v>0</v>
      </c>
      <c r="AU27" s="48">
        <f t="shared" si="52"/>
        <v>0</v>
      </c>
      <c r="AV27" s="48">
        <f t="shared" si="52"/>
        <v>0</v>
      </c>
      <c r="AW27" s="48">
        <f t="shared" si="52"/>
        <v>0</v>
      </c>
      <c r="AX27" s="48">
        <f t="shared" si="52"/>
        <v>0</v>
      </c>
      <c r="AY27" s="48">
        <f t="shared" si="52"/>
        <v>0</v>
      </c>
      <c r="AZ27" s="48">
        <f t="shared" si="52"/>
        <v>0</v>
      </c>
      <c r="BA27" s="48">
        <f t="shared" si="52"/>
        <v>0</v>
      </c>
      <c r="BB27" s="48">
        <f t="shared" si="52"/>
        <v>0</v>
      </c>
      <c r="BC27" s="48">
        <f t="shared" si="52"/>
        <v>0</v>
      </c>
      <c r="BD27" s="48">
        <f t="shared" si="52"/>
        <v>0</v>
      </c>
      <c r="BE27" s="48">
        <f t="shared" si="52"/>
        <v>0</v>
      </c>
      <c r="BF27" s="48">
        <f t="shared" si="52"/>
        <v>0</v>
      </c>
      <c r="BG27" s="48">
        <f t="shared" si="52"/>
        <v>0</v>
      </c>
      <c r="BH27" s="48">
        <f t="shared" si="52"/>
        <v>0</v>
      </c>
      <c r="BI27" s="48">
        <f t="shared" si="52"/>
        <v>0</v>
      </c>
      <c r="BJ27" s="48">
        <f t="shared" si="52"/>
        <v>0</v>
      </c>
      <c r="BK27" s="48">
        <f t="shared" si="52"/>
        <v>0</v>
      </c>
      <c r="BL27" s="48">
        <f t="shared" si="52"/>
        <v>0</v>
      </c>
      <c r="BM27" s="48">
        <f t="shared" si="52"/>
        <v>0</v>
      </c>
      <c r="BN27" s="48">
        <f t="shared" si="52"/>
        <v>0</v>
      </c>
      <c r="BO27" s="48">
        <f t="shared" si="52"/>
        <v>0</v>
      </c>
      <c r="BP27" s="48">
        <f t="shared" si="52"/>
        <v>0</v>
      </c>
      <c r="BQ27" s="48">
        <f t="shared" si="52"/>
        <v>0</v>
      </c>
      <c r="BR27" s="48">
        <f t="shared" ref="BR27:CW27" si="53">IF(BR$15=1,INDEX(Vol_O,7,BR$14)/12*(1+P_dVol),0)</f>
        <v>0</v>
      </c>
      <c r="BS27" s="48">
        <f t="shared" si="53"/>
        <v>0</v>
      </c>
      <c r="BT27" s="48">
        <f t="shared" si="53"/>
        <v>0</v>
      </c>
      <c r="BU27" s="48">
        <f t="shared" si="53"/>
        <v>0</v>
      </c>
      <c r="BV27" s="48">
        <f t="shared" si="53"/>
        <v>0</v>
      </c>
      <c r="BW27" s="48">
        <f t="shared" si="53"/>
        <v>0</v>
      </c>
      <c r="BX27" s="48">
        <f t="shared" si="53"/>
        <v>0</v>
      </c>
      <c r="BY27" s="48">
        <f t="shared" si="53"/>
        <v>0</v>
      </c>
      <c r="BZ27" s="48">
        <f t="shared" si="53"/>
        <v>0</v>
      </c>
      <c r="CA27" s="48">
        <f t="shared" si="53"/>
        <v>0</v>
      </c>
      <c r="CB27" s="48">
        <f t="shared" si="53"/>
        <v>0</v>
      </c>
      <c r="CC27" s="48">
        <f t="shared" si="53"/>
        <v>0</v>
      </c>
      <c r="CD27" s="48">
        <f t="shared" si="53"/>
        <v>0</v>
      </c>
      <c r="CE27" s="48">
        <f t="shared" si="53"/>
        <v>0</v>
      </c>
      <c r="CF27" s="48">
        <f t="shared" si="53"/>
        <v>0</v>
      </c>
      <c r="CG27" s="48">
        <f t="shared" si="53"/>
        <v>0</v>
      </c>
      <c r="CH27" s="48">
        <f t="shared" si="53"/>
        <v>0</v>
      </c>
      <c r="CI27" s="48">
        <f t="shared" si="53"/>
        <v>0</v>
      </c>
      <c r="CJ27" s="48">
        <f t="shared" si="53"/>
        <v>0</v>
      </c>
      <c r="CK27" s="48">
        <f t="shared" si="53"/>
        <v>0</v>
      </c>
      <c r="CL27" s="48">
        <f t="shared" si="53"/>
        <v>0</v>
      </c>
      <c r="CM27" s="48">
        <f t="shared" si="53"/>
        <v>0</v>
      </c>
      <c r="CN27" s="48">
        <f t="shared" si="53"/>
        <v>0</v>
      </c>
      <c r="CO27" s="48">
        <f t="shared" si="53"/>
        <v>0</v>
      </c>
      <c r="CP27" s="48">
        <f t="shared" si="53"/>
        <v>0</v>
      </c>
      <c r="CQ27" s="48">
        <f t="shared" si="53"/>
        <v>0</v>
      </c>
      <c r="CR27" s="48">
        <f t="shared" si="53"/>
        <v>0</v>
      </c>
      <c r="CS27" s="48">
        <f t="shared" si="53"/>
        <v>0</v>
      </c>
      <c r="CT27" s="48">
        <f t="shared" si="53"/>
        <v>0</v>
      </c>
      <c r="CU27" s="48">
        <f t="shared" si="53"/>
        <v>0</v>
      </c>
      <c r="CV27" s="48">
        <f t="shared" si="53"/>
        <v>0</v>
      </c>
      <c r="CW27" s="48">
        <f t="shared" si="53"/>
        <v>0</v>
      </c>
      <c r="CX27" s="48">
        <f t="shared" ref="CX27:EC27" si="54">IF(CX$15=1,INDEX(Vol_O,7,CX$14)/12*(1+P_dVol),0)</f>
        <v>0</v>
      </c>
      <c r="CY27" s="48">
        <f t="shared" si="54"/>
        <v>0</v>
      </c>
      <c r="CZ27" s="48">
        <f t="shared" si="54"/>
        <v>0</v>
      </c>
      <c r="DA27" s="48">
        <f t="shared" si="54"/>
        <v>0</v>
      </c>
      <c r="DB27" s="48">
        <f t="shared" si="54"/>
        <v>0</v>
      </c>
      <c r="DC27" s="48">
        <f t="shared" si="54"/>
        <v>0</v>
      </c>
      <c r="DD27" s="48">
        <f t="shared" si="54"/>
        <v>0</v>
      </c>
      <c r="DE27" s="48">
        <f t="shared" si="54"/>
        <v>0</v>
      </c>
      <c r="DF27" s="48">
        <f t="shared" si="54"/>
        <v>0</v>
      </c>
      <c r="DG27" s="48">
        <f t="shared" si="54"/>
        <v>0</v>
      </c>
      <c r="DH27" s="48">
        <f t="shared" si="54"/>
        <v>0</v>
      </c>
      <c r="DI27" s="48">
        <f t="shared" si="54"/>
        <v>0</v>
      </c>
      <c r="DJ27" s="48">
        <f t="shared" si="54"/>
        <v>0</v>
      </c>
      <c r="DK27" s="48">
        <f t="shared" si="54"/>
        <v>0</v>
      </c>
      <c r="DL27" s="48">
        <f t="shared" si="54"/>
        <v>0</v>
      </c>
      <c r="DM27" s="48">
        <f t="shared" si="54"/>
        <v>0</v>
      </c>
      <c r="DN27" s="48">
        <f t="shared" si="54"/>
        <v>0</v>
      </c>
      <c r="DO27" s="48">
        <f t="shared" si="54"/>
        <v>0</v>
      </c>
      <c r="DP27" s="48">
        <f t="shared" si="54"/>
        <v>0</v>
      </c>
      <c r="DQ27" s="48">
        <f t="shared" si="54"/>
        <v>0</v>
      </c>
      <c r="DR27" s="48">
        <f t="shared" si="54"/>
        <v>0</v>
      </c>
      <c r="DS27" s="48">
        <f t="shared" si="54"/>
        <v>0</v>
      </c>
      <c r="DT27" s="48">
        <f t="shared" si="54"/>
        <v>0</v>
      </c>
      <c r="DU27" s="48">
        <f t="shared" si="54"/>
        <v>0</v>
      </c>
      <c r="DV27" s="48">
        <f t="shared" si="54"/>
        <v>0</v>
      </c>
      <c r="DW27" s="48">
        <f t="shared" si="54"/>
        <v>0</v>
      </c>
      <c r="DX27" s="48">
        <f t="shared" si="54"/>
        <v>0</v>
      </c>
      <c r="DY27" s="48">
        <f t="shared" si="54"/>
        <v>0</v>
      </c>
      <c r="DZ27" s="48">
        <f t="shared" si="54"/>
        <v>0</v>
      </c>
      <c r="EA27" s="48">
        <f t="shared" si="54"/>
        <v>0</v>
      </c>
      <c r="EB27" s="48">
        <f t="shared" si="54"/>
        <v>0</v>
      </c>
      <c r="EC27" s="48">
        <f t="shared" si="54"/>
        <v>0</v>
      </c>
      <c r="ED27" s="48">
        <f t="shared" ref="ED27:ES27" si="55">IF(ED$15=1,INDEX(Vol_O,7,ED$14)/12*(1+P_dVol),0)</f>
        <v>0</v>
      </c>
      <c r="EE27" s="48">
        <f t="shared" si="55"/>
        <v>0</v>
      </c>
      <c r="EF27" s="48">
        <f t="shared" si="55"/>
        <v>0</v>
      </c>
      <c r="EG27" s="48">
        <f t="shared" si="55"/>
        <v>0</v>
      </c>
      <c r="EH27" s="48">
        <f t="shared" si="55"/>
        <v>0</v>
      </c>
      <c r="EI27" s="48">
        <f t="shared" si="55"/>
        <v>0</v>
      </c>
      <c r="EJ27" s="48">
        <f t="shared" si="55"/>
        <v>0</v>
      </c>
      <c r="EK27" s="48">
        <f t="shared" si="55"/>
        <v>0</v>
      </c>
      <c r="EL27" s="48">
        <f t="shared" si="55"/>
        <v>0</v>
      </c>
      <c r="EM27" s="48">
        <f t="shared" si="55"/>
        <v>0</v>
      </c>
      <c r="EN27" s="48">
        <f t="shared" si="55"/>
        <v>0</v>
      </c>
      <c r="EO27" s="48">
        <f t="shared" si="55"/>
        <v>0</v>
      </c>
      <c r="EP27" s="48">
        <f t="shared" si="55"/>
        <v>0</v>
      </c>
      <c r="EQ27" s="48">
        <f t="shared" si="55"/>
        <v>0</v>
      </c>
      <c r="ER27" s="48">
        <f t="shared" si="55"/>
        <v>0</v>
      </c>
      <c r="ES27" s="48">
        <f t="shared" si="55"/>
        <v>0</v>
      </c>
    </row>
    <row r="28" spans="1:149" x14ac:dyDescent="0.3">
      <c r="A28" s="14" t="s">
        <v>1005</v>
      </c>
      <c r="B28" s="53" t="str">
        <f>IF(INDEX(Prod_Nombre,8)="","Producto 8",INDEX(Prod_Nombre,8))&amp;" — unidades"</f>
        <v>Producto 8 — unidades</v>
      </c>
      <c r="C28" s="18" t="s">
        <v>475</v>
      </c>
      <c r="E28" s="54">
        <f t="shared" si="20"/>
        <v>0</v>
      </c>
      <c r="F28" s="48">
        <f t="shared" ref="F28:AK28" si="56">IF(F$15=1,INDEX(Vol_O,8,F$14)/12*(1+P_dVol),0)</f>
        <v>0</v>
      </c>
      <c r="G28" s="48">
        <f t="shared" si="56"/>
        <v>0</v>
      </c>
      <c r="H28" s="48">
        <f t="shared" si="56"/>
        <v>0</v>
      </c>
      <c r="I28" s="48">
        <f t="shared" si="56"/>
        <v>0</v>
      </c>
      <c r="J28" s="48">
        <f t="shared" si="56"/>
        <v>0</v>
      </c>
      <c r="K28" s="48">
        <f t="shared" si="56"/>
        <v>0</v>
      </c>
      <c r="L28" s="48">
        <f t="shared" si="56"/>
        <v>0</v>
      </c>
      <c r="M28" s="48">
        <f t="shared" si="56"/>
        <v>0</v>
      </c>
      <c r="N28" s="48">
        <f t="shared" si="56"/>
        <v>0</v>
      </c>
      <c r="O28" s="48">
        <f t="shared" si="56"/>
        <v>0</v>
      </c>
      <c r="P28" s="48">
        <f t="shared" si="56"/>
        <v>0</v>
      </c>
      <c r="Q28" s="48">
        <f t="shared" si="56"/>
        <v>0</v>
      </c>
      <c r="R28" s="48">
        <f t="shared" si="56"/>
        <v>0</v>
      </c>
      <c r="S28" s="48">
        <f t="shared" si="56"/>
        <v>0</v>
      </c>
      <c r="T28" s="48">
        <f t="shared" si="56"/>
        <v>0</v>
      </c>
      <c r="U28" s="48">
        <f t="shared" si="56"/>
        <v>0</v>
      </c>
      <c r="V28" s="48">
        <f t="shared" si="56"/>
        <v>0</v>
      </c>
      <c r="W28" s="48">
        <f t="shared" si="56"/>
        <v>0</v>
      </c>
      <c r="X28" s="48">
        <f t="shared" si="56"/>
        <v>0</v>
      </c>
      <c r="Y28" s="48">
        <f t="shared" si="56"/>
        <v>0</v>
      </c>
      <c r="Z28" s="48">
        <f t="shared" si="56"/>
        <v>0</v>
      </c>
      <c r="AA28" s="48">
        <f t="shared" si="56"/>
        <v>0</v>
      </c>
      <c r="AB28" s="48">
        <f t="shared" si="56"/>
        <v>0</v>
      </c>
      <c r="AC28" s="48">
        <f t="shared" si="56"/>
        <v>0</v>
      </c>
      <c r="AD28" s="48">
        <f t="shared" si="56"/>
        <v>0</v>
      </c>
      <c r="AE28" s="48">
        <f t="shared" si="56"/>
        <v>0</v>
      </c>
      <c r="AF28" s="48">
        <f t="shared" si="56"/>
        <v>0</v>
      </c>
      <c r="AG28" s="48">
        <f t="shared" si="56"/>
        <v>0</v>
      </c>
      <c r="AH28" s="48">
        <f t="shared" si="56"/>
        <v>0</v>
      </c>
      <c r="AI28" s="48">
        <f t="shared" si="56"/>
        <v>0</v>
      </c>
      <c r="AJ28" s="48">
        <f t="shared" si="56"/>
        <v>0</v>
      </c>
      <c r="AK28" s="48">
        <f t="shared" si="56"/>
        <v>0</v>
      </c>
      <c r="AL28" s="48">
        <f t="shared" ref="AL28:BQ28" si="57">IF(AL$15=1,INDEX(Vol_O,8,AL$14)/12*(1+P_dVol),0)</f>
        <v>0</v>
      </c>
      <c r="AM28" s="48">
        <f t="shared" si="57"/>
        <v>0</v>
      </c>
      <c r="AN28" s="48">
        <f t="shared" si="57"/>
        <v>0</v>
      </c>
      <c r="AO28" s="48">
        <f t="shared" si="57"/>
        <v>0</v>
      </c>
      <c r="AP28" s="48">
        <f t="shared" si="57"/>
        <v>0</v>
      </c>
      <c r="AQ28" s="48">
        <f t="shared" si="57"/>
        <v>0</v>
      </c>
      <c r="AR28" s="48">
        <f t="shared" si="57"/>
        <v>0</v>
      </c>
      <c r="AS28" s="48">
        <f t="shared" si="57"/>
        <v>0</v>
      </c>
      <c r="AT28" s="48">
        <f t="shared" si="57"/>
        <v>0</v>
      </c>
      <c r="AU28" s="48">
        <f t="shared" si="57"/>
        <v>0</v>
      </c>
      <c r="AV28" s="48">
        <f t="shared" si="57"/>
        <v>0</v>
      </c>
      <c r="AW28" s="48">
        <f t="shared" si="57"/>
        <v>0</v>
      </c>
      <c r="AX28" s="48">
        <f t="shared" si="57"/>
        <v>0</v>
      </c>
      <c r="AY28" s="48">
        <f t="shared" si="57"/>
        <v>0</v>
      </c>
      <c r="AZ28" s="48">
        <f t="shared" si="57"/>
        <v>0</v>
      </c>
      <c r="BA28" s="48">
        <f t="shared" si="57"/>
        <v>0</v>
      </c>
      <c r="BB28" s="48">
        <f t="shared" si="57"/>
        <v>0</v>
      </c>
      <c r="BC28" s="48">
        <f t="shared" si="57"/>
        <v>0</v>
      </c>
      <c r="BD28" s="48">
        <f t="shared" si="57"/>
        <v>0</v>
      </c>
      <c r="BE28" s="48">
        <f t="shared" si="57"/>
        <v>0</v>
      </c>
      <c r="BF28" s="48">
        <f t="shared" si="57"/>
        <v>0</v>
      </c>
      <c r="BG28" s="48">
        <f t="shared" si="57"/>
        <v>0</v>
      </c>
      <c r="BH28" s="48">
        <f t="shared" si="57"/>
        <v>0</v>
      </c>
      <c r="BI28" s="48">
        <f t="shared" si="57"/>
        <v>0</v>
      </c>
      <c r="BJ28" s="48">
        <f t="shared" si="57"/>
        <v>0</v>
      </c>
      <c r="BK28" s="48">
        <f t="shared" si="57"/>
        <v>0</v>
      </c>
      <c r="BL28" s="48">
        <f t="shared" si="57"/>
        <v>0</v>
      </c>
      <c r="BM28" s="48">
        <f t="shared" si="57"/>
        <v>0</v>
      </c>
      <c r="BN28" s="48">
        <f t="shared" si="57"/>
        <v>0</v>
      </c>
      <c r="BO28" s="48">
        <f t="shared" si="57"/>
        <v>0</v>
      </c>
      <c r="BP28" s="48">
        <f t="shared" si="57"/>
        <v>0</v>
      </c>
      <c r="BQ28" s="48">
        <f t="shared" si="57"/>
        <v>0</v>
      </c>
      <c r="BR28" s="48">
        <f t="shared" ref="BR28:CW28" si="58">IF(BR$15=1,INDEX(Vol_O,8,BR$14)/12*(1+P_dVol),0)</f>
        <v>0</v>
      </c>
      <c r="BS28" s="48">
        <f t="shared" si="58"/>
        <v>0</v>
      </c>
      <c r="BT28" s="48">
        <f t="shared" si="58"/>
        <v>0</v>
      </c>
      <c r="BU28" s="48">
        <f t="shared" si="58"/>
        <v>0</v>
      </c>
      <c r="BV28" s="48">
        <f t="shared" si="58"/>
        <v>0</v>
      </c>
      <c r="BW28" s="48">
        <f t="shared" si="58"/>
        <v>0</v>
      </c>
      <c r="BX28" s="48">
        <f t="shared" si="58"/>
        <v>0</v>
      </c>
      <c r="BY28" s="48">
        <f t="shared" si="58"/>
        <v>0</v>
      </c>
      <c r="BZ28" s="48">
        <f t="shared" si="58"/>
        <v>0</v>
      </c>
      <c r="CA28" s="48">
        <f t="shared" si="58"/>
        <v>0</v>
      </c>
      <c r="CB28" s="48">
        <f t="shared" si="58"/>
        <v>0</v>
      </c>
      <c r="CC28" s="48">
        <f t="shared" si="58"/>
        <v>0</v>
      </c>
      <c r="CD28" s="48">
        <f t="shared" si="58"/>
        <v>0</v>
      </c>
      <c r="CE28" s="48">
        <f t="shared" si="58"/>
        <v>0</v>
      </c>
      <c r="CF28" s="48">
        <f t="shared" si="58"/>
        <v>0</v>
      </c>
      <c r="CG28" s="48">
        <f t="shared" si="58"/>
        <v>0</v>
      </c>
      <c r="CH28" s="48">
        <f t="shared" si="58"/>
        <v>0</v>
      </c>
      <c r="CI28" s="48">
        <f t="shared" si="58"/>
        <v>0</v>
      </c>
      <c r="CJ28" s="48">
        <f t="shared" si="58"/>
        <v>0</v>
      </c>
      <c r="CK28" s="48">
        <f t="shared" si="58"/>
        <v>0</v>
      </c>
      <c r="CL28" s="48">
        <f t="shared" si="58"/>
        <v>0</v>
      </c>
      <c r="CM28" s="48">
        <f t="shared" si="58"/>
        <v>0</v>
      </c>
      <c r="CN28" s="48">
        <f t="shared" si="58"/>
        <v>0</v>
      </c>
      <c r="CO28" s="48">
        <f t="shared" si="58"/>
        <v>0</v>
      </c>
      <c r="CP28" s="48">
        <f t="shared" si="58"/>
        <v>0</v>
      </c>
      <c r="CQ28" s="48">
        <f t="shared" si="58"/>
        <v>0</v>
      </c>
      <c r="CR28" s="48">
        <f t="shared" si="58"/>
        <v>0</v>
      </c>
      <c r="CS28" s="48">
        <f t="shared" si="58"/>
        <v>0</v>
      </c>
      <c r="CT28" s="48">
        <f t="shared" si="58"/>
        <v>0</v>
      </c>
      <c r="CU28" s="48">
        <f t="shared" si="58"/>
        <v>0</v>
      </c>
      <c r="CV28" s="48">
        <f t="shared" si="58"/>
        <v>0</v>
      </c>
      <c r="CW28" s="48">
        <f t="shared" si="58"/>
        <v>0</v>
      </c>
      <c r="CX28" s="48">
        <f t="shared" ref="CX28:EC28" si="59">IF(CX$15=1,INDEX(Vol_O,8,CX$14)/12*(1+P_dVol),0)</f>
        <v>0</v>
      </c>
      <c r="CY28" s="48">
        <f t="shared" si="59"/>
        <v>0</v>
      </c>
      <c r="CZ28" s="48">
        <f t="shared" si="59"/>
        <v>0</v>
      </c>
      <c r="DA28" s="48">
        <f t="shared" si="59"/>
        <v>0</v>
      </c>
      <c r="DB28" s="48">
        <f t="shared" si="59"/>
        <v>0</v>
      </c>
      <c r="DC28" s="48">
        <f t="shared" si="59"/>
        <v>0</v>
      </c>
      <c r="DD28" s="48">
        <f t="shared" si="59"/>
        <v>0</v>
      </c>
      <c r="DE28" s="48">
        <f t="shared" si="59"/>
        <v>0</v>
      </c>
      <c r="DF28" s="48">
        <f t="shared" si="59"/>
        <v>0</v>
      </c>
      <c r="DG28" s="48">
        <f t="shared" si="59"/>
        <v>0</v>
      </c>
      <c r="DH28" s="48">
        <f t="shared" si="59"/>
        <v>0</v>
      </c>
      <c r="DI28" s="48">
        <f t="shared" si="59"/>
        <v>0</v>
      </c>
      <c r="DJ28" s="48">
        <f t="shared" si="59"/>
        <v>0</v>
      </c>
      <c r="DK28" s="48">
        <f t="shared" si="59"/>
        <v>0</v>
      </c>
      <c r="DL28" s="48">
        <f t="shared" si="59"/>
        <v>0</v>
      </c>
      <c r="DM28" s="48">
        <f t="shared" si="59"/>
        <v>0</v>
      </c>
      <c r="DN28" s="48">
        <f t="shared" si="59"/>
        <v>0</v>
      </c>
      <c r="DO28" s="48">
        <f t="shared" si="59"/>
        <v>0</v>
      </c>
      <c r="DP28" s="48">
        <f t="shared" si="59"/>
        <v>0</v>
      </c>
      <c r="DQ28" s="48">
        <f t="shared" si="59"/>
        <v>0</v>
      </c>
      <c r="DR28" s="48">
        <f t="shared" si="59"/>
        <v>0</v>
      </c>
      <c r="DS28" s="48">
        <f t="shared" si="59"/>
        <v>0</v>
      </c>
      <c r="DT28" s="48">
        <f t="shared" si="59"/>
        <v>0</v>
      </c>
      <c r="DU28" s="48">
        <f t="shared" si="59"/>
        <v>0</v>
      </c>
      <c r="DV28" s="48">
        <f t="shared" si="59"/>
        <v>0</v>
      </c>
      <c r="DW28" s="48">
        <f t="shared" si="59"/>
        <v>0</v>
      </c>
      <c r="DX28" s="48">
        <f t="shared" si="59"/>
        <v>0</v>
      </c>
      <c r="DY28" s="48">
        <f t="shared" si="59"/>
        <v>0</v>
      </c>
      <c r="DZ28" s="48">
        <f t="shared" si="59"/>
        <v>0</v>
      </c>
      <c r="EA28" s="48">
        <f t="shared" si="59"/>
        <v>0</v>
      </c>
      <c r="EB28" s="48">
        <f t="shared" si="59"/>
        <v>0</v>
      </c>
      <c r="EC28" s="48">
        <f t="shared" si="59"/>
        <v>0</v>
      </c>
      <c r="ED28" s="48">
        <f t="shared" ref="ED28:ES28" si="60">IF(ED$15=1,INDEX(Vol_O,8,ED$14)/12*(1+P_dVol),0)</f>
        <v>0</v>
      </c>
      <c r="EE28" s="48">
        <f t="shared" si="60"/>
        <v>0</v>
      </c>
      <c r="EF28" s="48">
        <f t="shared" si="60"/>
        <v>0</v>
      </c>
      <c r="EG28" s="48">
        <f t="shared" si="60"/>
        <v>0</v>
      </c>
      <c r="EH28" s="48">
        <f t="shared" si="60"/>
        <v>0</v>
      </c>
      <c r="EI28" s="48">
        <f t="shared" si="60"/>
        <v>0</v>
      </c>
      <c r="EJ28" s="48">
        <f t="shared" si="60"/>
        <v>0</v>
      </c>
      <c r="EK28" s="48">
        <f t="shared" si="60"/>
        <v>0</v>
      </c>
      <c r="EL28" s="48">
        <f t="shared" si="60"/>
        <v>0</v>
      </c>
      <c r="EM28" s="48">
        <f t="shared" si="60"/>
        <v>0</v>
      </c>
      <c r="EN28" s="48">
        <f t="shared" si="60"/>
        <v>0</v>
      </c>
      <c r="EO28" s="48">
        <f t="shared" si="60"/>
        <v>0</v>
      </c>
      <c r="EP28" s="48">
        <f t="shared" si="60"/>
        <v>0</v>
      </c>
      <c r="EQ28" s="48">
        <f t="shared" si="60"/>
        <v>0</v>
      </c>
      <c r="ER28" s="48">
        <f t="shared" si="60"/>
        <v>0</v>
      </c>
      <c r="ES28" s="48">
        <f t="shared" si="60"/>
        <v>0</v>
      </c>
    </row>
    <row r="29" spans="1:149" x14ac:dyDescent="0.3">
      <c r="A29" s="14" t="s">
        <v>1006</v>
      </c>
      <c r="B29" s="53" t="str">
        <f>IF(INDEX(Prod_Nombre,9)="","Producto 9",INDEX(Prod_Nombre,9))&amp;" — unidades"</f>
        <v>Producto 9 — unidades</v>
      </c>
      <c r="C29" s="18" t="s">
        <v>475</v>
      </c>
      <c r="E29" s="54">
        <f t="shared" si="20"/>
        <v>0</v>
      </c>
      <c r="F29" s="48">
        <f t="shared" ref="F29:AK29" si="61">IF(F$15=1,INDEX(Vol_O,9,F$14)/12*(1+P_dVol),0)</f>
        <v>0</v>
      </c>
      <c r="G29" s="48">
        <f t="shared" si="61"/>
        <v>0</v>
      </c>
      <c r="H29" s="48">
        <f t="shared" si="61"/>
        <v>0</v>
      </c>
      <c r="I29" s="48">
        <f t="shared" si="61"/>
        <v>0</v>
      </c>
      <c r="J29" s="48">
        <f t="shared" si="61"/>
        <v>0</v>
      </c>
      <c r="K29" s="48">
        <f t="shared" si="61"/>
        <v>0</v>
      </c>
      <c r="L29" s="48">
        <f t="shared" si="61"/>
        <v>0</v>
      </c>
      <c r="M29" s="48">
        <f t="shared" si="61"/>
        <v>0</v>
      </c>
      <c r="N29" s="48">
        <f t="shared" si="61"/>
        <v>0</v>
      </c>
      <c r="O29" s="48">
        <f t="shared" si="61"/>
        <v>0</v>
      </c>
      <c r="P29" s="48">
        <f t="shared" si="61"/>
        <v>0</v>
      </c>
      <c r="Q29" s="48">
        <f t="shared" si="61"/>
        <v>0</v>
      </c>
      <c r="R29" s="48">
        <f t="shared" si="61"/>
        <v>0</v>
      </c>
      <c r="S29" s="48">
        <f t="shared" si="61"/>
        <v>0</v>
      </c>
      <c r="T29" s="48">
        <f t="shared" si="61"/>
        <v>0</v>
      </c>
      <c r="U29" s="48">
        <f t="shared" si="61"/>
        <v>0</v>
      </c>
      <c r="V29" s="48">
        <f t="shared" si="61"/>
        <v>0</v>
      </c>
      <c r="W29" s="48">
        <f t="shared" si="61"/>
        <v>0</v>
      </c>
      <c r="X29" s="48">
        <f t="shared" si="61"/>
        <v>0</v>
      </c>
      <c r="Y29" s="48">
        <f t="shared" si="61"/>
        <v>0</v>
      </c>
      <c r="Z29" s="48">
        <f t="shared" si="61"/>
        <v>0</v>
      </c>
      <c r="AA29" s="48">
        <f t="shared" si="61"/>
        <v>0</v>
      </c>
      <c r="AB29" s="48">
        <f t="shared" si="61"/>
        <v>0</v>
      </c>
      <c r="AC29" s="48">
        <f t="shared" si="61"/>
        <v>0</v>
      </c>
      <c r="AD29" s="48">
        <f t="shared" si="61"/>
        <v>0</v>
      </c>
      <c r="AE29" s="48">
        <f t="shared" si="61"/>
        <v>0</v>
      </c>
      <c r="AF29" s="48">
        <f t="shared" si="61"/>
        <v>0</v>
      </c>
      <c r="AG29" s="48">
        <f t="shared" si="61"/>
        <v>0</v>
      </c>
      <c r="AH29" s="48">
        <f t="shared" si="61"/>
        <v>0</v>
      </c>
      <c r="AI29" s="48">
        <f t="shared" si="61"/>
        <v>0</v>
      </c>
      <c r="AJ29" s="48">
        <f t="shared" si="61"/>
        <v>0</v>
      </c>
      <c r="AK29" s="48">
        <f t="shared" si="61"/>
        <v>0</v>
      </c>
      <c r="AL29" s="48">
        <f t="shared" ref="AL29:BQ29" si="62">IF(AL$15=1,INDEX(Vol_O,9,AL$14)/12*(1+P_dVol),0)</f>
        <v>0</v>
      </c>
      <c r="AM29" s="48">
        <f t="shared" si="62"/>
        <v>0</v>
      </c>
      <c r="AN29" s="48">
        <f t="shared" si="62"/>
        <v>0</v>
      </c>
      <c r="AO29" s="48">
        <f t="shared" si="62"/>
        <v>0</v>
      </c>
      <c r="AP29" s="48">
        <f t="shared" si="62"/>
        <v>0</v>
      </c>
      <c r="AQ29" s="48">
        <f t="shared" si="62"/>
        <v>0</v>
      </c>
      <c r="AR29" s="48">
        <f t="shared" si="62"/>
        <v>0</v>
      </c>
      <c r="AS29" s="48">
        <f t="shared" si="62"/>
        <v>0</v>
      </c>
      <c r="AT29" s="48">
        <f t="shared" si="62"/>
        <v>0</v>
      </c>
      <c r="AU29" s="48">
        <f t="shared" si="62"/>
        <v>0</v>
      </c>
      <c r="AV29" s="48">
        <f t="shared" si="62"/>
        <v>0</v>
      </c>
      <c r="AW29" s="48">
        <f t="shared" si="62"/>
        <v>0</v>
      </c>
      <c r="AX29" s="48">
        <f t="shared" si="62"/>
        <v>0</v>
      </c>
      <c r="AY29" s="48">
        <f t="shared" si="62"/>
        <v>0</v>
      </c>
      <c r="AZ29" s="48">
        <f t="shared" si="62"/>
        <v>0</v>
      </c>
      <c r="BA29" s="48">
        <f t="shared" si="62"/>
        <v>0</v>
      </c>
      <c r="BB29" s="48">
        <f t="shared" si="62"/>
        <v>0</v>
      </c>
      <c r="BC29" s="48">
        <f t="shared" si="62"/>
        <v>0</v>
      </c>
      <c r="BD29" s="48">
        <f t="shared" si="62"/>
        <v>0</v>
      </c>
      <c r="BE29" s="48">
        <f t="shared" si="62"/>
        <v>0</v>
      </c>
      <c r="BF29" s="48">
        <f t="shared" si="62"/>
        <v>0</v>
      </c>
      <c r="BG29" s="48">
        <f t="shared" si="62"/>
        <v>0</v>
      </c>
      <c r="BH29" s="48">
        <f t="shared" si="62"/>
        <v>0</v>
      </c>
      <c r="BI29" s="48">
        <f t="shared" si="62"/>
        <v>0</v>
      </c>
      <c r="BJ29" s="48">
        <f t="shared" si="62"/>
        <v>0</v>
      </c>
      <c r="BK29" s="48">
        <f t="shared" si="62"/>
        <v>0</v>
      </c>
      <c r="BL29" s="48">
        <f t="shared" si="62"/>
        <v>0</v>
      </c>
      <c r="BM29" s="48">
        <f t="shared" si="62"/>
        <v>0</v>
      </c>
      <c r="BN29" s="48">
        <f t="shared" si="62"/>
        <v>0</v>
      </c>
      <c r="BO29" s="48">
        <f t="shared" si="62"/>
        <v>0</v>
      </c>
      <c r="BP29" s="48">
        <f t="shared" si="62"/>
        <v>0</v>
      </c>
      <c r="BQ29" s="48">
        <f t="shared" si="62"/>
        <v>0</v>
      </c>
      <c r="BR29" s="48">
        <f t="shared" ref="BR29:CW29" si="63">IF(BR$15=1,INDEX(Vol_O,9,BR$14)/12*(1+P_dVol),0)</f>
        <v>0</v>
      </c>
      <c r="BS29" s="48">
        <f t="shared" si="63"/>
        <v>0</v>
      </c>
      <c r="BT29" s="48">
        <f t="shared" si="63"/>
        <v>0</v>
      </c>
      <c r="BU29" s="48">
        <f t="shared" si="63"/>
        <v>0</v>
      </c>
      <c r="BV29" s="48">
        <f t="shared" si="63"/>
        <v>0</v>
      </c>
      <c r="BW29" s="48">
        <f t="shared" si="63"/>
        <v>0</v>
      </c>
      <c r="BX29" s="48">
        <f t="shared" si="63"/>
        <v>0</v>
      </c>
      <c r="BY29" s="48">
        <f t="shared" si="63"/>
        <v>0</v>
      </c>
      <c r="BZ29" s="48">
        <f t="shared" si="63"/>
        <v>0</v>
      </c>
      <c r="CA29" s="48">
        <f t="shared" si="63"/>
        <v>0</v>
      </c>
      <c r="CB29" s="48">
        <f t="shared" si="63"/>
        <v>0</v>
      </c>
      <c r="CC29" s="48">
        <f t="shared" si="63"/>
        <v>0</v>
      </c>
      <c r="CD29" s="48">
        <f t="shared" si="63"/>
        <v>0</v>
      </c>
      <c r="CE29" s="48">
        <f t="shared" si="63"/>
        <v>0</v>
      </c>
      <c r="CF29" s="48">
        <f t="shared" si="63"/>
        <v>0</v>
      </c>
      <c r="CG29" s="48">
        <f t="shared" si="63"/>
        <v>0</v>
      </c>
      <c r="CH29" s="48">
        <f t="shared" si="63"/>
        <v>0</v>
      </c>
      <c r="CI29" s="48">
        <f t="shared" si="63"/>
        <v>0</v>
      </c>
      <c r="CJ29" s="48">
        <f t="shared" si="63"/>
        <v>0</v>
      </c>
      <c r="CK29" s="48">
        <f t="shared" si="63"/>
        <v>0</v>
      </c>
      <c r="CL29" s="48">
        <f t="shared" si="63"/>
        <v>0</v>
      </c>
      <c r="CM29" s="48">
        <f t="shared" si="63"/>
        <v>0</v>
      </c>
      <c r="CN29" s="48">
        <f t="shared" si="63"/>
        <v>0</v>
      </c>
      <c r="CO29" s="48">
        <f t="shared" si="63"/>
        <v>0</v>
      </c>
      <c r="CP29" s="48">
        <f t="shared" si="63"/>
        <v>0</v>
      </c>
      <c r="CQ29" s="48">
        <f t="shared" si="63"/>
        <v>0</v>
      </c>
      <c r="CR29" s="48">
        <f t="shared" si="63"/>
        <v>0</v>
      </c>
      <c r="CS29" s="48">
        <f t="shared" si="63"/>
        <v>0</v>
      </c>
      <c r="CT29" s="48">
        <f t="shared" si="63"/>
        <v>0</v>
      </c>
      <c r="CU29" s="48">
        <f t="shared" si="63"/>
        <v>0</v>
      </c>
      <c r="CV29" s="48">
        <f t="shared" si="63"/>
        <v>0</v>
      </c>
      <c r="CW29" s="48">
        <f t="shared" si="63"/>
        <v>0</v>
      </c>
      <c r="CX29" s="48">
        <f t="shared" ref="CX29:EC29" si="64">IF(CX$15=1,INDEX(Vol_O,9,CX$14)/12*(1+P_dVol),0)</f>
        <v>0</v>
      </c>
      <c r="CY29" s="48">
        <f t="shared" si="64"/>
        <v>0</v>
      </c>
      <c r="CZ29" s="48">
        <f t="shared" si="64"/>
        <v>0</v>
      </c>
      <c r="DA29" s="48">
        <f t="shared" si="64"/>
        <v>0</v>
      </c>
      <c r="DB29" s="48">
        <f t="shared" si="64"/>
        <v>0</v>
      </c>
      <c r="DC29" s="48">
        <f t="shared" si="64"/>
        <v>0</v>
      </c>
      <c r="DD29" s="48">
        <f t="shared" si="64"/>
        <v>0</v>
      </c>
      <c r="DE29" s="48">
        <f t="shared" si="64"/>
        <v>0</v>
      </c>
      <c r="DF29" s="48">
        <f t="shared" si="64"/>
        <v>0</v>
      </c>
      <c r="DG29" s="48">
        <f t="shared" si="64"/>
        <v>0</v>
      </c>
      <c r="DH29" s="48">
        <f t="shared" si="64"/>
        <v>0</v>
      </c>
      <c r="DI29" s="48">
        <f t="shared" si="64"/>
        <v>0</v>
      </c>
      <c r="DJ29" s="48">
        <f t="shared" si="64"/>
        <v>0</v>
      </c>
      <c r="DK29" s="48">
        <f t="shared" si="64"/>
        <v>0</v>
      </c>
      <c r="DL29" s="48">
        <f t="shared" si="64"/>
        <v>0</v>
      </c>
      <c r="DM29" s="48">
        <f t="shared" si="64"/>
        <v>0</v>
      </c>
      <c r="DN29" s="48">
        <f t="shared" si="64"/>
        <v>0</v>
      </c>
      <c r="DO29" s="48">
        <f t="shared" si="64"/>
        <v>0</v>
      </c>
      <c r="DP29" s="48">
        <f t="shared" si="64"/>
        <v>0</v>
      </c>
      <c r="DQ29" s="48">
        <f t="shared" si="64"/>
        <v>0</v>
      </c>
      <c r="DR29" s="48">
        <f t="shared" si="64"/>
        <v>0</v>
      </c>
      <c r="DS29" s="48">
        <f t="shared" si="64"/>
        <v>0</v>
      </c>
      <c r="DT29" s="48">
        <f t="shared" si="64"/>
        <v>0</v>
      </c>
      <c r="DU29" s="48">
        <f t="shared" si="64"/>
        <v>0</v>
      </c>
      <c r="DV29" s="48">
        <f t="shared" si="64"/>
        <v>0</v>
      </c>
      <c r="DW29" s="48">
        <f t="shared" si="64"/>
        <v>0</v>
      </c>
      <c r="DX29" s="48">
        <f t="shared" si="64"/>
        <v>0</v>
      </c>
      <c r="DY29" s="48">
        <f t="shared" si="64"/>
        <v>0</v>
      </c>
      <c r="DZ29" s="48">
        <f t="shared" si="64"/>
        <v>0</v>
      </c>
      <c r="EA29" s="48">
        <f t="shared" si="64"/>
        <v>0</v>
      </c>
      <c r="EB29" s="48">
        <f t="shared" si="64"/>
        <v>0</v>
      </c>
      <c r="EC29" s="48">
        <f t="shared" si="64"/>
        <v>0</v>
      </c>
      <c r="ED29" s="48">
        <f t="shared" ref="ED29:ES29" si="65">IF(ED$15=1,INDEX(Vol_O,9,ED$14)/12*(1+P_dVol),0)</f>
        <v>0</v>
      </c>
      <c r="EE29" s="48">
        <f t="shared" si="65"/>
        <v>0</v>
      </c>
      <c r="EF29" s="48">
        <f t="shared" si="65"/>
        <v>0</v>
      </c>
      <c r="EG29" s="48">
        <f t="shared" si="65"/>
        <v>0</v>
      </c>
      <c r="EH29" s="48">
        <f t="shared" si="65"/>
        <v>0</v>
      </c>
      <c r="EI29" s="48">
        <f t="shared" si="65"/>
        <v>0</v>
      </c>
      <c r="EJ29" s="48">
        <f t="shared" si="65"/>
        <v>0</v>
      </c>
      <c r="EK29" s="48">
        <f t="shared" si="65"/>
        <v>0</v>
      </c>
      <c r="EL29" s="48">
        <f t="shared" si="65"/>
        <v>0</v>
      </c>
      <c r="EM29" s="48">
        <f t="shared" si="65"/>
        <v>0</v>
      </c>
      <c r="EN29" s="48">
        <f t="shared" si="65"/>
        <v>0</v>
      </c>
      <c r="EO29" s="48">
        <f t="shared" si="65"/>
        <v>0</v>
      </c>
      <c r="EP29" s="48">
        <f t="shared" si="65"/>
        <v>0</v>
      </c>
      <c r="EQ29" s="48">
        <f t="shared" si="65"/>
        <v>0</v>
      </c>
      <c r="ER29" s="48">
        <f t="shared" si="65"/>
        <v>0</v>
      </c>
      <c r="ES29" s="48">
        <f t="shared" si="65"/>
        <v>0</v>
      </c>
    </row>
    <row r="30" spans="1:149" x14ac:dyDescent="0.3">
      <c r="A30" s="14" t="s">
        <v>1007</v>
      </c>
      <c r="B30" s="53" t="str">
        <f>IF(INDEX(Prod_Nombre,10)="","Producto 10",INDEX(Prod_Nombre,10))&amp;" — unidades"</f>
        <v>Producto 10 — unidades</v>
      </c>
      <c r="C30" s="18" t="s">
        <v>475</v>
      </c>
      <c r="E30" s="54">
        <f t="shared" si="20"/>
        <v>0</v>
      </c>
      <c r="F30" s="48">
        <f t="shared" ref="F30:AK30" si="66">IF(F$15=1,INDEX(Vol_O,10,F$14)/12*(1+P_dVol),0)</f>
        <v>0</v>
      </c>
      <c r="G30" s="48">
        <f t="shared" si="66"/>
        <v>0</v>
      </c>
      <c r="H30" s="48">
        <f t="shared" si="66"/>
        <v>0</v>
      </c>
      <c r="I30" s="48">
        <f t="shared" si="66"/>
        <v>0</v>
      </c>
      <c r="J30" s="48">
        <f t="shared" si="66"/>
        <v>0</v>
      </c>
      <c r="K30" s="48">
        <f t="shared" si="66"/>
        <v>0</v>
      </c>
      <c r="L30" s="48">
        <f t="shared" si="66"/>
        <v>0</v>
      </c>
      <c r="M30" s="48">
        <f t="shared" si="66"/>
        <v>0</v>
      </c>
      <c r="N30" s="48">
        <f t="shared" si="66"/>
        <v>0</v>
      </c>
      <c r="O30" s="48">
        <f t="shared" si="66"/>
        <v>0</v>
      </c>
      <c r="P30" s="48">
        <f t="shared" si="66"/>
        <v>0</v>
      </c>
      <c r="Q30" s="48">
        <f t="shared" si="66"/>
        <v>0</v>
      </c>
      <c r="R30" s="48">
        <f t="shared" si="66"/>
        <v>0</v>
      </c>
      <c r="S30" s="48">
        <f t="shared" si="66"/>
        <v>0</v>
      </c>
      <c r="T30" s="48">
        <f t="shared" si="66"/>
        <v>0</v>
      </c>
      <c r="U30" s="48">
        <f t="shared" si="66"/>
        <v>0</v>
      </c>
      <c r="V30" s="48">
        <f t="shared" si="66"/>
        <v>0</v>
      </c>
      <c r="W30" s="48">
        <f t="shared" si="66"/>
        <v>0</v>
      </c>
      <c r="X30" s="48">
        <f t="shared" si="66"/>
        <v>0</v>
      </c>
      <c r="Y30" s="48">
        <f t="shared" si="66"/>
        <v>0</v>
      </c>
      <c r="Z30" s="48">
        <f t="shared" si="66"/>
        <v>0</v>
      </c>
      <c r="AA30" s="48">
        <f t="shared" si="66"/>
        <v>0</v>
      </c>
      <c r="AB30" s="48">
        <f t="shared" si="66"/>
        <v>0</v>
      </c>
      <c r="AC30" s="48">
        <f t="shared" si="66"/>
        <v>0</v>
      </c>
      <c r="AD30" s="48">
        <f t="shared" si="66"/>
        <v>0</v>
      </c>
      <c r="AE30" s="48">
        <f t="shared" si="66"/>
        <v>0</v>
      </c>
      <c r="AF30" s="48">
        <f t="shared" si="66"/>
        <v>0</v>
      </c>
      <c r="AG30" s="48">
        <f t="shared" si="66"/>
        <v>0</v>
      </c>
      <c r="AH30" s="48">
        <f t="shared" si="66"/>
        <v>0</v>
      </c>
      <c r="AI30" s="48">
        <f t="shared" si="66"/>
        <v>0</v>
      </c>
      <c r="AJ30" s="48">
        <f t="shared" si="66"/>
        <v>0</v>
      </c>
      <c r="AK30" s="48">
        <f t="shared" si="66"/>
        <v>0</v>
      </c>
      <c r="AL30" s="48">
        <f t="shared" ref="AL30:BQ30" si="67">IF(AL$15=1,INDEX(Vol_O,10,AL$14)/12*(1+P_dVol),0)</f>
        <v>0</v>
      </c>
      <c r="AM30" s="48">
        <f t="shared" si="67"/>
        <v>0</v>
      </c>
      <c r="AN30" s="48">
        <f t="shared" si="67"/>
        <v>0</v>
      </c>
      <c r="AO30" s="48">
        <f t="shared" si="67"/>
        <v>0</v>
      </c>
      <c r="AP30" s="48">
        <f t="shared" si="67"/>
        <v>0</v>
      </c>
      <c r="AQ30" s="48">
        <f t="shared" si="67"/>
        <v>0</v>
      </c>
      <c r="AR30" s="48">
        <f t="shared" si="67"/>
        <v>0</v>
      </c>
      <c r="AS30" s="48">
        <f t="shared" si="67"/>
        <v>0</v>
      </c>
      <c r="AT30" s="48">
        <f t="shared" si="67"/>
        <v>0</v>
      </c>
      <c r="AU30" s="48">
        <f t="shared" si="67"/>
        <v>0</v>
      </c>
      <c r="AV30" s="48">
        <f t="shared" si="67"/>
        <v>0</v>
      </c>
      <c r="AW30" s="48">
        <f t="shared" si="67"/>
        <v>0</v>
      </c>
      <c r="AX30" s="48">
        <f t="shared" si="67"/>
        <v>0</v>
      </c>
      <c r="AY30" s="48">
        <f t="shared" si="67"/>
        <v>0</v>
      </c>
      <c r="AZ30" s="48">
        <f t="shared" si="67"/>
        <v>0</v>
      </c>
      <c r="BA30" s="48">
        <f t="shared" si="67"/>
        <v>0</v>
      </c>
      <c r="BB30" s="48">
        <f t="shared" si="67"/>
        <v>0</v>
      </c>
      <c r="BC30" s="48">
        <f t="shared" si="67"/>
        <v>0</v>
      </c>
      <c r="BD30" s="48">
        <f t="shared" si="67"/>
        <v>0</v>
      </c>
      <c r="BE30" s="48">
        <f t="shared" si="67"/>
        <v>0</v>
      </c>
      <c r="BF30" s="48">
        <f t="shared" si="67"/>
        <v>0</v>
      </c>
      <c r="BG30" s="48">
        <f t="shared" si="67"/>
        <v>0</v>
      </c>
      <c r="BH30" s="48">
        <f t="shared" si="67"/>
        <v>0</v>
      </c>
      <c r="BI30" s="48">
        <f t="shared" si="67"/>
        <v>0</v>
      </c>
      <c r="BJ30" s="48">
        <f t="shared" si="67"/>
        <v>0</v>
      </c>
      <c r="BK30" s="48">
        <f t="shared" si="67"/>
        <v>0</v>
      </c>
      <c r="BL30" s="48">
        <f t="shared" si="67"/>
        <v>0</v>
      </c>
      <c r="BM30" s="48">
        <f t="shared" si="67"/>
        <v>0</v>
      </c>
      <c r="BN30" s="48">
        <f t="shared" si="67"/>
        <v>0</v>
      </c>
      <c r="BO30" s="48">
        <f t="shared" si="67"/>
        <v>0</v>
      </c>
      <c r="BP30" s="48">
        <f t="shared" si="67"/>
        <v>0</v>
      </c>
      <c r="BQ30" s="48">
        <f t="shared" si="67"/>
        <v>0</v>
      </c>
      <c r="BR30" s="48">
        <f t="shared" ref="BR30:CW30" si="68">IF(BR$15=1,INDEX(Vol_O,10,BR$14)/12*(1+P_dVol),0)</f>
        <v>0</v>
      </c>
      <c r="BS30" s="48">
        <f t="shared" si="68"/>
        <v>0</v>
      </c>
      <c r="BT30" s="48">
        <f t="shared" si="68"/>
        <v>0</v>
      </c>
      <c r="BU30" s="48">
        <f t="shared" si="68"/>
        <v>0</v>
      </c>
      <c r="BV30" s="48">
        <f t="shared" si="68"/>
        <v>0</v>
      </c>
      <c r="BW30" s="48">
        <f t="shared" si="68"/>
        <v>0</v>
      </c>
      <c r="BX30" s="48">
        <f t="shared" si="68"/>
        <v>0</v>
      </c>
      <c r="BY30" s="48">
        <f t="shared" si="68"/>
        <v>0</v>
      </c>
      <c r="BZ30" s="48">
        <f t="shared" si="68"/>
        <v>0</v>
      </c>
      <c r="CA30" s="48">
        <f t="shared" si="68"/>
        <v>0</v>
      </c>
      <c r="CB30" s="48">
        <f t="shared" si="68"/>
        <v>0</v>
      </c>
      <c r="CC30" s="48">
        <f t="shared" si="68"/>
        <v>0</v>
      </c>
      <c r="CD30" s="48">
        <f t="shared" si="68"/>
        <v>0</v>
      </c>
      <c r="CE30" s="48">
        <f t="shared" si="68"/>
        <v>0</v>
      </c>
      <c r="CF30" s="48">
        <f t="shared" si="68"/>
        <v>0</v>
      </c>
      <c r="CG30" s="48">
        <f t="shared" si="68"/>
        <v>0</v>
      </c>
      <c r="CH30" s="48">
        <f t="shared" si="68"/>
        <v>0</v>
      </c>
      <c r="CI30" s="48">
        <f t="shared" si="68"/>
        <v>0</v>
      </c>
      <c r="CJ30" s="48">
        <f t="shared" si="68"/>
        <v>0</v>
      </c>
      <c r="CK30" s="48">
        <f t="shared" si="68"/>
        <v>0</v>
      </c>
      <c r="CL30" s="48">
        <f t="shared" si="68"/>
        <v>0</v>
      </c>
      <c r="CM30" s="48">
        <f t="shared" si="68"/>
        <v>0</v>
      </c>
      <c r="CN30" s="48">
        <f t="shared" si="68"/>
        <v>0</v>
      </c>
      <c r="CO30" s="48">
        <f t="shared" si="68"/>
        <v>0</v>
      </c>
      <c r="CP30" s="48">
        <f t="shared" si="68"/>
        <v>0</v>
      </c>
      <c r="CQ30" s="48">
        <f t="shared" si="68"/>
        <v>0</v>
      </c>
      <c r="CR30" s="48">
        <f t="shared" si="68"/>
        <v>0</v>
      </c>
      <c r="CS30" s="48">
        <f t="shared" si="68"/>
        <v>0</v>
      </c>
      <c r="CT30" s="48">
        <f t="shared" si="68"/>
        <v>0</v>
      </c>
      <c r="CU30" s="48">
        <f t="shared" si="68"/>
        <v>0</v>
      </c>
      <c r="CV30" s="48">
        <f t="shared" si="68"/>
        <v>0</v>
      </c>
      <c r="CW30" s="48">
        <f t="shared" si="68"/>
        <v>0</v>
      </c>
      <c r="CX30" s="48">
        <f t="shared" ref="CX30:EC30" si="69">IF(CX$15=1,INDEX(Vol_O,10,CX$14)/12*(1+P_dVol),0)</f>
        <v>0</v>
      </c>
      <c r="CY30" s="48">
        <f t="shared" si="69"/>
        <v>0</v>
      </c>
      <c r="CZ30" s="48">
        <f t="shared" si="69"/>
        <v>0</v>
      </c>
      <c r="DA30" s="48">
        <f t="shared" si="69"/>
        <v>0</v>
      </c>
      <c r="DB30" s="48">
        <f t="shared" si="69"/>
        <v>0</v>
      </c>
      <c r="DC30" s="48">
        <f t="shared" si="69"/>
        <v>0</v>
      </c>
      <c r="DD30" s="48">
        <f t="shared" si="69"/>
        <v>0</v>
      </c>
      <c r="DE30" s="48">
        <f t="shared" si="69"/>
        <v>0</v>
      </c>
      <c r="DF30" s="48">
        <f t="shared" si="69"/>
        <v>0</v>
      </c>
      <c r="DG30" s="48">
        <f t="shared" si="69"/>
        <v>0</v>
      </c>
      <c r="DH30" s="48">
        <f t="shared" si="69"/>
        <v>0</v>
      </c>
      <c r="DI30" s="48">
        <f t="shared" si="69"/>
        <v>0</v>
      </c>
      <c r="DJ30" s="48">
        <f t="shared" si="69"/>
        <v>0</v>
      </c>
      <c r="DK30" s="48">
        <f t="shared" si="69"/>
        <v>0</v>
      </c>
      <c r="DL30" s="48">
        <f t="shared" si="69"/>
        <v>0</v>
      </c>
      <c r="DM30" s="48">
        <f t="shared" si="69"/>
        <v>0</v>
      </c>
      <c r="DN30" s="48">
        <f t="shared" si="69"/>
        <v>0</v>
      </c>
      <c r="DO30" s="48">
        <f t="shared" si="69"/>
        <v>0</v>
      </c>
      <c r="DP30" s="48">
        <f t="shared" si="69"/>
        <v>0</v>
      </c>
      <c r="DQ30" s="48">
        <f t="shared" si="69"/>
        <v>0</v>
      </c>
      <c r="DR30" s="48">
        <f t="shared" si="69"/>
        <v>0</v>
      </c>
      <c r="DS30" s="48">
        <f t="shared" si="69"/>
        <v>0</v>
      </c>
      <c r="DT30" s="48">
        <f t="shared" si="69"/>
        <v>0</v>
      </c>
      <c r="DU30" s="48">
        <f t="shared" si="69"/>
        <v>0</v>
      </c>
      <c r="DV30" s="48">
        <f t="shared" si="69"/>
        <v>0</v>
      </c>
      <c r="DW30" s="48">
        <f t="shared" si="69"/>
        <v>0</v>
      </c>
      <c r="DX30" s="48">
        <f t="shared" si="69"/>
        <v>0</v>
      </c>
      <c r="DY30" s="48">
        <f t="shared" si="69"/>
        <v>0</v>
      </c>
      <c r="DZ30" s="48">
        <f t="shared" si="69"/>
        <v>0</v>
      </c>
      <c r="EA30" s="48">
        <f t="shared" si="69"/>
        <v>0</v>
      </c>
      <c r="EB30" s="48">
        <f t="shared" si="69"/>
        <v>0</v>
      </c>
      <c r="EC30" s="48">
        <f t="shared" si="69"/>
        <v>0</v>
      </c>
      <c r="ED30" s="48">
        <f t="shared" ref="ED30:ES30" si="70">IF(ED$15=1,INDEX(Vol_O,10,ED$14)/12*(1+P_dVol),0)</f>
        <v>0</v>
      </c>
      <c r="EE30" s="48">
        <f t="shared" si="70"/>
        <v>0</v>
      </c>
      <c r="EF30" s="48">
        <f t="shared" si="70"/>
        <v>0</v>
      </c>
      <c r="EG30" s="48">
        <f t="shared" si="70"/>
        <v>0</v>
      </c>
      <c r="EH30" s="48">
        <f t="shared" si="70"/>
        <v>0</v>
      </c>
      <c r="EI30" s="48">
        <f t="shared" si="70"/>
        <v>0</v>
      </c>
      <c r="EJ30" s="48">
        <f t="shared" si="70"/>
        <v>0</v>
      </c>
      <c r="EK30" s="48">
        <f t="shared" si="70"/>
        <v>0</v>
      </c>
      <c r="EL30" s="48">
        <f t="shared" si="70"/>
        <v>0</v>
      </c>
      <c r="EM30" s="48">
        <f t="shared" si="70"/>
        <v>0</v>
      </c>
      <c r="EN30" s="48">
        <f t="shared" si="70"/>
        <v>0</v>
      </c>
      <c r="EO30" s="48">
        <f t="shared" si="70"/>
        <v>0</v>
      </c>
      <c r="EP30" s="48">
        <f t="shared" si="70"/>
        <v>0</v>
      </c>
      <c r="EQ30" s="48">
        <f t="shared" si="70"/>
        <v>0</v>
      </c>
      <c r="ER30" s="48">
        <f t="shared" si="70"/>
        <v>0</v>
      </c>
      <c r="ES30" s="48">
        <f t="shared" si="70"/>
        <v>0</v>
      </c>
    </row>
    <row r="31" spans="1:149" x14ac:dyDescent="0.3">
      <c r="A31" s="14" t="s">
        <v>1008</v>
      </c>
      <c r="B31" s="53" t="str">
        <f>IF(INDEX(Prod_Nombre,11)="","Producto 11",INDEX(Prod_Nombre,11))&amp;" — unidades"</f>
        <v>Producto 11 — unidades</v>
      </c>
      <c r="C31" s="18" t="s">
        <v>475</v>
      </c>
      <c r="E31" s="54">
        <f t="shared" si="20"/>
        <v>0</v>
      </c>
      <c r="F31" s="48">
        <f t="shared" ref="F31:AK31" si="71">IF(F$15=1,INDEX(Vol_O,11,F$14)/12*(1+P_dVol),0)</f>
        <v>0</v>
      </c>
      <c r="G31" s="48">
        <f t="shared" si="71"/>
        <v>0</v>
      </c>
      <c r="H31" s="48">
        <f t="shared" si="71"/>
        <v>0</v>
      </c>
      <c r="I31" s="48">
        <f t="shared" si="71"/>
        <v>0</v>
      </c>
      <c r="J31" s="48">
        <f t="shared" si="71"/>
        <v>0</v>
      </c>
      <c r="K31" s="48">
        <f t="shared" si="71"/>
        <v>0</v>
      </c>
      <c r="L31" s="48">
        <f t="shared" si="71"/>
        <v>0</v>
      </c>
      <c r="M31" s="48">
        <f t="shared" si="71"/>
        <v>0</v>
      </c>
      <c r="N31" s="48">
        <f t="shared" si="71"/>
        <v>0</v>
      </c>
      <c r="O31" s="48">
        <f t="shared" si="71"/>
        <v>0</v>
      </c>
      <c r="P31" s="48">
        <f t="shared" si="71"/>
        <v>0</v>
      </c>
      <c r="Q31" s="48">
        <f t="shared" si="71"/>
        <v>0</v>
      </c>
      <c r="R31" s="48">
        <f t="shared" si="71"/>
        <v>0</v>
      </c>
      <c r="S31" s="48">
        <f t="shared" si="71"/>
        <v>0</v>
      </c>
      <c r="T31" s="48">
        <f t="shared" si="71"/>
        <v>0</v>
      </c>
      <c r="U31" s="48">
        <f t="shared" si="71"/>
        <v>0</v>
      </c>
      <c r="V31" s="48">
        <f t="shared" si="71"/>
        <v>0</v>
      </c>
      <c r="W31" s="48">
        <f t="shared" si="71"/>
        <v>0</v>
      </c>
      <c r="X31" s="48">
        <f t="shared" si="71"/>
        <v>0</v>
      </c>
      <c r="Y31" s="48">
        <f t="shared" si="71"/>
        <v>0</v>
      </c>
      <c r="Z31" s="48">
        <f t="shared" si="71"/>
        <v>0</v>
      </c>
      <c r="AA31" s="48">
        <f t="shared" si="71"/>
        <v>0</v>
      </c>
      <c r="AB31" s="48">
        <f t="shared" si="71"/>
        <v>0</v>
      </c>
      <c r="AC31" s="48">
        <f t="shared" si="71"/>
        <v>0</v>
      </c>
      <c r="AD31" s="48">
        <f t="shared" si="71"/>
        <v>0</v>
      </c>
      <c r="AE31" s="48">
        <f t="shared" si="71"/>
        <v>0</v>
      </c>
      <c r="AF31" s="48">
        <f t="shared" si="71"/>
        <v>0</v>
      </c>
      <c r="AG31" s="48">
        <f t="shared" si="71"/>
        <v>0</v>
      </c>
      <c r="AH31" s="48">
        <f t="shared" si="71"/>
        <v>0</v>
      </c>
      <c r="AI31" s="48">
        <f t="shared" si="71"/>
        <v>0</v>
      </c>
      <c r="AJ31" s="48">
        <f t="shared" si="71"/>
        <v>0</v>
      </c>
      <c r="AK31" s="48">
        <f t="shared" si="71"/>
        <v>0</v>
      </c>
      <c r="AL31" s="48">
        <f t="shared" ref="AL31:BQ31" si="72">IF(AL$15=1,INDEX(Vol_O,11,AL$14)/12*(1+P_dVol),0)</f>
        <v>0</v>
      </c>
      <c r="AM31" s="48">
        <f t="shared" si="72"/>
        <v>0</v>
      </c>
      <c r="AN31" s="48">
        <f t="shared" si="72"/>
        <v>0</v>
      </c>
      <c r="AO31" s="48">
        <f t="shared" si="72"/>
        <v>0</v>
      </c>
      <c r="AP31" s="48">
        <f t="shared" si="72"/>
        <v>0</v>
      </c>
      <c r="AQ31" s="48">
        <f t="shared" si="72"/>
        <v>0</v>
      </c>
      <c r="AR31" s="48">
        <f t="shared" si="72"/>
        <v>0</v>
      </c>
      <c r="AS31" s="48">
        <f t="shared" si="72"/>
        <v>0</v>
      </c>
      <c r="AT31" s="48">
        <f t="shared" si="72"/>
        <v>0</v>
      </c>
      <c r="AU31" s="48">
        <f t="shared" si="72"/>
        <v>0</v>
      </c>
      <c r="AV31" s="48">
        <f t="shared" si="72"/>
        <v>0</v>
      </c>
      <c r="AW31" s="48">
        <f t="shared" si="72"/>
        <v>0</v>
      </c>
      <c r="AX31" s="48">
        <f t="shared" si="72"/>
        <v>0</v>
      </c>
      <c r="AY31" s="48">
        <f t="shared" si="72"/>
        <v>0</v>
      </c>
      <c r="AZ31" s="48">
        <f t="shared" si="72"/>
        <v>0</v>
      </c>
      <c r="BA31" s="48">
        <f t="shared" si="72"/>
        <v>0</v>
      </c>
      <c r="BB31" s="48">
        <f t="shared" si="72"/>
        <v>0</v>
      </c>
      <c r="BC31" s="48">
        <f t="shared" si="72"/>
        <v>0</v>
      </c>
      <c r="BD31" s="48">
        <f t="shared" si="72"/>
        <v>0</v>
      </c>
      <c r="BE31" s="48">
        <f t="shared" si="72"/>
        <v>0</v>
      </c>
      <c r="BF31" s="48">
        <f t="shared" si="72"/>
        <v>0</v>
      </c>
      <c r="BG31" s="48">
        <f t="shared" si="72"/>
        <v>0</v>
      </c>
      <c r="BH31" s="48">
        <f t="shared" si="72"/>
        <v>0</v>
      </c>
      <c r="BI31" s="48">
        <f t="shared" si="72"/>
        <v>0</v>
      </c>
      <c r="BJ31" s="48">
        <f t="shared" si="72"/>
        <v>0</v>
      </c>
      <c r="BK31" s="48">
        <f t="shared" si="72"/>
        <v>0</v>
      </c>
      <c r="BL31" s="48">
        <f t="shared" si="72"/>
        <v>0</v>
      </c>
      <c r="BM31" s="48">
        <f t="shared" si="72"/>
        <v>0</v>
      </c>
      <c r="BN31" s="48">
        <f t="shared" si="72"/>
        <v>0</v>
      </c>
      <c r="BO31" s="48">
        <f t="shared" si="72"/>
        <v>0</v>
      </c>
      <c r="BP31" s="48">
        <f t="shared" si="72"/>
        <v>0</v>
      </c>
      <c r="BQ31" s="48">
        <f t="shared" si="72"/>
        <v>0</v>
      </c>
      <c r="BR31" s="48">
        <f t="shared" ref="BR31:CW31" si="73">IF(BR$15=1,INDEX(Vol_O,11,BR$14)/12*(1+P_dVol),0)</f>
        <v>0</v>
      </c>
      <c r="BS31" s="48">
        <f t="shared" si="73"/>
        <v>0</v>
      </c>
      <c r="BT31" s="48">
        <f t="shared" si="73"/>
        <v>0</v>
      </c>
      <c r="BU31" s="48">
        <f t="shared" si="73"/>
        <v>0</v>
      </c>
      <c r="BV31" s="48">
        <f t="shared" si="73"/>
        <v>0</v>
      </c>
      <c r="BW31" s="48">
        <f t="shared" si="73"/>
        <v>0</v>
      </c>
      <c r="BX31" s="48">
        <f t="shared" si="73"/>
        <v>0</v>
      </c>
      <c r="BY31" s="48">
        <f t="shared" si="73"/>
        <v>0</v>
      </c>
      <c r="BZ31" s="48">
        <f t="shared" si="73"/>
        <v>0</v>
      </c>
      <c r="CA31" s="48">
        <f t="shared" si="73"/>
        <v>0</v>
      </c>
      <c r="CB31" s="48">
        <f t="shared" si="73"/>
        <v>0</v>
      </c>
      <c r="CC31" s="48">
        <f t="shared" si="73"/>
        <v>0</v>
      </c>
      <c r="CD31" s="48">
        <f t="shared" si="73"/>
        <v>0</v>
      </c>
      <c r="CE31" s="48">
        <f t="shared" si="73"/>
        <v>0</v>
      </c>
      <c r="CF31" s="48">
        <f t="shared" si="73"/>
        <v>0</v>
      </c>
      <c r="CG31" s="48">
        <f t="shared" si="73"/>
        <v>0</v>
      </c>
      <c r="CH31" s="48">
        <f t="shared" si="73"/>
        <v>0</v>
      </c>
      <c r="CI31" s="48">
        <f t="shared" si="73"/>
        <v>0</v>
      </c>
      <c r="CJ31" s="48">
        <f t="shared" si="73"/>
        <v>0</v>
      </c>
      <c r="CK31" s="48">
        <f t="shared" si="73"/>
        <v>0</v>
      </c>
      <c r="CL31" s="48">
        <f t="shared" si="73"/>
        <v>0</v>
      </c>
      <c r="CM31" s="48">
        <f t="shared" si="73"/>
        <v>0</v>
      </c>
      <c r="CN31" s="48">
        <f t="shared" si="73"/>
        <v>0</v>
      </c>
      <c r="CO31" s="48">
        <f t="shared" si="73"/>
        <v>0</v>
      </c>
      <c r="CP31" s="48">
        <f t="shared" si="73"/>
        <v>0</v>
      </c>
      <c r="CQ31" s="48">
        <f t="shared" si="73"/>
        <v>0</v>
      </c>
      <c r="CR31" s="48">
        <f t="shared" si="73"/>
        <v>0</v>
      </c>
      <c r="CS31" s="48">
        <f t="shared" si="73"/>
        <v>0</v>
      </c>
      <c r="CT31" s="48">
        <f t="shared" si="73"/>
        <v>0</v>
      </c>
      <c r="CU31" s="48">
        <f t="shared" si="73"/>
        <v>0</v>
      </c>
      <c r="CV31" s="48">
        <f t="shared" si="73"/>
        <v>0</v>
      </c>
      <c r="CW31" s="48">
        <f t="shared" si="73"/>
        <v>0</v>
      </c>
      <c r="CX31" s="48">
        <f t="shared" ref="CX31:EC31" si="74">IF(CX$15=1,INDEX(Vol_O,11,CX$14)/12*(1+P_dVol),0)</f>
        <v>0</v>
      </c>
      <c r="CY31" s="48">
        <f t="shared" si="74"/>
        <v>0</v>
      </c>
      <c r="CZ31" s="48">
        <f t="shared" si="74"/>
        <v>0</v>
      </c>
      <c r="DA31" s="48">
        <f t="shared" si="74"/>
        <v>0</v>
      </c>
      <c r="DB31" s="48">
        <f t="shared" si="74"/>
        <v>0</v>
      </c>
      <c r="DC31" s="48">
        <f t="shared" si="74"/>
        <v>0</v>
      </c>
      <c r="DD31" s="48">
        <f t="shared" si="74"/>
        <v>0</v>
      </c>
      <c r="DE31" s="48">
        <f t="shared" si="74"/>
        <v>0</v>
      </c>
      <c r="DF31" s="48">
        <f t="shared" si="74"/>
        <v>0</v>
      </c>
      <c r="DG31" s="48">
        <f t="shared" si="74"/>
        <v>0</v>
      </c>
      <c r="DH31" s="48">
        <f t="shared" si="74"/>
        <v>0</v>
      </c>
      <c r="DI31" s="48">
        <f t="shared" si="74"/>
        <v>0</v>
      </c>
      <c r="DJ31" s="48">
        <f t="shared" si="74"/>
        <v>0</v>
      </c>
      <c r="DK31" s="48">
        <f t="shared" si="74"/>
        <v>0</v>
      </c>
      <c r="DL31" s="48">
        <f t="shared" si="74"/>
        <v>0</v>
      </c>
      <c r="DM31" s="48">
        <f t="shared" si="74"/>
        <v>0</v>
      </c>
      <c r="DN31" s="48">
        <f t="shared" si="74"/>
        <v>0</v>
      </c>
      <c r="DO31" s="48">
        <f t="shared" si="74"/>
        <v>0</v>
      </c>
      <c r="DP31" s="48">
        <f t="shared" si="74"/>
        <v>0</v>
      </c>
      <c r="DQ31" s="48">
        <f t="shared" si="74"/>
        <v>0</v>
      </c>
      <c r="DR31" s="48">
        <f t="shared" si="74"/>
        <v>0</v>
      </c>
      <c r="DS31" s="48">
        <f t="shared" si="74"/>
        <v>0</v>
      </c>
      <c r="DT31" s="48">
        <f t="shared" si="74"/>
        <v>0</v>
      </c>
      <c r="DU31" s="48">
        <f t="shared" si="74"/>
        <v>0</v>
      </c>
      <c r="DV31" s="48">
        <f t="shared" si="74"/>
        <v>0</v>
      </c>
      <c r="DW31" s="48">
        <f t="shared" si="74"/>
        <v>0</v>
      </c>
      <c r="DX31" s="48">
        <f t="shared" si="74"/>
        <v>0</v>
      </c>
      <c r="DY31" s="48">
        <f t="shared" si="74"/>
        <v>0</v>
      </c>
      <c r="DZ31" s="48">
        <f t="shared" si="74"/>
        <v>0</v>
      </c>
      <c r="EA31" s="48">
        <f t="shared" si="74"/>
        <v>0</v>
      </c>
      <c r="EB31" s="48">
        <f t="shared" si="74"/>
        <v>0</v>
      </c>
      <c r="EC31" s="48">
        <f t="shared" si="74"/>
        <v>0</v>
      </c>
      <c r="ED31" s="48">
        <f t="shared" ref="ED31:ES31" si="75">IF(ED$15=1,INDEX(Vol_O,11,ED$14)/12*(1+P_dVol),0)</f>
        <v>0</v>
      </c>
      <c r="EE31" s="48">
        <f t="shared" si="75"/>
        <v>0</v>
      </c>
      <c r="EF31" s="48">
        <f t="shared" si="75"/>
        <v>0</v>
      </c>
      <c r="EG31" s="48">
        <f t="shared" si="75"/>
        <v>0</v>
      </c>
      <c r="EH31" s="48">
        <f t="shared" si="75"/>
        <v>0</v>
      </c>
      <c r="EI31" s="48">
        <f t="shared" si="75"/>
        <v>0</v>
      </c>
      <c r="EJ31" s="48">
        <f t="shared" si="75"/>
        <v>0</v>
      </c>
      <c r="EK31" s="48">
        <f t="shared" si="75"/>
        <v>0</v>
      </c>
      <c r="EL31" s="48">
        <f t="shared" si="75"/>
        <v>0</v>
      </c>
      <c r="EM31" s="48">
        <f t="shared" si="75"/>
        <v>0</v>
      </c>
      <c r="EN31" s="48">
        <f t="shared" si="75"/>
        <v>0</v>
      </c>
      <c r="EO31" s="48">
        <f t="shared" si="75"/>
        <v>0</v>
      </c>
      <c r="EP31" s="48">
        <f t="shared" si="75"/>
        <v>0</v>
      </c>
      <c r="EQ31" s="48">
        <f t="shared" si="75"/>
        <v>0</v>
      </c>
      <c r="ER31" s="48">
        <f t="shared" si="75"/>
        <v>0</v>
      </c>
      <c r="ES31" s="48">
        <f t="shared" si="75"/>
        <v>0</v>
      </c>
    </row>
    <row r="32" spans="1:149" x14ac:dyDescent="0.3">
      <c r="A32" s="14" t="s">
        <v>1009</v>
      </c>
      <c r="B32" s="53" t="str">
        <f>IF(INDEX(Prod_Nombre,12)="","Producto 12",INDEX(Prod_Nombre,12))&amp;" — unidades"</f>
        <v>Producto 12 — unidades</v>
      </c>
      <c r="C32" s="18" t="s">
        <v>475</v>
      </c>
      <c r="E32" s="54">
        <f t="shared" si="20"/>
        <v>0</v>
      </c>
      <c r="F32" s="48">
        <f t="shared" ref="F32:AK32" si="76">IF(F$15=1,INDEX(Vol_O,12,F$14)/12*(1+P_dVol),0)</f>
        <v>0</v>
      </c>
      <c r="G32" s="48">
        <f t="shared" si="76"/>
        <v>0</v>
      </c>
      <c r="H32" s="48">
        <f t="shared" si="76"/>
        <v>0</v>
      </c>
      <c r="I32" s="48">
        <f t="shared" si="76"/>
        <v>0</v>
      </c>
      <c r="J32" s="48">
        <f t="shared" si="76"/>
        <v>0</v>
      </c>
      <c r="K32" s="48">
        <f t="shared" si="76"/>
        <v>0</v>
      </c>
      <c r="L32" s="48">
        <f t="shared" si="76"/>
        <v>0</v>
      </c>
      <c r="M32" s="48">
        <f t="shared" si="76"/>
        <v>0</v>
      </c>
      <c r="N32" s="48">
        <f t="shared" si="76"/>
        <v>0</v>
      </c>
      <c r="O32" s="48">
        <f t="shared" si="76"/>
        <v>0</v>
      </c>
      <c r="P32" s="48">
        <f t="shared" si="76"/>
        <v>0</v>
      </c>
      <c r="Q32" s="48">
        <f t="shared" si="76"/>
        <v>0</v>
      </c>
      <c r="R32" s="48">
        <f t="shared" si="76"/>
        <v>0</v>
      </c>
      <c r="S32" s="48">
        <f t="shared" si="76"/>
        <v>0</v>
      </c>
      <c r="T32" s="48">
        <f t="shared" si="76"/>
        <v>0</v>
      </c>
      <c r="U32" s="48">
        <f t="shared" si="76"/>
        <v>0</v>
      </c>
      <c r="V32" s="48">
        <f t="shared" si="76"/>
        <v>0</v>
      </c>
      <c r="W32" s="48">
        <f t="shared" si="76"/>
        <v>0</v>
      </c>
      <c r="X32" s="48">
        <f t="shared" si="76"/>
        <v>0</v>
      </c>
      <c r="Y32" s="48">
        <f t="shared" si="76"/>
        <v>0</v>
      </c>
      <c r="Z32" s="48">
        <f t="shared" si="76"/>
        <v>0</v>
      </c>
      <c r="AA32" s="48">
        <f t="shared" si="76"/>
        <v>0</v>
      </c>
      <c r="AB32" s="48">
        <f t="shared" si="76"/>
        <v>0</v>
      </c>
      <c r="AC32" s="48">
        <f t="shared" si="76"/>
        <v>0</v>
      </c>
      <c r="AD32" s="48">
        <f t="shared" si="76"/>
        <v>0</v>
      </c>
      <c r="AE32" s="48">
        <f t="shared" si="76"/>
        <v>0</v>
      </c>
      <c r="AF32" s="48">
        <f t="shared" si="76"/>
        <v>0</v>
      </c>
      <c r="AG32" s="48">
        <f t="shared" si="76"/>
        <v>0</v>
      </c>
      <c r="AH32" s="48">
        <f t="shared" si="76"/>
        <v>0</v>
      </c>
      <c r="AI32" s="48">
        <f t="shared" si="76"/>
        <v>0</v>
      </c>
      <c r="AJ32" s="48">
        <f t="shared" si="76"/>
        <v>0</v>
      </c>
      <c r="AK32" s="48">
        <f t="shared" si="76"/>
        <v>0</v>
      </c>
      <c r="AL32" s="48">
        <f t="shared" ref="AL32:BQ32" si="77">IF(AL$15=1,INDEX(Vol_O,12,AL$14)/12*(1+P_dVol),0)</f>
        <v>0</v>
      </c>
      <c r="AM32" s="48">
        <f t="shared" si="77"/>
        <v>0</v>
      </c>
      <c r="AN32" s="48">
        <f t="shared" si="77"/>
        <v>0</v>
      </c>
      <c r="AO32" s="48">
        <f t="shared" si="77"/>
        <v>0</v>
      </c>
      <c r="AP32" s="48">
        <f t="shared" si="77"/>
        <v>0</v>
      </c>
      <c r="AQ32" s="48">
        <f t="shared" si="77"/>
        <v>0</v>
      </c>
      <c r="AR32" s="48">
        <f t="shared" si="77"/>
        <v>0</v>
      </c>
      <c r="AS32" s="48">
        <f t="shared" si="77"/>
        <v>0</v>
      </c>
      <c r="AT32" s="48">
        <f t="shared" si="77"/>
        <v>0</v>
      </c>
      <c r="AU32" s="48">
        <f t="shared" si="77"/>
        <v>0</v>
      </c>
      <c r="AV32" s="48">
        <f t="shared" si="77"/>
        <v>0</v>
      </c>
      <c r="AW32" s="48">
        <f t="shared" si="77"/>
        <v>0</v>
      </c>
      <c r="AX32" s="48">
        <f t="shared" si="77"/>
        <v>0</v>
      </c>
      <c r="AY32" s="48">
        <f t="shared" si="77"/>
        <v>0</v>
      </c>
      <c r="AZ32" s="48">
        <f t="shared" si="77"/>
        <v>0</v>
      </c>
      <c r="BA32" s="48">
        <f t="shared" si="77"/>
        <v>0</v>
      </c>
      <c r="BB32" s="48">
        <f t="shared" si="77"/>
        <v>0</v>
      </c>
      <c r="BC32" s="48">
        <f t="shared" si="77"/>
        <v>0</v>
      </c>
      <c r="BD32" s="48">
        <f t="shared" si="77"/>
        <v>0</v>
      </c>
      <c r="BE32" s="48">
        <f t="shared" si="77"/>
        <v>0</v>
      </c>
      <c r="BF32" s="48">
        <f t="shared" si="77"/>
        <v>0</v>
      </c>
      <c r="BG32" s="48">
        <f t="shared" si="77"/>
        <v>0</v>
      </c>
      <c r="BH32" s="48">
        <f t="shared" si="77"/>
        <v>0</v>
      </c>
      <c r="BI32" s="48">
        <f t="shared" si="77"/>
        <v>0</v>
      </c>
      <c r="BJ32" s="48">
        <f t="shared" si="77"/>
        <v>0</v>
      </c>
      <c r="BK32" s="48">
        <f t="shared" si="77"/>
        <v>0</v>
      </c>
      <c r="BL32" s="48">
        <f t="shared" si="77"/>
        <v>0</v>
      </c>
      <c r="BM32" s="48">
        <f t="shared" si="77"/>
        <v>0</v>
      </c>
      <c r="BN32" s="48">
        <f t="shared" si="77"/>
        <v>0</v>
      </c>
      <c r="BO32" s="48">
        <f t="shared" si="77"/>
        <v>0</v>
      </c>
      <c r="BP32" s="48">
        <f t="shared" si="77"/>
        <v>0</v>
      </c>
      <c r="BQ32" s="48">
        <f t="shared" si="77"/>
        <v>0</v>
      </c>
      <c r="BR32" s="48">
        <f t="shared" ref="BR32:CW32" si="78">IF(BR$15=1,INDEX(Vol_O,12,BR$14)/12*(1+P_dVol),0)</f>
        <v>0</v>
      </c>
      <c r="BS32" s="48">
        <f t="shared" si="78"/>
        <v>0</v>
      </c>
      <c r="BT32" s="48">
        <f t="shared" si="78"/>
        <v>0</v>
      </c>
      <c r="BU32" s="48">
        <f t="shared" si="78"/>
        <v>0</v>
      </c>
      <c r="BV32" s="48">
        <f t="shared" si="78"/>
        <v>0</v>
      </c>
      <c r="BW32" s="48">
        <f t="shared" si="78"/>
        <v>0</v>
      </c>
      <c r="BX32" s="48">
        <f t="shared" si="78"/>
        <v>0</v>
      </c>
      <c r="BY32" s="48">
        <f t="shared" si="78"/>
        <v>0</v>
      </c>
      <c r="BZ32" s="48">
        <f t="shared" si="78"/>
        <v>0</v>
      </c>
      <c r="CA32" s="48">
        <f t="shared" si="78"/>
        <v>0</v>
      </c>
      <c r="CB32" s="48">
        <f t="shared" si="78"/>
        <v>0</v>
      </c>
      <c r="CC32" s="48">
        <f t="shared" si="78"/>
        <v>0</v>
      </c>
      <c r="CD32" s="48">
        <f t="shared" si="78"/>
        <v>0</v>
      </c>
      <c r="CE32" s="48">
        <f t="shared" si="78"/>
        <v>0</v>
      </c>
      <c r="CF32" s="48">
        <f t="shared" si="78"/>
        <v>0</v>
      </c>
      <c r="CG32" s="48">
        <f t="shared" si="78"/>
        <v>0</v>
      </c>
      <c r="CH32" s="48">
        <f t="shared" si="78"/>
        <v>0</v>
      </c>
      <c r="CI32" s="48">
        <f t="shared" si="78"/>
        <v>0</v>
      </c>
      <c r="CJ32" s="48">
        <f t="shared" si="78"/>
        <v>0</v>
      </c>
      <c r="CK32" s="48">
        <f t="shared" si="78"/>
        <v>0</v>
      </c>
      <c r="CL32" s="48">
        <f t="shared" si="78"/>
        <v>0</v>
      </c>
      <c r="CM32" s="48">
        <f t="shared" si="78"/>
        <v>0</v>
      </c>
      <c r="CN32" s="48">
        <f t="shared" si="78"/>
        <v>0</v>
      </c>
      <c r="CO32" s="48">
        <f t="shared" si="78"/>
        <v>0</v>
      </c>
      <c r="CP32" s="48">
        <f t="shared" si="78"/>
        <v>0</v>
      </c>
      <c r="CQ32" s="48">
        <f t="shared" si="78"/>
        <v>0</v>
      </c>
      <c r="CR32" s="48">
        <f t="shared" si="78"/>
        <v>0</v>
      </c>
      <c r="CS32" s="48">
        <f t="shared" si="78"/>
        <v>0</v>
      </c>
      <c r="CT32" s="48">
        <f t="shared" si="78"/>
        <v>0</v>
      </c>
      <c r="CU32" s="48">
        <f t="shared" si="78"/>
        <v>0</v>
      </c>
      <c r="CV32" s="48">
        <f t="shared" si="78"/>
        <v>0</v>
      </c>
      <c r="CW32" s="48">
        <f t="shared" si="78"/>
        <v>0</v>
      </c>
      <c r="CX32" s="48">
        <f t="shared" ref="CX32:EC32" si="79">IF(CX$15=1,INDEX(Vol_O,12,CX$14)/12*(1+P_dVol),0)</f>
        <v>0</v>
      </c>
      <c r="CY32" s="48">
        <f t="shared" si="79"/>
        <v>0</v>
      </c>
      <c r="CZ32" s="48">
        <f t="shared" si="79"/>
        <v>0</v>
      </c>
      <c r="DA32" s="48">
        <f t="shared" si="79"/>
        <v>0</v>
      </c>
      <c r="DB32" s="48">
        <f t="shared" si="79"/>
        <v>0</v>
      </c>
      <c r="DC32" s="48">
        <f t="shared" si="79"/>
        <v>0</v>
      </c>
      <c r="DD32" s="48">
        <f t="shared" si="79"/>
        <v>0</v>
      </c>
      <c r="DE32" s="48">
        <f t="shared" si="79"/>
        <v>0</v>
      </c>
      <c r="DF32" s="48">
        <f t="shared" si="79"/>
        <v>0</v>
      </c>
      <c r="DG32" s="48">
        <f t="shared" si="79"/>
        <v>0</v>
      </c>
      <c r="DH32" s="48">
        <f t="shared" si="79"/>
        <v>0</v>
      </c>
      <c r="DI32" s="48">
        <f t="shared" si="79"/>
        <v>0</v>
      </c>
      <c r="DJ32" s="48">
        <f t="shared" si="79"/>
        <v>0</v>
      </c>
      <c r="DK32" s="48">
        <f t="shared" si="79"/>
        <v>0</v>
      </c>
      <c r="DL32" s="48">
        <f t="shared" si="79"/>
        <v>0</v>
      </c>
      <c r="DM32" s="48">
        <f t="shared" si="79"/>
        <v>0</v>
      </c>
      <c r="DN32" s="48">
        <f t="shared" si="79"/>
        <v>0</v>
      </c>
      <c r="DO32" s="48">
        <f t="shared" si="79"/>
        <v>0</v>
      </c>
      <c r="DP32" s="48">
        <f t="shared" si="79"/>
        <v>0</v>
      </c>
      <c r="DQ32" s="48">
        <f t="shared" si="79"/>
        <v>0</v>
      </c>
      <c r="DR32" s="48">
        <f t="shared" si="79"/>
        <v>0</v>
      </c>
      <c r="DS32" s="48">
        <f t="shared" si="79"/>
        <v>0</v>
      </c>
      <c r="DT32" s="48">
        <f t="shared" si="79"/>
        <v>0</v>
      </c>
      <c r="DU32" s="48">
        <f t="shared" si="79"/>
        <v>0</v>
      </c>
      <c r="DV32" s="48">
        <f t="shared" si="79"/>
        <v>0</v>
      </c>
      <c r="DW32" s="48">
        <f t="shared" si="79"/>
        <v>0</v>
      </c>
      <c r="DX32" s="48">
        <f t="shared" si="79"/>
        <v>0</v>
      </c>
      <c r="DY32" s="48">
        <f t="shared" si="79"/>
        <v>0</v>
      </c>
      <c r="DZ32" s="48">
        <f t="shared" si="79"/>
        <v>0</v>
      </c>
      <c r="EA32" s="48">
        <f t="shared" si="79"/>
        <v>0</v>
      </c>
      <c r="EB32" s="48">
        <f t="shared" si="79"/>
        <v>0</v>
      </c>
      <c r="EC32" s="48">
        <f t="shared" si="79"/>
        <v>0</v>
      </c>
      <c r="ED32" s="48">
        <f t="shared" ref="ED32:ES32" si="80">IF(ED$15=1,INDEX(Vol_O,12,ED$14)/12*(1+P_dVol),0)</f>
        <v>0</v>
      </c>
      <c r="EE32" s="48">
        <f t="shared" si="80"/>
        <v>0</v>
      </c>
      <c r="EF32" s="48">
        <f t="shared" si="80"/>
        <v>0</v>
      </c>
      <c r="EG32" s="48">
        <f t="shared" si="80"/>
        <v>0</v>
      </c>
      <c r="EH32" s="48">
        <f t="shared" si="80"/>
        <v>0</v>
      </c>
      <c r="EI32" s="48">
        <f t="shared" si="80"/>
        <v>0</v>
      </c>
      <c r="EJ32" s="48">
        <f t="shared" si="80"/>
        <v>0</v>
      </c>
      <c r="EK32" s="48">
        <f t="shared" si="80"/>
        <v>0</v>
      </c>
      <c r="EL32" s="48">
        <f t="shared" si="80"/>
        <v>0</v>
      </c>
      <c r="EM32" s="48">
        <f t="shared" si="80"/>
        <v>0</v>
      </c>
      <c r="EN32" s="48">
        <f t="shared" si="80"/>
        <v>0</v>
      </c>
      <c r="EO32" s="48">
        <f t="shared" si="80"/>
        <v>0</v>
      </c>
      <c r="EP32" s="48">
        <f t="shared" si="80"/>
        <v>0</v>
      </c>
      <c r="EQ32" s="48">
        <f t="shared" si="80"/>
        <v>0</v>
      </c>
      <c r="ER32" s="48">
        <f t="shared" si="80"/>
        <v>0</v>
      </c>
      <c r="ES32" s="48">
        <f t="shared" si="80"/>
        <v>0</v>
      </c>
    </row>
    <row r="33" spans="1:149" x14ac:dyDescent="0.3">
      <c r="A33" s="14" t="s">
        <v>1010</v>
      </c>
      <c r="B33" s="53" t="str">
        <f>IF(INDEX(Prod_Nombre,13)="","Producto 13",INDEX(Prod_Nombre,13))&amp;" — unidades"</f>
        <v>Producto 13 — unidades</v>
      </c>
      <c r="C33" s="18" t="s">
        <v>475</v>
      </c>
      <c r="E33" s="54">
        <f t="shared" si="20"/>
        <v>0</v>
      </c>
      <c r="F33" s="48">
        <f t="shared" ref="F33:AK33" si="81">IF(F$15=1,INDEX(Vol_O,13,F$14)/12*(1+P_dVol),0)</f>
        <v>0</v>
      </c>
      <c r="G33" s="48">
        <f t="shared" si="81"/>
        <v>0</v>
      </c>
      <c r="H33" s="48">
        <f t="shared" si="81"/>
        <v>0</v>
      </c>
      <c r="I33" s="48">
        <f t="shared" si="81"/>
        <v>0</v>
      </c>
      <c r="J33" s="48">
        <f t="shared" si="81"/>
        <v>0</v>
      </c>
      <c r="K33" s="48">
        <f t="shared" si="81"/>
        <v>0</v>
      </c>
      <c r="L33" s="48">
        <f t="shared" si="81"/>
        <v>0</v>
      </c>
      <c r="M33" s="48">
        <f t="shared" si="81"/>
        <v>0</v>
      </c>
      <c r="N33" s="48">
        <f t="shared" si="81"/>
        <v>0</v>
      </c>
      <c r="O33" s="48">
        <f t="shared" si="81"/>
        <v>0</v>
      </c>
      <c r="P33" s="48">
        <f t="shared" si="81"/>
        <v>0</v>
      </c>
      <c r="Q33" s="48">
        <f t="shared" si="81"/>
        <v>0</v>
      </c>
      <c r="R33" s="48">
        <f t="shared" si="81"/>
        <v>0</v>
      </c>
      <c r="S33" s="48">
        <f t="shared" si="81"/>
        <v>0</v>
      </c>
      <c r="T33" s="48">
        <f t="shared" si="81"/>
        <v>0</v>
      </c>
      <c r="U33" s="48">
        <f t="shared" si="81"/>
        <v>0</v>
      </c>
      <c r="V33" s="48">
        <f t="shared" si="81"/>
        <v>0</v>
      </c>
      <c r="W33" s="48">
        <f t="shared" si="81"/>
        <v>0</v>
      </c>
      <c r="X33" s="48">
        <f t="shared" si="81"/>
        <v>0</v>
      </c>
      <c r="Y33" s="48">
        <f t="shared" si="81"/>
        <v>0</v>
      </c>
      <c r="Z33" s="48">
        <f t="shared" si="81"/>
        <v>0</v>
      </c>
      <c r="AA33" s="48">
        <f t="shared" si="81"/>
        <v>0</v>
      </c>
      <c r="AB33" s="48">
        <f t="shared" si="81"/>
        <v>0</v>
      </c>
      <c r="AC33" s="48">
        <f t="shared" si="81"/>
        <v>0</v>
      </c>
      <c r="AD33" s="48">
        <f t="shared" si="81"/>
        <v>0</v>
      </c>
      <c r="AE33" s="48">
        <f t="shared" si="81"/>
        <v>0</v>
      </c>
      <c r="AF33" s="48">
        <f t="shared" si="81"/>
        <v>0</v>
      </c>
      <c r="AG33" s="48">
        <f t="shared" si="81"/>
        <v>0</v>
      </c>
      <c r="AH33" s="48">
        <f t="shared" si="81"/>
        <v>0</v>
      </c>
      <c r="AI33" s="48">
        <f t="shared" si="81"/>
        <v>0</v>
      </c>
      <c r="AJ33" s="48">
        <f t="shared" si="81"/>
        <v>0</v>
      </c>
      <c r="AK33" s="48">
        <f t="shared" si="81"/>
        <v>0</v>
      </c>
      <c r="AL33" s="48">
        <f t="shared" ref="AL33:BQ33" si="82">IF(AL$15=1,INDEX(Vol_O,13,AL$14)/12*(1+P_dVol),0)</f>
        <v>0</v>
      </c>
      <c r="AM33" s="48">
        <f t="shared" si="82"/>
        <v>0</v>
      </c>
      <c r="AN33" s="48">
        <f t="shared" si="82"/>
        <v>0</v>
      </c>
      <c r="AO33" s="48">
        <f t="shared" si="82"/>
        <v>0</v>
      </c>
      <c r="AP33" s="48">
        <f t="shared" si="82"/>
        <v>0</v>
      </c>
      <c r="AQ33" s="48">
        <f t="shared" si="82"/>
        <v>0</v>
      </c>
      <c r="AR33" s="48">
        <f t="shared" si="82"/>
        <v>0</v>
      </c>
      <c r="AS33" s="48">
        <f t="shared" si="82"/>
        <v>0</v>
      </c>
      <c r="AT33" s="48">
        <f t="shared" si="82"/>
        <v>0</v>
      </c>
      <c r="AU33" s="48">
        <f t="shared" si="82"/>
        <v>0</v>
      </c>
      <c r="AV33" s="48">
        <f t="shared" si="82"/>
        <v>0</v>
      </c>
      <c r="AW33" s="48">
        <f t="shared" si="82"/>
        <v>0</v>
      </c>
      <c r="AX33" s="48">
        <f t="shared" si="82"/>
        <v>0</v>
      </c>
      <c r="AY33" s="48">
        <f t="shared" si="82"/>
        <v>0</v>
      </c>
      <c r="AZ33" s="48">
        <f t="shared" si="82"/>
        <v>0</v>
      </c>
      <c r="BA33" s="48">
        <f t="shared" si="82"/>
        <v>0</v>
      </c>
      <c r="BB33" s="48">
        <f t="shared" si="82"/>
        <v>0</v>
      </c>
      <c r="BC33" s="48">
        <f t="shared" si="82"/>
        <v>0</v>
      </c>
      <c r="BD33" s="48">
        <f t="shared" si="82"/>
        <v>0</v>
      </c>
      <c r="BE33" s="48">
        <f t="shared" si="82"/>
        <v>0</v>
      </c>
      <c r="BF33" s="48">
        <f t="shared" si="82"/>
        <v>0</v>
      </c>
      <c r="BG33" s="48">
        <f t="shared" si="82"/>
        <v>0</v>
      </c>
      <c r="BH33" s="48">
        <f t="shared" si="82"/>
        <v>0</v>
      </c>
      <c r="BI33" s="48">
        <f t="shared" si="82"/>
        <v>0</v>
      </c>
      <c r="BJ33" s="48">
        <f t="shared" si="82"/>
        <v>0</v>
      </c>
      <c r="BK33" s="48">
        <f t="shared" si="82"/>
        <v>0</v>
      </c>
      <c r="BL33" s="48">
        <f t="shared" si="82"/>
        <v>0</v>
      </c>
      <c r="BM33" s="48">
        <f t="shared" si="82"/>
        <v>0</v>
      </c>
      <c r="BN33" s="48">
        <f t="shared" si="82"/>
        <v>0</v>
      </c>
      <c r="BO33" s="48">
        <f t="shared" si="82"/>
        <v>0</v>
      </c>
      <c r="BP33" s="48">
        <f t="shared" si="82"/>
        <v>0</v>
      </c>
      <c r="BQ33" s="48">
        <f t="shared" si="82"/>
        <v>0</v>
      </c>
      <c r="BR33" s="48">
        <f t="shared" ref="BR33:CW33" si="83">IF(BR$15=1,INDEX(Vol_O,13,BR$14)/12*(1+P_dVol),0)</f>
        <v>0</v>
      </c>
      <c r="BS33" s="48">
        <f t="shared" si="83"/>
        <v>0</v>
      </c>
      <c r="BT33" s="48">
        <f t="shared" si="83"/>
        <v>0</v>
      </c>
      <c r="BU33" s="48">
        <f t="shared" si="83"/>
        <v>0</v>
      </c>
      <c r="BV33" s="48">
        <f t="shared" si="83"/>
        <v>0</v>
      </c>
      <c r="BW33" s="48">
        <f t="shared" si="83"/>
        <v>0</v>
      </c>
      <c r="BX33" s="48">
        <f t="shared" si="83"/>
        <v>0</v>
      </c>
      <c r="BY33" s="48">
        <f t="shared" si="83"/>
        <v>0</v>
      </c>
      <c r="BZ33" s="48">
        <f t="shared" si="83"/>
        <v>0</v>
      </c>
      <c r="CA33" s="48">
        <f t="shared" si="83"/>
        <v>0</v>
      </c>
      <c r="CB33" s="48">
        <f t="shared" si="83"/>
        <v>0</v>
      </c>
      <c r="CC33" s="48">
        <f t="shared" si="83"/>
        <v>0</v>
      </c>
      <c r="CD33" s="48">
        <f t="shared" si="83"/>
        <v>0</v>
      </c>
      <c r="CE33" s="48">
        <f t="shared" si="83"/>
        <v>0</v>
      </c>
      <c r="CF33" s="48">
        <f t="shared" si="83"/>
        <v>0</v>
      </c>
      <c r="CG33" s="48">
        <f t="shared" si="83"/>
        <v>0</v>
      </c>
      <c r="CH33" s="48">
        <f t="shared" si="83"/>
        <v>0</v>
      </c>
      <c r="CI33" s="48">
        <f t="shared" si="83"/>
        <v>0</v>
      </c>
      <c r="CJ33" s="48">
        <f t="shared" si="83"/>
        <v>0</v>
      </c>
      <c r="CK33" s="48">
        <f t="shared" si="83"/>
        <v>0</v>
      </c>
      <c r="CL33" s="48">
        <f t="shared" si="83"/>
        <v>0</v>
      </c>
      <c r="CM33" s="48">
        <f t="shared" si="83"/>
        <v>0</v>
      </c>
      <c r="CN33" s="48">
        <f t="shared" si="83"/>
        <v>0</v>
      </c>
      <c r="CO33" s="48">
        <f t="shared" si="83"/>
        <v>0</v>
      </c>
      <c r="CP33" s="48">
        <f t="shared" si="83"/>
        <v>0</v>
      </c>
      <c r="CQ33" s="48">
        <f t="shared" si="83"/>
        <v>0</v>
      </c>
      <c r="CR33" s="48">
        <f t="shared" si="83"/>
        <v>0</v>
      </c>
      <c r="CS33" s="48">
        <f t="shared" si="83"/>
        <v>0</v>
      </c>
      <c r="CT33" s="48">
        <f t="shared" si="83"/>
        <v>0</v>
      </c>
      <c r="CU33" s="48">
        <f t="shared" si="83"/>
        <v>0</v>
      </c>
      <c r="CV33" s="48">
        <f t="shared" si="83"/>
        <v>0</v>
      </c>
      <c r="CW33" s="48">
        <f t="shared" si="83"/>
        <v>0</v>
      </c>
      <c r="CX33" s="48">
        <f t="shared" ref="CX33:EC33" si="84">IF(CX$15=1,INDEX(Vol_O,13,CX$14)/12*(1+P_dVol),0)</f>
        <v>0</v>
      </c>
      <c r="CY33" s="48">
        <f t="shared" si="84"/>
        <v>0</v>
      </c>
      <c r="CZ33" s="48">
        <f t="shared" si="84"/>
        <v>0</v>
      </c>
      <c r="DA33" s="48">
        <f t="shared" si="84"/>
        <v>0</v>
      </c>
      <c r="DB33" s="48">
        <f t="shared" si="84"/>
        <v>0</v>
      </c>
      <c r="DC33" s="48">
        <f t="shared" si="84"/>
        <v>0</v>
      </c>
      <c r="DD33" s="48">
        <f t="shared" si="84"/>
        <v>0</v>
      </c>
      <c r="DE33" s="48">
        <f t="shared" si="84"/>
        <v>0</v>
      </c>
      <c r="DF33" s="48">
        <f t="shared" si="84"/>
        <v>0</v>
      </c>
      <c r="DG33" s="48">
        <f t="shared" si="84"/>
        <v>0</v>
      </c>
      <c r="DH33" s="48">
        <f t="shared" si="84"/>
        <v>0</v>
      </c>
      <c r="DI33" s="48">
        <f t="shared" si="84"/>
        <v>0</v>
      </c>
      <c r="DJ33" s="48">
        <f t="shared" si="84"/>
        <v>0</v>
      </c>
      <c r="DK33" s="48">
        <f t="shared" si="84"/>
        <v>0</v>
      </c>
      <c r="DL33" s="48">
        <f t="shared" si="84"/>
        <v>0</v>
      </c>
      <c r="DM33" s="48">
        <f t="shared" si="84"/>
        <v>0</v>
      </c>
      <c r="DN33" s="48">
        <f t="shared" si="84"/>
        <v>0</v>
      </c>
      <c r="DO33" s="48">
        <f t="shared" si="84"/>
        <v>0</v>
      </c>
      <c r="DP33" s="48">
        <f t="shared" si="84"/>
        <v>0</v>
      </c>
      <c r="DQ33" s="48">
        <f t="shared" si="84"/>
        <v>0</v>
      </c>
      <c r="DR33" s="48">
        <f t="shared" si="84"/>
        <v>0</v>
      </c>
      <c r="DS33" s="48">
        <f t="shared" si="84"/>
        <v>0</v>
      </c>
      <c r="DT33" s="48">
        <f t="shared" si="84"/>
        <v>0</v>
      </c>
      <c r="DU33" s="48">
        <f t="shared" si="84"/>
        <v>0</v>
      </c>
      <c r="DV33" s="48">
        <f t="shared" si="84"/>
        <v>0</v>
      </c>
      <c r="DW33" s="48">
        <f t="shared" si="84"/>
        <v>0</v>
      </c>
      <c r="DX33" s="48">
        <f t="shared" si="84"/>
        <v>0</v>
      </c>
      <c r="DY33" s="48">
        <f t="shared" si="84"/>
        <v>0</v>
      </c>
      <c r="DZ33" s="48">
        <f t="shared" si="84"/>
        <v>0</v>
      </c>
      <c r="EA33" s="48">
        <f t="shared" si="84"/>
        <v>0</v>
      </c>
      <c r="EB33" s="48">
        <f t="shared" si="84"/>
        <v>0</v>
      </c>
      <c r="EC33" s="48">
        <f t="shared" si="84"/>
        <v>0</v>
      </c>
      <c r="ED33" s="48">
        <f t="shared" ref="ED33:ES33" si="85">IF(ED$15=1,INDEX(Vol_O,13,ED$14)/12*(1+P_dVol),0)</f>
        <v>0</v>
      </c>
      <c r="EE33" s="48">
        <f t="shared" si="85"/>
        <v>0</v>
      </c>
      <c r="EF33" s="48">
        <f t="shared" si="85"/>
        <v>0</v>
      </c>
      <c r="EG33" s="48">
        <f t="shared" si="85"/>
        <v>0</v>
      </c>
      <c r="EH33" s="48">
        <f t="shared" si="85"/>
        <v>0</v>
      </c>
      <c r="EI33" s="48">
        <f t="shared" si="85"/>
        <v>0</v>
      </c>
      <c r="EJ33" s="48">
        <f t="shared" si="85"/>
        <v>0</v>
      </c>
      <c r="EK33" s="48">
        <f t="shared" si="85"/>
        <v>0</v>
      </c>
      <c r="EL33" s="48">
        <f t="shared" si="85"/>
        <v>0</v>
      </c>
      <c r="EM33" s="48">
        <f t="shared" si="85"/>
        <v>0</v>
      </c>
      <c r="EN33" s="48">
        <f t="shared" si="85"/>
        <v>0</v>
      </c>
      <c r="EO33" s="48">
        <f t="shared" si="85"/>
        <v>0</v>
      </c>
      <c r="EP33" s="48">
        <f t="shared" si="85"/>
        <v>0</v>
      </c>
      <c r="EQ33" s="48">
        <f t="shared" si="85"/>
        <v>0</v>
      </c>
      <c r="ER33" s="48">
        <f t="shared" si="85"/>
        <v>0</v>
      </c>
      <c r="ES33" s="48">
        <f t="shared" si="85"/>
        <v>0</v>
      </c>
    </row>
    <row r="34" spans="1:149" x14ac:dyDescent="0.3">
      <c r="A34" s="14" t="s">
        <v>1011</v>
      </c>
      <c r="B34" s="53" t="str">
        <f>IF(INDEX(Prod_Nombre,14)="","Producto 14",INDEX(Prod_Nombre,14))&amp;" — unidades"</f>
        <v>Producto 14 — unidades</v>
      </c>
      <c r="C34" s="18" t="s">
        <v>475</v>
      </c>
      <c r="E34" s="54">
        <f t="shared" si="20"/>
        <v>0</v>
      </c>
      <c r="F34" s="48">
        <f t="shared" ref="F34:AK34" si="86">IF(F$15=1,INDEX(Vol_O,14,F$14)/12*(1+P_dVol),0)</f>
        <v>0</v>
      </c>
      <c r="G34" s="48">
        <f t="shared" si="86"/>
        <v>0</v>
      </c>
      <c r="H34" s="48">
        <f t="shared" si="86"/>
        <v>0</v>
      </c>
      <c r="I34" s="48">
        <f t="shared" si="86"/>
        <v>0</v>
      </c>
      <c r="J34" s="48">
        <f t="shared" si="86"/>
        <v>0</v>
      </c>
      <c r="K34" s="48">
        <f t="shared" si="86"/>
        <v>0</v>
      </c>
      <c r="L34" s="48">
        <f t="shared" si="86"/>
        <v>0</v>
      </c>
      <c r="M34" s="48">
        <f t="shared" si="86"/>
        <v>0</v>
      </c>
      <c r="N34" s="48">
        <f t="shared" si="86"/>
        <v>0</v>
      </c>
      <c r="O34" s="48">
        <f t="shared" si="86"/>
        <v>0</v>
      </c>
      <c r="P34" s="48">
        <f t="shared" si="86"/>
        <v>0</v>
      </c>
      <c r="Q34" s="48">
        <f t="shared" si="86"/>
        <v>0</v>
      </c>
      <c r="R34" s="48">
        <f t="shared" si="86"/>
        <v>0</v>
      </c>
      <c r="S34" s="48">
        <f t="shared" si="86"/>
        <v>0</v>
      </c>
      <c r="T34" s="48">
        <f t="shared" si="86"/>
        <v>0</v>
      </c>
      <c r="U34" s="48">
        <f t="shared" si="86"/>
        <v>0</v>
      </c>
      <c r="V34" s="48">
        <f t="shared" si="86"/>
        <v>0</v>
      </c>
      <c r="W34" s="48">
        <f t="shared" si="86"/>
        <v>0</v>
      </c>
      <c r="X34" s="48">
        <f t="shared" si="86"/>
        <v>0</v>
      </c>
      <c r="Y34" s="48">
        <f t="shared" si="86"/>
        <v>0</v>
      </c>
      <c r="Z34" s="48">
        <f t="shared" si="86"/>
        <v>0</v>
      </c>
      <c r="AA34" s="48">
        <f t="shared" si="86"/>
        <v>0</v>
      </c>
      <c r="AB34" s="48">
        <f t="shared" si="86"/>
        <v>0</v>
      </c>
      <c r="AC34" s="48">
        <f t="shared" si="86"/>
        <v>0</v>
      </c>
      <c r="AD34" s="48">
        <f t="shared" si="86"/>
        <v>0</v>
      </c>
      <c r="AE34" s="48">
        <f t="shared" si="86"/>
        <v>0</v>
      </c>
      <c r="AF34" s="48">
        <f t="shared" si="86"/>
        <v>0</v>
      </c>
      <c r="AG34" s="48">
        <f t="shared" si="86"/>
        <v>0</v>
      </c>
      <c r="AH34" s="48">
        <f t="shared" si="86"/>
        <v>0</v>
      </c>
      <c r="AI34" s="48">
        <f t="shared" si="86"/>
        <v>0</v>
      </c>
      <c r="AJ34" s="48">
        <f t="shared" si="86"/>
        <v>0</v>
      </c>
      <c r="AK34" s="48">
        <f t="shared" si="86"/>
        <v>0</v>
      </c>
      <c r="AL34" s="48">
        <f t="shared" ref="AL34:BQ34" si="87">IF(AL$15=1,INDEX(Vol_O,14,AL$14)/12*(1+P_dVol),0)</f>
        <v>0</v>
      </c>
      <c r="AM34" s="48">
        <f t="shared" si="87"/>
        <v>0</v>
      </c>
      <c r="AN34" s="48">
        <f t="shared" si="87"/>
        <v>0</v>
      </c>
      <c r="AO34" s="48">
        <f t="shared" si="87"/>
        <v>0</v>
      </c>
      <c r="AP34" s="48">
        <f t="shared" si="87"/>
        <v>0</v>
      </c>
      <c r="AQ34" s="48">
        <f t="shared" si="87"/>
        <v>0</v>
      </c>
      <c r="AR34" s="48">
        <f t="shared" si="87"/>
        <v>0</v>
      </c>
      <c r="AS34" s="48">
        <f t="shared" si="87"/>
        <v>0</v>
      </c>
      <c r="AT34" s="48">
        <f t="shared" si="87"/>
        <v>0</v>
      </c>
      <c r="AU34" s="48">
        <f t="shared" si="87"/>
        <v>0</v>
      </c>
      <c r="AV34" s="48">
        <f t="shared" si="87"/>
        <v>0</v>
      </c>
      <c r="AW34" s="48">
        <f t="shared" si="87"/>
        <v>0</v>
      </c>
      <c r="AX34" s="48">
        <f t="shared" si="87"/>
        <v>0</v>
      </c>
      <c r="AY34" s="48">
        <f t="shared" si="87"/>
        <v>0</v>
      </c>
      <c r="AZ34" s="48">
        <f t="shared" si="87"/>
        <v>0</v>
      </c>
      <c r="BA34" s="48">
        <f t="shared" si="87"/>
        <v>0</v>
      </c>
      <c r="BB34" s="48">
        <f t="shared" si="87"/>
        <v>0</v>
      </c>
      <c r="BC34" s="48">
        <f t="shared" si="87"/>
        <v>0</v>
      </c>
      <c r="BD34" s="48">
        <f t="shared" si="87"/>
        <v>0</v>
      </c>
      <c r="BE34" s="48">
        <f t="shared" si="87"/>
        <v>0</v>
      </c>
      <c r="BF34" s="48">
        <f t="shared" si="87"/>
        <v>0</v>
      </c>
      <c r="BG34" s="48">
        <f t="shared" si="87"/>
        <v>0</v>
      </c>
      <c r="BH34" s="48">
        <f t="shared" si="87"/>
        <v>0</v>
      </c>
      <c r="BI34" s="48">
        <f t="shared" si="87"/>
        <v>0</v>
      </c>
      <c r="BJ34" s="48">
        <f t="shared" si="87"/>
        <v>0</v>
      </c>
      <c r="BK34" s="48">
        <f t="shared" si="87"/>
        <v>0</v>
      </c>
      <c r="BL34" s="48">
        <f t="shared" si="87"/>
        <v>0</v>
      </c>
      <c r="BM34" s="48">
        <f t="shared" si="87"/>
        <v>0</v>
      </c>
      <c r="BN34" s="48">
        <f t="shared" si="87"/>
        <v>0</v>
      </c>
      <c r="BO34" s="48">
        <f t="shared" si="87"/>
        <v>0</v>
      </c>
      <c r="BP34" s="48">
        <f t="shared" si="87"/>
        <v>0</v>
      </c>
      <c r="BQ34" s="48">
        <f t="shared" si="87"/>
        <v>0</v>
      </c>
      <c r="BR34" s="48">
        <f t="shared" ref="BR34:CW34" si="88">IF(BR$15=1,INDEX(Vol_O,14,BR$14)/12*(1+P_dVol),0)</f>
        <v>0</v>
      </c>
      <c r="BS34" s="48">
        <f t="shared" si="88"/>
        <v>0</v>
      </c>
      <c r="BT34" s="48">
        <f t="shared" si="88"/>
        <v>0</v>
      </c>
      <c r="BU34" s="48">
        <f t="shared" si="88"/>
        <v>0</v>
      </c>
      <c r="BV34" s="48">
        <f t="shared" si="88"/>
        <v>0</v>
      </c>
      <c r="BW34" s="48">
        <f t="shared" si="88"/>
        <v>0</v>
      </c>
      <c r="BX34" s="48">
        <f t="shared" si="88"/>
        <v>0</v>
      </c>
      <c r="BY34" s="48">
        <f t="shared" si="88"/>
        <v>0</v>
      </c>
      <c r="BZ34" s="48">
        <f t="shared" si="88"/>
        <v>0</v>
      </c>
      <c r="CA34" s="48">
        <f t="shared" si="88"/>
        <v>0</v>
      </c>
      <c r="CB34" s="48">
        <f t="shared" si="88"/>
        <v>0</v>
      </c>
      <c r="CC34" s="48">
        <f t="shared" si="88"/>
        <v>0</v>
      </c>
      <c r="CD34" s="48">
        <f t="shared" si="88"/>
        <v>0</v>
      </c>
      <c r="CE34" s="48">
        <f t="shared" si="88"/>
        <v>0</v>
      </c>
      <c r="CF34" s="48">
        <f t="shared" si="88"/>
        <v>0</v>
      </c>
      <c r="CG34" s="48">
        <f t="shared" si="88"/>
        <v>0</v>
      </c>
      <c r="CH34" s="48">
        <f t="shared" si="88"/>
        <v>0</v>
      </c>
      <c r="CI34" s="48">
        <f t="shared" si="88"/>
        <v>0</v>
      </c>
      <c r="CJ34" s="48">
        <f t="shared" si="88"/>
        <v>0</v>
      </c>
      <c r="CK34" s="48">
        <f t="shared" si="88"/>
        <v>0</v>
      </c>
      <c r="CL34" s="48">
        <f t="shared" si="88"/>
        <v>0</v>
      </c>
      <c r="CM34" s="48">
        <f t="shared" si="88"/>
        <v>0</v>
      </c>
      <c r="CN34" s="48">
        <f t="shared" si="88"/>
        <v>0</v>
      </c>
      <c r="CO34" s="48">
        <f t="shared" si="88"/>
        <v>0</v>
      </c>
      <c r="CP34" s="48">
        <f t="shared" si="88"/>
        <v>0</v>
      </c>
      <c r="CQ34" s="48">
        <f t="shared" si="88"/>
        <v>0</v>
      </c>
      <c r="CR34" s="48">
        <f t="shared" si="88"/>
        <v>0</v>
      </c>
      <c r="CS34" s="48">
        <f t="shared" si="88"/>
        <v>0</v>
      </c>
      <c r="CT34" s="48">
        <f t="shared" si="88"/>
        <v>0</v>
      </c>
      <c r="CU34" s="48">
        <f t="shared" si="88"/>
        <v>0</v>
      </c>
      <c r="CV34" s="48">
        <f t="shared" si="88"/>
        <v>0</v>
      </c>
      <c r="CW34" s="48">
        <f t="shared" si="88"/>
        <v>0</v>
      </c>
      <c r="CX34" s="48">
        <f t="shared" ref="CX34:EC34" si="89">IF(CX$15=1,INDEX(Vol_O,14,CX$14)/12*(1+P_dVol),0)</f>
        <v>0</v>
      </c>
      <c r="CY34" s="48">
        <f t="shared" si="89"/>
        <v>0</v>
      </c>
      <c r="CZ34" s="48">
        <f t="shared" si="89"/>
        <v>0</v>
      </c>
      <c r="DA34" s="48">
        <f t="shared" si="89"/>
        <v>0</v>
      </c>
      <c r="DB34" s="48">
        <f t="shared" si="89"/>
        <v>0</v>
      </c>
      <c r="DC34" s="48">
        <f t="shared" si="89"/>
        <v>0</v>
      </c>
      <c r="DD34" s="48">
        <f t="shared" si="89"/>
        <v>0</v>
      </c>
      <c r="DE34" s="48">
        <f t="shared" si="89"/>
        <v>0</v>
      </c>
      <c r="DF34" s="48">
        <f t="shared" si="89"/>
        <v>0</v>
      </c>
      <c r="DG34" s="48">
        <f t="shared" si="89"/>
        <v>0</v>
      </c>
      <c r="DH34" s="48">
        <f t="shared" si="89"/>
        <v>0</v>
      </c>
      <c r="DI34" s="48">
        <f t="shared" si="89"/>
        <v>0</v>
      </c>
      <c r="DJ34" s="48">
        <f t="shared" si="89"/>
        <v>0</v>
      </c>
      <c r="DK34" s="48">
        <f t="shared" si="89"/>
        <v>0</v>
      </c>
      <c r="DL34" s="48">
        <f t="shared" si="89"/>
        <v>0</v>
      </c>
      <c r="DM34" s="48">
        <f t="shared" si="89"/>
        <v>0</v>
      </c>
      <c r="DN34" s="48">
        <f t="shared" si="89"/>
        <v>0</v>
      </c>
      <c r="DO34" s="48">
        <f t="shared" si="89"/>
        <v>0</v>
      </c>
      <c r="DP34" s="48">
        <f t="shared" si="89"/>
        <v>0</v>
      </c>
      <c r="DQ34" s="48">
        <f t="shared" si="89"/>
        <v>0</v>
      </c>
      <c r="DR34" s="48">
        <f t="shared" si="89"/>
        <v>0</v>
      </c>
      <c r="DS34" s="48">
        <f t="shared" si="89"/>
        <v>0</v>
      </c>
      <c r="DT34" s="48">
        <f t="shared" si="89"/>
        <v>0</v>
      </c>
      <c r="DU34" s="48">
        <f t="shared" si="89"/>
        <v>0</v>
      </c>
      <c r="DV34" s="48">
        <f t="shared" si="89"/>
        <v>0</v>
      </c>
      <c r="DW34" s="48">
        <f t="shared" si="89"/>
        <v>0</v>
      </c>
      <c r="DX34" s="48">
        <f t="shared" si="89"/>
        <v>0</v>
      </c>
      <c r="DY34" s="48">
        <f t="shared" si="89"/>
        <v>0</v>
      </c>
      <c r="DZ34" s="48">
        <f t="shared" si="89"/>
        <v>0</v>
      </c>
      <c r="EA34" s="48">
        <f t="shared" si="89"/>
        <v>0</v>
      </c>
      <c r="EB34" s="48">
        <f t="shared" si="89"/>
        <v>0</v>
      </c>
      <c r="EC34" s="48">
        <f t="shared" si="89"/>
        <v>0</v>
      </c>
      <c r="ED34" s="48">
        <f t="shared" ref="ED34:ES34" si="90">IF(ED$15=1,INDEX(Vol_O,14,ED$14)/12*(1+P_dVol),0)</f>
        <v>0</v>
      </c>
      <c r="EE34" s="48">
        <f t="shared" si="90"/>
        <v>0</v>
      </c>
      <c r="EF34" s="48">
        <f t="shared" si="90"/>
        <v>0</v>
      </c>
      <c r="EG34" s="48">
        <f t="shared" si="90"/>
        <v>0</v>
      </c>
      <c r="EH34" s="48">
        <f t="shared" si="90"/>
        <v>0</v>
      </c>
      <c r="EI34" s="48">
        <f t="shared" si="90"/>
        <v>0</v>
      </c>
      <c r="EJ34" s="48">
        <f t="shared" si="90"/>
        <v>0</v>
      </c>
      <c r="EK34" s="48">
        <f t="shared" si="90"/>
        <v>0</v>
      </c>
      <c r="EL34" s="48">
        <f t="shared" si="90"/>
        <v>0</v>
      </c>
      <c r="EM34" s="48">
        <f t="shared" si="90"/>
        <v>0</v>
      </c>
      <c r="EN34" s="48">
        <f t="shared" si="90"/>
        <v>0</v>
      </c>
      <c r="EO34" s="48">
        <f t="shared" si="90"/>
        <v>0</v>
      </c>
      <c r="EP34" s="48">
        <f t="shared" si="90"/>
        <v>0</v>
      </c>
      <c r="EQ34" s="48">
        <f t="shared" si="90"/>
        <v>0</v>
      </c>
      <c r="ER34" s="48">
        <f t="shared" si="90"/>
        <v>0</v>
      </c>
      <c r="ES34" s="48">
        <f t="shared" si="90"/>
        <v>0</v>
      </c>
    </row>
    <row r="35" spans="1:149" x14ac:dyDescent="0.3">
      <c r="A35" s="14" t="s">
        <v>1012</v>
      </c>
      <c r="B35" s="53" t="str">
        <f>IF(INDEX(Prod_Nombre,15)="","Producto 15",INDEX(Prod_Nombre,15))&amp;" — unidades"</f>
        <v>Producto 15 — unidades</v>
      </c>
      <c r="C35" s="18" t="s">
        <v>475</v>
      </c>
      <c r="E35" s="54">
        <f t="shared" si="20"/>
        <v>0</v>
      </c>
      <c r="F35" s="48">
        <f t="shared" ref="F35:AK35" si="91">IF(F$15=1,INDEX(Vol_O,15,F$14)/12*(1+P_dVol),0)</f>
        <v>0</v>
      </c>
      <c r="G35" s="48">
        <f t="shared" si="91"/>
        <v>0</v>
      </c>
      <c r="H35" s="48">
        <f t="shared" si="91"/>
        <v>0</v>
      </c>
      <c r="I35" s="48">
        <f t="shared" si="91"/>
        <v>0</v>
      </c>
      <c r="J35" s="48">
        <f t="shared" si="91"/>
        <v>0</v>
      </c>
      <c r="K35" s="48">
        <f t="shared" si="91"/>
        <v>0</v>
      </c>
      <c r="L35" s="48">
        <f t="shared" si="91"/>
        <v>0</v>
      </c>
      <c r="M35" s="48">
        <f t="shared" si="91"/>
        <v>0</v>
      </c>
      <c r="N35" s="48">
        <f t="shared" si="91"/>
        <v>0</v>
      </c>
      <c r="O35" s="48">
        <f t="shared" si="91"/>
        <v>0</v>
      </c>
      <c r="P35" s="48">
        <f t="shared" si="91"/>
        <v>0</v>
      </c>
      <c r="Q35" s="48">
        <f t="shared" si="91"/>
        <v>0</v>
      </c>
      <c r="R35" s="48">
        <f t="shared" si="91"/>
        <v>0</v>
      </c>
      <c r="S35" s="48">
        <f t="shared" si="91"/>
        <v>0</v>
      </c>
      <c r="T35" s="48">
        <f t="shared" si="91"/>
        <v>0</v>
      </c>
      <c r="U35" s="48">
        <f t="shared" si="91"/>
        <v>0</v>
      </c>
      <c r="V35" s="48">
        <f t="shared" si="91"/>
        <v>0</v>
      </c>
      <c r="W35" s="48">
        <f t="shared" si="91"/>
        <v>0</v>
      </c>
      <c r="X35" s="48">
        <f t="shared" si="91"/>
        <v>0</v>
      </c>
      <c r="Y35" s="48">
        <f t="shared" si="91"/>
        <v>0</v>
      </c>
      <c r="Z35" s="48">
        <f t="shared" si="91"/>
        <v>0</v>
      </c>
      <c r="AA35" s="48">
        <f t="shared" si="91"/>
        <v>0</v>
      </c>
      <c r="AB35" s="48">
        <f t="shared" si="91"/>
        <v>0</v>
      </c>
      <c r="AC35" s="48">
        <f t="shared" si="91"/>
        <v>0</v>
      </c>
      <c r="AD35" s="48">
        <f t="shared" si="91"/>
        <v>0</v>
      </c>
      <c r="AE35" s="48">
        <f t="shared" si="91"/>
        <v>0</v>
      </c>
      <c r="AF35" s="48">
        <f t="shared" si="91"/>
        <v>0</v>
      </c>
      <c r="AG35" s="48">
        <f t="shared" si="91"/>
        <v>0</v>
      </c>
      <c r="AH35" s="48">
        <f t="shared" si="91"/>
        <v>0</v>
      </c>
      <c r="AI35" s="48">
        <f t="shared" si="91"/>
        <v>0</v>
      </c>
      <c r="AJ35" s="48">
        <f t="shared" si="91"/>
        <v>0</v>
      </c>
      <c r="AK35" s="48">
        <f t="shared" si="91"/>
        <v>0</v>
      </c>
      <c r="AL35" s="48">
        <f t="shared" ref="AL35:BQ35" si="92">IF(AL$15=1,INDEX(Vol_O,15,AL$14)/12*(1+P_dVol),0)</f>
        <v>0</v>
      </c>
      <c r="AM35" s="48">
        <f t="shared" si="92"/>
        <v>0</v>
      </c>
      <c r="AN35" s="48">
        <f t="shared" si="92"/>
        <v>0</v>
      </c>
      <c r="AO35" s="48">
        <f t="shared" si="92"/>
        <v>0</v>
      </c>
      <c r="AP35" s="48">
        <f t="shared" si="92"/>
        <v>0</v>
      </c>
      <c r="AQ35" s="48">
        <f t="shared" si="92"/>
        <v>0</v>
      </c>
      <c r="AR35" s="48">
        <f t="shared" si="92"/>
        <v>0</v>
      </c>
      <c r="AS35" s="48">
        <f t="shared" si="92"/>
        <v>0</v>
      </c>
      <c r="AT35" s="48">
        <f t="shared" si="92"/>
        <v>0</v>
      </c>
      <c r="AU35" s="48">
        <f t="shared" si="92"/>
        <v>0</v>
      </c>
      <c r="AV35" s="48">
        <f t="shared" si="92"/>
        <v>0</v>
      </c>
      <c r="AW35" s="48">
        <f t="shared" si="92"/>
        <v>0</v>
      </c>
      <c r="AX35" s="48">
        <f t="shared" si="92"/>
        <v>0</v>
      </c>
      <c r="AY35" s="48">
        <f t="shared" si="92"/>
        <v>0</v>
      </c>
      <c r="AZ35" s="48">
        <f t="shared" si="92"/>
        <v>0</v>
      </c>
      <c r="BA35" s="48">
        <f t="shared" si="92"/>
        <v>0</v>
      </c>
      <c r="BB35" s="48">
        <f t="shared" si="92"/>
        <v>0</v>
      </c>
      <c r="BC35" s="48">
        <f t="shared" si="92"/>
        <v>0</v>
      </c>
      <c r="BD35" s="48">
        <f t="shared" si="92"/>
        <v>0</v>
      </c>
      <c r="BE35" s="48">
        <f t="shared" si="92"/>
        <v>0</v>
      </c>
      <c r="BF35" s="48">
        <f t="shared" si="92"/>
        <v>0</v>
      </c>
      <c r="BG35" s="48">
        <f t="shared" si="92"/>
        <v>0</v>
      </c>
      <c r="BH35" s="48">
        <f t="shared" si="92"/>
        <v>0</v>
      </c>
      <c r="BI35" s="48">
        <f t="shared" si="92"/>
        <v>0</v>
      </c>
      <c r="BJ35" s="48">
        <f t="shared" si="92"/>
        <v>0</v>
      </c>
      <c r="BK35" s="48">
        <f t="shared" si="92"/>
        <v>0</v>
      </c>
      <c r="BL35" s="48">
        <f t="shared" si="92"/>
        <v>0</v>
      </c>
      <c r="BM35" s="48">
        <f t="shared" si="92"/>
        <v>0</v>
      </c>
      <c r="BN35" s="48">
        <f t="shared" si="92"/>
        <v>0</v>
      </c>
      <c r="BO35" s="48">
        <f t="shared" si="92"/>
        <v>0</v>
      </c>
      <c r="BP35" s="48">
        <f t="shared" si="92"/>
        <v>0</v>
      </c>
      <c r="BQ35" s="48">
        <f t="shared" si="92"/>
        <v>0</v>
      </c>
      <c r="BR35" s="48">
        <f t="shared" ref="BR35:CW35" si="93">IF(BR$15=1,INDEX(Vol_O,15,BR$14)/12*(1+P_dVol),0)</f>
        <v>0</v>
      </c>
      <c r="BS35" s="48">
        <f t="shared" si="93"/>
        <v>0</v>
      </c>
      <c r="BT35" s="48">
        <f t="shared" si="93"/>
        <v>0</v>
      </c>
      <c r="BU35" s="48">
        <f t="shared" si="93"/>
        <v>0</v>
      </c>
      <c r="BV35" s="48">
        <f t="shared" si="93"/>
        <v>0</v>
      </c>
      <c r="BW35" s="48">
        <f t="shared" si="93"/>
        <v>0</v>
      </c>
      <c r="BX35" s="48">
        <f t="shared" si="93"/>
        <v>0</v>
      </c>
      <c r="BY35" s="48">
        <f t="shared" si="93"/>
        <v>0</v>
      </c>
      <c r="BZ35" s="48">
        <f t="shared" si="93"/>
        <v>0</v>
      </c>
      <c r="CA35" s="48">
        <f t="shared" si="93"/>
        <v>0</v>
      </c>
      <c r="CB35" s="48">
        <f t="shared" si="93"/>
        <v>0</v>
      </c>
      <c r="CC35" s="48">
        <f t="shared" si="93"/>
        <v>0</v>
      </c>
      <c r="CD35" s="48">
        <f t="shared" si="93"/>
        <v>0</v>
      </c>
      <c r="CE35" s="48">
        <f t="shared" si="93"/>
        <v>0</v>
      </c>
      <c r="CF35" s="48">
        <f t="shared" si="93"/>
        <v>0</v>
      </c>
      <c r="CG35" s="48">
        <f t="shared" si="93"/>
        <v>0</v>
      </c>
      <c r="CH35" s="48">
        <f t="shared" si="93"/>
        <v>0</v>
      </c>
      <c r="CI35" s="48">
        <f t="shared" si="93"/>
        <v>0</v>
      </c>
      <c r="CJ35" s="48">
        <f t="shared" si="93"/>
        <v>0</v>
      </c>
      <c r="CK35" s="48">
        <f t="shared" si="93"/>
        <v>0</v>
      </c>
      <c r="CL35" s="48">
        <f t="shared" si="93"/>
        <v>0</v>
      </c>
      <c r="CM35" s="48">
        <f t="shared" si="93"/>
        <v>0</v>
      </c>
      <c r="CN35" s="48">
        <f t="shared" si="93"/>
        <v>0</v>
      </c>
      <c r="CO35" s="48">
        <f t="shared" si="93"/>
        <v>0</v>
      </c>
      <c r="CP35" s="48">
        <f t="shared" si="93"/>
        <v>0</v>
      </c>
      <c r="CQ35" s="48">
        <f t="shared" si="93"/>
        <v>0</v>
      </c>
      <c r="CR35" s="48">
        <f t="shared" si="93"/>
        <v>0</v>
      </c>
      <c r="CS35" s="48">
        <f t="shared" si="93"/>
        <v>0</v>
      </c>
      <c r="CT35" s="48">
        <f t="shared" si="93"/>
        <v>0</v>
      </c>
      <c r="CU35" s="48">
        <f t="shared" si="93"/>
        <v>0</v>
      </c>
      <c r="CV35" s="48">
        <f t="shared" si="93"/>
        <v>0</v>
      </c>
      <c r="CW35" s="48">
        <f t="shared" si="93"/>
        <v>0</v>
      </c>
      <c r="CX35" s="48">
        <f t="shared" ref="CX35:EC35" si="94">IF(CX$15=1,INDEX(Vol_O,15,CX$14)/12*(1+P_dVol),0)</f>
        <v>0</v>
      </c>
      <c r="CY35" s="48">
        <f t="shared" si="94"/>
        <v>0</v>
      </c>
      <c r="CZ35" s="48">
        <f t="shared" si="94"/>
        <v>0</v>
      </c>
      <c r="DA35" s="48">
        <f t="shared" si="94"/>
        <v>0</v>
      </c>
      <c r="DB35" s="48">
        <f t="shared" si="94"/>
        <v>0</v>
      </c>
      <c r="DC35" s="48">
        <f t="shared" si="94"/>
        <v>0</v>
      </c>
      <c r="DD35" s="48">
        <f t="shared" si="94"/>
        <v>0</v>
      </c>
      <c r="DE35" s="48">
        <f t="shared" si="94"/>
        <v>0</v>
      </c>
      <c r="DF35" s="48">
        <f t="shared" si="94"/>
        <v>0</v>
      </c>
      <c r="DG35" s="48">
        <f t="shared" si="94"/>
        <v>0</v>
      </c>
      <c r="DH35" s="48">
        <f t="shared" si="94"/>
        <v>0</v>
      </c>
      <c r="DI35" s="48">
        <f t="shared" si="94"/>
        <v>0</v>
      </c>
      <c r="DJ35" s="48">
        <f t="shared" si="94"/>
        <v>0</v>
      </c>
      <c r="DK35" s="48">
        <f t="shared" si="94"/>
        <v>0</v>
      </c>
      <c r="DL35" s="48">
        <f t="shared" si="94"/>
        <v>0</v>
      </c>
      <c r="DM35" s="48">
        <f t="shared" si="94"/>
        <v>0</v>
      </c>
      <c r="DN35" s="48">
        <f t="shared" si="94"/>
        <v>0</v>
      </c>
      <c r="DO35" s="48">
        <f t="shared" si="94"/>
        <v>0</v>
      </c>
      <c r="DP35" s="48">
        <f t="shared" si="94"/>
        <v>0</v>
      </c>
      <c r="DQ35" s="48">
        <f t="shared" si="94"/>
        <v>0</v>
      </c>
      <c r="DR35" s="48">
        <f t="shared" si="94"/>
        <v>0</v>
      </c>
      <c r="DS35" s="48">
        <f t="shared" si="94"/>
        <v>0</v>
      </c>
      <c r="DT35" s="48">
        <f t="shared" si="94"/>
        <v>0</v>
      </c>
      <c r="DU35" s="48">
        <f t="shared" si="94"/>
        <v>0</v>
      </c>
      <c r="DV35" s="48">
        <f t="shared" si="94"/>
        <v>0</v>
      </c>
      <c r="DW35" s="48">
        <f t="shared" si="94"/>
        <v>0</v>
      </c>
      <c r="DX35" s="48">
        <f t="shared" si="94"/>
        <v>0</v>
      </c>
      <c r="DY35" s="48">
        <f t="shared" si="94"/>
        <v>0</v>
      </c>
      <c r="DZ35" s="48">
        <f t="shared" si="94"/>
        <v>0</v>
      </c>
      <c r="EA35" s="48">
        <f t="shared" si="94"/>
        <v>0</v>
      </c>
      <c r="EB35" s="48">
        <f t="shared" si="94"/>
        <v>0</v>
      </c>
      <c r="EC35" s="48">
        <f t="shared" si="94"/>
        <v>0</v>
      </c>
      <c r="ED35" s="48">
        <f t="shared" ref="ED35:ES35" si="95">IF(ED$15=1,INDEX(Vol_O,15,ED$14)/12*(1+P_dVol),0)</f>
        <v>0</v>
      </c>
      <c r="EE35" s="48">
        <f t="shared" si="95"/>
        <v>0</v>
      </c>
      <c r="EF35" s="48">
        <f t="shared" si="95"/>
        <v>0</v>
      </c>
      <c r="EG35" s="48">
        <f t="shared" si="95"/>
        <v>0</v>
      </c>
      <c r="EH35" s="48">
        <f t="shared" si="95"/>
        <v>0</v>
      </c>
      <c r="EI35" s="48">
        <f t="shared" si="95"/>
        <v>0</v>
      </c>
      <c r="EJ35" s="48">
        <f t="shared" si="95"/>
        <v>0</v>
      </c>
      <c r="EK35" s="48">
        <f t="shared" si="95"/>
        <v>0</v>
      </c>
      <c r="EL35" s="48">
        <f t="shared" si="95"/>
        <v>0</v>
      </c>
      <c r="EM35" s="48">
        <f t="shared" si="95"/>
        <v>0</v>
      </c>
      <c r="EN35" s="48">
        <f t="shared" si="95"/>
        <v>0</v>
      </c>
      <c r="EO35" s="48">
        <f t="shared" si="95"/>
        <v>0</v>
      </c>
      <c r="EP35" s="48">
        <f t="shared" si="95"/>
        <v>0</v>
      </c>
      <c r="EQ35" s="48">
        <f t="shared" si="95"/>
        <v>0</v>
      </c>
      <c r="ER35" s="48">
        <f t="shared" si="95"/>
        <v>0</v>
      </c>
      <c r="ES35" s="48">
        <f t="shared" si="95"/>
        <v>0</v>
      </c>
    </row>
    <row r="36" spans="1:149" x14ac:dyDescent="0.3">
      <c r="A36" s="14" t="s">
        <v>1013</v>
      </c>
      <c r="B36" s="53" t="str">
        <f>IF(INDEX(Prod_Nombre,16)="","Producto 16",INDEX(Prod_Nombre,16))&amp;" — unidades"</f>
        <v>Producto 16 — unidades</v>
      </c>
      <c r="C36" s="18" t="s">
        <v>475</v>
      </c>
      <c r="E36" s="54">
        <f t="shared" si="20"/>
        <v>0</v>
      </c>
      <c r="F36" s="48">
        <f t="shared" ref="F36:AK36" si="96">IF(F$15=1,INDEX(Vol_O,16,F$14)/12*(1+P_dVol),0)</f>
        <v>0</v>
      </c>
      <c r="G36" s="48">
        <f t="shared" si="96"/>
        <v>0</v>
      </c>
      <c r="H36" s="48">
        <f t="shared" si="96"/>
        <v>0</v>
      </c>
      <c r="I36" s="48">
        <f t="shared" si="96"/>
        <v>0</v>
      </c>
      <c r="J36" s="48">
        <f t="shared" si="96"/>
        <v>0</v>
      </c>
      <c r="K36" s="48">
        <f t="shared" si="96"/>
        <v>0</v>
      </c>
      <c r="L36" s="48">
        <f t="shared" si="96"/>
        <v>0</v>
      </c>
      <c r="M36" s="48">
        <f t="shared" si="96"/>
        <v>0</v>
      </c>
      <c r="N36" s="48">
        <f t="shared" si="96"/>
        <v>0</v>
      </c>
      <c r="O36" s="48">
        <f t="shared" si="96"/>
        <v>0</v>
      </c>
      <c r="P36" s="48">
        <f t="shared" si="96"/>
        <v>0</v>
      </c>
      <c r="Q36" s="48">
        <f t="shared" si="96"/>
        <v>0</v>
      </c>
      <c r="R36" s="48">
        <f t="shared" si="96"/>
        <v>0</v>
      </c>
      <c r="S36" s="48">
        <f t="shared" si="96"/>
        <v>0</v>
      </c>
      <c r="T36" s="48">
        <f t="shared" si="96"/>
        <v>0</v>
      </c>
      <c r="U36" s="48">
        <f t="shared" si="96"/>
        <v>0</v>
      </c>
      <c r="V36" s="48">
        <f t="shared" si="96"/>
        <v>0</v>
      </c>
      <c r="W36" s="48">
        <f t="shared" si="96"/>
        <v>0</v>
      </c>
      <c r="X36" s="48">
        <f t="shared" si="96"/>
        <v>0</v>
      </c>
      <c r="Y36" s="48">
        <f t="shared" si="96"/>
        <v>0</v>
      </c>
      <c r="Z36" s="48">
        <f t="shared" si="96"/>
        <v>0</v>
      </c>
      <c r="AA36" s="48">
        <f t="shared" si="96"/>
        <v>0</v>
      </c>
      <c r="AB36" s="48">
        <f t="shared" si="96"/>
        <v>0</v>
      </c>
      <c r="AC36" s="48">
        <f t="shared" si="96"/>
        <v>0</v>
      </c>
      <c r="AD36" s="48">
        <f t="shared" si="96"/>
        <v>0</v>
      </c>
      <c r="AE36" s="48">
        <f t="shared" si="96"/>
        <v>0</v>
      </c>
      <c r="AF36" s="48">
        <f t="shared" si="96"/>
        <v>0</v>
      </c>
      <c r="AG36" s="48">
        <f t="shared" si="96"/>
        <v>0</v>
      </c>
      <c r="AH36" s="48">
        <f t="shared" si="96"/>
        <v>0</v>
      </c>
      <c r="AI36" s="48">
        <f t="shared" si="96"/>
        <v>0</v>
      </c>
      <c r="AJ36" s="48">
        <f t="shared" si="96"/>
        <v>0</v>
      </c>
      <c r="AK36" s="48">
        <f t="shared" si="96"/>
        <v>0</v>
      </c>
      <c r="AL36" s="48">
        <f t="shared" ref="AL36:BQ36" si="97">IF(AL$15=1,INDEX(Vol_O,16,AL$14)/12*(1+P_dVol),0)</f>
        <v>0</v>
      </c>
      <c r="AM36" s="48">
        <f t="shared" si="97"/>
        <v>0</v>
      </c>
      <c r="AN36" s="48">
        <f t="shared" si="97"/>
        <v>0</v>
      </c>
      <c r="AO36" s="48">
        <f t="shared" si="97"/>
        <v>0</v>
      </c>
      <c r="AP36" s="48">
        <f t="shared" si="97"/>
        <v>0</v>
      </c>
      <c r="AQ36" s="48">
        <f t="shared" si="97"/>
        <v>0</v>
      </c>
      <c r="AR36" s="48">
        <f t="shared" si="97"/>
        <v>0</v>
      </c>
      <c r="AS36" s="48">
        <f t="shared" si="97"/>
        <v>0</v>
      </c>
      <c r="AT36" s="48">
        <f t="shared" si="97"/>
        <v>0</v>
      </c>
      <c r="AU36" s="48">
        <f t="shared" si="97"/>
        <v>0</v>
      </c>
      <c r="AV36" s="48">
        <f t="shared" si="97"/>
        <v>0</v>
      </c>
      <c r="AW36" s="48">
        <f t="shared" si="97"/>
        <v>0</v>
      </c>
      <c r="AX36" s="48">
        <f t="shared" si="97"/>
        <v>0</v>
      </c>
      <c r="AY36" s="48">
        <f t="shared" si="97"/>
        <v>0</v>
      </c>
      <c r="AZ36" s="48">
        <f t="shared" si="97"/>
        <v>0</v>
      </c>
      <c r="BA36" s="48">
        <f t="shared" si="97"/>
        <v>0</v>
      </c>
      <c r="BB36" s="48">
        <f t="shared" si="97"/>
        <v>0</v>
      </c>
      <c r="BC36" s="48">
        <f t="shared" si="97"/>
        <v>0</v>
      </c>
      <c r="BD36" s="48">
        <f t="shared" si="97"/>
        <v>0</v>
      </c>
      <c r="BE36" s="48">
        <f t="shared" si="97"/>
        <v>0</v>
      </c>
      <c r="BF36" s="48">
        <f t="shared" si="97"/>
        <v>0</v>
      </c>
      <c r="BG36" s="48">
        <f t="shared" si="97"/>
        <v>0</v>
      </c>
      <c r="BH36" s="48">
        <f t="shared" si="97"/>
        <v>0</v>
      </c>
      <c r="BI36" s="48">
        <f t="shared" si="97"/>
        <v>0</v>
      </c>
      <c r="BJ36" s="48">
        <f t="shared" si="97"/>
        <v>0</v>
      </c>
      <c r="BK36" s="48">
        <f t="shared" si="97"/>
        <v>0</v>
      </c>
      <c r="BL36" s="48">
        <f t="shared" si="97"/>
        <v>0</v>
      </c>
      <c r="BM36" s="48">
        <f t="shared" si="97"/>
        <v>0</v>
      </c>
      <c r="BN36" s="48">
        <f t="shared" si="97"/>
        <v>0</v>
      </c>
      <c r="BO36" s="48">
        <f t="shared" si="97"/>
        <v>0</v>
      </c>
      <c r="BP36" s="48">
        <f t="shared" si="97"/>
        <v>0</v>
      </c>
      <c r="BQ36" s="48">
        <f t="shared" si="97"/>
        <v>0</v>
      </c>
      <c r="BR36" s="48">
        <f t="shared" ref="BR36:CW36" si="98">IF(BR$15=1,INDEX(Vol_O,16,BR$14)/12*(1+P_dVol),0)</f>
        <v>0</v>
      </c>
      <c r="BS36" s="48">
        <f t="shared" si="98"/>
        <v>0</v>
      </c>
      <c r="BT36" s="48">
        <f t="shared" si="98"/>
        <v>0</v>
      </c>
      <c r="BU36" s="48">
        <f t="shared" si="98"/>
        <v>0</v>
      </c>
      <c r="BV36" s="48">
        <f t="shared" si="98"/>
        <v>0</v>
      </c>
      <c r="BW36" s="48">
        <f t="shared" si="98"/>
        <v>0</v>
      </c>
      <c r="BX36" s="48">
        <f t="shared" si="98"/>
        <v>0</v>
      </c>
      <c r="BY36" s="48">
        <f t="shared" si="98"/>
        <v>0</v>
      </c>
      <c r="BZ36" s="48">
        <f t="shared" si="98"/>
        <v>0</v>
      </c>
      <c r="CA36" s="48">
        <f t="shared" si="98"/>
        <v>0</v>
      </c>
      <c r="CB36" s="48">
        <f t="shared" si="98"/>
        <v>0</v>
      </c>
      <c r="CC36" s="48">
        <f t="shared" si="98"/>
        <v>0</v>
      </c>
      <c r="CD36" s="48">
        <f t="shared" si="98"/>
        <v>0</v>
      </c>
      <c r="CE36" s="48">
        <f t="shared" si="98"/>
        <v>0</v>
      </c>
      <c r="CF36" s="48">
        <f t="shared" si="98"/>
        <v>0</v>
      </c>
      <c r="CG36" s="48">
        <f t="shared" si="98"/>
        <v>0</v>
      </c>
      <c r="CH36" s="48">
        <f t="shared" si="98"/>
        <v>0</v>
      </c>
      <c r="CI36" s="48">
        <f t="shared" si="98"/>
        <v>0</v>
      </c>
      <c r="CJ36" s="48">
        <f t="shared" si="98"/>
        <v>0</v>
      </c>
      <c r="CK36" s="48">
        <f t="shared" si="98"/>
        <v>0</v>
      </c>
      <c r="CL36" s="48">
        <f t="shared" si="98"/>
        <v>0</v>
      </c>
      <c r="CM36" s="48">
        <f t="shared" si="98"/>
        <v>0</v>
      </c>
      <c r="CN36" s="48">
        <f t="shared" si="98"/>
        <v>0</v>
      </c>
      <c r="CO36" s="48">
        <f t="shared" si="98"/>
        <v>0</v>
      </c>
      <c r="CP36" s="48">
        <f t="shared" si="98"/>
        <v>0</v>
      </c>
      <c r="CQ36" s="48">
        <f t="shared" si="98"/>
        <v>0</v>
      </c>
      <c r="CR36" s="48">
        <f t="shared" si="98"/>
        <v>0</v>
      </c>
      <c r="CS36" s="48">
        <f t="shared" si="98"/>
        <v>0</v>
      </c>
      <c r="CT36" s="48">
        <f t="shared" si="98"/>
        <v>0</v>
      </c>
      <c r="CU36" s="48">
        <f t="shared" si="98"/>
        <v>0</v>
      </c>
      <c r="CV36" s="48">
        <f t="shared" si="98"/>
        <v>0</v>
      </c>
      <c r="CW36" s="48">
        <f t="shared" si="98"/>
        <v>0</v>
      </c>
      <c r="CX36" s="48">
        <f t="shared" ref="CX36:EC36" si="99">IF(CX$15=1,INDEX(Vol_O,16,CX$14)/12*(1+P_dVol),0)</f>
        <v>0</v>
      </c>
      <c r="CY36" s="48">
        <f t="shared" si="99"/>
        <v>0</v>
      </c>
      <c r="CZ36" s="48">
        <f t="shared" si="99"/>
        <v>0</v>
      </c>
      <c r="DA36" s="48">
        <f t="shared" si="99"/>
        <v>0</v>
      </c>
      <c r="DB36" s="48">
        <f t="shared" si="99"/>
        <v>0</v>
      </c>
      <c r="DC36" s="48">
        <f t="shared" si="99"/>
        <v>0</v>
      </c>
      <c r="DD36" s="48">
        <f t="shared" si="99"/>
        <v>0</v>
      </c>
      <c r="DE36" s="48">
        <f t="shared" si="99"/>
        <v>0</v>
      </c>
      <c r="DF36" s="48">
        <f t="shared" si="99"/>
        <v>0</v>
      </c>
      <c r="DG36" s="48">
        <f t="shared" si="99"/>
        <v>0</v>
      </c>
      <c r="DH36" s="48">
        <f t="shared" si="99"/>
        <v>0</v>
      </c>
      <c r="DI36" s="48">
        <f t="shared" si="99"/>
        <v>0</v>
      </c>
      <c r="DJ36" s="48">
        <f t="shared" si="99"/>
        <v>0</v>
      </c>
      <c r="DK36" s="48">
        <f t="shared" si="99"/>
        <v>0</v>
      </c>
      <c r="DL36" s="48">
        <f t="shared" si="99"/>
        <v>0</v>
      </c>
      <c r="DM36" s="48">
        <f t="shared" si="99"/>
        <v>0</v>
      </c>
      <c r="DN36" s="48">
        <f t="shared" si="99"/>
        <v>0</v>
      </c>
      <c r="DO36" s="48">
        <f t="shared" si="99"/>
        <v>0</v>
      </c>
      <c r="DP36" s="48">
        <f t="shared" si="99"/>
        <v>0</v>
      </c>
      <c r="DQ36" s="48">
        <f t="shared" si="99"/>
        <v>0</v>
      </c>
      <c r="DR36" s="48">
        <f t="shared" si="99"/>
        <v>0</v>
      </c>
      <c r="DS36" s="48">
        <f t="shared" si="99"/>
        <v>0</v>
      </c>
      <c r="DT36" s="48">
        <f t="shared" si="99"/>
        <v>0</v>
      </c>
      <c r="DU36" s="48">
        <f t="shared" si="99"/>
        <v>0</v>
      </c>
      <c r="DV36" s="48">
        <f t="shared" si="99"/>
        <v>0</v>
      </c>
      <c r="DW36" s="48">
        <f t="shared" si="99"/>
        <v>0</v>
      </c>
      <c r="DX36" s="48">
        <f t="shared" si="99"/>
        <v>0</v>
      </c>
      <c r="DY36" s="48">
        <f t="shared" si="99"/>
        <v>0</v>
      </c>
      <c r="DZ36" s="48">
        <f t="shared" si="99"/>
        <v>0</v>
      </c>
      <c r="EA36" s="48">
        <f t="shared" si="99"/>
        <v>0</v>
      </c>
      <c r="EB36" s="48">
        <f t="shared" si="99"/>
        <v>0</v>
      </c>
      <c r="EC36" s="48">
        <f t="shared" si="99"/>
        <v>0</v>
      </c>
      <c r="ED36" s="48">
        <f t="shared" ref="ED36:ES36" si="100">IF(ED$15=1,INDEX(Vol_O,16,ED$14)/12*(1+P_dVol),0)</f>
        <v>0</v>
      </c>
      <c r="EE36" s="48">
        <f t="shared" si="100"/>
        <v>0</v>
      </c>
      <c r="EF36" s="48">
        <f t="shared" si="100"/>
        <v>0</v>
      </c>
      <c r="EG36" s="48">
        <f t="shared" si="100"/>
        <v>0</v>
      </c>
      <c r="EH36" s="48">
        <f t="shared" si="100"/>
        <v>0</v>
      </c>
      <c r="EI36" s="48">
        <f t="shared" si="100"/>
        <v>0</v>
      </c>
      <c r="EJ36" s="48">
        <f t="shared" si="100"/>
        <v>0</v>
      </c>
      <c r="EK36" s="48">
        <f t="shared" si="100"/>
        <v>0</v>
      </c>
      <c r="EL36" s="48">
        <f t="shared" si="100"/>
        <v>0</v>
      </c>
      <c r="EM36" s="48">
        <f t="shared" si="100"/>
        <v>0</v>
      </c>
      <c r="EN36" s="48">
        <f t="shared" si="100"/>
        <v>0</v>
      </c>
      <c r="EO36" s="48">
        <f t="shared" si="100"/>
        <v>0</v>
      </c>
      <c r="EP36" s="48">
        <f t="shared" si="100"/>
        <v>0</v>
      </c>
      <c r="EQ36" s="48">
        <f t="shared" si="100"/>
        <v>0</v>
      </c>
      <c r="ER36" s="48">
        <f t="shared" si="100"/>
        <v>0</v>
      </c>
      <c r="ES36" s="48">
        <f t="shared" si="100"/>
        <v>0</v>
      </c>
    </row>
    <row r="37" spans="1:149" x14ac:dyDescent="0.3">
      <c r="A37" s="14" t="s">
        <v>1014</v>
      </c>
      <c r="B37" s="53" t="str">
        <f>IF(INDEX(Prod_Nombre,17)="","Producto 17",INDEX(Prod_Nombre,17))&amp;" — unidades"</f>
        <v>Producto 17 — unidades</v>
      </c>
      <c r="C37" s="18" t="s">
        <v>475</v>
      </c>
      <c r="E37" s="54">
        <f t="shared" si="20"/>
        <v>0</v>
      </c>
      <c r="F37" s="48">
        <f t="shared" ref="F37:AK37" si="101">IF(F$15=1,INDEX(Vol_O,17,F$14)/12*(1+P_dVol),0)</f>
        <v>0</v>
      </c>
      <c r="G37" s="48">
        <f t="shared" si="101"/>
        <v>0</v>
      </c>
      <c r="H37" s="48">
        <f t="shared" si="101"/>
        <v>0</v>
      </c>
      <c r="I37" s="48">
        <f t="shared" si="101"/>
        <v>0</v>
      </c>
      <c r="J37" s="48">
        <f t="shared" si="101"/>
        <v>0</v>
      </c>
      <c r="K37" s="48">
        <f t="shared" si="101"/>
        <v>0</v>
      </c>
      <c r="L37" s="48">
        <f t="shared" si="101"/>
        <v>0</v>
      </c>
      <c r="M37" s="48">
        <f t="shared" si="101"/>
        <v>0</v>
      </c>
      <c r="N37" s="48">
        <f t="shared" si="101"/>
        <v>0</v>
      </c>
      <c r="O37" s="48">
        <f t="shared" si="101"/>
        <v>0</v>
      </c>
      <c r="P37" s="48">
        <f t="shared" si="101"/>
        <v>0</v>
      </c>
      <c r="Q37" s="48">
        <f t="shared" si="101"/>
        <v>0</v>
      </c>
      <c r="R37" s="48">
        <f t="shared" si="101"/>
        <v>0</v>
      </c>
      <c r="S37" s="48">
        <f t="shared" si="101"/>
        <v>0</v>
      </c>
      <c r="T37" s="48">
        <f t="shared" si="101"/>
        <v>0</v>
      </c>
      <c r="U37" s="48">
        <f t="shared" si="101"/>
        <v>0</v>
      </c>
      <c r="V37" s="48">
        <f t="shared" si="101"/>
        <v>0</v>
      </c>
      <c r="W37" s="48">
        <f t="shared" si="101"/>
        <v>0</v>
      </c>
      <c r="X37" s="48">
        <f t="shared" si="101"/>
        <v>0</v>
      </c>
      <c r="Y37" s="48">
        <f t="shared" si="101"/>
        <v>0</v>
      </c>
      <c r="Z37" s="48">
        <f t="shared" si="101"/>
        <v>0</v>
      </c>
      <c r="AA37" s="48">
        <f t="shared" si="101"/>
        <v>0</v>
      </c>
      <c r="AB37" s="48">
        <f t="shared" si="101"/>
        <v>0</v>
      </c>
      <c r="AC37" s="48">
        <f t="shared" si="101"/>
        <v>0</v>
      </c>
      <c r="AD37" s="48">
        <f t="shared" si="101"/>
        <v>0</v>
      </c>
      <c r="AE37" s="48">
        <f t="shared" si="101"/>
        <v>0</v>
      </c>
      <c r="AF37" s="48">
        <f t="shared" si="101"/>
        <v>0</v>
      </c>
      <c r="AG37" s="48">
        <f t="shared" si="101"/>
        <v>0</v>
      </c>
      <c r="AH37" s="48">
        <f t="shared" si="101"/>
        <v>0</v>
      </c>
      <c r="AI37" s="48">
        <f t="shared" si="101"/>
        <v>0</v>
      </c>
      <c r="AJ37" s="48">
        <f t="shared" si="101"/>
        <v>0</v>
      </c>
      <c r="AK37" s="48">
        <f t="shared" si="101"/>
        <v>0</v>
      </c>
      <c r="AL37" s="48">
        <f t="shared" ref="AL37:BQ37" si="102">IF(AL$15=1,INDEX(Vol_O,17,AL$14)/12*(1+P_dVol),0)</f>
        <v>0</v>
      </c>
      <c r="AM37" s="48">
        <f t="shared" si="102"/>
        <v>0</v>
      </c>
      <c r="AN37" s="48">
        <f t="shared" si="102"/>
        <v>0</v>
      </c>
      <c r="AO37" s="48">
        <f t="shared" si="102"/>
        <v>0</v>
      </c>
      <c r="AP37" s="48">
        <f t="shared" si="102"/>
        <v>0</v>
      </c>
      <c r="AQ37" s="48">
        <f t="shared" si="102"/>
        <v>0</v>
      </c>
      <c r="AR37" s="48">
        <f t="shared" si="102"/>
        <v>0</v>
      </c>
      <c r="AS37" s="48">
        <f t="shared" si="102"/>
        <v>0</v>
      </c>
      <c r="AT37" s="48">
        <f t="shared" si="102"/>
        <v>0</v>
      </c>
      <c r="AU37" s="48">
        <f t="shared" si="102"/>
        <v>0</v>
      </c>
      <c r="AV37" s="48">
        <f t="shared" si="102"/>
        <v>0</v>
      </c>
      <c r="AW37" s="48">
        <f t="shared" si="102"/>
        <v>0</v>
      </c>
      <c r="AX37" s="48">
        <f t="shared" si="102"/>
        <v>0</v>
      </c>
      <c r="AY37" s="48">
        <f t="shared" si="102"/>
        <v>0</v>
      </c>
      <c r="AZ37" s="48">
        <f t="shared" si="102"/>
        <v>0</v>
      </c>
      <c r="BA37" s="48">
        <f t="shared" si="102"/>
        <v>0</v>
      </c>
      <c r="BB37" s="48">
        <f t="shared" si="102"/>
        <v>0</v>
      </c>
      <c r="BC37" s="48">
        <f t="shared" si="102"/>
        <v>0</v>
      </c>
      <c r="BD37" s="48">
        <f t="shared" si="102"/>
        <v>0</v>
      </c>
      <c r="BE37" s="48">
        <f t="shared" si="102"/>
        <v>0</v>
      </c>
      <c r="BF37" s="48">
        <f t="shared" si="102"/>
        <v>0</v>
      </c>
      <c r="BG37" s="48">
        <f t="shared" si="102"/>
        <v>0</v>
      </c>
      <c r="BH37" s="48">
        <f t="shared" si="102"/>
        <v>0</v>
      </c>
      <c r="BI37" s="48">
        <f t="shared" si="102"/>
        <v>0</v>
      </c>
      <c r="BJ37" s="48">
        <f t="shared" si="102"/>
        <v>0</v>
      </c>
      <c r="BK37" s="48">
        <f t="shared" si="102"/>
        <v>0</v>
      </c>
      <c r="BL37" s="48">
        <f t="shared" si="102"/>
        <v>0</v>
      </c>
      <c r="BM37" s="48">
        <f t="shared" si="102"/>
        <v>0</v>
      </c>
      <c r="BN37" s="48">
        <f t="shared" si="102"/>
        <v>0</v>
      </c>
      <c r="BO37" s="48">
        <f t="shared" si="102"/>
        <v>0</v>
      </c>
      <c r="BP37" s="48">
        <f t="shared" si="102"/>
        <v>0</v>
      </c>
      <c r="BQ37" s="48">
        <f t="shared" si="102"/>
        <v>0</v>
      </c>
      <c r="BR37" s="48">
        <f t="shared" ref="BR37:CW37" si="103">IF(BR$15=1,INDEX(Vol_O,17,BR$14)/12*(1+P_dVol),0)</f>
        <v>0</v>
      </c>
      <c r="BS37" s="48">
        <f t="shared" si="103"/>
        <v>0</v>
      </c>
      <c r="BT37" s="48">
        <f t="shared" si="103"/>
        <v>0</v>
      </c>
      <c r="BU37" s="48">
        <f t="shared" si="103"/>
        <v>0</v>
      </c>
      <c r="BV37" s="48">
        <f t="shared" si="103"/>
        <v>0</v>
      </c>
      <c r="BW37" s="48">
        <f t="shared" si="103"/>
        <v>0</v>
      </c>
      <c r="BX37" s="48">
        <f t="shared" si="103"/>
        <v>0</v>
      </c>
      <c r="BY37" s="48">
        <f t="shared" si="103"/>
        <v>0</v>
      </c>
      <c r="BZ37" s="48">
        <f t="shared" si="103"/>
        <v>0</v>
      </c>
      <c r="CA37" s="48">
        <f t="shared" si="103"/>
        <v>0</v>
      </c>
      <c r="CB37" s="48">
        <f t="shared" si="103"/>
        <v>0</v>
      </c>
      <c r="CC37" s="48">
        <f t="shared" si="103"/>
        <v>0</v>
      </c>
      <c r="CD37" s="48">
        <f t="shared" si="103"/>
        <v>0</v>
      </c>
      <c r="CE37" s="48">
        <f t="shared" si="103"/>
        <v>0</v>
      </c>
      <c r="CF37" s="48">
        <f t="shared" si="103"/>
        <v>0</v>
      </c>
      <c r="CG37" s="48">
        <f t="shared" si="103"/>
        <v>0</v>
      </c>
      <c r="CH37" s="48">
        <f t="shared" si="103"/>
        <v>0</v>
      </c>
      <c r="CI37" s="48">
        <f t="shared" si="103"/>
        <v>0</v>
      </c>
      <c r="CJ37" s="48">
        <f t="shared" si="103"/>
        <v>0</v>
      </c>
      <c r="CK37" s="48">
        <f t="shared" si="103"/>
        <v>0</v>
      </c>
      <c r="CL37" s="48">
        <f t="shared" si="103"/>
        <v>0</v>
      </c>
      <c r="CM37" s="48">
        <f t="shared" si="103"/>
        <v>0</v>
      </c>
      <c r="CN37" s="48">
        <f t="shared" si="103"/>
        <v>0</v>
      </c>
      <c r="CO37" s="48">
        <f t="shared" si="103"/>
        <v>0</v>
      </c>
      <c r="CP37" s="48">
        <f t="shared" si="103"/>
        <v>0</v>
      </c>
      <c r="CQ37" s="48">
        <f t="shared" si="103"/>
        <v>0</v>
      </c>
      <c r="CR37" s="48">
        <f t="shared" si="103"/>
        <v>0</v>
      </c>
      <c r="CS37" s="48">
        <f t="shared" si="103"/>
        <v>0</v>
      </c>
      <c r="CT37" s="48">
        <f t="shared" si="103"/>
        <v>0</v>
      </c>
      <c r="CU37" s="48">
        <f t="shared" si="103"/>
        <v>0</v>
      </c>
      <c r="CV37" s="48">
        <f t="shared" si="103"/>
        <v>0</v>
      </c>
      <c r="CW37" s="48">
        <f t="shared" si="103"/>
        <v>0</v>
      </c>
      <c r="CX37" s="48">
        <f t="shared" ref="CX37:EC37" si="104">IF(CX$15=1,INDEX(Vol_O,17,CX$14)/12*(1+P_dVol),0)</f>
        <v>0</v>
      </c>
      <c r="CY37" s="48">
        <f t="shared" si="104"/>
        <v>0</v>
      </c>
      <c r="CZ37" s="48">
        <f t="shared" si="104"/>
        <v>0</v>
      </c>
      <c r="DA37" s="48">
        <f t="shared" si="104"/>
        <v>0</v>
      </c>
      <c r="DB37" s="48">
        <f t="shared" si="104"/>
        <v>0</v>
      </c>
      <c r="DC37" s="48">
        <f t="shared" si="104"/>
        <v>0</v>
      </c>
      <c r="DD37" s="48">
        <f t="shared" si="104"/>
        <v>0</v>
      </c>
      <c r="DE37" s="48">
        <f t="shared" si="104"/>
        <v>0</v>
      </c>
      <c r="DF37" s="48">
        <f t="shared" si="104"/>
        <v>0</v>
      </c>
      <c r="DG37" s="48">
        <f t="shared" si="104"/>
        <v>0</v>
      </c>
      <c r="DH37" s="48">
        <f t="shared" si="104"/>
        <v>0</v>
      </c>
      <c r="DI37" s="48">
        <f t="shared" si="104"/>
        <v>0</v>
      </c>
      <c r="DJ37" s="48">
        <f t="shared" si="104"/>
        <v>0</v>
      </c>
      <c r="DK37" s="48">
        <f t="shared" si="104"/>
        <v>0</v>
      </c>
      <c r="DL37" s="48">
        <f t="shared" si="104"/>
        <v>0</v>
      </c>
      <c r="DM37" s="48">
        <f t="shared" si="104"/>
        <v>0</v>
      </c>
      <c r="DN37" s="48">
        <f t="shared" si="104"/>
        <v>0</v>
      </c>
      <c r="DO37" s="48">
        <f t="shared" si="104"/>
        <v>0</v>
      </c>
      <c r="DP37" s="48">
        <f t="shared" si="104"/>
        <v>0</v>
      </c>
      <c r="DQ37" s="48">
        <f t="shared" si="104"/>
        <v>0</v>
      </c>
      <c r="DR37" s="48">
        <f t="shared" si="104"/>
        <v>0</v>
      </c>
      <c r="DS37" s="48">
        <f t="shared" si="104"/>
        <v>0</v>
      </c>
      <c r="DT37" s="48">
        <f t="shared" si="104"/>
        <v>0</v>
      </c>
      <c r="DU37" s="48">
        <f t="shared" si="104"/>
        <v>0</v>
      </c>
      <c r="DV37" s="48">
        <f t="shared" si="104"/>
        <v>0</v>
      </c>
      <c r="DW37" s="48">
        <f t="shared" si="104"/>
        <v>0</v>
      </c>
      <c r="DX37" s="48">
        <f t="shared" si="104"/>
        <v>0</v>
      </c>
      <c r="DY37" s="48">
        <f t="shared" si="104"/>
        <v>0</v>
      </c>
      <c r="DZ37" s="48">
        <f t="shared" si="104"/>
        <v>0</v>
      </c>
      <c r="EA37" s="48">
        <f t="shared" si="104"/>
        <v>0</v>
      </c>
      <c r="EB37" s="48">
        <f t="shared" si="104"/>
        <v>0</v>
      </c>
      <c r="EC37" s="48">
        <f t="shared" si="104"/>
        <v>0</v>
      </c>
      <c r="ED37" s="48">
        <f t="shared" ref="ED37:ES37" si="105">IF(ED$15=1,INDEX(Vol_O,17,ED$14)/12*(1+P_dVol),0)</f>
        <v>0</v>
      </c>
      <c r="EE37" s="48">
        <f t="shared" si="105"/>
        <v>0</v>
      </c>
      <c r="EF37" s="48">
        <f t="shared" si="105"/>
        <v>0</v>
      </c>
      <c r="EG37" s="48">
        <f t="shared" si="105"/>
        <v>0</v>
      </c>
      <c r="EH37" s="48">
        <f t="shared" si="105"/>
        <v>0</v>
      </c>
      <c r="EI37" s="48">
        <f t="shared" si="105"/>
        <v>0</v>
      </c>
      <c r="EJ37" s="48">
        <f t="shared" si="105"/>
        <v>0</v>
      </c>
      <c r="EK37" s="48">
        <f t="shared" si="105"/>
        <v>0</v>
      </c>
      <c r="EL37" s="48">
        <f t="shared" si="105"/>
        <v>0</v>
      </c>
      <c r="EM37" s="48">
        <f t="shared" si="105"/>
        <v>0</v>
      </c>
      <c r="EN37" s="48">
        <f t="shared" si="105"/>
        <v>0</v>
      </c>
      <c r="EO37" s="48">
        <f t="shared" si="105"/>
        <v>0</v>
      </c>
      <c r="EP37" s="48">
        <f t="shared" si="105"/>
        <v>0</v>
      </c>
      <c r="EQ37" s="48">
        <f t="shared" si="105"/>
        <v>0</v>
      </c>
      <c r="ER37" s="48">
        <f t="shared" si="105"/>
        <v>0</v>
      </c>
      <c r="ES37" s="48">
        <f t="shared" si="105"/>
        <v>0</v>
      </c>
    </row>
    <row r="38" spans="1:149" x14ac:dyDescent="0.3">
      <c r="A38" s="14" t="s">
        <v>1015</v>
      </c>
      <c r="B38" s="53" t="str">
        <f>IF(INDEX(Prod_Nombre,18)="","Producto 18",INDEX(Prod_Nombre,18))&amp;" — unidades"</f>
        <v>Producto 18 — unidades</v>
      </c>
      <c r="C38" s="18" t="s">
        <v>475</v>
      </c>
      <c r="E38" s="54">
        <f t="shared" si="20"/>
        <v>0</v>
      </c>
      <c r="F38" s="48">
        <f t="shared" ref="F38:AK38" si="106">IF(F$15=1,INDEX(Vol_O,18,F$14)/12*(1+P_dVol),0)</f>
        <v>0</v>
      </c>
      <c r="G38" s="48">
        <f t="shared" si="106"/>
        <v>0</v>
      </c>
      <c r="H38" s="48">
        <f t="shared" si="106"/>
        <v>0</v>
      </c>
      <c r="I38" s="48">
        <f t="shared" si="106"/>
        <v>0</v>
      </c>
      <c r="J38" s="48">
        <f t="shared" si="106"/>
        <v>0</v>
      </c>
      <c r="K38" s="48">
        <f t="shared" si="106"/>
        <v>0</v>
      </c>
      <c r="L38" s="48">
        <f t="shared" si="106"/>
        <v>0</v>
      </c>
      <c r="M38" s="48">
        <f t="shared" si="106"/>
        <v>0</v>
      </c>
      <c r="N38" s="48">
        <f t="shared" si="106"/>
        <v>0</v>
      </c>
      <c r="O38" s="48">
        <f t="shared" si="106"/>
        <v>0</v>
      </c>
      <c r="P38" s="48">
        <f t="shared" si="106"/>
        <v>0</v>
      </c>
      <c r="Q38" s="48">
        <f t="shared" si="106"/>
        <v>0</v>
      </c>
      <c r="R38" s="48">
        <f t="shared" si="106"/>
        <v>0</v>
      </c>
      <c r="S38" s="48">
        <f t="shared" si="106"/>
        <v>0</v>
      </c>
      <c r="T38" s="48">
        <f t="shared" si="106"/>
        <v>0</v>
      </c>
      <c r="U38" s="48">
        <f t="shared" si="106"/>
        <v>0</v>
      </c>
      <c r="V38" s="48">
        <f t="shared" si="106"/>
        <v>0</v>
      </c>
      <c r="W38" s="48">
        <f t="shared" si="106"/>
        <v>0</v>
      </c>
      <c r="X38" s="48">
        <f t="shared" si="106"/>
        <v>0</v>
      </c>
      <c r="Y38" s="48">
        <f t="shared" si="106"/>
        <v>0</v>
      </c>
      <c r="Z38" s="48">
        <f t="shared" si="106"/>
        <v>0</v>
      </c>
      <c r="AA38" s="48">
        <f t="shared" si="106"/>
        <v>0</v>
      </c>
      <c r="AB38" s="48">
        <f t="shared" si="106"/>
        <v>0</v>
      </c>
      <c r="AC38" s="48">
        <f t="shared" si="106"/>
        <v>0</v>
      </c>
      <c r="AD38" s="48">
        <f t="shared" si="106"/>
        <v>0</v>
      </c>
      <c r="AE38" s="48">
        <f t="shared" si="106"/>
        <v>0</v>
      </c>
      <c r="AF38" s="48">
        <f t="shared" si="106"/>
        <v>0</v>
      </c>
      <c r="AG38" s="48">
        <f t="shared" si="106"/>
        <v>0</v>
      </c>
      <c r="AH38" s="48">
        <f t="shared" si="106"/>
        <v>0</v>
      </c>
      <c r="AI38" s="48">
        <f t="shared" si="106"/>
        <v>0</v>
      </c>
      <c r="AJ38" s="48">
        <f t="shared" si="106"/>
        <v>0</v>
      </c>
      <c r="AK38" s="48">
        <f t="shared" si="106"/>
        <v>0</v>
      </c>
      <c r="AL38" s="48">
        <f t="shared" ref="AL38:BQ38" si="107">IF(AL$15=1,INDEX(Vol_O,18,AL$14)/12*(1+P_dVol),0)</f>
        <v>0</v>
      </c>
      <c r="AM38" s="48">
        <f t="shared" si="107"/>
        <v>0</v>
      </c>
      <c r="AN38" s="48">
        <f t="shared" si="107"/>
        <v>0</v>
      </c>
      <c r="AO38" s="48">
        <f t="shared" si="107"/>
        <v>0</v>
      </c>
      <c r="AP38" s="48">
        <f t="shared" si="107"/>
        <v>0</v>
      </c>
      <c r="AQ38" s="48">
        <f t="shared" si="107"/>
        <v>0</v>
      </c>
      <c r="AR38" s="48">
        <f t="shared" si="107"/>
        <v>0</v>
      </c>
      <c r="AS38" s="48">
        <f t="shared" si="107"/>
        <v>0</v>
      </c>
      <c r="AT38" s="48">
        <f t="shared" si="107"/>
        <v>0</v>
      </c>
      <c r="AU38" s="48">
        <f t="shared" si="107"/>
        <v>0</v>
      </c>
      <c r="AV38" s="48">
        <f t="shared" si="107"/>
        <v>0</v>
      </c>
      <c r="AW38" s="48">
        <f t="shared" si="107"/>
        <v>0</v>
      </c>
      <c r="AX38" s="48">
        <f t="shared" si="107"/>
        <v>0</v>
      </c>
      <c r="AY38" s="48">
        <f t="shared" si="107"/>
        <v>0</v>
      </c>
      <c r="AZ38" s="48">
        <f t="shared" si="107"/>
        <v>0</v>
      </c>
      <c r="BA38" s="48">
        <f t="shared" si="107"/>
        <v>0</v>
      </c>
      <c r="BB38" s="48">
        <f t="shared" si="107"/>
        <v>0</v>
      </c>
      <c r="BC38" s="48">
        <f t="shared" si="107"/>
        <v>0</v>
      </c>
      <c r="BD38" s="48">
        <f t="shared" si="107"/>
        <v>0</v>
      </c>
      <c r="BE38" s="48">
        <f t="shared" si="107"/>
        <v>0</v>
      </c>
      <c r="BF38" s="48">
        <f t="shared" si="107"/>
        <v>0</v>
      </c>
      <c r="BG38" s="48">
        <f t="shared" si="107"/>
        <v>0</v>
      </c>
      <c r="BH38" s="48">
        <f t="shared" si="107"/>
        <v>0</v>
      </c>
      <c r="BI38" s="48">
        <f t="shared" si="107"/>
        <v>0</v>
      </c>
      <c r="BJ38" s="48">
        <f t="shared" si="107"/>
        <v>0</v>
      </c>
      <c r="BK38" s="48">
        <f t="shared" si="107"/>
        <v>0</v>
      </c>
      <c r="BL38" s="48">
        <f t="shared" si="107"/>
        <v>0</v>
      </c>
      <c r="BM38" s="48">
        <f t="shared" si="107"/>
        <v>0</v>
      </c>
      <c r="BN38" s="48">
        <f t="shared" si="107"/>
        <v>0</v>
      </c>
      <c r="BO38" s="48">
        <f t="shared" si="107"/>
        <v>0</v>
      </c>
      <c r="BP38" s="48">
        <f t="shared" si="107"/>
        <v>0</v>
      </c>
      <c r="BQ38" s="48">
        <f t="shared" si="107"/>
        <v>0</v>
      </c>
      <c r="BR38" s="48">
        <f t="shared" ref="BR38:CW38" si="108">IF(BR$15=1,INDEX(Vol_O,18,BR$14)/12*(1+P_dVol),0)</f>
        <v>0</v>
      </c>
      <c r="BS38" s="48">
        <f t="shared" si="108"/>
        <v>0</v>
      </c>
      <c r="BT38" s="48">
        <f t="shared" si="108"/>
        <v>0</v>
      </c>
      <c r="BU38" s="48">
        <f t="shared" si="108"/>
        <v>0</v>
      </c>
      <c r="BV38" s="48">
        <f t="shared" si="108"/>
        <v>0</v>
      </c>
      <c r="BW38" s="48">
        <f t="shared" si="108"/>
        <v>0</v>
      </c>
      <c r="BX38" s="48">
        <f t="shared" si="108"/>
        <v>0</v>
      </c>
      <c r="BY38" s="48">
        <f t="shared" si="108"/>
        <v>0</v>
      </c>
      <c r="BZ38" s="48">
        <f t="shared" si="108"/>
        <v>0</v>
      </c>
      <c r="CA38" s="48">
        <f t="shared" si="108"/>
        <v>0</v>
      </c>
      <c r="CB38" s="48">
        <f t="shared" si="108"/>
        <v>0</v>
      </c>
      <c r="CC38" s="48">
        <f t="shared" si="108"/>
        <v>0</v>
      </c>
      <c r="CD38" s="48">
        <f t="shared" si="108"/>
        <v>0</v>
      </c>
      <c r="CE38" s="48">
        <f t="shared" si="108"/>
        <v>0</v>
      </c>
      <c r="CF38" s="48">
        <f t="shared" si="108"/>
        <v>0</v>
      </c>
      <c r="CG38" s="48">
        <f t="shared" si="108"/>
        <v>0</v>
      </c>
      <c r="CH38" s="48">
        <f t="shared" si="108"/>
        <v>0</v>
      </c>
      <c r="CI38" s="48">
        <f t="shared" si="108"/>
        <v>0</v>
      </c>
      <c r="CJ38" s="48">
        <f t="shared" si="108"/>
        <v>0</v>
      </c>
      <c r="CK38" s="48">
        <f t="shared" si="108"/>
        <v>0</v>
      </c>
      <c r="CL38" s="48">
        <f t="shared" si="108"/>
        <v>0</v>
      </c>
      <c r="CM38" s="48">
        <f t="shared" si="108"/>
        <v>0</v>
      </c>
      <c r="CN38" s="48">
        <f t="shared" si="108"/>
        <v>0</v>
      </c>
      <c r="CO38" s="48">
        <f t="shared" si="108"/>
        <v>0</v>
      </c>
      <c r="CP38" s="48">
        <f t="shared" si="108"/>
        <v>0</v>
      </c>
      <c r="CQ38" s="48">
        <f t="shared" si="108"/>
        <v>0</v>
      </c>
      <c r="CR38" s="48">
        <f t="shared" si="108"/>
        <v>0</v>
      </c>
      <c r="CS38" s="48">
        <f t="shared" si="108"/>
        <v>0</v>
      </c>
      <c r="CT38" s="48">
        <f t="shared" si="108"/>
        <v>0</v>
      </c>
      <c r="CU38" s="48">
        <f t="shared" si="108"/>
        <v>0</v>
      </c>
      <c r="CV38" s="48">
        <f t="shared" si="108"/>
        <v>0</v>
      </c>
      <c r="CW38" s="48">
        <f t="shared" si="108"/>
        <v>0</v>
      </c>
      <c r="CX38" s="48">
        <f t="shared" ref="CX38:EC38" si="109">IF(CX$15=1,INDEX(Vol_O,18,CX$14)/12*(1+P_dVol),0)</f>
        <v>0</v>
      </c>
      <c r="CY38" s="48">
        <f t="shared" si="109"/>
        <v>0</v>
      </c>
      <c r="CZ38" s="48">
        <f t="shared" si="109"/>
        <v>0</v>
      </c>
      <c r="DA38" s="48">
        <f t="shared" si="109"/>
        <v>0</v>
      </c>
      <c r="DB38" s="48">
        <f t="shared" si="109"/>
        <v>0</v>
      </c>
      <c r="DC38" s="48">
        <f t="shared" si="109"/>
        <v>0</v>
      </c>
      <c r="DD38" s="48">
        <f t="shared" si="109"/>
        <v>0</v>
      </c>
      <c r="DE38" s="48">
        <f t="shared" si="109"/>
        <v>0</v>
      </c>
      <c r="DF38" s="48">
        <f t="shared" si="109"/>
        <v>0</v>
      </c>
      <c r="DG38" s="48">
        <f t="shared" si="109"/>
        <v>0</v>
      </c>
      <c r="DH38" s="48">
        <f t="shared" si="109"/>
        <v>0</v>
      </c>
      <c r="DI38" s="48">
        <f t="shared" si="109"/>
        <v>0</v>
      </c>
      <c r="DJ38" s="48">
        <f t="shared" si="109"/>
        <v>0</v>
      </c>
      <c r="DK38" s="48">
        <f t="shared" si="109"/>
        <v>0</v>
      </c>
      <c r="DL38" s="48">
        <f t="shared" si="109"/>
        <v>0</v>
      </c>
      <c r="DM38" s="48">
        <f t="shared" si="109"/>
        <v>0</v>
      </c>
      <c r="DN38" s="48">
        <f t="shared" si="109"/>
        <v>0</v>
      </c>
      <c r="DO38" s="48">
        <f t="shared" si="109"/>
        <v>0</v>
      </c>
      <c r="DP38" s="48">
        <f t="shared" si="109"/>
        <v>0</v>
      </c>
      <c r="DQ38" s="48">
        <f t="shared" si="109"/>
        <v>0</v>
      </c>
      <c r="DR38" s="48">
        <f t="shared" si="109"/>
        <v>0</v>
      </c>
      <c r="DS38" s="48">
        <f t="shared" si="109"/>
        <v>0</v>
      </c>
      <c r="DT38" s="48">
        <f t="shared" si="109"/>
        <v>0</v>
      </c>
      <c r="DU38" s="48">
        <f t="shared" si="109"/>
        <v>0</v>
      </c>
      <c r="DV38" s="48">
        <f t="shared" si="109"/>
        <v>0</v>
      </c>
      <c r="DW38" s="48">
        <f t="shared" si="109"/>
        <v>0</v>
      </c>
      <c r="DX38" s="48">
        <f t="shared" si="109"/>
        <v>0</v>
      </c>
      <c r="DY38" s="48">
        <f t="shared" si="109"/>
        <v>0</v>
      </c>
      <c r="DZ38" s="48">
        <f t="shared" si="109"/>
        <v>0</v>
      </c>
      <c r="EA38" s="48">
        <f t="shared" si="109"/>
        <v>0</v>
      </c>
      <c r="EB38" s="48">
        <f t="shared" si="109"/>
        <v>0</v>
      </c>
      <c r="EC38" s="48">
        <f t="shared" si="109"/>
        <v>0</v>
      </c>
      <c r="ED38" s="48">
        <f t="shared" ref="ED38:ES38" si="110">IF(ED$15=1,INDEX(Vol_O,18,ED$14)/12*(1+P_dVol),0)</f>
        <v>0</v>
      </c>
      <c r="EE38" s="48">
        <f t="shared" si="110"/>
        <v>0</v>
      </c>
      <c r="EF38" s="48">
        <f t="shared" si="110"/>
        <v>0</v>
      </c>
      <c r="EG38" s="48">
        <f t="shared" si="110"/>
        <v>0</v>
      </c>
      <c r="EH38" s="48">
        <f t="shared" si="110"/>
        <v>0</v>
      </c>
      <c r="EI38" s="48">
        <f t="shared" si="110"/>
        <v>0</v>
      </c>
      <c r="EJ38" s="48">
        <f t="shared" si="110"/>
        <v>0</v>
      </c>
      <c r="EK38" s="48">
        <f t="shared" si="110"/>
        <v>0</v>
      </c>
      <c r="EL38" s="48">
        <f t="shared" si="110"/>
        <v>0</v>
      </c>
      <c r="EM38" s="48">
        <f t="shared" si="110"/>
        <v>0</v>
      </c>
      <c r="EN38" s="48">
        <f t="shared" si="110"/>
        <v>0</v>
      </c>
      <c r="EO38" s="48">
        <f t="shared" si="110"/>
        <v>0</v>
      </c>
      <c r="EP38" s="48">
        <f t="shared" si="110"/>
        <v>0</v>
      </c>
      <c r="EQ38" s="48">
        <f t="shared" si="110"/>
        <v>0</v>
      </c>
      <c r="ER38" s="48">
        <f t="shared" si="110"/>
        <v>0</v>
      </c>
      <c r="ES38" s="48">
        <f t="shared" si="110"/>
        <v>0</v>
      </c>
    </row>
    <row r="39" spans="1:149" x14ac:dyDescent="0.3">
      <c r="A39" s="14" t="s">
        <v>1016</v>
      </c>
      <c r="B39" s="53" t="str">
        <f>IF(INDEX(Prod_Nombre,19)="","Producto 19",INDEX(Prod_Nombre,19))&amp;" — unidades"</f>
        <v>Producto 19 — unidades</v>
      </c>
      <c r="C39" s="18" t="s">
        <v>475</v>
      </c>
      <c r="E39" s="54">
        <f t="shared" si="20"/>
        <v>0</v>
      </c>
      <c r="F39" s="48">
        <f t="shared" ref="F39:AK39" si="111">IF(F$15=1,INDEX(Vol_O,19,F$14)/12*(1+P_dVol),0)</f>
        <v>0</v>
      </c>
      <c r="G39" s="48">
        <f t="shared" si="111"/>
        <v>0</v>
      </c>
      <c r="H39" s="48">
        <f t="shared" si="111"/>
        <v>0</v>
      </c>
      <c r="I39" s="48">
        <f t="shared" si="111"/>
        <v>0</v>
      </c>
      <c r="J39" s="48">
        <f t="shared" si="111"/>
        <v>0</v>
      </c>
      <c r="K39" s="48">
        <f t="shared" si="111"/>
        <v>0</v>
      </c>
      <c r="L39" s="48">
        <f t="shared" si="111"/>
        <v>0</v>
      </c>
      <c r="M39" s="48">
        <f t="shared" si="111"/>
        <v>0</v>
      </c>
      <c r="N39" s="48">
        <f t="shared" si="111"/>
        <v>0</v>
      </c>
      <c r="O39" s="48">
        <f t="shared" si="111"/>
        <v>0</v>
      </c>
      <c r="P39" s="48">
        <f t="shared" si="111"/>
        <v>0</v>
      </c>
      <c r="Q39" s="48">
        <f t="shared" si="111"/>
        <v>0</v>
      </c>
      <c r="R39" s="48">
        <f t="shared" si="111"/>
        <v>0</v>
      </c>
      <c r="S39" s="48">
        <f t="shared" si="111"/>
        <v>0</v>
      </c>
      <c r="T39" s="48">
        <f t="shared" si="111"/>
        <v>0</v>
      </c>
      <c r="U39" s="48">
        <f t="shared" si="111"/>
        <v>0</v>
      </c>
      <c r="V39" s="48">
        <f t="shared" si="111"/>
        <v>0</v>
      </c>
      <c r="W39" s="48">
        <f t="shared" si="111"/>
        <v>0</v>
      </c>
      <c r="X39" s="48">
        <f t="shared" si="111"/>
        <v>0</v>
      </c>
      <c r="Y39" s="48">
        <f t="shared" si="111"/>
        <v>0</v>
      </c>
      <c r="Z39" s="48">
        <f t="shared" si="111"/>
        <v>0</v>
      </c>
      <c r="AA39" s="48">
        <f t="shared" si="111"/>
        <v>0</v>
      </c>
      <c r="AB39" s="48">
        <f t="shared" si="111"/>
        <v>0</v>
      </c>
      <c r="AC39" s="48">
        <f t="shared" si="111"/>
        <v>0</v>
      </c>
      <c r="AD39" s="48">
        <f t="shared" si="111"/>
        <v>0</v>
      </c>
      <c r="AE39" s="48">
        <f t="shared" si="111"/>
        <v>0</v>
      </c>
      <c r="AF39" s="48">
        <f t="shared" si="111"/>
        <v>0</v>
      </c>
      <c r="AG39" s="48">
        <f t="shared" si="111"/>
        <v>0</v>
      </c>
      <c r="AH39" s="48">
        <f t="shared" si="111"/>
        <v>0</v>
      </c>
      <c r="AI39" s="48">
        <f t="shared" si="111"/>
        <v>0</v>
      </c>
      <c r="AJ39" s="48">
        <f t="shared" si="111"/>
        <v>0</v>
      </c>
      <c r="AK39" s="48">
        <f t="shared" si="111"/>
        <v>0</v>
      </c>
      <c r="AL39" s="48">
        <f t="shared" ref="AL39:BQ39" si="112">IF(AL$15=1,INDEX(Vol_O,19,AL$14)/12*(1+P_dVol),0)</f>
        <v>0</v>
      </c>
      <c r="AM39" s="48">
        <f t="shared" si="112"/>
        <v>0</v>
      </c>
      <c r="AN39" s="48">
        <f t="shared" si="112"/>
        <v>0</v>
      </c>
      <c r="AO39" s="48">
        <f t="shared" si="112"/>
        <v>0</v>
      </c>
      <c r="AP39" s="48">
        <f t="shared" si="112"/>
        <v>0</v>
      </c>
      <c r="AQ39" s="48">
        <f t="shared" si="112"/>
        <v>0</v>
      </c>
      <c r="AR39" s="48">
        <f t="shared" si="112"/>
        <v>0</v>
      </c>
      <c r="AS39" s="48">
        <f t="shared" si="112"/>
        <v>0</v>
      </c>
      <c r="AT39" s="48">
        <f t="shared" si="112"/>
        <v>0</v>
      </c>
      <c r="AU39" s="48">
        <f t="shared" si="112"/>
        <v>0</v>
      </c>
      <c r="AV39" s="48">
        <f t="shared" si="112"/>
        <v>0</v>
      </c>
      <c r="AW39" s="48">
        <f t="shared" si="112"/>
        <v>0</v>
      </c>
      <c r="AX39" s="48">
        <f t="shared" si="112"/>
        <v>0</v>
      </c>
      <c r="AY39" s="48">
        <f t="shared" si="112"/>
        <v>0</v>
      </c>
      <c r="AZ39" s="48">
        <f t="shared" si="112"/>
        <v>0</v>
      </c>
      <c r="BA39" s="48">
        <f t="shared" si="112"/>
        <v>0</v>
      </c>
      <c r="BB39" s="48">
        <f t="shared" si="112"/>
        <v>0</v>
      </c>
      <c r="BC39" s="48">
        <f t="shared" si="112"/>
        <v>0</v>
      </c>
      <c r="BD39" s="48">
        <f t="shared" si="112"/>
        <v>0</v>
      </c>
      <c r="BE39" s="48">
        <f t="shared" si="112"/>
        <v>0</v>
      </c>
      <c r="BF39" s="48">
        <f t="shared" si="112"/>
        <v>0</v>
      </c>
      <c r="BG39" s="48">
        <f t="shared" si="112"/>
        <v>0</v>
      </c>
      <c r="BH39" s="48">
        <f t="shared" si="112"/>
        <v>0</v>
      </c>
      <c r="BI39" s="48">
        <f t="shared" si="112"/>
        <v>0</v>
      </c>
      <c r="BJ39" s="48">
        <f t="shared" si="112"/>
        <v>0</v>
      </c>
      <c r="BK39" s="48">
        <f t="shared" si="112"/>
        <v>0</v>
      </c>
      <c r="BL39" s="48">
        <f t="shared" si="112"/>
        <v>0</v>
      </c>
      <c r="BM39" s="48">
        <f t="shared" si="112"/>
        <v>0</v>
      </c>
      <c r="BN39" s="48">
        <f t="shared" si="112"/>
        <v>0</v>
      </c>
      <c r="BO39" s="48">
        <f t="shared" si="112"/>
        <v>0</v>
      </c>
      <c r="BP39" s="48">
        <f t="shared" si="112"/>
        <v>0</v>
      </c>
      <c r="BQ39" s="48">
        <f t="shared" si="112"/>
        <v>0</v>
      </c>
      <c r="BR39" s="48">
        <f t="shared" ref="BR39:CW39" si="113">IF(BR$15=1,INDEX(Vol_O,19,BR$14)/12*(1+P_dVol),0)</f>
        <v>0</v>
      </c>
      <c r="BS39" s="48">
        <f t="shared" si="113"/>
        <v>0</v>
      </c>
      <c r="BT39" s="48">
        <f t="shared" si="113"/>
        <v>0</v>
      </c>
      <c r="BU39" s="48">
        <f t="shared" si="113"/>
        <v>0</v>
      </c>
      <c r="BV39" s="48">
        <f t="shared" si="113"/>
        <v>0</v>
      </c>
      <c r="BW39" s="48">
        <f t="shared" si="113"/>
        <v>0</v>
      </c>
      <c r="BX39" s="48">
        <f t="shared" si="113"/>
        <v>0</v>
      </c>
      <c r="BY39" s="48">
        <f t="shared" si="113"/>
        <v>0</v>
      </c>
      <c r="BZ39" s="48">
        <f t="shared" si="113"/>
        <v>0</v>
      </c>
      <c r="CA39" s="48">
        <f t="shared" si="113"/>
        <v>0</v>
      </c>
      <c r="CB39" s="48">
        <f t="shared" si="113"/>
        <v>0</v>
      </c>
      <c r="CC39" s="48">
        <f t="shared" si="113"/>
        <v>0</v>
      </c>
      <c r="CD39" s="48">
        <f t="shared" si="113"/>
        <v>0</v>
      </c>
      <c r="CE39" s="48">
        <f t="shared" si="113"/>
        <v>0</v>
      </c>
      <c r="CF39" s="48">
        <f t="shared" si="113"/>
        <v>0</v>
      </c>
      <c r="CG39" s="48">
        <f t="shared" si="113"/>
        <v>0</v>
      </c>
      <c r="CH39" s="48">
        <f t="shared" si="113"/>
        <v>0</v>
      </c>
      <c r="CI39" s="48">
        <f t="shared" si="113"/>
        <v>0</v>
      </c>
      <c r="CJ39" s="48">
        <f t="shared" si="113"/>
        <v>0</v>
      </c>
      <c r="CK39" s="48">
        <f t="shared" si="113"/>
        <v>0</v>
      </c>
      <c r="CL39" s="48">
        <f t="shared" si="113"/>
        <v>0</v>
      </c>
      <c r="CM39" s="48">
        <f t="shared" si="113"/>
        <v>0</v>
      </c>
      <c r="CN39" s="48">
        <f t="shared" si="113"/>
        <v>0</v>
      </c>
      <c r="CO39" s="48">
        <f t="shared" si="113"/>
        <v>0</v>
      </c>
      <c r="CP39" s="48">
        <f t="shared" si="113"/>
        <v>0</v>
      </c>
      <c r="CQ39" s="48">
        <f t="shared" si="113"/>
        <v>0</v>
      </c>
      <c r="CR39" s="48">
        <f t="shared" si="113"/>
        <v>0</v>
      </c>
      <c r="CS39" s="48">
        <f t="shared" si="113"/>
        <v>0</v>
      </c>
      <c r="CT39" s="48">
        <f t="shared" si="113"/>
        <v>0</v>
      </c>
      <c r="CU39" s="48">
        <f t="shared" si="113"/>
        <v>0</v>
      </c>
      <c r="CV39" s="48">
        <f t="shared" si="113"/>
        <v>0</v>
      </c>
      <c r="CW39" s="48">
        <f t="shared" si="113"/>
        <v>0</v>
      </c>
      <c r="CX39" s="48">
        <f t="shared" ref="CX39:EC39" si="114">IF(CX$15=1,INDEX(Vol_O,19,CX$14)/12*(1+P_dVol),0)</f>
        <v>0</v>
      </c>
      <c r="CY39" s="48">
        <f t="shared" si="114"/>
        <v>0</v>
      </c>
      <c r="CZ39" s="48">
        <f t="shared" si="114"/>
        <v>0</v>
      </c>
      <c r="DA39" s="48">
        <f t="shared" si="114"/>
        <v>0</v>
      </c>
      <c r="DB39" s="48">
        <f t="shared" si="114"/>
        <v>0</v>
      </c>
      <c r="DC39" s="48">
        <f t="shared" si="114"/>
        <v>0</v>
      </c>
      <c r="DD39" s="48">
        <f t="shared" si="114"/>
        <v>0</v>
      </c>
      <c r="DE39" s="48">
        <f t="shared" si="114"/>
        <v>0</v>
      </c>
      <c r="DF39" s="48">
        <f t="shared" si="114"/>
        <v>0</v>
      </c>
      <c r="DG39" s="48">
        <f t="shared" si="114"/>
        <v>0</v>
      </c>
      <c r="DH39" s="48">
        <f t="shared" si="114"/>
        <v>0</v>
      </c>
      <c r="DI39" s="48">
        <f t="shared" si="114"/>
        <v>0</v>
      </c>
      <c r="DJ39" s="48">
        <f t="shared" si="114"/>
        <v>0</v>
      </c>
      <c r="DK39" s="48">
        <f t="shared" si="114"/>
        <v>0</v>
      </c>
      <c r="DL39" s="48">
        <f t="shared" si="114"/>
        <v>0</v>
      </c>
      <c r="DM39" s="48">
        <f t="shared" si="114"/>
        <v>0</v>
      </c>
      <c r="DN39" s="48">
        <f t="shared" si="114"/>
        <v>0</v>
      </c>
      <c r="DO39" s="48">
        <f t="shared" si="114"/>
        <v>0</v>
      </c>
      <c r="DP39" s="48">
        <f t="shared" si="114"/>
        <v>0</v>
      </c>
      <c r="DQ39" s="48">
        <f t="shared" si="114"/>
        <v>0</v>
      </c>
      <c r="DR39" s="48">
        <f t="shared" si="114"/>
        <v>0</v>
      </c>
      <c r="DS39" s="48">
        <f t="shared" si="114"/>
        <v>0</v>
      </c>
      <c r="DT39" s="48">
        <f t="shared" si="114"/>
        <v>0</v>
      </c>
      <c r="DU39" s="48">
        <f t="shared" si="114"/>
        <v>0</v>
      </c>
      <c r="DV39" s="48">
        <f t="shared" si="114"/>
        <v>0</v>
      </c>
      <c r="DW39" s="48">
        <f t="shared" si="114"/>
        <v>0</v>
      </c>
      <c r="DX39" s="48">
        <f t="shared" si="114"/>
        <v>0</v>
      </c>
      <c r="DY39" s="48">
        <f t="shared" si="114"/>
        <v>0</v>
      </c>
      <c r="DZ39" s="48">
        <f t="shared" si="114"/>
        <v>0</v>
      </c>
      <c r="EA39" s="48">
        <f t="shared" si="114"/>
        <v>0</v>
      </c>
      <c r="EB39" s="48">
        <f t="shared" si="114"/>
        <v>0</v>
      </c>
      <c r="EC39" s="48">
        <f t="shared" si="114"/>
        <v>0</v>
      </c>
      <c r="ED39" s="48">
        <f t="shared" ref="ED39:ES39" si="115">IF(ED$15=1,INDEX(Vol_O,19,ED$14)/12*(1+P_dVol),0)</f>
        <v>0</v>
      </c>
      <c r="EE39" s="48">
        <f t="shared" si="115"/>
        <v>0</v>
      </c>
      <c r="EF39" s="48">
        <f t="shared" si="115"/>
        <v>0</v>
      </c>
      <c r="EG39" s="48">
        <f t="shared" si="115"/>
        <v>0</v>
      </c>
      <c r="EH39" s="48">
        <f t="shared" si="115"/>
        <v>0</v>
      </c>
      <c r="EI39" s="48">
        <f t="shared" si="115"/>
        <v>0</v>
      </c>
      <c r="EJ39" s="48">
        <f t="shared" si="115"/>
        <v>0</v>
      </c>
      <c r="EK39" s="48">
        <f t="shared" si="115"/>
        <v>0</v>
      </c>
      <c r="EL39" s="48">
        <f t="shared" si="115"/>
        <v>0</v>
      </c>
      <c r="EM39" s="48">
        <f t="shared" si="115"/>
        <v>0</v>
      </c>
      <c r="EN39" s="48">
        <f t="shared" si="115"/>
        <v>0</v>
      </c>
      <c r="EO39" s="48">
        <f t="shared" si="115"/>
        <v>0</v>
      </c>
      <c r="EP39" s="48">
        <f t="shared" si="115"/>
        <v>0</v>
      </c>
      <c r="EQ39" s="48">
        <f t="shared" si="115"/>
        <v>0</v>
      </c>
      <c r="ER39" s="48">
        <f t="shared" si="115"/>
        <v>0</v>
      </c>
      <c r="ES39" s="48">
        <f t="shared" si="115"/>
        <v>0</v>
      </c>
    </row>
    <row r="40" spans="1:149" x14ac:dyDescent="0.3">
      <c r="A40" s="14" t="s">
        <v>1017</v>
      </c>
      <c r="B40" s="53" t="str">
        <f>IF(INDEX(Prod_Nombre,20)="","Producto 20",INDEX(Prod_Nombre,20))&amp;" — unidades"</f>
        <v>Producto 20 — unidades</v>
      </c>
      <c r="C40" s="18" t="s">
        <v>475</v>
      </c>
      <c r="E40" s="54">
        <f t="shared" si="20"/>
        <v>0</v>
      </c>
      <c r="F40" s="48">
        <f t="shared" ref="F40:AK40" si="116">IF(F$15=1,INDEX(Vol_O,20,F$14)/12*(1+P_dVol),0)</f>
        <v>0</v>
      </c>
      <c r="G40" s="48">
        <f t="shared" si="116"/>
        <v>0</v>
      </c>
      <c r="H40" s="48">
        <f t="shared" si="116"/>
        <v>0</v>
      </c>
      <c r="I40" s="48">
        <f t="shared" si="116"/>
        <v>0</v>
      </c>
      <c r="J40" s="48">
        <f t="shared" si="116"/>
        <v>0</v>
      </c>
      <c r="K40" s="48">
        <f t="shared" si="116"/>
        <v>0</v>
      </c>
      <c r="L40" s="48">
        <f t="shared" si="116"/>
        <v>0</v>
      </c>
      <c r="M40" s="48">
        <f t="shared" si="116"/>
        <v>0</v>
      </c>
      <c r="N40" s="48">
        <f t="shared" si="116"/>
        <v>0</v>
      </c>
      <c r="O40" s="48">
        <f t="shared" si="116"/>
        <v>0</v>
      </c>
      <c r="P40" s="48">
        <f t="shared" si="116"/>
        <v>0</v>
      </c>
      <c r="Q40" s="48">
        <f t="shared" si="116"/>
        <v>0</v>
      </c>
      <c r="R40" s="48">
        <f t="shared" si="116"/>
        <v>0</v>
      </c>
      <c r="S40" s="48">
        <f t="shared" si="116"/>
        <v>0</v>
      </c>
      <c r="T40" s="48">
        <f t="shared" si="116"/>
        <v>0</v>
      </c>
      <c r="U40" s="48">
        <f t="shared" si="116"/>
        <v>0</v>
      </c>
      <c r="V40" s="48">
        <f t="shared" si="116"/>
        <v>0</v>
      </c>
      <c r="W40" s="48">
        <f t="shared" si="116"/>
        <v>0</v>
      </c>
      <c r="X40" s="48">
        <f t="shared" si="116"/>
        <v>0</v>
      </c>
      <c r="Y40" s="48">
        <f t="shared" si="116"/>
        <v>0</v>
      </c>
      <c r="Z40" s="48">
        <f t="shared" si="116"/>
        <v>0</v>
      </c>
      <c r="AA40" s="48">
        <f t="shared" si="116"/>
        <v>0</v>
      </c>
      <c r="AB40" s="48">
        <f t="shared" si="116"/>
        <v>0</v>
      </c>
      <c r="AC40" s="48">
        <f t="shared" si="116"/>
        <v>0</v>
      </c>
      <c r="AD40" s="48">
        <f t="shared" si="116"/>
        <v>0</v>
      </c>
      <c r="AE40" s="48">
        <f t="shared" si="116"/>
        <v>0</v>
      </c>
      <c r="AF40" s="48">
        <f t="shared" si="116"/>
        <v>0</v>
      </c>
      <c r="AG40" s="48">
        <f t="shared" si="116"/>
        <v>0</v>
      </c>
      <c r="AH40" s="48">
        <f t="shared" si="116"/>
        <v>0</v>
      </c>
      <c r="AI40" s="48">
        <f t="shared" si="116"/>
        <v>0</v>
      </c>
      <c r="AJ40" s="48">
        <f t="shared" si="116"/>
        <v>0</v>
      </c>
      <c r="AK40" s="48">
        <f t="shared" si="116"/>
        <v>0</v>
      </c>
      <c r="AL40" s="48">
        <f t="shared" ref="AL40:BQ40" si="117">IF(AL$15=1,INDEX(Vol_O,20,AL$14)/12*(1+P_dVol),0)</f>
        <v>0</v>
      </c>
      <c r="AM40" s="48">
        <f t="shared" si="117"/>
        <v>0</v>
      </c>
      <c r="AN40" s="48">
        <f t="shared" si="117"/>
        <v>0</v>
      </c>
      <c r="AO40" s="48">
        <f t="shared" si="117"/>
        <v>0</v>
      </c>
      <c r="AP40" s="48">
        <f t="shared" si="117"/>
        <v>0</v>
      </c>
      <c r="AQ40" s="48">
        <f t="shared" si="117"/>
        <v>0</v>
      </c>
      <c r="AR40" s="48">
        <f t="shared" si="117"/>
        <v>0</v>
      </c>
      <c r="AS40" s="48">
        <f t="shared" si="117"/>
        <v>0</v>
      </c>
      <c r="AT40" s="48">
        <f t="shared" si="117"/>
        <v>0</v>
      </c>
      <c r="AU40" s="48">
        <f t="shared" si="117"/>
        <v>0</v>
      </c>
      <c r="AV40" s="48">
        <f t="shared" si="117"/>
        <v>0</v>
      </c>
      <c r="AW40" s="48">
        <f t="shared" si="117"/>
        <v>0</v>
      </c>
      <c r="AX40" s="48">
        <f t="shared" si="117"/>
        <v>0</v>
      </c>
      <c r="AY40" s="48">
        <f t="shared" si="117"/>
        <v>0</v>
      </c>
      <c r="AZ40" s="48">
        <f t="shared" si="117"/>
        <v>0</v>
      </c>
      <c r="BA40" s="48">
        <f t="shared" si="117"/>
        <v>0</v>
      </c>
      <c r="BB40" s="48">
        <f t="shared" si="117"/>
        <v>0</v>
      </c>
      <c r="BC40" s="48">
        <f t="shared" si="117"/>
        <v>0</v>
      </c>
      <c r="BD40" s="48">
        <f t="shared" si="117"/>
        <v>0</v>
      </c>
      <c r="BE40" s="48">
        <f t="shared" si="117"/>
        <v>0</v>
      </c>
      <c r="BF40" s="48">
        <f t="shared" si="117"/>
        <v>0</v>
      </c>
      <c r="BG40" s="48">
        <f t="shared" si="117"/>
        <v>0</v>
      </c>
      <c r="BH40" s="48">
        <f t="shared" si="117"/>
        <v>0</v>
      </c>
      <c r="BI40" s="48">
        <f t="shared" si="117"/>
        <v>0</v>
      </c>
      <c r="BJ40" s="48">
        <f t="shared" si="117"/>
        <v>0</v>
      </c>
      <c r="BK40" s="48">
        <f t="shared" si="117"/>
        <v>0</v>
      </c>
      <c r="BL40" s="48">
        <f t="shared" si="117"/>
        <v>0</v>
      </c>
      <c r="BM40" s="48">
        <f t="shared" si="117"/>
        <v>0</v>
      </c>
      <c r="BN40" s="48">
        <f t="shared" si="117"/>
        <v>0</v>
      </c>
      <c r="BO40" s="48">
        <f t="shared" si="117"/>
        <v>0</v>
      </c>
      <c r="BP40" s="48">
        <f t="shared" si="117"/>
        <v>0</v>
      </c>
      <c r="BQ40" s="48">
        <f t="shared" si="117"/>
        <v>0</v>
      </c>
      <c r="BR40" s="48">
        <f t="shared" ref="BR40:CW40" si="118">IF(BR$15=1,INDEX(Vol_O,20,BR$14)/12*(1+P_dVol),0)</f>
        <v>0</v>
      </c>
      <c r="BS40" s="48">
        <f t="shared" si="118"/>
        <v>0</v>
      </c>
      <c r="BT40" s="48">
        <f t="shared" si="118"/>
        <v>0</v>
      </c>
      <c r="BU40" s="48">
        <f t="shared" si="118"/>
        <v>0</v>
      </c>
      <c r="BV40" s="48">
        <f t="shared" si="118"/>
        <v>0</v>
      </c>
      <c r="BW40" s="48">
        <f t="shared" si="118"/>
        <v>0</v>
      </c>
      <c r="BX40" s="48">
        <f t="shared" si="118"/>
        <v>0</v>
      </c>
      <c r="BY40" s="48">
        <f t="shared" si="118"/>
        <v>0</v>
      </c>
      <c r="BZ40" s="48">
        <f t="shared" si="118"/>
        <v>0</v>
      </c>
      <c r="CA40" s="48">
        <f t="shared" si="118"/>
        <v>0</v>
      </c>
      <c r="CB40" s="48">
        <f t="shared" si="118"/>
        <v>0</v>
      </c>
      <c r="CC40" s="48">
        <f t="shared" si="118"/>
        <v>0</v>
      </c>
      <c r="CD40" s="48">
        <f t="shared" si="118"/>
        <v>0</v>
      </c>
      <c r="CE40" s="48">
        <f t="shared" si="118"/>
        <v>0</v>
      </c>
      <c r="CF40" s="48">
        <f t="shared" si="118"/>
        <v>0</v>
      </c>
      <c r="CG40" s="48">
        <f t="shared" si="118"/>
        <v>0</v>
      </c>
      <c r="CH40" s="48">
        <f t="shared" si="118"/>
        <v>0</v>
      </c>
      <c r="CI40" s="48">
        <f t="shared" si="118"/>
        <v>0</v>
      </c>
      <c r="CJ40" s="48">
        <f t="shared" si="118"/>
        <v>0</v>
      </c>
      <c r="CK40" s="48">
        <f t="shared" si="118"/>
        <v>0</v>
      </c>
      <c r="CL40" s="48">
        <f t="shared" si="118"/>
        <v>0</v>
      </c>
      <c r="CM40" s="48">
        <f t="shared" si="118"/>
        <v>0</v>
      </c>
      <c r="CN40" s="48">
        <f t="shared" si="118"/>
        <v>0</v>
      </c>
      <c r="CO40" s="48">
        <f t="shared" si="118"/>
        <v>0</v>
      </c>
      <c r="CP40" s="48">
        <f t="shared" si="118"/>
        <v>0</v>
      </c>
      <c r="CQ40" s="48">
        <f t="shared" si="118"/>
        <v>0</v>
      </c>
      <c r="CR40" s="48">
        <f t="shared" si="118"/>
        <v>0</v>
      </c>
      <c r="CS40" s="48">
        <f t="shared" si="118"/>
        <v>0</v>
      </c>
      <c r="CT40" s="48">
        <f t="shared" si="118"/>
        <v>0</v>
      </c>
      <c r="CU40" s="48">
        <f t="shared" si="118"/>
        <v>0</v>
      </c>
      <c r="CV40" s="48">
        <f t="shared" si="118"/>
        <v>0</v>
      </c>
      <c r="CW40" s="48">
        <f t="shared" si="118"/>
        <v>0</v>
      </c>
      <c r="CX40" s="48">
        <f t="shared" ref="CX40:EC40" si="119">IF(CX$15=1,INDEX(Vol_O,20,CX$14)/12*(1+P_dVol),0)</f>
        <v>0</v>
      </c>
      <c r="CY40" s="48">
        <f t="shared" si="119"/>
        <v>0</v>
      </c>
      <c r="CZ40" s="48">
        <f t="shared" si="119"/>
        <v>0</v>
      </c>
      <c r="DA40" s="48">
        <f t="shared" si="119"/>
        <v>0</v>
      </c>
      <c r="DB40" s="48">
        <f t="shared" si="119"/>
        <v>0</v>
      </c>
      <c r="DC40" s="48">
        <f t="shared" si="119"/>
        <v>0</v>
      </c>
      <c r="DD40" s="48">
        <f t="shared" si="119"/>
        <v>0</v>
      </c>
      <c r="DE40" s="48">
        <f t="shared" si="119"/>
        <v>0</v>
      </c>
      <c r="DF40" s="48">
        <f t="shared" si="119"/>
        <v>0</v>
      </c>
      <c r="DG40" s="48">
        <f t="shared" si="119"/>
        <v>0</v>
      </c>
      <c r="DH40" s="48">
        <f t="shared" si="119"/>
        <v>0</v>
      </c>
      <c r="DI40" s="48">
        <f t="shared" si="119"/>
        <v>0</v>
      </c>
      <c r="DJ40" s="48">
        <f t="shared" si="119"/>
        <v>0</v>
      </c>
      <c r="DK40" s="48">
        <f t="shared" si="119"/>
        <v>0</v>
      </c>
      <c r="DL40" s="48">
        <f t="shared" si="119"/>
        <v>0</v>
      </c>
      <c r="DM40" s="48">
        <f t="shared" si="119"/>
        <v>0</v>
      </c>
      <c r="DN40" s="48">
        <f t="shared" si="119"/>
        <v>0</v>
      </c>
      <c r="DO40" s="48">
        <f t="shared" si="119"/>
        <v>0</v>
      </c>
      <c r="DP40" s="48">
        <f t="shared" si="119"/>
        <v>0</v>
      </c>
      <c r="DQ40" s="48">
        <f t="shared" si="119"/>
        <v>0</v>
      </c>
      <c r="DR40" s="48">
        <f t="shared" si="119"/>
        <v>0</v>
      </c>
      <c r="DS40" s="48">
        <f t="shared" si="119"/>
        <v>0</v>
      </c>
      <c r="DT40" s="48">
        <f t="shared" si="119"/>
        <v>0</v>
      </c>
      <c r="DU40" s="48">
        <f t="shared" si="119"/>
        <v>0</v>
      </c>
      <c r="DV40" s="48">
        <f t="shared" si="119"/>
        <v>0</v>
      </c>
      <c r="DW40" s="48">
        <f t="shared" si="119"/>
        <v>0</v>
      </c>
      <c r="DX40" s="48">
        <f t="shared" si="119"/>
        <v>0</v>
      </c>
      <c r="DY40" s="48">
        <f t="shared" si="119"/>
        <v>0</v>
      </c>
      <c r="DZ40" s="48">
        <f t="shared" si="119"/>
        <v>0</v>
      </c>
      <c r="EA40" s="48">
        <f t="shared" si="119"/>
        <v>0</v>
      </c>
      <c r="EB40" s="48">
        <f t="shared" si="119"/>
        <v>0</v>
      </c>
      <c r="EC40" s="48">
        <f t="shared" si="119"/>
        <v>0</v>
      </c>
      <c r="ED40" s="48">
        <f t="shared" ref="ED40:ES40" si="120">IF(ED$15=1,INDEX(Vol_O,20,ED$14)/12*(1+P_dVol),0)</f>
        <v>0</v>
      </c>
      <c r="EE40" s="48">
        <f t="shared" si="120"/>
        <v>0</v>
      </c>
      <c r="EF40" s="48">
        <f t="shared" si="120"/>
        <v>0</v>
      </c>
      <c r="EG40" s="48">
        <f t="shared" si="120"/>
        <v>0</v>
      </c>
      <c r="EH40" s="48">
        <f t="shared" si="120"/>
        <v>0</v>
      </c>
      <c r="EI40" s="48">
        <f t="shared" si="120"/>
        <v>0</v>
      </c>
      <c r="EJ40" s="48">
        <f t="shared" si="120"/>
        <v>0</v>
      </c>
      <c r="EK40" s="48">
        <f t="shared" si="120"/>
        <v>0</v>
      </c>
      <c r="EL40" s="48">
        <f t="shared" si="120"/>
        <v>0</v>
      </c>
      <c r="EM40" s="48">
        <f t="shared" si="120"/>
        <v>0</v>
      </c>
      <c r="EN40" s="48">
        <f t="shared" si="120"/>
        <v>0</v>
      </c>
      <c r="EO40" s="48">
        <f t="shared" si="120"/>
        <v>0</v>
      </c>
      <c r="EP40" s="48">
        <f t="shared" si="120"/>
        <v>0</v>
      </c>
      <c r="EQ40" s="48">
        <f t="shared" si="120"/>
        <v>0</v>
      </c>
      <c r="ER40" s="48">
        <f t="shared" si="120"/>
        <v>0</v>
      </c>
      <c r="ES40" s="48">
        <f t="shared" si="120"/>
        <v>0</v>
      </c>
    </row>
    <row r="41" spans="1:149" x14ac:dyDescent="0.3">
      <c r="A41" s="14" t="s">
        <v>1018</v>
      </c>
      <c r="B41" s="53" t="str">
        <f>IF(INDEX(Prod_Nombre,21)="","Producto 21",INDEX(Prod_Nombre,21))&amp;" — unidades"</f>
        <v>Producto 21 — unidades</v>
      </c>
      <c r="C41" s="18" t="s">
        <v>475</v>
      </c>
      <c r="E41" s="54">
        <f t="shared" si="20"/>
        <v>0</v>
      </c>
      <c r="F41" s="48">
        <f t="shared" ref="F41:AK41" si="121">IF(F$15=1,INDEX(Vol_O,21,F$14)/12*(1+P_dVol),0)</f>
        <v>0</v>
      </c>
      <c r="G41" s="48">
        <f t="shared" si="121"/>
        <v>0</v>
      </c>
      <c r="H41" s="48">
        <f t="shared" si="121"/>
        <v>0</v>
      </c>
      <c r="I41" s="48">
        <f t="shared" si="121"/>
        <v>0</v>
      </c>
      <c r="J41" s="48">
        <f t="shared" si="121"/>
        <v>0</v>
      </c>
      <c r="K41" s="48">
        <f t="shared" si="121"/>
        <v>0</v>
      </c>
      <c r="L41" s="48">
        <f t="shared" si="121"/>
        <v>0</v>
      </c>
      <c r="M41" s="48">
        <f t="shared" si="121"/>
        <v>0</v>
      </c>
      <c r="N41" s="48">
        <f t="shared" si="121"/>
        <v>0</v>
      </c>
      <c r="O41" s="48">
        <f t="shared" si="121"/>
        <v>0</v>
      </c>
      <c r="P41" s="48">
        <f t="shared" si="121"/>
        <v>0</v>
      </c>
      <c r="Q41" s="48">
        <f t="shared" si="121"/>
        <v>0</v>
      </c>
      <c r="R41" s="48">
        <f t="shared" si="121"/>
        <v>0</v>
      </c>
      <c r="S41" s="48">
        <f t="shared" si="121"/>
        <v>0</v>
      </c>
      <c r="T41" s="48">
        <f t="shared" si="121"/>
        <v>0</v>
      </c>
      <c r="U41" s="48">
        <f t="shared" si="121"/>
        <v>0</v>
      </c>
      <c r="V41" s="48">
        <f t="shared" si="121"/>
        <v>0</v>
      </c>
      <c r="W41" s="48">
        <f t="shared" si="121"/>
        <v>0</v>
      </c>
      <c r="X41" s="48">
        <f t="shared" si="121"/>
        <v>0</v>
      </c>
      <c r="Y41" s="48">
        <f t="shared" si="121"/>
        <v>0</v>
      </c>
      <c r="Z41" s="48">
        <f t="shared" si="121"/>
        <v>0</v>
      </c>
      <c r="AA41" s="48">
        <f t="shared" si="121"/>
        <v>0</v>
      </c>
      <c r="AB41" s="48">
        <f t="shared" si="121"/>
        <v>0</v>
      </c>
      <c r="AC41" s="48">
        <f t="shared" si="121"/>
        <v>0</v>
      </c>
      <c r="AD41" s="48">
        <f t="shared" si="121"/>
        <v>0</v>
      </c>
      <c r="AE41" s="48">
        <f t="shared" si="121"/>
        <v>0</v>
      </c>
      <c r="AF41" s="48">
        <f t="shared" si="121"/>
        <v>0</v>
      </c>
      <c r="AG41" s="48">
        <f t="shared" si="121"/>
        <v>0</v>
      </c>
      <c r="AH41" s="48">
        <f t="shared" si="121"/>
        <v>0</v>
      </c>
      <c r="AI41" s="48">
        <f t="shared" si="121"/>
        <v>0</v>
      </c>
      <c r="AJ41" s="48">
        <f t="shared" si="121"/>
        <v>0</v>
      </c>
      <c r="AK41" s="48">
        <f t="shared" si="121"/>
        <v>0</v>
      </c>
      <c r="AL41" s="48">
        <f t="shared" ref="AL41:BQ41" si="122">IF(AL$15=1,INDEX(Vol_O,21,AL$14)/12*(1+P_dVol),0)</f>
        <v>0</v>
      </c>
      <c r="AM41" s="48">
        <f t="shared" si="122"/>
        <v>0</v>
      </c>
      <c r="AN41" s="48">
        <f t="shared" si="122"/>
        <v>0</v>
      </c>
      <c r="AO41" s="48">
        <f t="shared" si="122"/>
        <v>0</v>
      </c>
      <c r="AP41" s="48">
        <f t="shared" si="122"/>
        <v>0</v>
      </c>
      <c r="AQ41" s="48">
        <f t="shared" si="122"/>
        <v>0</v>
      </c>
      <c r="AR41" s="48">
        <f t="shared" si="122"/>
        <v>0</v>
      </c>
      <c r="AS41" s="48">
        <f t="shared" si="122"/>
        <v>0</v>
      </c>
      <c r="AT41" s="48">
        <f t="shared" si="122"/>
        <v>0</v>
      </c>
      <c r="AU41" s="48">
        <f t="shared" si="122"/>
        <v>0</v>
      </c>
      <c r="AV41" s="48">
        <f t="shared" si="122"/>
        <v>0</v>
      </c>
      <c r="AW41" s="48">
        <f t="shared" si="122"/>
        <v>0</v>
      </c>
      <c r="AX41" s="48">
        <f t="shared" si="122"/>
        <v>0</v>
      </c>
      <c r="AY41" s="48">
        <f t="shared" si="122"/>
        <v>0</v>
      </c>
      <c r="AZ41" s="48">
        <f t="shared" si="122"/>
        <v>0</v>
      </c>
      <c r="BA41" s="48">
        <f t="shared" si="122"/>
        <v>0</v>
      </c>
      <c r="BB41" s="48">
        <f t="shared" si="122"/>
        <v>0</v>
      </c>
      <c r="BC41" s="48">
        <f t="shared" si="122"/>
        <v>0</v>
      </c>
      <c r="BD41" s="48">
        <f t="shared" si="122"/>
        <v>0</v>
      </c>
      <c r="BE41" s="48">
        <f t="shared" si="122"/>
        <v>0</v>
      </c>
      <c r="BF41" s="48">
        <f t="shared" si="122"/>
        <v>0</v>
      </c>
      <c r="BG41" s="48">
        <f t="shared" si="122"/>
        <v>0</v>
      </c>
      <c r="BH41" s="48">
        <f t="shared" si="122"/>
        <v>0</v>
      </c>
      <c r="BI41" s="48">
        <f t="shared" si="122"/>
        <v>0</v>
      </c>
      <c r="BJ41" s="48">
        <f t="shared" si="122"/>
        <v>0</v>
      </c>
      <c r="BK41" s="48">
        <f t="shared" si="122"/>
        <v>0</v>
      </c>
      <c r="BL41" s="48">
        <f t="shared" si="122"/>
        <v>0</v>
      </c>
      <c r="BM41" s="48">
        <f t="shared" si="122"/>
        <v>0</v>
      </c>
      <c r="BN41" s="48">
        <f t="shared" si="122"/>
        <v>0</v>
      </c>
      <c r="BO41" s="48">
        <f t="shared" si="122"/>
        <v>0</v>
      </c>
      <c r="BP41" s="48">
        <f t="shared" si="122"/>
        <v>0</v>
      </c>
      <c r="BQ41" s="48">
        <f t="shared" si="122"/>
        <v>0</v>
      </c>
      <c r="BR41" s="48">
        <f t="shared" ref="BR41:CW41" si="123">IF(BR$15=1,INDEX(Vol_O,21,BR$14)/12*(1+P_dVol),0)</f>
        <v>0</v>
      </c>
      <c r="BS41" s="48">
        <f t="shared" si="123"/>
        <v>0</v>
      </c>
      <c r="BT41" s="48">
        <f t="shared" si="123"/>
        <v>0</v>
      </c>
      <c r="BU41" s="48">
        <f t="shared" si="123"/>
        <v>0</v>
      </c>
      <c r="BV41" s="48">
        <f t="shared" si="123"/>
        <v>0</v>
      </c>
      <c r="BW41" s="48">
        <f t="shared" si="123"/>
        <v>0</v>
      </c>
      <c r="BX41" s="48">
        <f t="shared" si="123"/>
        <v>0</v>
      </c>
      <c r="BY41" s="48">
        <f t="shared" si="123"/>
        <v>0</v>
      </c>
      <c r="BZ41" s="48">
        <f t="shared" si="123"/>
        <v>0</v>
      </c>
      <c r="CA41" s="48">
        <f t="shared" si="123"/>
        <v>0</v>
      </c>
      <c r="CB41" s="48">
        <f t="shared" si="123"/>
        <v>0</v>
      </c>
      <c r="CC41" s="48">
        <f t="shared" si="123"/>
        <v>0</v>
      </c>
      <c r="CD41" s="48">
        <f t="shared" si="123"/>
        <v>0</v>
      </c>
      <c r="CE41" s="48">
        <f t="shared" si="123"/>
        <v>0</v>
      </c>
      <c r="CF41" s="48">
        <f t="shared" si="123"/>
        <v>0</v>
      </c>
      <c r="CG41" s="48">
        <f t="shared" si="123"/>
        <v>0</v>
      </c>
      <c r="CH41" s="48">
        <f t="shared" si="123"/>
        <v>0</v>
      </c>
      <c r="CI41" s="48">
        <f t="shared" si="123"/>
        <v>0</v>
      </c>
      <c r="CJ41" s="48">
        <f t="shared" si="123"/>
        <v>0</v>
      </c>
      <c r="CK41" s="48">
        <f t="shared" si="123"/>
        <v>0</v>
      </c>
      <c r="CL41" s="48">
        <f t="shared" si="123"/>
        <v>0</v>
      </c>
      <c r="CM41" s="48">
        <f t="shared" si="123"/>
        <v>0</v>
      </c>
      <c r="CN41" s="48">
        <f t="shared" si="123"/>
        <v>0</v>
      </c>
      <c r="CO41" s="48">
        <f t="shared" si="123"/>
        <v>0</v>
      </c>
      <c r="CP41" s="48">
        <f t="shared" si="123"/>
        <v>0</v>
      </c>
      <c r="CQ41" s="48">
        <f t="shared" si="123"/>
        <v>0</v>
      </c>
      <c r="CR41" s="48">
        <f t="shared" si="123"/>
        <v>0</v>
      </c>
      <c r="CS41" s="48">
        <f t="shared" si="123"/>
        <v>0</v>
      </c>
      <c r="CT41" s="48">
        <f t="shared" si="123"/>
        <v>0</v>
      </c>
      <c r="CU41" s="48">
        <f t="shared" si="123"/>
        <v>0</v>
      </c>
      <c r="CV41" s="48">
        <f t="shared" si="123"/>
        <v>0</v>
      </c>
      <c r="CW41" s="48">
        <f t="shared" si="123"/>
        <v>0</v>
      </c>
      <c r="CX41" s="48">
        <f t="shared" ref="CX41:EC41" si="124">IF(CX$15=1,INDEX(Vol_O,21,CX$14)/12*(1+P_dVol),0)</f>
        <v>0</v>
      </c>
      <c r="CY41" s="48">
        <f t="shared" si="124"/>
        <v>0</v>
      </c>
      <c r="CZ41" s="48">
        <f t="shared" si="124"/>
        <v>0</v>
      </c>
      <c r="DA41" s="48">
        <f t="shared" si="124"/>
        <v>0</v>
      </c>
      <c r="DB41" s="48">
        <f t="shared" si="124"/>
        <v>0</v>
      </c>
      <c r="DC41" s="48">
        <f t="shared" si="124"/>
        <v>0</v>
      </c>
      <c r="DD41" s="48">
        <f t="shared" si="124"/>
        <v>0</v>
      </c>
      <c r="DE41" s="48">
        <f t="shared" si="124"/>
        <v>0</v>
      </c>
      <c r="DF41" s="48">
        <f t="shared" si="124"/>
        <v>0</v>
      </c>
      <c r="DG41" s="48">
        <f t="shared" si="124"/>
        <v>0</v>
      </c>
      <c r="DH41" s="48">
        <f t="shared" si="124"/>
        <v>0</v>
      </c>
      <c r="DI41" s="48">
        <f t="shared" si="124"/>
        <v>0</v>
      </c>
      <c r="DJ41" s="48">
        <f t="shared" si="124"/>
        <v>0</v>
      </c>
      <c r="DK41" s="48">
        <f t="shared" si="124"/>
        <v>0</v>
      </c>
      <c r="DL41" s="48">
        <f t="shared" si="124"/>
        <v>0</v>
      </c>
      <c r="DM41" s="48">
        <f t="shared" si="124"/>
        <v>0</v>
      </c>
      <c r="DN41" s="48">
        <f t="shared" si="124"/>
        <v>0</v>
      </c>
      <c r="DO41" s="48">
        <f t="shared" si="124"/>
        <v>0</v>
      </c>
      <c r="DP41" s="48">
        <f t="shared" si="124"/>
        <v>0</v>
      </c>
      <c r="DQ41" s="48">
        <f t="shared" si="124"/>
        <v>0</v>
      </c>
      <c r="DR41" s="48">
        <f t="shared" si="124"/>
        <v>0</v>
      </c>
      <c r="DS41" s="48">
        <f t="shared" si="124"/>
        <v>0</v>
      </c>
      <c r="DT41" s="48">
        <f t="shared" si="124"/>
        <v>0</v>
      </c>
      <c r="DU41" s="48">
        <f t="shared" si="124"/>
        <v>0</v>
      </c>
      <c r="DV41" s="48">
        <f t="shared" si="124"/>
        <v>0</v>
      </c>
      <c r="DW41" s="48">
        <f t="shared" si="124"/>
        <v>0</v>
      </c>
      <c r="DX41" s="48">
        <f t="shared" si="124"/>
        <v>0</v>
      </c>
      <c r="DY41" s="48">
        <f t="shared" si="124"/>
        <v>0</v>
      </c>
      <c r="DZ41" s="48">
        <f t="shared" si="124"/>
        <v>0</v>
      </c>
      <c r="EA41" s="48">
        <f t="shared" si="124"/>
        <v>0</v>
      </c>
      <c r="EB41" s="48">
        <f t="shared" si="124"/>
        <v>0</v>
      </c>
      <c r="EC41" s="48">
        <f t="shared" si="124"/>
        <v>0</v>
      </c>
      <c r="ED41" s="48">
        <f t="shared" ref="ED41:ES41" si="125">IF(ED$15=1,INDEX(Vol_O,21,ED$14)/12*(1+P_dVol),0)</f>
        <v>0</v>
      </c>
      <c r="EE41" s="48">
        <f t="shared" si="125"/>
        <v>0</v>
      </c>
      <c r="EF41" s="48">
        <f t="shared" si="125"/>
        <v>0</v>
      </c>
      <c r="EG41" s="48">
        <f t="shared" si="125"/>
        <v>0</v>
      </c>
      <c r="EH41" s="48">
        <f t="shared" si="125"/>
        <v>0</v>
      </c>
      <c r="EI41" s="48">
        <f t="shared" si="125"/>
        <v>0</v>
      </c>
      <c r="EJ41" s="48">
        <f t="shared" si="125"/>
        <v>0</v>
      </c>
      <c r="EK41" s="48">
        <f t="shared" si="125"/>
        <v>0</v>
      </c>
      <c r="EL41" s="48">
        <f t="shared" si="125"/>
        <v>0</v>
      </c>
      <c r="EM41" s="48">
        <f t="shared" si="125"/>
        <v>0</v>
      </c>
      <c r="EN41" s="48">
        <f t="shared" si="125"/>
        <v>0</v>
      </c>
      <c r="EO41" s="48">
        <f t="shared" si="125"/>
        <v>0</v>
      </c>
      <c r="EP41" s="48">
        <f t="shared" si="125"/>
        <v>0</v>
      </c>
      <c r="EQ41" s="48">
        <f t="shared" si="125"/>
        <v>0</v>
      </c>
      <c r="ER41" s="48">
        <f t="shared" si="125"/>
        <v>0</v>
      </c>
      <c r="ES41" s="48">
        <f t="shared" si="125"/>
        <v>0</v>
      </c>
    </row>
    <row r="42" spans="1:149" x14ac:dyDescent="0.3">
      <c r="A42" s="14" t="s">
        <v>1019</v>
      </c>
      <c r="B42" s="53" t="str">
        <f>IF(INDEX(Prod_Nombre,22)="","Producto 22",INDEX(Prod_Nombre,22))&amp;" — unidades"</f>
        <v>Producto 22 — unidades</v>
      </c>
      <c r="C42" s="18" t="s">
        <v>475</v>
      </c>
      <c r="E42" s="54">
        <f t="shared" si="20"/>
        <v>0</v>
      </c>
      <c r="F42" s="48">
        <f t="shared" ref="F42:AK42" si="126">IF(F$15=1,INDEX(Vol_O,22,F$14)/12*(1+P_dVol),0)</f>
        <v>0</v>
      </c>
      <c r="G42" s="48">
        <f t="shared" si="126"/>
        <v>0</v>
      </c>
      <c r="H42" s="48">
        <f t="shared" si="126"/>
        <v>0</v>
      </c>
      <c r="I42" s="48">
        <f t="shared" si="126"/>
        <v>0</v>
      </c>
      <c r="J42" s="48">
        <f t="shared" si="126"/>
        <v>0</v>
      </c>
      <c r="K42" s="48">
        <f t="shared" si="126"/>
        <v>0</v>
      </c>
      <c r="L42" s="48">
        <f t="shared" si="126"/>
        <v>0</v>
      </c>
      <c r="M42" s="48">
        <f t="shared" si="126"/>
        <v>0</v>
      </c>
      <c r="N42" s="48">
        <f t="shared" si="126"/>
        <v>0</v>
      </c>
      <c r="O42" s="48">
        <f t="shared" si="126"/>
        <v>0</v>
      </c>
      <c r="P42" s="48">
        <f t="shared" si="126"/>
        <v>0</v>
      </c>
      <c r="Q42" s="48">
        <f t="shared" si="126"/>
        <v>0</v>
      </c>
      <c r="R42" s="48">
        <f t="shared" si="126"/>
        <v>0</v>
      </c>
      <c r="S42" s="48">
        <f t="shared" si="126"/>
        <v>0</v>
      </c>
      <c r="T42" s="48">
        <f t="shared" si="126"/>
        <v>0</v>
      </c>
      <c r="U42" s="48">
        <f t="shared" si="126"/>
        <v>0</v>
      </c>
      <c r="V42" s="48">
        <f t="shared" si="126"/>
        <v>0</v>
      </c>
      <c r="W42" s="48">
        <f t="shared" si="126"/>
        <v>0</v>
      </c>
      <c r="X42" s="48">
        <f t="shared" si="126"/>
        <v>0</v>
      </c>
      <c r="Y42" s="48">
        <f t="shared" si="126"/>
        <v>0</v>
      </c>
      <c r="Z42" s="48">
        <f t="shared" si="126"/>
        <v>0</v>
      </c>
      <c r="AA42" s="48">
        <f t="shared" si="126"/>
        <v>0</v>
      </c>
      <c r="AB42" s="48">
        <f t="shared" si="126"/>
        <v>0</v>
      </c>
      <c r="AC42" s="48">
        <f t="shared" si="126"/>
        <v>0</v>
      </c>
      <c r="AD42" s="48">
        <f t="shared" si="126"/>
        <v>0</v>
      </c>
      <c r="AE42" s="48">
        <f t="shared" si="126"/>
        <v>0</v>
      </c>
      <c r="AF42" s="48">
        <f t="shared" si="126"/>
        <v>0</v>
      </c>
      <c r="AG42" s="48">
        <f t="shared" si="126"/>
        <v>0</v>
      </c>
      <c r="AH42" s="48">
        <f t="shared" si="126"/>
        <v>0</v>
      </c>
      <c r="AI42" s="48">
        <f t="shared" si="126"/>
        <v>0</v>
      </c>
      <c r="AJ42" s="48">
        <f t="shared" si="126"/>
        <v>0</v>
      </c>
      <c r="AK42" s="48">
        <f t="shared" si="126"/>
        <v>0</v>
      </c>
      <c r="AL42" s="48">
        <f t="shared" ref="AL42:BQ42" si="127">IF(AL$15=1,INDEX(Vol_O,22,AL$14)/12*(1+P_dVol),0)</f>
        <v>0</v>
      </c>
      <c r="AM42" s="48">
        <f t="shared" si="127"/>
        <v>0</v>
      </c>
      <c r="AN42" s="48">
        <f t="shared" si="127"/>
        <v>0</v>
      </c>
      <c r="AO42" s="48">
        <f t="shared" si="127"/>
        <v>0</v>
      </c>
      <c r="AP42" s="48">
        <f t="shared" si="127"/>
        <v>0</v>
      </c>
      <c r="AQ42" s="48">
        <f t="shared" si="127"/>
        <v>0</v>
      </c>
      <c r="AR42" s="48">
        <f t="shared" si="127"/>
        <v>0</v>
      </c>
      <c r="AS42" s="48">
        <f t="shared" si="127"/>
        <v>0</v>
      </c>
      <c r="AT42" s="48">
        <f t="shared" si="127"/>
        <v>0</v>
      </c>
      <c r="AU42" s="48">
        <f t="shared" si="127"/>
        <v>0</v>
      </c>
      <c r="AV42" s="48">
        <f t="shared" si="127"/>
        <v>0</v>
      </c>
      <c r="AW42" s="48">
        <f t="shared" si="127"/>
        <v>0</v>
      </c>
      <c r="AX42" s="48">
        <f t="shared" si="127"/>
        <v>0</v>
      </c>
      <c r="AY42" s="48">
        <f t="shared" si="127"/>
        <v>0</v>
      </c>
      <c r="AZ42" s="48">
        <f t="shared" si="127"/>
        <v>0</v>
      </c>
      <c r="BA42" s="48">
        <f t="shared" si="127"/>
        <v>0</v>
      </c>
      <c r="BB42" s="48">
        <f t="shared" si="127"/>
        <v>0</v>
      </c>
      <c r="BC42" s="48">
        <f t="shared" si="127"/>
        <v>0</v>
      </c>
      <c r="BD42" s="48">
        <f t="shared" si="127"/>
        <v>0</v>
      </c>
      <c r="BE42" s="48">
        <f t="shared" si="127"/>
        <v>0</v>
      </c>
      <c r="BF42" s="48">
        <f t="shared" si="127"/>
        <v>0</v>
      </c>
      <c r="BG42" s="48">
        <f t="shared" si="127"/>
        <v>0</v>
      </c>
      <c r="BH42" s="48">
        <f t="shared" si="127"/>
        <v>0</v>
      </c>
      <c r="BI42" s="48">
        <f t="shared" si="127"/>
        <v>0</v>
      </c>
      <c r="BJ42" s="48">
        <f t="shared" si="127"/>
        <v>0</v>
      </c>
      <c r="BK42" s="48">
        <f t="shared" si="127"/>
        <v>0</v>
      </c>
      <c r="BL42" s="48">
        <f t="shared" si="127"/>
        <v>0</v>
      </c>
      <c r="BM42" s="48">
        <f t="shared" si="127"/>
        <v>0</v>
      </c>
      <c r="BN42" s="48">
        <f t="shared" si="127"/>
        <v>0</v>
      </c>
      <c r="BO42" s="48">
        <f t="shared" si="127"/>
        <v>0</v>
      </c>
      <c r="BP42" s="48">
        <f t="shared" si="127"/>
        <v>0</v>
      </c>
      <c r="BQ42" s="48">
        <f t="shared" si="127"/>
        <v>0</v>
      </c>
      <c r="BR42" s="48">
        <f t="shared" ref="BR42:CW42" si="128">IF(BR$15=1,INDEX(Vol_O,22,BR$14)/12*(1+P_dVol),0)</f>
        <v>0</v>
      </c>
      <c r="BS42" s="48">
        <f t="shared" si="128"/>
        <v>0</v>
      </c>
      <c r="BT42" s="48">
        <f t="shared" si="128"/>
        <v>0</v>
      </c>
      <c r="BU42" s="48">
        <f t="shared" si="128"/>
        <v>0</v>
      </c>
      <c r="BV42" s="48">
        <f t="shared" si="128"/>
        <v>0</v>
      </c>
      <c r="BW42" s="48">
        <f t="shared" si="128"/>
        <v>0</v>
      </c>
      <c r="BX42" s="48">
        <f t="shared" si="128"/>
        <v>0</v>
      </c>
      <c r="BY42" s="48">
        <f t="shared" si="128"/>
        <v>0</v>
      </c>
      <c r="BZ42" s="48">
        <f t="shared" si="128"/>
        <v>0</v>
      </c>
      <c r="CA42" s="48">
        <f t="shared" si="128"/>
        <v>0</v>
      </c>
      <c r="CB42" s="48">
        <f t="shared" si="128"/>
        <v>0</v>
      </c>
      <c r="CC42" s="48">
        <f t="shared" si="128"/>
        <v>0</v>
      </c>
      <c r="CD42" s="48">
        <f t="shared" si="128"/>
        <v>0</v>
      </c>
      <c r="CE42" s="48">
        <f t="shared" si="128"/>
        <v>0</v>
      </c>
      <c r="CF42" s="48">
        <f t="shared" si="128"/>
        <v>0</v>
      </c>
      <c r="CG42" s="48">
        <f t="shared" si="128"/>
        <v>0</v>
      </c>
      <c r="CH42" s="48">
        <f t="shared" si="128"/>
        <v>0</v>
      </c>
      <c r="CI42" s="48">
        <f t="shared" si="128"/>
        <v>0</v>
      </c>
      <c r="CJ42" s="48">
        <f t="shared" si="128"/>
        <v>0</v>
      </c>
      <c r="CK42" s="48">
        <f t="shared" si="128"/>
        <v>0</v>
      </c>
      <c r="CL42" s="48">
        <f t="shared" si="128"/>
        <v>0</v>
      </c>
      <c r="CM42" s="48">
        <f t="shared" si="128"/>
        <v>0</v>
      </c>
      <c r="CN42" s="48">
        <f t="shared" si="128"/>
        <v>0</v>
      </c>
      <c r="CO42" s="48">
        <f t="shared" si="128"/>
        <v>0</v>
      </c>
      <c r="CP42" s="48">
        <f t="shared" si="128"/>
        <v>0</v>
      </c>
      <c r="CQ42" s="48">
        <f t="shared" si="128"/>
        <v>0</v>
      </c>
      <c r="CR42" s="48">
        <f t="shared" si="128"/>
        <v>0</v>
      </c>
      <c r="CS42" s="48">
        <f t="shared" si="128"/>
        <v>0</v>
      </c>
      <c r="CT42" s="48">
        <f t="shared" si="128"/>
        <v>0</v>
      </c>
      <c r="CU42" s="48">
        <f t="shared" si="128"/>
        <v>0</v>
      </c>
      <c r="CV42" s="48">
        <f t="shared" si="128"/>
        <v>0</v>
      </c>
      <c r="CW42" s="48">
        <f t="shared" si="128"/>
        <v>0</v>
      </c>
      <c r="CX42" s="48">
        <f t="shared" ref="CX42:EC42" si="129">IF(CX$15=1,INDEX(Vol_O,22,CX$14)/12*(1+P_dVol),0)</f>
        <v>0</v>
      </c>
      <c r="CY42" s="48">
        <f t="shared" si="129"/>
        <v>0</v>
      </c>
      <c r="CZ42" s="48">
        <f t="shared" si="129"/>
        <v>0</v>
      </c>
      <c r="DA42" s="48">
        <f t="shared" si="129"/>
        <v>0</v>
      </c>
      <c r="DB42" s="48">
        <f t="shared" si="129"/>
        <v>0</v>
      </c>
      <c r="DC42" s="48">
        <f t="shared" si="129"/>
        <v>0</v>
      </c>
      <c r="DD42" s="48">
        <f t="shared" si="129"/>
        <v>0</v>
      </c>
      <c r="DE42" s="48">
        <f t="shared" si="129"/>
        <v>0</v>
      </c>
      <c r="DF42" s="48">
        <f t="shared" si="129"/>
        <v>0</v>
      </c>
      <c r="DG42" s="48">
        <f t="shared" si="129"/>
        <v>0</v>
      </c>
      <c r="DH42" s="48">
        <f t="shared" si="129"/>
        <v>0</v>
      </c>
      <c r="DI42" s="48">
        <f t="shared" si="129"/>
        <v>0</v>
      </c>
      <c r="DJ42" s="48">
        <f t="shared" si="129"/>
        <v>0</v>
      </c>
      <c r="DK42" s="48">
        <f t="shared" si="129"/>
        <v>0</v>
      </c>
      <c r="DL42" s="48">
        <f t="shared" si="129"/>
        <v>0</v>
      </c>
      <c r="DM42" s="48">
        <f t="shared" si="129"/>
        <v>0</v>
      </c>
      <c r="DN42" s="48">
        <f t="shared" si="129"/>
        <v>0</v>
      </c>
      <c r="DO42" s="48">
        <f t="shared" si="129"/>
        <v>0</v>
      </c>
      <c r="DP42" s="48">
        <f t="shared" si="129"/>
        <v>0</v>
      </c>
      <c r="DQ42" s="48">
        <f t="shared" si="129"/>
        <v>0</v>
      </c>
      <c r="DR42" s="48">
        <f t="shared" si="129"/>
        <v>0</v>
      </c>
      <c r="DS42" s="48">
        <f t="shared" si="129"/>
        <v>0</v>
      </c>
      <c r="DT42" s="48">
        <f t="shared" si="129"/>
        <v>0</v>
      </c>
      <c r="DU42" s="48">
        <f t="shared" si="129"/>
        <v>0</v>
      </c>
      <c r="DV42" s="48">
        <f t="shared" si="129"/>
        <v>0</v>
      </c>
      <c r="DW42" s="48">
        <f t="shared" si="129"/>
        <v>0</v>
      </c>
      <c r="DX42" s="48">
        <f t="shared" si="129"/>
        <v>0</v>
      </c>
      <c r="DY42" s="48">
        <f t="shared" si="129"/>
        <v>0</v>
      </c>
      <c r="DZ42" s="48">
        <f t="shared" si="129"/>
        <v>0</v>
      </c>
      <c r="EA42" s="48">
        <f t="shared" si="129"/>
        <v>0</v>
      </c>
      <c r="EB42" s="48">
        <f t="shared" si="129"/>
        <v>0</v>
      </c>
      <c r="EC42" s="48">
        <f t="shared" si="129"/>
        <v>0</v>
      </c>
      <c r="ED42" s="48">
        <f t="shared" ref="ED42:ES42" si="130">IF(ED$15=1,INDEX(Vol_O,22,ED$14)/12*(1+P_dVol),0)</f>
        <v>0</v>
      </c>
      <c r="EE42" s="48">
        <f t="shared" si="130"/>
        <v>0</v>
      </c>
      <c r="EF42" s="48">
        <f t="shared" si="130"/>
        <v>0</v>
      </c>
      <c r="EG42" s="48">
        <f t="shared" si="130"/>
        <v>0</v>
      </c>
      <c r="EH42" s="48">
        <f t="shared" si="130"/>
        <v>0</v>
      </c>
      <c r="EI42" s="48">
        <f t="shared" si="130"/>
        <v>0</v>
      </c>
      <c r="EJ42" s="48">
        <f t="shared" si="130"/>
        <v>0</v>
      </c>
      <c r="EK42" s="48">
        <f t="shared" si="130"/>
        <v>0</v>
      </c>
      <c r="EL42" s="48">
        <f t="shared" si="130"/>
        <v>0</v>
      </c>
      <c r="EM42" s="48">
        <f t="shared" si="130"/>
        <v>0</v>
      </c>
      <c r="EN42" s="48">
        <f t="shared" si="130"/>
        <v>0</v>
      </c>
      <c r="EO42" s="48">
        <f t="shared" si="130"/>
        <v>0</v>
      </c>
      <c r="EP42" s="48">
        <f t="shared" si="130"/>
        <v>0</v>
      </c>
      <c r="EQ42" s="48">
        <f t="shared" si="130"/>
        <v>0</v>
      </c>
      <c r="ER42" s="48">
        <f t="shared" si="130"/>
        <v>0</v>
      </c>
      <c r="ES42" s="48">
        <f t="shared" si="130"/>
        <v>0</v>
      </c>
    </row>
    <row r="43" spans="1:149" x14ac:dyDescent="0.3">
      <c r="A43" s="14" t="s">
        <v>1020</v>
      </c>
      <c r="B43" s="53" t="str">
        <f>IF(INDEX(Prod_Nombre,23)="","Producto 23",INDEX(Prod_Nombre,23))&amp;" — unidades"</f>
        <v>Producto 23 — unidades</v>
      </c>
      <c r="C43" s="18" t="s">
        <v>475</v>
      </c>
      <c r="E43" s="54">
        <f t="shared" si="20"/>
        <v>0</v>
      </c>
      <c r="F43" s="48">
        <f t="shared" ref="F43:AK43" si="131">IF(F$15=1,INDEX(Vol_O,23,F$14)/12*(1+P_dVol),0)</f>
        <v>0</v>
      </c>
      <c r="G43" s="48">
        <f t="shared" si="131"/>
        <v>0</v>
      </c>
      <c r="H43" s="48">
        <f t="shared" si="131"/>
        <v>0</v>
      </c>
      <c r="I43" s="48">
        <f t="shared" si="131"/>
        <v>0</v>
      </c>
      <c r="J43" s="48">
        <f t="shared" si="131"/>
        <v>0</v>
      </c>
      <c r="K43" s="48">
        <f t="shared" si="131"/>
        <v>0</v>
      </c>
      <c r="L43" s="48">
        <f t="shared" si="131"/>
        <v>0</v>
      </c>
      <c r="M43" s="48">
        <f t="shared" si="131"/>
        <v>0</v>
      </c>
      <c r="N43" s="48">
        <f t="shared" si="131"/>
        <v>0</v>
      </c>
      <c r="O43" s="48">
        <f t="shared" si="131"/>
        <v>0</v>
      </c>
      <c r="P43" s="48">
        <f t="shared" si="131"/>
        <v>0</v>
      </c>
      <c r="Q43" s="48">
        <f t="shared" si="131"/>
        <v>0</v>
      </c>
      <c r="R43" s="48">
        <f t="shared" si="131"/>
        <v>0</v>
      </c>
      <c r="S43" s="48">
        <f t="shared" si="131"/>
        <v>0</v>
      </c>
      <c r="T43" s="48">
        <f t="shared" si="131"/>
        <v>0</v>
      </c>
      <c r="U43" s="48">
        <f t="shared" si="131"/>
        <v>0</v>
      </c>
      <c r="V43" s="48">
        <f t="shared" si="131"/>
        <v>0</v>
      </c>
      <c r="W43" s="48">
        <f t="shared" si="131"/>
        <v>0</v>
      </c>
      <c r="X43" s="48">
        <f t="shared" si="131"/>
        <v>0</v>
      </c>
      <c r="Y43" s="48">
        <f t="shared" si="131"/>
        <v>0</v>
      </c>
      <c r="Z43" s="48">
        <f t="shared" si="131"/>
        <v>0</v>
      </c>
      <c r="AA43" s="48">
        <f t="shared" si="131"/>
        <v>0</v>
      </c>
      <c r="AB43" s="48">
        <f t="shared" si="131"/>
        <v>0</v>
      </c>
      <c r="AC43" s="48">
        <f t="shared" si="131"/>
        <v>0</v>
      </c>
      <c r="AD43" s="48">
        <f t="shared" si="131"/>
        <v>0</v>
      </c>
      <c r="AE43" s="48">
        <f t="shared" si="131"/>
        <v>0</v>
      </c>
      <c r="AF43" s="48">
        <f t="shared" si="131"/>
        <v>0</v>
      </c>
      <c r="AG43" s="48">
        <f t="shared" si="131"/>
        <v>0</v>
      </c>
      <c r="AH43" s="48">
        <f t="shared" si="131"/>
        <v>0</v>
      </c>
      <c r="AI43" s="48">
        <f t="shared" si="131"/>
        <v>0</v>
      </c>
      <c r="AJ43" s="48">
        <f t="shared" si="131"/>
        <v>0</v>
      </c>
      <c r="AK43" s="48">
        <f t="shared" si="131"/>
        <v>0</v>
      </c>
      <c r="AL43" s="48">
        <f t="shared" ref="AL43:BQ43" si="132">IF(AL$15=1,INDEX(Vol_O,23,AL$14)/12*(1+P_dVol),0)</f>
        <v>0</v>
      </c>
      <c r="AM43" s="48">
        <f t="shared" si="132"/>
        <v>0</v>
      </c>
      <c r="AN43" s="48">
        <f t="shared" si="132"/>
        <v>0</v>
      </c>
      <c r="AO43" s="48">
        <f t="shared" si="132"/>
        <v>0</v>
      </c>
      <c r="AP43" s="48">
        <f t="shared" si="132"/>
        <v>0</v>
      </c>
      <c r="AQ43" s="48">
        <f t="shared" si="132"/>
        <v>0</v>
      </c>
      <c r="AR43" s="48">
        <f t="shared" si="132"/>
        <v>0</v>
      </c>
      <c r="AS43" s="48">
        <f t="shared" si="132"/>
        <v>0</v>
      </c>
      <c r="AT43" s="48">
        <f t="shared" si="132"/>
        <v>0</v>
      </c>
      <c r="AU43" s="48">
        <f t="shared" si="132"/>
        <v>0</v>
      </c>
      <c r="AV43" s="48">
        <f t="shared" si="132"/>
        <v>0</v>
      </c>
      <c r="AW43" s="48">
        <f t="shared" si="132"/>
        <v>0</v>
      </c>
      <c r="AX43" s="48">
        <f t="shared" si="132"/>
        <v>0</v>
      </c>
      <c r="AY43" s="48">
        <f t="shared" si="132"/>
        <v>0</v>
      </c>
      <c r="AZ43" s="48">
        <f t="shared" si="132"/>
        <v>0</v>
      </c>
      <c r="BA43" s="48">
        <f t="shared" si="132"/>
        <v>0</v>
      </c>
      <c r="BB43" s="48">
        <f t="shared" si="132"/>
        <v>0</v>
      </c>
      <c r="BC43" s="48">
        <f t="shared" si="132"/>
        <v>0</v>
      </c>
      <c r="BD43" s="48">
        <f t="shared" si="132"/>
        <v>0</v>
      </c>
      <c r="BE43" s="48">
        <f t="shared" si="132"/>
        <v>0</v>
      </c>
      <c r="BF43" s="48">
        <f t="shared" si="132"/>
        <v>0</v>
      </c>
      <c r="BG43" s="48">
        <f t="shared" si="132"/>
        <v>0</v>
      </c>
      <c r="BH43" s="48">
        <f t="shared" si="132"/>
        <v>0</v>
      </c>
      <c r="BI43" s="48">
        <f t="shared" si="132"/>
        <v>0</v>
      </c>
      <c r="BJ43" s="48">
        <f t="shared" si="132"/>
        <v>0</v>
      </c>
      <c r="BK43" s="48">
        <f t="shared" si="132"/>
        <v>0</v>
      </c>
      <c r="BL43" s="48">
        <f t="shared" si="132"/>
        <v>0</v>
      </c>
      <c r="BM43" s="48">
        <f t="shared" si="132"/>
        <v>0</v>
      </c>
      <c r="BN43" s="48">
        <f t="shared" si="132"/>
        <v>0</v>
      </c>
      <c r="BO43" s="48">
        <f t="shared" si="132"/>
        <v>0</v>
      </c>
      <c r="BP43" s="48">
        <f t="shared" si="132"/>
        <v>0</v>
      </c>
      <c r="BQ43" s="48">
        <f t="shared" si="132"/>
        <v>0</v>
      </c>
      <c r="BR43" s="48">
        <f t="shared" ref="BR43:CW43" si="133">IF(BR$15=1,INDEX(Vol_O,23,BR$14)/12*(1+P_dVol),0)</f>
        <v>0</v>
      </c>
      <c r="BS43" s="48">
        <f t="shared" si="133"/>
        <v>0</v>
      </c>
      <c r="BT43" s="48">
        <f t="shared" si="133"/>
        <v>0</v>
      </c>
      <c r="BU43" s="48">
        <f t="shared" si="133"/>
        <v>0</v>
      </c>
      <c r="BV43" s="48">
        <f t="shared" si="133"/>
        <v>0</v>
      </c>
      <c r="BW43" s="48">
        <f t="shared" si="133"/>
        <v>0</v>
      </c>
      <c r="BX43" s="48">
        <f t="shared" si="133"/>
        <v>0</v>
      </c>
      <c r="BY43" s="48">
        <f t="shared" si="133"/>
        <v>0</v>
      </c>
      <c r="BZ43" s="48">
        <f t="shared" si="133"/>
        <v>0</v>
      </c>
      <c r="CA43" s="48">
        <f t="shared" si="133"/>
        <v>0</v>
      </c>
      <c r="CB43" s="48">
        <f t="shared" si="133"/>
        <v>0</v>
      </c>
      <c r="CC43" s="48">
        <f t="shared" si="133"/>
        <v>0</v>
      </c>
      <c r="CD43" s="48">
        <f t="shared" si="133"/>
        <v>0</v>
      </c>
      <c r="CE43" s="48">
        <f t="shared" si="133"/>
        <v>0</v>
      </c>
      <c r="CF43" s="48">
        <f t="shared" si="133"/>
        <v>0</v>
      </c>
      <c r="CG43" s="48">
        <f t="shared" si="133"/>
        <v>0</v>
      </c>
      <c r="CH43" s="48">
        <f t="shared" si="133"/>
        <v>0</v>
      </c>
      <c r="CI43" s="48">
        <f t="shared" si="133"/>
        <v>0</v>
      </c>
      <c r="CJ43" s="48">
        <f t="shared" si="133"/>
        <v>0</v>
      </c>
      <c r="CK43" s="48">
        <f t="shared" si="133"/>
        <v>0</v>
      </c>
      <c r="CL43" s="48">
        <f t="shared" si="133"/>
        <v>0</v>
      </c>
      <c r="CM43" s="48">
        <f t="shared" si="133"/>
        <v>0</v>
      </c>
      <c r="CN43" s="48">
        <f t="shared" si="133"/>
        <v>0</v>
      </c>
      <c r="CO43" s="48">
        <f t="shared" si="133"/>
        <v>0</v>
      </c>
      <c r="CP43" s="48">
        <f t="shared" si="133"/>
        <v>0</v>
      </c>
      <c r="CQ43" s="48">
        <f t="shared" si="133"/>
        <v>0</v>
      </c>
      <c r="CR43" s="48">
        <f t="shared" si="133"/>
        <v>0</v>
      </c>
      <c r="CS43" s="48">
        <f t="shared" si="133"/>
        <v>0</v>
      </c>
      <c r="CT43" s="48">
        <f t="shared" si="133"/>
        <v>0</v>
      </c>
      <c r="CU43" s="48">
        <f t="shared" si="133"/>
        <v>0</v>
      </c>
      <c r="CV43" s="48">
        <f t="shared" si="133"/>
        <v>0</v>
      </c>
      <c r="CW43" s="48">
        <f t="shared" si="133"/>
        <v>0</v>
      </c>
      <c r="CX43" s="48">
        <f t="shared" ref="CX43:EC43" si="134">IF(CX$15=1,INDEX(Vol_O,23,CX$14)/12*(1+P_dVol),0)</f>
        <v>0</v>
      </c>
      <c r="CY43" s="48">
        <f t="shared" si="134"/>
        <v>0</v>
      </c>
      <c r="CZ43" s="48">
        <f t="shared" si="134"/>
        <v>0</v>
      </c>
      <c r="DA43" s="48">
        <f t="shared" si="134"/>
        <v>0</v>
      </c>
      <c r="DB43" s="48">
        <f t="shared" si="134"/>
        <v>0</v>
      </c>
      <c r="DC43" s="48">
        <f t="shared" si="134"/>
        <v>0</v>
      </c>
      <c r="DD43" s="48">
        <f t="shared" si="134"/>
        <v>0</v>
      </c>
      <c r="DE43" s="48">
        <f t="shared" si="134"/>
        <v>0</v>
      </c>
      <c r="DF43" s="48">
        <f t="shared" si="134"/>
        <v>0</v>
      </c>
      <c r="DG43" s="48">
        <f t="shared" si="134"/>
        <v>0</v>
      </c>
      <c r="DH43" s="48">
        <f t="shared" si="134"/>
        <v>0</v>
      </c>
      <c r="DI43" s="48">
        <f t="shared" si="134"/>
        <v>0</v>
      </c>
      <c r="DJ43" s="48">
        <f t="shared" si="134"/>
        <v>0</v>
      </c>
      <c r="DK43" s="48">
        <f t="shared" si="134"/>
        <v>0</v>
      </c>
      <c r="DL43" s="48">
        <f t="shared" si="134"/>
        <v>0</v>
      </c>
      <c r="DM43" s="48">
        <f t="shared" si="134"/>
        <v>0</v>
      </c>
      <c r="DN43" s="48">
        <f t="shared" si="134"/>
        <v>0</v>
      </c>
      <c r="DO43" s="48">
        <f t="shared" si="134"/>
        <v>0</v>
      </c>
      <c r="DP43" s="48">
        <f t="shared" si="134"/>
        <v>0</v>
      </c>
      <c r="DQ43" s="48">
        <f t="shared" si="134"/>
        <v>0</v>
      </c>
      <c r="DR43" s="48">
        <f t="shared" si="134"/>
        <v>0</v>
      </c>
      <c r="DS43" s="48">
        <f t="shared" si="134"/>
        <v>0</v>
      </c>
      <c r="DT43" s="48">
        <f t="shared" si="134"/>
        <v>0</v>
      </c>
      <c r="DU43" s="48">
        <f t="shared" si="134"/>
        <v>0</v>
      </c>
      <c r="DV43" s="48">
        <f t="shared" si="134"/>
        <v>0</v>
      </c>
      <c r="DW43" s="48">
        <f t="shared" si="134"/>
        <v>0</v>
      </c>
      <c r="DX43" s="48">
        <f t="shared" si="134"/>
        <v>0</v>
      </c>
      <c r="DY43" s="48">
        <f t="shared" si="134"/>
        <v>0</v>
      </c>
      <c r="DZ43" s="48">
        <f t="shared" si="134"/>
        <v>0</v>
      </c>
      <c r="EA43" s="48">
        <f t="shared" si="134"/>
        <v>0</v>
      </c>
      <c r="EB43" s="48">
        <f t="shared" si="134"/>
        <v>0</v>
      </c>
      <c r="EC43" s="48">
        <f t="shared" si="134"/>
        <v>0</v>
      </c>
      <c r="ED43" s="48">
        <f t="shared" ref="ED43:ES43" si="135">IF(ED$15=1,INDEX(Vol_O,23,ED$14)/12*(1+P_dVol),0)</f>
        <v>0</v>
      </c>
      <c r="EE43" s="48">
        <f t="shared" si="135"/>
        <v>0</v>
      </c>
      <c r="EF43" s="48">
        <f t="shared" si="135"/>
        <v>0</v>
      </c>
      <c r="EG43" s="48">
        <f t="shared" si="135"/>
        <v>0</v>
      </c>
      <c r="EH43" s="48">
        <f t="shared" si="135"/>
        <v>0</v>
      </c>
      <c r="EI43" s="48">
        <f t="shared" si="135"/>
        <v>0</v>
      </c>
      <c r="EJ43" s="48">
        <f t="shared" si="135"/>
        <v>0</v>
      </c>
      <c r="EK43" s="48">
        <f t="shared" si="135"/>
        <v>0</v>
      </c>
      <c r="EL43" s="48">
        <f t="shared" si="135"/>
        <v>0</v>
      </c>
      <c r="EM43" s="48">
        <f t="shared" si="135"/>
        <v>0</v>
      </c>
      <c r="EN43" s="48">
        <f t="shared" si="135"/>
        <v>0</v>
      </c>
      <c r="EO43" s="48">
        <f t="shared" si="135"/>
        <v>0</v>
      </c>
      <c r="EP43" s="48">
        <f t="shared" si="135"/>
        <v>0</v>
      </c>
      <c r="EQ43" s="48">
        <f t="shared" si="135"/>
        <v>0</v>
      </c>
      <c r="ER43" s="48">
        <f t="shared" si="135"/>
        <v>0</v>
      </c>
      <c r="ES43" s="48">
        <f t="shared" si="135"/>
        <v>0</v>
      </c>
    </row>
    <row r="44" spans="1:149" x14ac:dyDescent="0.3">
      <c r="A44" s="14" t="s">
        <v>1021</v>
      </c>
      <c r="B44" s="53" t="str">
        <f>IF(INDEX(Prod_Nombre,24)="","Producto 24",INDEX(Prod_Nombre,24))&amp;" — unidades"</f>
        <v>Producto 24 — unidades</v>
      </c>
      <c r="C44" s="18" t="s">
        <v>475</v>
      </c>
      <c r="E44" s="54">
        <f t="shared" si="20"/>
        <v>0</v>
      </c>
      <c r="F44" s="48">
        <f t="shared" ref="F44:AK44" si="136">IF(F$15=1,INDEX(Vol_O,24,F$14)/12*(1+P_dVol),0)</f>
        <v>0</v>
      </c>
      <c r="G44" s="48">
        <f t="shared" si="136"/>
        <v>0</v>
      </c>
      <c r="H44" s="48">
        <f t="shared" si="136"/>
        <v>0</v>
      </c>
      <c r="I44" s="48">
        <f t="shared" si="136"/>
        <v>0</v>
      </c>
      <c r="J44" s="48">
        <f t="shared" si="136"/>
        <v>0</v>
      </c>
      <c r="K44" s="48">
        <f t="shared" si="136"/>
        <v>0</v>
      </c>
      <c r="L44" s="48">
        <f t="shared" si="136"/>
        <v>0</v>
      </c>
      <c r="M44" s="48">
        <f t="shared" si="136"/>
        <v>0</v>
      </c>
      <c r="N44" s="48">
        <f t="shared" si="136"/>
        <v>0</v>
      </c>
      <c r="O44" s="48">
        <f t="shared" si="136"/>
        <v>0</v>
      </c>
      <c r="P44" s="48">
        <f t="shared" si="136"/>
        <v>0</v>
      </c>
      <c r="Q44" s="48">
        <f t="shared" si="136"/>
        <v>0</v>
      </c>
      <c r="R44" s="48">
        <f t="shared" si="136"/>
        <v>0</v>
      </c>
      <c r="S44" s="48">
        <f t="shared" si="136"/>
        <v>0</v>
      </c>
      <c r="T44" s="48">
        <f t="shared" si="136"/>
        <v>0</v>
      </c>
      <c r="U44" s="48">
        <f t="shared" si="136"/>
        <v>0</v>
      </c>
      <c r="V44" s="48">
        <f t="shared" si="136"/>
        <v>0</v>
      </c>
      <c r="W44" s="48">
        <f t="shared" si="136"/>
        <v>0</v>
      </c>
      <c r="X44" s="48">
        <f t="shared" si="136"/>
        <v>0</v>
      </c>
      <c r="Y44" s="48">
        <f t="shared" si="136"/>
        <v>0</v>
      </c>
      <c r="Z44" s="48">
        <f t="shared" si="136"/>
        <v>0</v>
      </c>
      <c r="AA44" s="48">
        <f t="shared" si="136"/>
        <v>0</v>
      </c>
      <c r="AB44" s="48">
        <f t="shared" si="136"/>
        <v>0</v>
      </c>
      <c r="AC44" s="48">
        <f t="shared" si="136"/>
        <v>0</v>
      </c>
      <c r="AD44" s="48">
        <f t="shared" si="136"/>
        <v>0</v>
      </c>
      <c r="AE44" s="48">
        <f t="shared" si="136"/>
        <v>0</v>
      </c>
      <c r="AF44" s="48">
        <f t="shared" si="136"/>
        <v>0</v>
      </c>
      <c r="AG44" s="48">
        <f t="shared" si="136"/>
        <v>0</v>
      </c>
      <c r="AH44" s="48">
        <f t="shared" si="136"/>
        <v>0</v>
      </c>
      <c r="AI44" s="48">
        <f t="shared" si="136"/>
        <v>0</v>
      </c>
      <c r="AJ44" s="48">
        <f t="shared" si="136"/>
        <v>0</v>
      </c>
      <c r="AK44" s="48">
        <f t="shared" si="136"/>
        <v>0</v>
      </c>
      <c r="AL44" s="48">
        <f t="shared" ref="AL44:BQ44" si="137">IF(AL$15=1,INDEX(Vol_O,24,AL$14)/12*(1+P_dVol),0)</f>
        <v>0</v>
      </c>
      <c r="AM44" s="48">
        <f t="shared" si="137"/>
        <v>0</v>
      </c>
      <c r="AN44" s="48">
        <f t="shared" si="137"/>
        <v>0</v>
      </c>
      <c r="AO44" s="48">
        <f t="shared" si="137"/>
        <v>0</v>
      </c>
      <c r="AP44" s="48">
        <f t="shared" si="137"/>
        <v>0</v>
      </c>
      <c r="AQ44" s="48">
        <f t="shared" si="137"/>
        <v>0</v>
      </c>
      <c r="AR44" s="48">
        <f t="shared" si="137"/>
        <v>0</v>
      </c>
      <c r="AS44" s="48">
        <f t="shared" si="137"/>
        <v>0</v>
      </c>
      <c r="AT44" s="48">
        <f t="shared" si="137"/>
        <v>0</v>
      </c>
      <c r="AU44" s="48">
        <f t="shared" si="137"/>
        <v>0</v>
      </c>
      <c r="AV44" s="48">
        <f t="shared" si="137"/>
        <v>0</v>
      </c>
      <c r="AW44" s="48">
        <f t="shared" si="137"/>
        <v>0</v>
      </c>
      <c r="AX44" s="48">
        <f t="shared" si="137"/>
        <v>0</v>
      </c>
      <c r="AY44" s="48">
        <f t="shared" si="137"/>
        <v>0</v>
      </c>
      <c r="AZ44" s="48">
        <f t="shared" si="137"/>
        <v>0</v>
      </c>
      <c r="BA44" s="48">
        <f t="shared" si="137"/>
        <v>0</v>
      </c>
      <c r="BB44" s="48">
        <f t="shared" si="137"/>
        <v>0</v>
      </c>
      <c r="BC44" s="48">
        <f t="shared" si="137"/>
        <v>0</v>
      </c>
      <c r="BD44" s="48">
        <f t="shared" si="137"/>
        <v>0</v>
      </c>
      <c r="BE44" s="48">
        <f t="shared" si="137"/>
        <v>0</v>
      </c>
      <c r="BF44" s="48">
        <f t="shared" si="137"/>
        <v>0</v>
      </c>
      <c r="BG44" s="48">
        <f t="shared" si="137"/>
        <v>0</v>
      </c>
      <c r="BH44" s="48">
        <f t="shared" si="137"/>
        <v>0</v>
      </c>
      <c r="BI44" s="48">
        <f t="shared" si="137"/>
        <v>0</v>
      </c>
      <c r="BJ44" s="48">
        <f t="shared" si="137"/>
        <v>0</v>
      </c>
      <c r="BK44" s="48">
        <f t="shared" si="137"/>
        <v>0</v>
      </c>
      <c r="BL44" s="48">
        <f t="shared" si="137"/>
        <v>0</v>
      </c>
      <c r="BM44" s="48">
        <f t="shared" si="137"/>
        <v>0</v>
      </c>
      <c r="BN44" s="48">
        <f t="shared" si="137"/>
        <v>0</v>
      </c>
      <c r="BO44" s="48">
        <f t="shared" si="137"/>
        <v>0</v>
      </c>
      <c r="BP44" s="48">
        <f t="shared" si="137"/>
        <v>0</v>
      </c>
      <c r="BQ44" s="48">
        <f t="shared" si="137"/>
        <v>0</v>
      </c>
      <c r="BR44" s="48">
        <f t="shared" ref="BR44:CW44" si="138">IF(BR$15=1,INDEX(Vol_O,24,BR$14)/12*(1+P_dVol),0)</f>
        <v>0</v>
      </c>
      <c r="BS44" s="48">
        <f t="shared" si="138"/>
        <v>0</v>
      </c>
      <c r="BT44" s="48">
        <f t="shared" si="138"/>
        <v>0</v>
      </c>
      <c r="BU44" s="48">
        <f t="shared" si="138"/>
        <v>0</v>
      </c>
      <c r="BV44" s="48">
        <f t="shared" si="138"/>
        <v>0</v>
      </c>
      <c r="BW44" s="48">
        <f t="shared" si="138"/>
        <v>0</v>
      </c>
      <c r="BX44" s="48">
        <f t="shared" si="138"/>
        <v>0</v>
      </c>
      <c r="BY44" s="48">
        <f t="shared" si="138"/>
        <v>0</v>
      </c>
      <c r="BZ44" s="48">
        <f t="shared" si="138"/>
        <v>0</v>
      </c>
      <c r="CA44" s="48">
        <f t="shared" si="138"/>
        <v>0</v>
      </c>
      <c r="CB44" s="48">
        <f t="shared" si="138"/>
        <v>0</v>
      </c>
      <c r="CC44" s="48">
        <f t="shared" si="138"/>
        <v>0</v>
      </c>
      <c r="CD44" s="48">
        <f t="shared" si="138"/>
        <v>0</v>
      </c>
      <c r="CE44" s="48">
        <f t="shared" si="138"/>
        <v>0</v>
      </c>
      <c r="CF44" s="48">
        <f t="shared" si="138"/>
        <v>0</v>
      </c>
      <c r="CG44" s="48">
        <f t="shared" si="138"/>
        <v>0</v>
      </c>
      <c r="CH44" s="48">
        <f t="shared" si="138"/>
        <v>0</v>
      </c>
      <c r="CI44" s="48">
        <f t="shared" si="138"/>
        <v>0</v>
      </c>
      <c r="CJ44" s="48">
        <f t="shared" si="138"/>
        <v>0</v>
      </c>
      <c r="CK44" s="48">
        <f t="shared" si="138"/>
        <v>0</v>
      </c>
      <c r="CL44" s="48">
        <f t="shared" si="138"/>
        <v>0</v>
      </c>
      <c r="CM44" s="48">
        <f t="shared" si="138"/>
        <v>0</v>
      </c>
      <c r="CN44" s="48">
        <f t="shared" si="138"/>
        <v>0</v>
      </c>
      <c r="CO44" s="48">
        <f t="shared" si="138"/>
        <v>0</v>
      </c>
      <c r="CP44" s="48">
        <f t="shared" si="138"/>
        <v>0</v>
      </c>
      <c r="CQ44" s="48">
        <f t="shared" si="138"/>
        <v>0</v>
      </c>
      <c r="CR44" s="48">
        <f t="shared" si="138"/>
        <v>0</v>
      </c>
      <c r="CS44" s="48">
        <f t="shared" si="138"/>
        <v>0</v>
      </c>
      <c r="CT44" s="48">
        <f t="shared" si="138"/>
        <v>0</v>
      </c>
      <c r="CU44" s="48">
        <f t="shared" si="138"/>
        <v>0</v>
      </c>
      <c r="CV44" s="48">
        <f t="shared" si="138"/>
        <v>0</v>
      </c>
      <c r="CW44" s="48">
        <f t="shared" si="138"/>
        <v>0</v>
      </c>
      <c r="CX44" s="48">
        <f t="shared" ref="CX44:EC44" si="139">IF(CX$15=1,INDEX(Vol_O,24,CX$14)/12*(1+P_dVol),0)</f>
        <v>0</v>
      </c>
      <c r="CY44" s="48">
        <f t="shared" si="139"/>
        <v>0</v>
      </c>
      <c r="CZ44" s="48">
        <f t="shared" si="139"/>
        <v>0</v>
      </c>
      <c r="DA44" s="48">
        <f t="shared" si="139"/>
        <v>0</v>
      </c>
      <c r="DB44" s="48">
        <f t="shared" si="139"/>
        <v>0</v>
      </c>
      <c r="DC44" s="48">
        <f t="shared" si="139"/>
        <v>0</v>
      </c>
      <c r="DD44" s="48">
        <f t="shared" si="139"/>
        <v>0</v>
      </c>
      <c r="DE44" s="48">
        <f t="shared" si="139"/>
        <v>0</v>
      </c>
      <c r="DF44" s="48">
        <f t="shared" si="139"/>
        <v>0</v>
      </c>
      <c r="DG44" s="48">
        <f t="shared" si="139"/>
        <v>0</v>
      </c>
      <c r="DH44" s="48">
        <f t="shared" si="139"/>
        <v>0</v>
      </c>
      <c r="DI44" s="48">
        <f t="shared" si="139"/>
        <v>0</v>
      </c>
      <c r="DJ44" s="48">
        <f t="shared" si="139"/>
        <v>0</v>
      </c>
      <c r="DK44" s="48">
        <f t="shared" si="139"/>
        <v>0</v>
      </c>
      <c r="DL44" s="48">
        <f t="shared" si="139"/>
        <v>0</v>
      </c>
      <c r="DM44" s="48">
        <f t="shared" si="139"/>
        <v>0</v>
      </c>
      <c r="DN44" s="48">
        <f t="shared" si="139"/>
        <v>0</v>
      </c>
      <c r="DO44" s="48">
        <f t="shared" si="139"/>
        <v>0</v>
      </c>
      <c r="DP44" s="48">
        <f t="shared" si="139"/>
        <v>0</v>
      </c>
      <c r="DQ44" s="48">
        <f t="shared" si="139"/>
        <v>0</v>
      </c>
      <c r="DR44" s="48">
        <f t="shared" si="139"/>
        <v>0</v>
      </c>
      <c r="DS44" s="48">
        <f t="shared" si="139"/>
        <v>0</v>
      </c>
      <c r="DT44" s="48">
        <f t="shared" si="139"/>
        <v>0</v>
      </c>
      <c r="DU44" s="48">
        <f t="shared" si="139"/>
        <v>0</v>
      </c>
      <c r="DV44" s="48">
        <f t="shared" si="139"/>
        <v>0</v>
      </c>
      <c r="DW44" s="48">
        <f t="shared" si="139"/>
        <v>0</v>
      </c>
      <c r="DX44" s="48">
        <f t="shared" si="139"/>
        <v>0</v>
      </c>
      <c r="DY44" s="48">
        <f t="shared" si="139"/>
        <v>0</v>
      </c>
      <c r="DZ44" s="48">
        <f t="shared" si="139"/>
        <v>0</v>
      </c>
      <c r="EA44" s="48">
        <f t="shared" si="139"/>
        <v>0</v>
      </c>
      <c r="EB44" s="48">
        <f t="shared" si="139"/>
        <v>0</v>
      </c>
      <c r="EC44" s="48">
        <f t="shared" si="139"/>
        <v>0</v>
      </c>
      <c r="ED44" s="48">
        <f t="shared" ref="ED44:ES44" si="140">IF(ED$15=1,INDEX(Vol_O,24,ED$14)/12*(1+P_dVol),0)</f>
        <v>0</v>
      </c>
      <c r="EE44" s="48">
        <f t="shared" si="140"/>
        <v>0</v>
      </c>
      <c r="EF44" s="48">
        <f t="shared" si="140"/>
        <v>0</v>
      </c>
      <c r="EG44" s="48">
        <f t="shared" si="140"/>
        <v>0</v>
      </c>
      <c r="EH44" s="48">
        <f t="shared" si="140"/>
        <v>0</v>
      </c>
      <c r="EI44" s="48">
        <f t="shared" si="140"/>
        <v>0</v>
      </c>
      <c r="EJ44" s="48">
        <f t="shared" si="140"/>
        <v>0</v>
      </c>
      <c r="EK44" s="48">
        <f t="shared" si="140"/>
        <v>0</v>
      </c>
      <c r="EL44" s="48">
        <f t="shared" si="140"/>
        <v>0</v>
      </c>
      <c r="EM44" s="48">
        <f t="shared" si="140"/>
        <v>0</v>
      </c>
      <c r="EN44" s="48">
        <f t="shared" si="140"/>
        <v>0</v>
      </c>
      <c r="EO44" s="48">
        <f t="shared" si="140"/>
        <v>0</v>
      </c>
      <c r="EP44" s="48">
        <f t="shared" si="140"/>
        <v>0</v>
      </c>
      <c r="EQ44" s="48">
        <f t="shared" si="140"/>
        <v>0</v>
      </c>
      <c r="ER44" s="48">
        <f t="shared" si="140"/>
        <v>0</v>
      </c>
      <c r="ES44" s="48">
        <f t="shared" si="140"/>
        <v>0</v>
      </c>
    </row>
    <row r="45" spans="1:149" x14ac:dyDescent="0.3">
      <c r="A45" s="14" t="s">
        <v>1022</v>
      </c>
      <c r="B45" s="53" t="str">
        <f>IF(INDEX(Prod_Nombre,25)="","Producto 25",INDEX(Prod_Nombre,25))&amp;" — unidades"</f>
        <v>Producto 25 — unidades</v>
      </c>
      <c r="C45" s="18" t="s">
        <v>475</v>
      </c>
      <c r="E45" s="54">
        <f t="shared" si="20"/>
        <v>0</v>
      </c>
      <c r="F45" s="48">
        <f t="shared" ref="F45:AK45" si="141">IF(F$15=1,INDEX(Vol_O,25,F$14)/12*(1+P_dVol),0)</f>
        <v>0</v>
      </c>
      <c r="G45" s="48">
        <f t="shared" si="141"/>
        <v>0</v>
      </c>
      <c r="H45" s="48">
        <f t="shared" si="141"/>
        <v>0</v>
      </c>
      <c r="I45" s="48">
        <f t="shared" si="141"/>
        <v>0</v>
      </c>
      <c r="J45" s="48">
        <f t="shared" si="141"/>
        <v>0</v>
      </c>
      <c r="K45" s="48">
        <f t="shared" si="141"/>
        <v>0</v>
      </c>
      <c r="L45" s="48">
        <f t="shared" si="141"/>
        <v>0</v>
      </c>
      <c r="M45" s="48">
        <f t="shared" si="141"/>
        <v>0</v>
      </c>
      <c r="N45" s="48">
        <f t="shared" si="141"/>
        <v>0</v>
      </c>
      <c r="O45" s="48">
        <f t="shared" si="141"/>
        <v>0</v>
      </c>
      <c r="P45" s="48">
        <f t="shared" si="141"/>
        <v>0</v>
      </c>
      <c r="Q45" s="48">
        <f t="shared" si="141"/>
        <v>0</v>
      </c>
      <c r="R45" s="48">
        <f t="shared" si="141"/>
        <v>0</v>
      </c>
      <c r="S45" s="48">
        <f t="shared" si="141"/>
        <v>0</v>
      </c>
      <c r="T45" s="48">
        <f t="shared" si="141"/>
        <v>0</v>
      </c>
      <c r="U45" s="48">
        <f t="shared" si="141"/>
        <v>0</v>
      </c>
      <c r="V45" s="48">
        <f t="shared" si="141"/>
        <v>0</v>
      </c>
      <c r="W45" s="48">
        <f t="shared" si="141"/>
        <v>0</v>
      </c>
      <c r="X45" s="48">
        <f t="shared" si="141"/>
        <v>0</v>
      </c>
      <c r="Y45" s="48">
        <f t="shared" si="141"/>
        <v>0</v>
      </c>
      <c r="Z45" s="48">
        <f t="shared" si="141"/>
        <v>0</v>
      </c>
      <c r="AA45" s="48">
        <f t="shared" si="141"/>
        <v>0</v>
      </c>
      <c r="AB45" s="48">
        <f t="shared" si="141"/>
        <v>0</v>
      </c>
      <c r="AC45" s="48">
        <f t="shared" si="141"/>
        <v>0</v>
      </c>
      <c r="AD45" s="48">
        <f t="shared" si="141"/>
        <v>0</v>
      </c>
      <c r="AE45" s="48">
        <f t="shared" si="141"/>
        <v>0</v>
      </c>
      <c r="AF45" s="48">
        <f t="shared" si="141"/>
        <v>0</v>
      </c>
      <c r="AG45" s="48">
        <f t="shared" si="141"/>
        <v>0</v>
      </c>
      <c r="AH45" s="48">
        <f t="shared" si="141"/>
        <v>0</v>
      </c>
      <c r="AI45" s="48">
        <f t="shared" si="141"/>
        <v>0</v>
      </c>
      <c r="AJ45" s="48">
        <f t="shared" si="141"/>
        <v>0</v>
      </c>
      <c r="AK45" s="48">
        <f t="shared" si="141"/>
        <v>0</v>
      </c>
      <c r="AL45" s="48">
        <f t="shared" ref="AL45:BQ45" si="142">IF(AL$15=1,INDEX(Vol_O,25,AL$14)/12*(1+P_dVol),0)</f>
        <v>0</v>
      </c>
      <c r="AM45" s="48">
        <f t="shared" si="142"/>
        <v>0</v>
      </c>
      <c r="AN45" s="48">
        <f t="shared" si="142"/>
        <v>0</v>
      </c>
      <c r="AO45" s="48">
        <f t="shared" si="142"/>
        <v>0</v>
      </c>
      <c r="AP45" s="48">
        <f t="shared" si="142"/>
        <v>0</v>
      </c>
      <c r="AQ45" s="48">
        <f t="shared" si="142"/>
        <v>0</v>
      </c>
      <c r="AR45" s="48">
        <f t="shared" si="142"/>
        <v>0</v>
      </c>
      <c r="AS45" s="48">
        <f t="shared" si="142"/>
        <v>0</v>
      </c>
      <c r="AT45" s="48">
        <f t="shared" si="142"/>
        <v>0</v>
      </c>
      <c r="AU45" s="48">
        <f t="shared" si="142"/>
        <v>0</v>
      </c>
      <c r="AV45" s="48">
        <f t="shared" si="142"/>
        <v>0</v>
      </c>
      <c r="AW45" s="48">
        <f t="shared" si="142"/>
        <v>0</v>
      </c>
      <c r="AX45" s="48">
        <f t="shared" si="142"/>
        <v>0</v>
      </c>
      <c r="AY45" s="48">
        <f t="shared" si="142"/>
        <v>0</v>
      </c>
      <c r="AZ45" s="48">
        <f t="shared" si="142"/>
        <v>0</v>
      </c>
      <c r="BA45" s="48">
        <f t="shared" si="142"/>
        <v>0</v>
      </c>
      <c r="BB45" s="48">
        <f t="shared" si="142"/>
        <v>0</v>
      </c>
      <c r="BC45" s="48">
        <f t="shared" si="142"/>
        <v>0</v>
      </c>
      <c r="BD45" s="48">
        <f t="shared" si="142"/>
        <v>0</v>
      </c>
      <c r="BE45" s="48">
        <f t="shared" si="142"/>
        <v>0</v>
      </c>
      <c r="BF45" s="48">
        <f t="shared" si="142"/>
        <v>0</v>
      </c>
      <c r="BG45" s="48">
        <f t="shared" si="142"/>
        <v>0</v>
      </c>
      <c r="BH45" s="48">
        <f t="shared" si="142"/>
        <v>0</v>
      </c>
      <c r="BI45" s="48">
        <f t="shared" si="142"/>
        <v>0</v>
      </c>
      <c r="BJ45" s="48">
        <f t="shared" si="142"/>
        <v>0</v>
      </c>
      <c r="BK45" s="48">
        <f t="shared" si="142"/>
        <v>0</v>
      </c>
      <c r="BL45" s="48">
        <f t="shared" si="142"/>
        <v>0</v>
      </c>
      <c r="BM45" s="48">
        <f t="shared" si="142"/>
        <v>0</v>
      </c>
      <c r="BN45" s="48">
        <f t="shared" si="142"/>
        <v>0</v>
      </c>
      <c r="BO45" s="48">
        <f t="shared" si="142"/>
        <v>0</v>
      </c>
      <c r="BP45" s="48">
        <f t="shared" si="142"/>
        <v>0</v>
      </c>
      <c r="BQ45" s="48">
        <f t="shared" si="142"/>
        <v>0</v>
      </c>
      <c r="BR45" s="48">
        <f t="shared" ref="BR45:CW45" si="143">IF(BR$15=1,INDEX(Vol_O,25,BR$14)/12*(1+P_dVol),0)</f>
        <v>0</v>
      </c>
      <c r="BS45" s="48">
        <f t="shared" si="143"/>
        <v>0</v>
      </c>
      <c r="BT45" s="48">
        <f t="shared" si="143"/>
        <v>0</v>
      </c>
      <c r="BU45" s="48">
        <f t="shared" si="143"/>
        <v>0</v>
      </c>
      <c r="BV45" s="48">
        <f t="shared" si="143"/>
        <v>0</v>
      </c>
      <c r="BW45" s="48">
        <f t="shared" si="143"/>
        <v>0</v>
      </c>
      <c r="BX45" s="48">
        <f t="shared" si="143"/>
        <v>0</v>
      </c>
      <c r="BY45" s="48">
        <f t="shared" si="143"/>
        <v>0</v>
      </c>
      <c r="BZ45" s="48">
        <f t="shared" si="143"/>
        <v>0</v>
      </c>
      <c r="CA45" s="48">
        <f t="shared" si="143"/>
        <v>0</v>
      </c>
      <c r="CB45" s="48">
        <f t="shared" si="143"/>
        <v>0</v>
      </c>
      <c r="CC45" s="48">
        <f t="shared" si="143"/>
        <v>0</v>
      </c>
      <c r="CD45" s="48">
        <f t="shared" si="143"/>
        <v>0</v>
      </c>
      <c r="CE45" s="48">
        <f t="shared" si="143"/>
        <v>0</v>
      </c>
      <c r="CF45" s="48">
        <f t="shared" si="143"/>
        <v>0</v>
      </c>
      <c r="CG45" s="48">
        <f t="shared" si="143"/>
        <v>0</v>
      </c>
      <c r="CH45" s="48">
        <f t="shared" si="143"/>
        <v>0</v>
      </c>
      <c r="CI45" s="48">
        <f t="shared" si="143"/>
        <v>0</v>
      </c>
      <c r="CJ45" s="48">
        <f t="shared" si="143"/>
        <v>0</v>
      </c>
      <c r="CK45" s="48">
        <f t="shared" si="143"/>
        <v>0</v>
      </c>
      <c r="CL45" s="48">
        <f t="shared" si="143"/>
        <v>0</v>
      </c>
      <c r="CM45" s="48">
        <f t="shared" si="143"/>
        <v>0</v>
      </c>
      <c r="CN45" s="48">
        <f t="shared" si="143"/>
        <v>0</v>
      </c>
      <c r="CO45" s="48">
        <f t="shared" si="143"/>
        <v>0</v>
      </c>
      <c r="CP45" s="48">
        <f t="shared" si="143"/>
        <v>0</v>
      </c>
      <c r="CQ45" s="48">
        <f t="shared" si="143"/>
        <v>0</v>
      </c>
      <c r="CR45" s="48">
        <f t="shared" si="143"/>
        <v>0</v>
      </c>
      <c r="CS45" s="48">
        <f t="shared" si="143"/>
        <v>0</v>
      </c>
      <c r="CT45" s="48">
        <f t="shared" si="143"/>
        <v>0</v>
      </c>
      <c r="CU45" s="48">
        <f t="shared" si="143"/>
        <v>0</v>
      </c>
      <c r="CV45" s="48">
        <f t="shared" si="143"/>
        <v>0</v>
      </c>
      <c r="CW45" s="48">
        <f t="shared" si="143"/>
        <v>0</v>
      </c>
      <c r="CX45" s="48">
        <f t="shared" ref="CX45:EC45" si="144">IF(CX$15=1,INDEX(Vol_O,25,CX$14)/12*(1+P_dVol),0)</f>
        <v>0</v>
      </c>
      <c r="CY45" s="48">
        <f t="shared" si="144"/>
        <v>0</v>
      </c>
      <c r="CZ45" s="48">
        <f t="shared" si="144"/>
        <v>0</v>
      </c>
      <c r="DA45" s="48">
        <f t="shared" si="144"/>
        <v>0</v>
      </c>
      <c r="DB45" s="48">
        <f t="shared" si="144"/>
        <v>0</v>
      </c>
      <c r="DC45" s="48">
        <f t="shared" si="144"/>
        <v>0</v>
      </c>
      <c r="DD45" s="48">
        <f t="shared" si="144"/>
        <v>0</v>
      </c>
      <c r="DE45" s="48">
        <f t="shared" si="144"/>
        <v>0</v>
      </c>
      <c r="DF45" s="48">
        <f t="shared" si="144"/>
        <v>0</v>
      </c>
      <c r="DG45" s="48">
        <f t="shared" si="144"/>
        <v>0</v>
      </c>
      <c r="DH45" s="48">
        <f t="shared" si="144"/>
        <v>0</v>
      </c>
      <c r="DI45" s="48">
        <f t="shared" si="144"/>
        <v>0</v>
      </c>
      <c r="DJ45" s="48">
        <f t="shared" si="144"/>
        <v>0</v>
      </c>
      <c r="DK45" s="48">
        <f t="shared" si="144"/>
        <v>0</v>
      </c>
      <c r="DL45" s="48">
        <f t="shared" si="144"/>
        <v>0</v>
      </c>
      <c r="DM45" s="48">
        <f t="shared" si="144"/>
        <v>0</v>
      </c>
      <c r="DN45" s="48">
        <f t="shared" si="144"/>
        <v>0</v>
      </c>
      <c r="DO45" s="48">
        <f t="shared" si="144"/>
        <v>0</v>
      </c>
      <c r="DP45" s="48">
        <f t="shared" si="144"/>
        <v>0</v>
      </c>
      <c r="DQ45" s="48">
        <f t="shared" si="144"/>
        <v>0</v>
      </c>
      <c r="DR45" s="48">
        <f t="shared" si="144"/>
        <v>0</v>
      </c>
      <c r="DS45" s="48">
        <f t="shared" si="144"/>
        <v>0</v>
      </c>
      <c r="DT45" s="48">
        <f t="shared" si="144"/>
        <v>0</v>
      </c>
      <c r="DU45" s="48">
        <f t="shared" si="144"/>
        <v>0</v>
      </c>
      <c r="DV45" s="48">
        <f t="shared" si="144"/>
        <v>0</v>
      </c>
      <c r="DW45" s="48">
        <f t="shared" si="144"/>
        <v>0</v>
      </c>
      <c r="DX45" s="48">
        <f t="shared" si="144"/>
        <v>0</v>
      </c>
      <c r="DY45" s="48">
        <f t="shared" si="144"/>
        <v>0</v>
      </c>
      <c r="DZ45" s="48">
        <f t="shared" si="144"/>
        <v>0</v>
      </c>
      <c r="EA45" s="48">
        <f t="shared" si="144"/>
        <v>0</v>
      </c>
      <c r="EB45" s="48">
        <f t="shared" si="144"/>
        <v>0</v>
      </c>
      <c r="EC45" s="48">
        <f t="shared" si="144"/>
        <v>0</v>
      </c>
      <c r="ED45" s="48">
        <f t="shared" ref="ED45:ES45" si="145">IF(ED$15=1,INDEX(Vol_O,25,ED$14)/12*(1+P_dVol),0)</f>
        <v>0</v>
      </c>
      <c r="EE45" s="48">
        <f t="shared" si="145"/>
        <v>0</v>
      </c>
      <c r="EF45" s="48">
        <f t="shared" si="145"/>
        <v>0</v>
      </c>
      <c r="EG45" s="48">
        <f t="shared" si="145"/>
        <v>0</v>
      </c>
      <c r="EH45" s="48">
        <f t="shared" si="145"/>
        <v>0</v>
      </c>
      <c r="EI45" s="48">
        <f t="shared" si="145"/>
        <v>0</v>
      </c>
      <c r="EJ45" s="48">
        <f t="shared" si="145"/>
        <v>0</v>
      </c>
      <c r="EK45" s="48">
        <f t="shared" si="145"/>
        <v>0</v>
      </c>
      <c r="EL45" s="48">
        <f t="shared" si="145"/>
        <v>0</v>
      </c>
      <c r="EM45" s="48">
        <f t="shared" si="145"/>
        <v>0</v>
      </c>
      <c r="EN45" s="48">
        <f t="shared" si="145"/>
        <v>0</v>
      </c>
      <c r="EO45" s="48">
        <f t="shared" si="145"/>
        <v>0</v>
      </c>
      <c r="EP45" s="48">
        <f t="shared" si="145"/>
        <v>0</v>
      </c>
      <c r="EQ45" s="48">
        <f t="shared" si="145"/>
        <v>0</v>
      </c>
      <c r="ER45" s="48">
        <f t="shared" si="145"/>
        <v>0</v>
      </c>
      <c r="ES45" s="48">
        <f t="shared" si="145"/>
        <v>0</v>
      </c>
    </row>
    <row r="46" spans="1:149" x14ac:dyDescent="0.3">
      <c r="A46" s="14" t="s">
        <v>1023</v>
      </c>
      <c r="B46" s="53" t="str">
        <f>IF(INDEX(Prod_Nombre,1)="","Producto 1",INDEX(Prod_Nombre,1))&amp;" — ventas USD"</f>
        <v>Gabinetes metálicos 153 kg — ventas USD</v>
      </c>
      <c r="C46" s="18" t="s">
        <v>439</v>
      </c>
      <c r="E46" s="54">
        <f t="shared" si="20"/>
        <v>54428264.108152941</v>
      </c>
      <c r="F46" s="48">
        <f t="shared" ref="F46:AK46" si="146">F$21*INDEX(Precio_O,1)*INDEX(IdxPrecio_O,1,MIN(10,F$17))*(1+P_dPrecio)</f>
        <v>270000</v>
      </c>
      <c r="G46" s="48">
        <f t="shared" si="146"/>
        <v>270000</v>
      </c>
      <c r="H46" s="48">
        <f t="shared" si="146"/>
        <v>270000</v>
      </c>
      <c r="I46" s="48">
        <f t="shared" si="146"/>
        <v>270000</v>
      </c>
      <c r="J46" s="48">
        <f t="shared" si="146"/>
        <v>270000</v>
      </c>
      <c r="K46" s="48">
        <f t="shared" si="146"/>
        <v>270000</v>
      </c>
      <c r="L46" s="48">
        <f t="shared" si="146"/>
        <v>270000</v>
      </c>
      <c r="M46" s="48">
        <f t="shared" si="146"/>
        <v>270000</v>
      </c>
      <c r="N46" s="48">
        <f t="shared" si="146"/>
        <v>270000</v>
      </c>
      <c r="O46" s="48">
        <f t="shared" si="146"/>
        <v>270000</v>
      </c>
      <c r="P46" s="48">
        <f t="shared" si="146"/>
        <v>270000</v>
      </c>
      <c r="Q46" s="48">
        <f t="shared" si="146"/>
        <v>270000</v>
      </c>
      <c r="R46" s="48">
        <f t="shared" si="146"/>
        <v>340875</v>
      </c>
      <c r="S46" s="48">
        <f t="shared" si="146"/>
        <v>340875</v>
      </c>
      <c r="T46" s="48">
        <f t="shared" si="146"/>
        <v>340875</v>
      </c>
      <c r="U46" s="48">
        <f t="shared" si="146"/>
        <v>340875</v>
      </c>
      <c r="V46" s="48">
        <f t="shared" si="146"/>
        <v>340875</v>
      </c>
      <c r="W46" s="48">
        <f t="shared" si="146"/>
        <v>340875</v>
      </c>
      <c r="X46" s="48">
        <f t="shared" si="146"/>
        <v>340875</v>
      </c>
      <c r="Y46" s="48">
        <f t="shared" si="146"/>
        <v>340875</v>
      </c>
      <c r="Z46" s="48">
        <f t="shared" si="146"/>
        <v>340875</v>
      </c>
      <c r="AA46" s="48">
        <f t="shared" si="146"/>
        <v>340875</v>
      </c>
      <c r="AB46" s="48">
        <f t="shared" si="146"/>
        <v>340875</v>
      </c>
      <c r="AC46" s="48">
        <f t="shared" si="146"/>
        <v>340875</v>
      </c>
      <c r="AD46" s="48">
        <f t="shared" si="146"/>
        <v>413140.5</v>
      </c>
      <c r="AE46" s="48">
        <f t="shared" si="146"/>
        <v>413140.5</v>
      </c>
      <c r="AF46" s="48">
        <f t="shared" si="146"/>
        <v>413140.5</v>
      </c>
      <c r="AG46" s="48">
        <f t="shared" si="146"/>
        <v>413140.5</v>
      </c>
      <c r="AH46" s="48">
        <f t="shared" si="146"/>
        <v>413140.5</v>
      </c>
      <c r="AI46" s="48">
        <f t="shared" si="146"/>
        <v>413140.5</v>
      </c>
      <c r="AJ46" s="48">
        <f t="shared" si="146"/>
        <v>413140.5</v>
      </c>
      <c r="AK46" s="48">
        <f t="shared" si="146"/>
        <v>413140.5</v>
      </c>
      <c r="AL46" s="48">
        <f t="shared" ref="AL46:BQ46" si="147">AL$21*INDEX(Precio_O,1)*INDEX(IdxPrecio_O,1,MIN(10,AL$17))*(1+P_dPrecio)</f>
        <v>413140.5</v>
      </c>
      <c r="AM46" s="48">
        <f t="shared" si="147"/>
        <v>413140.5</v>
      </c>
      <c r="AN46" s="48">
        <f t="shared" si="147"/>
        <v>413140.5</v>
      </c>
      <c r="AO46" s="48">
        <f t="shared" si="147"/>
        <v>413140.5</v>
      </c>
      <c r="AP46" s="48">
        <f t="shared" si="147"/>
        <v>486817.22249999997</v>
      </c>
      <c r="AQ46" s="48">
        <f t="shared" si="147"/>
        <v>486817.22249999997</v>
      </c>
      <c r="AR46" s="48">
        <f t="shared" si="147"/>
        <v>486817.22249999997</v>
      </c>
      <c r="AS46" s="48">
        <f t="shared" si="147"/>
        <v>486817.22249999997</v>
      </c>
      <c r="AT46" s="48">
        <f t="shared" si="147"/>
        <v>486817.22249999997</v>
      </c>
      <c r="AU46" s="48">
        <f t="shared" si="147"/>
        <v>486817.22249999997</v>
      </c>
      <c r="AV46" s="48">
        <f t="shared" si="147"/>
        <v>486817.22249999997</v>
      </c>
      <c r="AW46" s="48">
        <f t="shared" si="147"/>
        <v>486817.22249999997</v>
      </c>
      <c r="AX46" s="48">
        <f t="shared" si="147"/>
        <v>486817.22249999997</v>
      </c>
      <c r="AY46" s="48">
        <f t="shared" si="147"/>
        <v>486817.22249999997</v>
      </c>
      <c r="AZ46" s="48">
        <f t="shared" si="147"/>
        <v>486817.22249999997</v>
      </c>
      <c r="BA46" s="48">
        <f t="shared" si="147"/>
        <v>486817.22249999997</v>
      </c>
      <c r="BB46" s="48">
        <f t="shared" si="147"/>
        <v>491685.39472500002</v>
      </c>
      <c r="BC46" s="48">
        <f t="shared" si="147"/>
        <v>491685.39472500002</v>
      </c>
      <c r="BD46" s="48">
        <f t="shared" si="147"/>
        <v>491685.39472500002</v>
      </c>
      <c r="BE46" s="48">
        <f t="shared" si="147"/>
        <v>491685.39472500002</v>
      </c>
      <c r="BF46" s="48">
        <f t="shared" si="147"/>
        <v>491685.39472500002</v>
      </c>
      <c r="BG46" s="48">
        <f t="shared" si="147"/>
        <v>491685.39472500002</v>
      </c>
      <c r="BH46" s="48">
        <f t="shared" si="147"/>
        <v>491685.39472500002</v>
      </c>
      <c r="BI46" s="48">
        <f t="shared" si="147"/>
        <v>491685.39472500002</v>
      </c>
      <c r="BJ46" s="48">
        <f t="shared" si="147"/>
        <v>491685.39472500002</v>
      </c>
      <c r="BK46" s="48">
        <f t="shared" si="147"/>
        <v>491685.39472500002</v>
      </c>
      <c r="BL46" s="48">
        <f t="shared" si="147"/>
        <v>491685.39472500002</v>
      </c>
      <c r="BM46" s="48">
        <f t="shared" si="147"/>
        <v>491685.39472500002</v>
      </c>
      <c r="BN46" s="48">
        <f t="shared" si="147"/>
        <v>496602.24867224996</v>
      </c>
      <c r="BO46" s="48">
        <f t="shared" si="147"/>
        <v>496602.24867224996</v>
      </c>
      <c r="BP46" s="48">
        <f t="shared" si="147"/>
        <v>496602.24867224996</v>
      </c>
      <c r="BQ46" s="48">
        <f t="shared" si="147"/>
        <v>496602.24867224996</v>
      </c>
      <c r="BR46" s="48">
        <f t="shared" ref="BR46:CW46" si="148">BR$21*INDEX(Precio_O,1)*INDEX(IdxPrecio_O,1,MIN(10,BR$17))*(1+P_dPrecio)</f>
        <v>496602.24867224996</v>
      </c>
      <c r="BS46" s="48">
        <f t="shared" si="148"/>
        <v>496602.24867224996</v>
      </c>
      <c r="BT46" s="48">
        <f t="shared" si="148"/>
        <v>496602.24867224996</v>
      </c>
      <c r="BU46" s="48">
        <f t="shared" si="148"/>
        <v>496602.24867224996</v>
      </c>
      <c r="BV46" s="48">
        <f t="shared" si="148"/>
        <v>496602.24867224996</v>
      </c>
      <c r="BW46" s="48">
        <f t="shared" si="148"/>
        <v>496602.24867224996</v>
      </c>
      <c r="BX46" s="48">
        <f t="shared" si="148"/>
        <v>496602.24867224996</v>
      </c>
      <c r="BY46" s="48">
        <f t="shared" si="148"/>
        <v>496602.24867224996</v>
      </c>
      <c r="BZ46" s="48">
        <f t="shared" si="148"/>
        <v>501568.27115897246</v>
      </c>
      <c r="CA46" s="48">
        <f t="shared" si="148"/>
        <v>501568.27115897246</v>
      </c>
      <c r="CB46" s="48">
        <f t="shared" si="148"/>
        <v>501568.27115897246</v>
      </c>
      <c r="CC46" s="48">
        <f t="shared" si="148"/>
        <v>501568.27115897246</v>
      </c>
      <c r="CD46" s="48">
        <f t="shared" si="148"/>
        <v>501568.27115897246</v>
      </c>
      <c r="CE46" s="48">
        <f t="shared" si="148"/>
        <v>501568.27115897246</v>
      </c>
      <c r="CF46" s="48">
        <f t="shared" si="148"/>
        <v>501568.27115897246</v>
      </c>
      <c r="CG46" s="48">
        <f t="shared" si="148"/>
        <v>501568.27115897246</v>
      </c>
      <c r="CH46" s="48">
        <f t="shared" si="148"/>
        <v>501568.27115897246</v>
      </c>
      <c r="CI46" s="48">
        <f t="shared" si="148"/>
        <v>501568.27115897246</v>
      </c>
      <c r="CJ46" s="48">
        <f t="shared" si="148"/>
        <v>501568.27115897246</v>
      </c>
      <c r="CK46" s="48">
        <f t="shared" si="148"/>
        <v>501568.27115897246</v>
      </c>
      <c r="CL46" s="48">
        <f t="shared" si="148"/>
        <v>506583.95387056214</v>
      </c>
      <c r="CM46" s="48">
        <f t="shared" si="148"/>
        <v>506583.95387056214</v>
      </c>
      <c r="CN46" s="48">
        <f t="shared" si="148"/>
        <v>506583.95387056214</v>
      </c>
      <c r="CO46" s="48">
        <f t="shared" si="148"/>
        <v>506583.95387056214</v>
      </c>
      <c r="CP46" s="48">
        <f t="shared" si="148"/>
        <v>506583.95387056214</v>
      </c>
      <c r="CQ46" s="48">
        <f t="shared" si="148"/>
        <v>506583.95387056214</v>
      </c>
      <c r="CR46" s="48">
        <f t="shared" si="148"/>
        <v>506583.95387056214</v>
      </c>
      <c r="CS46" s="48">
        <f t="shared" si="148"/>
        <v>506583.95387056214</v>
      </c>
      <c r="CT46" s="48">
        <f t="shared" si="148"/>
        <v>506583.95387056214</v>
      </c>
      <c r="CU46" s="48">
        <f t="shared" si="148"/>
        <v>506583.95387056214</v>
      </c>
      <c r="CV46" s="48">
        <f t="shared" si="148"/>
        <v>506583.95387056214</v>
      </c>
      <c r="CW46" s="48">
        <f t="shared" si="148"/>
        <v>506583.95387056214</v>
      </c>
      <c r="CX46" s="48">
        <f t="shared" ref="CX46:EC46" si="149">CX$21*INDEX(Precio_O,1)*INDEX(IdxPrecio_O,1,MIN(10,CX$17))*(1+P_dPrecio)</f>
        <v>511649.79340926779</v>
      </c>
      <c r="CY46" s="48">
        <f t="shared" si="149"/>
        <v>511649.79340926779</v>
      </c>
      <c r="CZ46" s="48">
        <f t="shared" si="149"/>
        <v>511649.79340926779</v>
      </c>
      <c r="DA46" s="48">
        <f t="shared" si="149"/>
        <v>511649.79340926779</v>
      </c>
      <c r="DB46" s="48">
        <f t="shared" si="149"/>
        <v>511649.79340926779</v>
      </c>
      <c r="DC46" s="48">
        <f t="shared" si="149"/>
        <v>511649.79340926779</v>
      </c>
      <c r="DD46" s="48">
        <f t="shared" si="149"/>
        <v>511649.79340926779</v>
      </c>
      <c r="DE46" s="48">
        <f t="shared" si="149"/>
        <v>511649.79340926779</v>
      </c>
      <c r="DF46" s="48">
        <f t="shared" si="149"/>
        <v>511649.79340926779</v>
      </c>
      <c r="DG46" s="48">
        <f t="shared" si="149"/>
        <v>511649.79340926779</v>
      </c>
      <c r="DH46" s="48">
        <f t="shared" si="149"/>
        <v>511649.79340926779</v>
      </c>
      <c r="DI46" s="48">
        <f t="shared" si="149"/>
        <v>511649.79340926779</v>
      </c>
      <c r="DJ46" s="48">
        <f t="shared" si="149"/>
        <v>516766.2913433605</v>
      </c>
      <c r="DK46" s="48">
        <f t="shared" si="149"/>
        <v>516766.2913433605</v>
      </c>
      <c r="DL46" s="48">
        <f t="shared" si="149"/>
        <v>516766.2913433605</v>
      </c>
      <c r="DM46" s="48">
        <f t="shared" si="149"/>
        <v>516766.2913433605</v>
      </c>
      <c r="DN46" s="48">
        <f t="shared" si="149"/>
        <v>516766.2913433605</v>
      </c>
      <c r="DO46" s="48">
        <f t="shared" si="149"/>
        <v>516766.2913433605</v>
      </c>
      <c r="DP46" s="48">
        <f t="shared" si="149"/>
        <v>516766.2913433605</v>
      </c>
      <c r="DQ46" s="48">
        <f t="shared" si="149"/>
        <v>516766.2913433605</v>
      </c>
      <c r="DR46" s="48">
        <f t="shared" si="149"/>
        <v>516766.2913433605</v>
      </c>
      <c r="DS46" s="48">
        <f t="shared" si="149"/>
        <v>516766.2913433605</v>
      </c>
      <c r="DT46" s="48">
        <f t="shared" si="149"/>
        <v>516766.2913433605</v>
      </c>
      <c r="DU46" s="48">
        <f t="shared" si="149"/>
        <v>516766.2913433605</v>
      </c>
      <c r="DV46" s="48">
        <f t="shared" si="149"/>
        <v>0</v>
      </c>
      <c r="DW46" s="48">
        <f t="shared" si="149"/>
        <v>0</v>
      </c>
      <c r="DX46" s="48">
        <f t="shared" si="149"/>
        <v>0</v>
      </c>
      <c r="DY46" s="48">
        <f t="shared" si="149"/>
        <v>0</v>
      </c>
      <c r="DZ46" s="48">
        <f t="shared" si="149"/>
        <v>0</v>
      </c>
      <c r="EA46" s="48">
        <f t="shared" si="149"/>
        <v>0</v>
      </c>
      <c r="EB46" s="48">
        <f t="shared" si="149"/>
        <v>0</v>
      </c>
      <c r="EC46" s="48">
        <f t="shared" si="149"/>
        <v>0</v>
      </c>
      <c r="ED46" s="48">
        <f t="shared" ref="ED46:ES46" si="150">ED$21*INDEX(Precio_O,1)*INDEX(IdxPrecio_O,1,MIN(10,ED$17))*(1+P_dPrecio)</f>
        <v>0</v>
      </c>
      <c r="EE46" s="48">
        <f t="shared" si="150"/>
        <v>0</v>
      </c>
      <c r="EF46" s="48">
        <f t="shared" si="150"/>
        <v>0</v>
      </c>
      <c r="EG46" s="48">
        <f t="shared" si="150"/>
        <v>0</v>
      </c>
      <c r="EH46" s="48">
        <f t="shared" si="150"/>
        <v>0</v>
      </c>
      <c r="EI46" s="48">
        <f t="shared" si="150"/>
        <v>0</v>
      </c>
      <c r="EJ46" s="48">
        <f t="shared" si="150"/>
        <v>0</v>
      </c>
      <c r="EK46" s="48">
        <f t="shared" si="150"/>
        <v>0</v>
      </c>
      <c r="EL46" s="48">
        <f t="shared" si="150"/>
        <v>0</v>
      </c>
      <c r="EM46" s="48">
        <f t="shared" si="150"/>
        <v>0</v>
      </c>
      <c r="EN46" s="48">
        <f t="shared" si="150"/>
        <v>0</v>
      </c>
      <c r="EO46" s="48">
        <f t="shared" si="150"/>
        <v>0</v>
      </c>
      <c r="EP46" s="48">
        <f t="shared" si="150"/>
        <v>0</v>
      </c>
      <c r="EQ46" s="48">
        <f t="shared" si="150"/>
        <v>0</v>
      </c>
      <c r="ER46" s="48">
        <f t="shared" si="150"/>
        <v>0</v>
      </c>
      <c r="ES46" s="48">
        <f t="shared" si="150"/>
        <v>0</v>
      </c>
    </row>
    <row r="47" spans="1:149" x14ac:dyDescent="0.3">
      <c r="A47" s="14" t="s">
        <v>1024</v>
      </c>
      <c r="B47" s="53" t="str">
        <f>IF(INDEX(Prod_Nombre,2)="","Producto 2",INDEX(Prod_Nombre,2))&amp;" — ventas USD"</f>
        <v>Cajas metálicas 13 kg — ventas USD</v>
      </c>
      <c r="C47" s="18" t="s">
        <v>439</v>
      </c>
      <c r="E47" s="54">
        <f t="shared" si="20"/>
        <v>26794183.613492403</v>
      </c>
      <c r="F47" s="48">
        <f t="shared" ref="F47:AK47" si="151">F$22*INDEX(Precio_O,2)*INDEX(IdxPrecio_O,1,MIN(10,F$17))*(1+P_dPrecio)</f>
        <v>134166.66666666666</v>
      </c>
      <c r="G47" s="48">
        <f t="shared" si="151"/>
        <v>134166.66666666666</v>
      </c>
      <c r="H47" s="48">
        <f t="shared" si="151"/>
        <v>134166.66666666666</v>
      </c>
      <c r="I47" s="48">
        <f t="shared" si="151"/>
        <v>134166.66666666666</v>
      </c>
      <c r="J47" s="48">
        <f t="shared" si="151"/>
        <v>134166.66666666666</v>
      </c>
      <c r="K47" s="48">
        <f t="shared" si="151"/>
        <v>134166.66666666666</v>
      </c>
      <c r="L47" s="48">
        <f t="shared" si="151"/>
        <v>134166.66666666666</v>
      </c>
      <c r="M47" s="48">
        <f t="shared" si="151"/>
        <v>134166.66666666666</v>
      </c>
      <c r="N47" s="48">
        <f t="shared" si="151"/>
        <v>134166.66666666666</v>
      </c>
      <c r="O47" s="48">
        <f t="shared" si="151"/>
        <v>134166.66666666666</v>
      </c>
      <c r="P47" s="48">
        <f t="shared" si="151"/>
        <v>134166.66666666666</v>
      </c>
      <c r="Q47" s="48">
        <f t="shared" si="151"/>
        <v>134166.66666666666</v>
      </c>
      <c r="R47" s="48">
        <f t="shared" si="151"/>
        <v>174225</v>
      </c>
      <c r="S47" s="48">
        <f t="shared" si="151"/>
        <v>174225</v>
      </c>
      <c r="T47" s="48">
        <f t="shared" si="151"/>
        <v>174225</v>
      </c>
      <c r="U47" s="48">
        <f t="shared" si="151"/>
        <v>174225</v>
      </c>
      <c r="V47" s="48">
        <f t="shared" si="151"/>
        <v>174225</v>
      </c>
      <c r="W47" s="48">
        <f t="shared" si="151"/>
        <v>174225</v>
      </c>
      <c r="X47" s="48">
        <f t="shared" si="151"/>
        <v>174225</v>
      </c>
      <c r="Y47" s="48">
        <f t="shared" si="151"/>
        <v>174225</v>
      </c>
      <c r="Z47" s="48">
        <f t="shared" si="151"/>
        <v>174225</v>
      </c>
      <c r="AA47" s="48">
        <f t="shared" si="151"/>
        <v>174225</v>
      </c>
      <c r="AB47" s="48">
        <f t="shared" si="151"/>
        <v>174225</v>
      </c>
      <c r="AC47" s="48">
        <f t="shared" si="151"/>
        <v>174225</v>
      </c>
      <c r="AD47" s="48">
        <f t="shared" si="151"/>
        <v>215071.08333333331</v>
      </c>
      <c r="AE47" s="48">
        <f t="shared" si="151"/>
        <v>215071.08333333331</v>
      </c>
      <c r="AF47" s="48">
        <f t="shared" si="151"/>
        <v>215071.08333333331</v>
      </c>
      <c r="AG47" s="48">
        <f t="shared" si="151"/>
        <v>215071.08333333331</v>
      </c>
      <c r="AH47" s="48">
        <f t="shared" si="151"/>
        <v>215071.08333333331</v>
      </c>
      <c r="AI47" s="48">
        <f t="shared" si="151"/>
        <v>215071.08333333331</v>
      </c>
      <c r="AJ47" s="48">
        <f t="shared" si="151"/>
        <v>215071.08333333331</v>
      </c>
      <c r="AK47" s="48">
        <f t="shared" si="151"/>
        <v>215071.08333333331</v>
      </c>
      <c r="AL47" s="48">
        <f t="shared" ref="AL47:BQ47" si="152">AL$22*INDEX(Precio_O,2)*INDEX(IdxPrecio_O,1,MIN(10,AL$17))*(1+P_dPrecio)</f>
        <v>215071.08333333331</v>
      </c>
      <c r="AM47" s="48">
        <f t="shared" si="152"/>
        <v>215071.08333333331</v>
      </c>
      <c r="AN47" s="48">
        <f t="shared" si="152"/>
        <v>215071.08333333331</v>
      </c>
      <c r="AO47" s="48">
        <f t="shared" si="152"/>
        <v>215071.08333333331</v>
      </c>
      <c r="AP47" s="48">
        <f t="shared" si="152"/>
        <v>236969.22999999998</v>
      </c>
      <c r="AQ47" s="48">
        <f t="shared" si="152"/>
        <v>236969.22999999998</v>
      </c>
      <c r="AR47" s="48">
        <f t="shared" si="152"/>
        <v>236969.22999999998</v>
      </c>
      <c r="AS47" s="48">
        <f t="shared" si="152"/>
        <v>236969.22999999998</v>
      </c>
      <c r="AT47" s="48">
        <f t="shared" si="152"/>
        <v>236969.22999999998</v>
      </c>
      <c r="AU47" s="48">
        <f t="shared" si="152"/>
        <v>236969.22999999998</v>
      </c>
      <c r="AV47" s="48">
        <f t="shared" si="152"/>
        <v>236969.22999999998</v>
      </c>
      <c r="AW47" s="48">
        <f t="shared" si="152"/>
        <v>236969.22999999998</v>
      </c>
      <c r="AX47" s="48">
        <f t="shared" si="152"/>
        <v>236969.22999999998</v>
      </c>
      <c r="AY47" s="48">
        <f t="shared" si="152"/>
        <v>236969.22999999998</v>
      </c>
      <c r="AZ47" s="48">
        <f t="shared" si="152"/>
        <v>236969.22999999998</v>
      </c>
      <c r="BA47" s="48">
        <f t="shared" si="152"/>
        <v>236969.22999999998</v>
      </c>
      <c r="BB47" s="48">
        <f t="shared" si="152"/>
        <v>239338.92230000001</v>
      </c>
      <c r="BC47" s="48">
        <f t="shared" si="152"/>
        <v>239338.92230000001</v>
      </c>
      <c r="BD47" s="48">
        <f t="shared" si="152"/>
        <v>239338.92230000001</v>
      </c>
      <c r="BE47" s="48">
        <f t="shared" si="152"/>
        <v>239338.92230000001</v>
      </c>
      <c r="BF47" s="48">
        <f t="shared" si="152"/>
        <v>239338.92230000001</v>
      </c>
      <c r="BG47" s="48">
        <f t="shared" si="152"/>
        <v>239338.92230000001</v>
      </c>
      <c r="BH47" s="48">
        <f t="shared" si="152"/>
        <v>239338.92230000001</v>
      </c>
      <c r="BI47" s="48">
        <f t="shared" si="152"/>
        <v>239338.92230000001</v>
      </c>
      <c r="BJ47" s="48">
        <f t="shared" si="152"/>
        <v>239338.92230000001</v>
      </c>
      <c r="BK47" s="48">
        <f t="shared" si="152"/>
        <v>239338.92230000001</v>
      </c>
      <c r="BL47" s="48">
        <f t="shared" si="152"/>
        <v>239338.92230000001</v>
      </c>
      <c r="BM47" s="48">
        <f t="shared" si="152"/>
        <v>239338.92230000001</v>
      </c>
      <c r="BN47" s="48">
        <f t="shared" si="152"/>
        <v>241732.31152299998</v>
      </c>
      <c r="BO47" s="48">
        <f t="shared" si="152"/>
        <v>241732.31152299998</v>
      </c>
      <c r="BP47" s="48">
        <f t="shared" si="152"/>
        <v>241732.31152299998</v>
      </c>
      <c r="BQ47" s="48">
        <f t="shared" si="152"/>
        <v>241732.31152299998</v>
      </c>
      <c r="BR47" s="48">
        <f t="shared" ref="BR47:CW47" si="153">BR$22*INDEX(Precio_O,2)*INDEX(IdxPrecio_O,1,MIN(10,BR$17))*(1+P_dPrecio)</f>
        <v>241732.31152299998</v>
      </c>
      <c r="BS47" s="48">
        <f t="shared" si="153"/>
        <v>241732.31152299998</v>
      </c>
      <c r="BT47" s="48">
        <f t="shared" si="153"/>
        <v>241732.31152299998</v>
      </c>
      <c r="BU47" s="48">
        <f t="shared" si="153"/>
        <v>241732.31152299998</v>
      </c>
      <c r="BV47" s="48">
        <f t="shared" si="153"/>
        <v>241732.31152299998</v>
      </c>
      <c r="BW47" s="48">
        <f t="shared" si="153"/>
        <v>241732.31152299998</v>
      </c>
      <c r="BX47" s="48">
        <f t="shared" si="153"/>
        <v>241732.31152299998</v>
      </c>
      <c r="BY47" s="48">
        <f t="shared" si="153"/>
        <v>241732.31152299998</v>
      </c>
      <c r="BZ47" s="48">
        <f t="shared" si="153"/>
        <v>244149.63463822997</v>
      </c>
      <c r="CA47" s="48">
        <f t="shared" si="153"/>
        <v>244149.63463822997</v>
      </c>
      <c r="CB47" s="48">
        <f t="shared" si="153"/>
        <v>244149.63463822997</v>
      </c>
      <c r="CC47" s="48">
        <f t="shared" si="153"/>
        <v>244149.63463822997</v>
      </c>
      <c r="CD47" s="48">
        <f t="shared" si="153"/>
        <v>244149.63463822997</v>
      </c>
      <c r="CE47" s="48">
        <f t="shared" si="153"/>
        <v>244149.63463822997</v>
      </c>
      <c r="CF47" s="48">
        <f t="shared" si="153"/>
        <v>244149.63463822997</v>
      </c>
      <c r="CG47" s="48">
        <f t="shared" si="153"/>
        <v>244149.63463822997</v>
      </c>
      <c r="CH47" s="48">
        <f t="shared" si="153"/>
        <v>244149.63463822997</v>
      </c>
      <c r="CI47" s="48">
        <f t="shared" si="153"/>
        <v>244149.63463822997</v>
      </c>
      <c r="CJ47" s="48">
        <f t="shared" si="153"/>
        <v>244149.63463822997</v>
      </c>
      <c r="CK47" s="48">
        <f t="shared" si="153"/>
        <v>244149.63463822997</v>
      </c>
      <c r="CL47" s="48">
        <f t="shared" si="153"/>
        <v>246591.13098461227</v>
      </c>
      <c r="CM47" s="48">
        <f t="shared" si="153"/>
        <v>246591.13098461227</v>
      </c>
      <c r="CN47" s="48">
        <f t="shared" si="153"/>
        <v>246591.13098461227</v>
      </c>
      <c r="CO47" s="48">
        <f t="shared" si="153"/>
        <v>246591.13098461227</v>
      </c>
      <c r="CP47" s="48">
        <f t="shared" si="153"/>
        <v>246591.13098461227</v>
      </c>
      <c r="CQ47" s="48">
        <f t="shared" si="153"/>
        <v>246591.13098461227</v>
      </c>
      <c r="CR47" s="48">
        <f t="shared" si="153"/>
        <v>246591.13098461227</v>
      </c>
      <c r="CS47" s="48">
        <f t="shared" si="153"/>
        <v>246591.13098461227</v>
      </c>
      <c r="CT47" s="48">
        <f t="shared" si="153"/>
        <v>246591.13098461227</v>
      </c>
      <c r="CU47" s="48">
        <f t="shared" si="153"/>
        <v>246591.13098461227</v>
      </c>
      <c r="CV47" s="48">
        <f t="shared" si="153"/>
        <v>246591.13098461227</v>
      </c>
      <c r="CW47" s="48">
        <f t="shared" si="153"/>
        <v>246591.13098461227</v>
      </c>
      <c r="CX47" s="48">
        <f t="shared" ref="CX47:EC47" si="154">CX$22*INDEX(Precio_O,2)*INDEX(IdxPrecio_O,1,MIN(10,CX$17))*(1+P_dPrecio)</f>
        <v>249057.0422944584</v>
      </c>
      <c r="CY47" s="48">
        <f t="shared" si="154"/>
        <v>249057.0422944584</v>
      </c>
      <c r="CZ47" s="48">
        <f t="shared" si="154"/>
        <v>249057.0422944584</v>
      </c>
      <c r="DA47" s="48">
        <f t="shared" si="154"/>
        <v>249057.0422944584</v>
      </c>
      <c r="DB47" s="48">
        <f t="shared" si="154"/>
        <v>249057.0422944584</v>
      </c>
      <c r="DC47" s="48">
        <f t="shared" si="154"/>
        <v>249057.0422944584</v>
      </c>
      <c r="DD47" s="48">
        <f t="shared" si="154"/>
        <v>249057.0422944584</v>
      </c>
      <c r="DE47" s="48">
        <f t="shared" si="154"/>
        <v>249057.0422944584</v>
      </c>
      <c r="DF47" s="48">
        <f t="shared" si="154"/>
        <v>249057.0422944584</v>
      </c>
      <c r="DG47" s="48">
        <f t="shared" si="154"/>
        <v>249057.0422944584</v>
      </c>
      <c r="DH47" s="48">
        <f t="shared" si="154"/>
        <v>249057.0422944584</v>
      </c>
      <c r="DI47" s="48">
        <f t="shared" si="154"/>
        <v>249057.0422944584</v>
      </c>
      <c r="DJ47" s="48">
        <f t="shared" si="154"/>
        <v>251547.61271740301</v>
      </c>
      <c r="DK47" s="48">
        <f t="shared" si="154"/>
        <v>251547.61271740301</v>
      </c>
      <c r="DL47" s="48">
        <f t="shared" si="154"/>
        <v>251547.61271740301</v>
      </c>
      <c r="DM47" s="48">
        <f t="shared" si="154"/>
        <v>251547.61271740301</v>
      </c>
      <c r="DN47" s="48">
        <f t="shared" si="154"/>
        <v>251547.61271740301</v>
      </c>
      <c r="DO47" s="48">
        <f t="shared" si="154"/>
        <v>251547.61271740301</v>
      </c>
      <c r="DP47" s="48">
        <f t="shared" si="154"/>
        <v>251547.61271740301</v>
      </c>
      <c r="DQ47" s="48">
        <f t="shared" si="154"/>
        <v>251547.61271740301</v>
      </c>
      <c r="DR47" s="48">
        <f t="shared" si="154"/>
        <v>251547.61271740301</v>
      </c>
      <c r="DS47" s="48">
        <f t="shared" si="154"/>
        <v>251547.61271740301</v>
      </c>
      <c r="DT47" s="48">
        <f t="shared" si="154"/>
        <v>251547.61271740301</v>
      </c>
      <c r="DU47" s="48">
        <f t="shared" si="154"/>
        <v>251547.61271740301</v>
      </c>
      <c r="DV47" s="48">
        <f t="shared" si="154"/>
        <v>0</v>
      </c>
      <c r="DW47" s="48">
        <f t="shared" si="154"/>
        <v>0</v>
      </c>
      <c r="DX47" s="48">
        <f t="shared" si="154"/>
        <v>0</v>
      </c>
      <c r="DY47" s="48">
        <f t="shared" si="154"/>
        <v>0</v>
      </c>
      <c r="DZ47" s="48">
        <f t="shared" si="154"/>
        <v>0</v>
      </c>
      <c r="EA47" s="48">
        <f t="shared" si="154"/>
        <v>0</v>
      </c>
      <c r="EB47" s="48">
        <f t="shared" si="154"/>
        <v>0</v>
      </c>
      <c r="EC47" s="48">
        <f t="shared" si="154"/>
        <v>0</v>
      </c>
      <c r="ED47" s="48">
        <f t="shared" ref="ED47:ES47" si="155">ED$22*INDEX(Precio_O,2)*INDEX(IdxPrecio_O,1,MIN(10,ED$17))*(1+P_dPrecio)</f>
        <v>0</v>
      </c>
      <c r="EE47" s="48">
        <f t="shared" si="155"/>
        <v>0</v>
      </c>
      <c r="EF47" s="48">
        <f t="shared" si="155"/>
        <v>0</v>
      </c>
      <c r="EG47" s="48">
        <f t="shared" si="155"/>
        <v>0</v>
      </c>
      <c r="EH47" s="48">
        <f t="shared" si="155"/>
        <v>0</v>
      </c>
      <c r="EI47" s="48">
        <f t="shared" si="155"/>
        <v>0</v>
      </c>
      <c r="EJ47" s="48">
        <f t="shared" si="155"/>
        <v>0</v>
      </c>
      <c r="EK47" s="48">
        <f t="shared" si="155"/>
        <v>0</v>
      </c>
      <c r="EL47" s="48">
        <f t="shared" si="155"/>
        <v>0</v>
      </c>
      <c r="EM47" s="48">
        <f t="shared" si="155"/>
        <v>0</v>
      </c>
      <c r="EN47" s="48">
        <f t="shared" si="155"/>
        <v>0</v>
      </c>
      <c r="EO47" s="48">
        <f t="shared" si="155"/>
        <v>0</v>
      </c>
      <c r="EP47" s="48">
        <f t="shared" si="155"/>
        <v>0</v>
      </c>
      <c r="EQ47" s="48">
        <f t="shared" si="155"/>
        <v>0</v>
      </c>
      <c r="ER47" s="48">
        <f t="shared" si="155"/>
        <v>0</v>
      </c>
      <c r="ES47" s="48">
        <f t="shared" si="155"/>
        <v>0</v>
      </c>
    </row>
    <row r="48" spans="1:149" x14ac:dyDescent="0.3">
      <c r="A48" s="14" t="s">
        <v>1025</v>
      </c>
      <c r="B48" s="53" t="str">
        <f>IF(INDEX(Prod_Nombre,3)="","Producto 3",INDEX(Prod_Nombre,3))&amp;" — ventas USD"</f>
        <v>Producto 3 — ventas USD</v>
      </c>
      <c r="C48" s="18" t="s">
        <v>439</v>
      </c>
      <c r="E48" s="54">
        <f t="shared" si="20"/>
        <v>0</v>
      </c>
      <c r="F48" s="48">
        <f t="shared" ref="F48:AK48" si="156">F$23*INDEX(Precio_O,3)*INDEX(IdxPrecio_O,1,MIN(10,F$17))*(1+P_dPrecio)</f>
        <v>0</v>
      </c>
      <c r="G48" s="48">
        <f t="shared" si="156"/>
        <v>0</v>
      </c>
      <c r="H48" s="48">
        <f t="shared" si="156"/>
        <v>0</v>
      </c>
      <c r="I48" s="48">
        <f t="shared" si="156"/>
        <v>0</v>
      </c>
      <c r="J48" s="48">
        <f t="shared" si="156"/>
        <v>0</v>
      </c>
      <c r="K48" s="48">
        <f t="shared" si="156"/>
        <v>0</v>
      </c>
      <c r="L48" s="48">
        <f t="shared" si="156"/>
        <v>0</v>
      </c>
      <c r="M48" s="48">
        <f t="shared" si="156"/>
        <v>0</v>
      </c>
      <c r="N48" s="48">
        <f t="shared" si="156"/>
        <v>0</v>
      </c>
      <c r="O48" s="48">
        <f t="shared" si="156"/>
        <v>0</v>
      </c>
      <c r="P48" s="48">
        <f t="shared" si="156"/>
        <v>0</v>
      </c>
      <c r="Q48" s="48">
        <f t="shared" si="156"/>
        <v>0</v>
      </c>
      <c r="R48" s="48">
        <f t="shared" si="156"/>
        <v>0</v>
      </c>
      <c r="S48" s="48">
        <f t="shared" si="156"/>
        <v>0</v>
      </c>
      <c r="T48" s="48">
        <f t="shared" si="156"/>
        <v>0</v>
      </c>
      <c r="U48" s="48">
        <f t="shared" si="156"/>
        <v>0</v>
      </c>
      <c r="V48" s="48">
        <f t="shared" si="156"/>
        <v>0</v>
      </c>
      <c r="W48" s="48">
        <f t="shared" si="156"/>
        <v>0</v>
      </c>
      <c r="X48" s="48">
        <f t="shared" si="156"/>
        <v>0</v>
      </c>
      <c r="Y48" s="48">
        <f t="shared" si="156"/>
        <v>0</v>
      </c>
      <c r="Z48" s="48">
        <f t="shared" si="156"/>
        <v>0</v>
      </c>
      <c r="AA48" s="48">
        <f t="shared" si="156"/>
        <v>0</v>
      </c>
      <c r="AB48" s="48">
        <f t="shared" si="156"/>
        <v>0</v>
      </c>
      <c r="AC48" s="48">
        <f t="shared" si="156"/>
        <v>0</v>
      </c>
      <c r="AD48" s="48">
        <f t="shared" si="156"/>
        <v>0</v>
      </c>
      <c r="AE48" s="48">
        <f t="shared" si="156"/>
        <v>0</v>
      </c>
      <c r="AF48" s="48">
        <f t="shared" si="156"/>
        <v>0</v>
      </c>
      <c r="AG48" s="48">
        <f t="shared" si="156"/>
        <v>0</v>
      </c>
      <c r="AH48" s="48">
        <f t="shared" si="156"/>
        <v>0</v>
      </c>
      <c r="AI48" s="48">
        <f t="shared" si="156"/>
        <v>0</v>
      </c>
      <c r="AJ48" s="48">
        <f t="shared" si="156"/>
        <v>0</v>
      </c>
      <c r="AK48" s="48">
        <f t="shared" si="156"/>
        <v>0</v>
      </c>
      <c r="AL48" s="48">
        <f t="shared" ref="AL48:BQ48" si="157">AL$23*INDEX(Precio_O,3)*INDEX(IdxPrecio_O,1,MIN(10,AL$17))*(1+P_dPrecio)</f>
        <v>0</v>
      </c>
      <c r="AM48" s="48">
        <f t="shared" si="157"/>
        <v>0</v>
      </c>
      <c r="AN48" s="48">
        <f t="shared" si="157"/>
        <v>0</v>
      </c>
      <c r="AO48" s="48">
        <f t="shared" si="157"/>
        <v>0</v>
      </c>
      <c r="AP48" s="48">
        <f t="shared" si="157"/>
        <v>0</v>
      </c>
      <c r="AQ48" s="48">
        <f t="shared" si="157"/>
        <v>0</v>
      </c>
      <c r="AR48" s="48">
        <f t="shared" si="157"/>
        <v>0</v>
      </c>
      <c r="AS48" s="48">
        <f t="shared" si="157"/>
        <v>0</v>
      </c>
      <c r="AT48" s="48">
        <f t="shared" si="157"/>
        <v>0</v>
      </c>
      <c r="AU48" s="48">
        <f t="shared" si="157"/>
        <v>0</v>
      </c>
      <c r="AV48" s="48">
        <f t="shared" si="157"/>
        <v>0</v>
      </c>
      <c r="AW48" s="48">
        <f t="shared" si="157"/>
        <v>0</v>
      </c>
      <c r="AX48" s="48">
        <f t="shared" si="157"/>
        <v>0</v>
      </c>
      <c r="AY48" s="48">
        <f t="shared" si="157"/>
        <v>0</v>
      </c>
      <c r="AZ48" s="48">
        <f t="shared" si="157"/>
        <v>0</v>
      </c>
      <c r="BA48" s="48">
        <f t="shared" si="157"/>
        <v>0</v>
      </c>
      <c r="BB48" s="48">
        <f t="shared" si="157"/>
        <v>0</v>
      </c>
      <c r="BC48" s="48">
        <f t="shared" si="157"/>
        <v>0</v>
      </c>
      <c r="BD48" s="48">
        <f t="shared" si="157"/>
        <v>0</v>
      </c>
      <c r="BE48" s="48">
        <f t="shared" si="157"/>
        <v>0</v>
      </c>
      <c r="BF48" s="48">
        <f t="shared" si="157"/>
        <v>0</v>
      </c>
      <c r="BG48" s="48">
        <f t="shared" si="157"/>
        <v>0</v>
      </c>
      <c r="BH48" s="48">
        <f t="shared" si="157"/>
        <v>0</v>
      </c>
      <c r="BI48" s="48">
        <f t="shared" si="157"/>
        <v>0</v>
      </c>
      <c r="BJ48" s="48">
        <f t="shared" si="157"/>
        <v>0</v>
      </c>
      <c r="BK48" s="48">
        <f t="shared" si="157"/>
        <v>0</v>
      </c>
      <c r="BL48" s="48">
        <f t="shared" si="157"/>
        <v>0</v>
      </c>
      <c r="BM48" s="48">
        <f t="shared" si="157"/>
        <v>0</v>
      </c>
      <c r="BN48" s="48">
        <f t="shared" si="157"/>
        <v>0</v>
      </c>
      <c r="BO48" s="48">
        <f t="shared" si="157"/>
        <v>0</v>
      </c>
      <c r="BP48" s="48">
        <f t="shared" si="157"/>
        <v>0</v>
      </c>
      <c r="BQ48" s="48">
        <f t="shared" si="157"/>
        <v>0</v>
      </c>
      <c r="BR48" s="48">
        <f t="shared" ref="BR48:CW48" si="158">BR$23*INDEX(Precio_O,3)*INDEX(IdxPrecio_O,1,MIN(10,BR$17))*(1+P_dPrecio)</f>
        <v>0</v>
      </c>
      <c r="BS48" s="48">
        <f t="shared" si="158"/>
        <v>0</v>
      </c>
      <c r="BT48" s="48">
        <f t="shared" si="158"/>
        <v>0</v>
      </c>
      <c r="BU48" s="48">
        <f t="shared" si="158"/>
        <v>0</v>
      </c>
      <c r="BV48" s="48">
        <f t="shared" si="158"/>
        <v>0</v>
      </c>
      <c r="BW48" s="48">
        <f t="shared" si="158"/>
        <v>0</v>
      </c>
      <c r="BX48" s="48">
        <f t="shared" si="158"/>
        <v>0</v>
      </c>
      <c r="BY48" s="48">
        <f t="shared" si="158"/>
        <v>0</v>
      </c>
      <c r="BZ48" s="48">
        <f t="shared" si="158"/>
        <v>0</v>
      </c>
      <c r="CA48" s="48">
        <f t="shared" si="158"/>
        <v>0</v>
      </c>
      <c r="CB48" s="48">
        <f t="shared" si="158"/>
        <v>0</v>
      </c>
      <c r="CC48" s="48">
        <f t="shared" si="158"/>
        <v>0</v>
      </c>
      <c r="CD48" s="48">
        <f t="shared" si="158"/>
        <v>0</v>
      </c>
      <c r="CE48" s="48">
        <f t="shared" si="158"/>
        <v>0</v>
      </c>
      <c r="CF48" s="48">
        <f t="shared" si="158"/>
        <v>0</v>
      </c>
      <c r="CG48" s="48">
        <f t="shared" si="158"/>
        <v>0</v>
      </c>
      <c r="CH48" s="48">
        <f t="shared" si="158"/>
        <v>0</v>
      </c>
      <c r="CI48" s="48">
        <f t="shared" si="158"/>
        <v>0</v>
      </c>
      <c r="CJ48" s="48">
        <f t="shared" si="158"/>
        <v>0</v>
      </c>
      <c r="CK48" s="48">
        <f t="shared" si="158"/>
        <v>0</v>
      </c>
      <c r="CL48" s="48">
        <f t="shared" si="158"/>
        <v>0</v>
      </c>
      <c r="CM48" s="48">
        <f t="shared" si="158"/>
        <v>0</v>
      </c>
      <c r="CN48" s="48">
        <f t="shared" si="158"/>
        <v>0</v>
      </c>
      <c r="CO48" s="48">
        <f t="shared" si="158"/>
        <v>0</v>
      </c>
      <c r="CP48" s="48">
        <f t="shared" si="158"/>
        <v>0</v>
      </c>
      <c r="CQ48" s="48">
        <f t="shared" si="158"/>
        <v>0</v>
      </c>
      <c r="CR48" s="48">
        <f t="shared" si="158"/>
        <v>0</v>
      </c>
      <c r="CS48" s="48">
        <f t="shared" si="158"/>
        <v>0</v>
      </c>
      <c r="CT48" s="48">
        <f t="shared" si="158"/>
        <v>0</v>
      </c>
      <c r="CU48" s="48">
        <f t="shared" si="158"/>
        <v>0</v>
      </c>
      <c r="CV48" s="48">
        <f t="shared" si="158"/>
        <v>0</v>
      </c>
      <c r="CW48" s="48">
        <f t="shared" si="158"/>
        <v>0</v>
      </c>
      <c r="CX48" s="48">
        <f t="shared" ref="CX48:EC48" si="159">CX$23*INDEX(Precio_O,3)*INDEX(IdxPrecio_O,1,MIN(10,CX$17))*(1+P_dPrecio)</f>
        <v>0</v>
      </c>
      <c r="CY48" s="48">
        <f t="shared" si="159"/>
        <v>0</v>
      </c>
      <c r="CZ48" s="48">
        <f t="shared" si="159"/>
        <v>0</v>
      </c>
      <c r="DA48" s="48">
        <f t="shared" si="159"/>
        <v>0</v>
      </c>
      <c r="DB48" s="48">
        <f t="shared" si="159"/>
        <v>0</v>
      </c>
      <c r="DC48" s="48">
        <f t="shared" si="159"/>
        <v>0</v>
      </c>
      <c r="DD48" s="48">
        <f t="shared" si="159"/>
        <v>0</v>
      </c>
      <c r="DE48" s="48">
        <f t="shared" si="159"/>
        <v>0</v>
      </c>
      <c r="DF48" s="48">
        <f t="shared" si="159"/>
        <v>0</v>
      </c>
      <c r="DG48" s="48">
        <f t="shared" si="159"/>
        <v>0</v>
      </c>
      <c r="DH48" s="48">
        <f t="shared" si="159"/>
        <v>0</v>
      </c>
      <c r="DI48" s="48">
        <f t="shared" si="159"/>
        <v>0</v>
      </c>
      <c r="DJ48" s="48">
        <f t="shared" si="159"/>
        <v>0</v>
      </c>
      <c r="DK48" s="48">
        <f t="shared" si="159"/>
        <v>0</v>
      </c>
      <c r="DL48" s="48">
        <f t="shared" si="159"/>
        <v>0</v>
      </c>
      <c r="DM48" s="48">
        <f t="shared" si="159"/>
        <v>0</v>
      </c>
      <c r="DN48" s="48">
        <f t="shared" si="159"/>
        <v>0</v>
      </c>
      <c r="DO48" s="48">
        <f t="shared" si="159"/>
        <v>0</v>
      </c>
      <c r="DP48" s="48">
        <f t="shared" si="159"/>
        <v>0</v>
      </c>
      <c r="DQ48" s="48">
        <f t="shared" si="159"/>
        <v>0</v>
      </c>
      <c r="DR48" s="48">
        <f t="shared" si="159"/>
        <v>0</v>
      </c>
      <c r="DS48" s="48">
        <f t="shared" si="159"/>
        <v>0</v>
      </c>
      <c r="DT48" s="48">
        <f t="shared" si="159"/>
        <v>0</v>
      </c>
      <c r="DU48" s="48">
        <f t="shared" si="159"/>
        <v>0</v>
      </c>
      <c r="DV48" s="48">
        <f t="shared" si="159"/>
        <v>0</v>
      </c>
      <c r="DW48" s="48">
        <f t="shared" si="159"/>
        <v>0</v>
      </c>
      <c r="DX48" s="48">
        <f t="shared" si="159"/>
        <v>0</v>
      </c>
      <c r="DY48" s="48">
        <f t="shared" si="159"/>
        <v>0</v>
      </c>
      <c r="DZ48" s="48">
        <f t="shared" si="159"/>
        <v>0</v>
      </c>
      <c r="EA48" s="48">
        <f t="shared" si="159"/>
        <v>0</v>
      </c>
      <c r="EB48" s="48">
        <f t="shared" si="159"/>
        <v>0</v>
      </c>
      <c r="EC48" s="48">
        <f t="shared" si="159"/>
        <v>0</v>
      </c>
      <c r="ED48" s="48">
        <f t="shared" ref="ED48:ES48" si="160">ED$23*INDEX(Precio_O,3)*INDEX(IdxPrecio_O,1,MIN(10,ED$17))*(1+P_dPrecio)</f>
        <v>0</v>
      </c>
      <c r="EE48" s="48">
        <f t="shared" si="160"/>
        <v>0</v>
      </c>
      <c r="EF48" s="48">
        <f t="shared" si="160"/>
        <v>0</v>
      </c>
      <c r="EG48" s="48">
        <f t="shared" si="160"/>
        <v>0</v>
      </c>
      <c r="EH48" s="48">
        <f t="shared" si="160"/>
        <v>0</v>
      </c>
      <c r="EI48" s="48">
        <f t="shared" si="160"/>
        <v>0</v>
      </c>
      <c r="EJ48" s="48">
        <f t="shared" si="160"/>
        <v>0</v>
      </c>
      <c r="EK48" s="48">
        <f t="shared" si="160"/>
        <v>0</v>
      </c>
      <c r="EL48" s="48">
        <f t="shared" si="160"/>
        <v>0</v>
      </c>
      <c r="EM48" s="48">
        <f t="shared" si="160"/>
        <v>0</v>
      </c>
      <c r="EN48" s="48">
        <f t="shared" si="160"/>
        <v>0</v>
      </c>
      <c r="EO48" s="48">
        <f t="shared" si="160"/>
        <v>0</v>
      </c>
      <c r="EP48" s="48">
        <f t="shared" si="160"/>
        <v>0</v>
      </c>
      <c r="EQ48" s="48">
        <f t="shared" si="160"/>
        <v>0</v>
      </c>
      <c r="ER48" s="48">
        <f t="shared" si="160"/>
        <v>0</v>
      </c>
      <c r="ES48" s="48">
        <f t="shared" si="160"/>
        <v>0</v>
      </c>
    </row>
    <row r="49" spans="1:149" x14ac:dyDescent="0.3">
      <c r="A49" s="14" t="s">
        <v>1026</v>
      </c>
      <c r="B49" s="53" t="str">
        <f>IF(INDEX(Prod_Nombre,4)="","Producto 4",INDEX(Prod_Nombre,4))&amp;" — ventas USD"</f>
        <v>Producto 4 — ventas USD</v>
      </c>
      <c r="C49" s="18" t="s">
        <v>439</v>
      </c>
      <c r="E49" s="54">
        <f t="shared" si="20"/>
        <v>0</v>
      </c>
      <c r="F49" s="48">
        <f t="shared" ref="F49:AK49" si="161">F$24*INDEX(Precio_O,4)*INDEX(IdxPrecio_O,1,MIN(10,F$17))*(1+P_dPrecio)</f>
        <v>0</v>
      </c>
      <c r="G49" s="48">
        <f t="shared" si="161"/>
        <v>0</v>
      </c>
      <c r="H49" s="48">
        <f t="shared" si="161"/>
        <v>0</v>
      </c>
      <c r="I49" s="48">
        <f t="shared" si="161"/>
        <v>0</v>
      </c>
      <c r="J49" s="48">
        <f t="shared" si="161"/>
        <v>0</v>
      </c>
      <c r="K49" s="48">
        <f t="shared" si="161"/>
        <v>0</v>
      </c>
      <c r="L49" s="48">
        <f t="shared" si="161"/>
        <v>0</v>
      </c>
      <c r="M49" s="48">
        <f t="shared" si="161"/>
        <v>0</v>
      </c>
      <c r="N49" s="48">
        <f t="shared" si="161"/>
        <v>0</v>
      </c>
      <c r="O49" s="48">
        <f t="shared" si="161"/>
        <v>0</v>
      </c>
      <c r="P49" s="48">
        <f t="shared" si="161"/>
        <v>0</v>
      </c>
      <c r="Q49" s="48">
        <f t="shared" si="161"/>
        <v>0</v>
      </c>
      <c r="R49" s="48">
        <f t="shared" si="161"/>
        <v>0</v>
      </c>
      <c r="S49" s="48">
        <f t="shared" si="161"/>
        <v>0</v>
      </c>
      <c r="T49" s="48">
        <f t="shared" si="161"/>
        <v>0</v>
      </c>
      <c r="U49" s="48">
        <f t="shared" si="161"/>
        <v>0</v>
      </c>
      <c r="V49" s="48">
        <f t="shared" si="161"/>
        <v>0</v>
      </c>
      <c r="W49" s="48">
        <f t="shared" si="161"/>
        <v>0</v>
      </c>
      <c r="X49" s="48">
        <f t="shared" si="161"/>
        <v>0</v>
      </c>
      <c r="Y49" s="48">
        <f t="shared" si="161"/>
        <v>0</v>
      </c>
      <c r="Z49" s="48">
        <f t="shared" si="161"/>
        <v>0</v>
      </c>
      <c r="AA49" s="48">
        <f t="shared" si="161"/>
        <v>0</v>
      </c>
      <c r="AB49" s="48">
        <f t="shared" si="161"/>
        <v>0</v>
      </c>
      <c r="AC49" s="48">
        <f t="shared" si="161"/>
        <v>0</v>
      </c>
      <c r="AD49" s="48">
        <f t="shared" si="161"/>
        <v>0</v>
      </c>
      <c r="AE49" s="48">
        <f t="shared" si="161"/>
        <v>0</v>
      </c>
      <c r="AF49" s="48">
        <f t="shared" si="161"/>
        <v>0</v>
      </c>
      <c r="AG49" s="48">
        <f t="shared" si="161"/>
        <v>0</v>
      </c>
      <c r="AH49" s="48">
        <f t="shared" si="161"/>
        <v>0</v>
      </c>
      <c r="AI49" s="48">
        <f t="shared" si="161"/>
        <v>0</v>
      </c>
      <c r="AJ49" s="48">
        <f t="shared" si="161"/>
        <v>0</v>
      </c>
      <c r="AK49" s="48">
        <f t="shared" si="161"/>
        <v>0</v>
      </c>
      <c r="AL49" s="48">
        <f t="shared" ref="AL49:BQ49" si="162">AL$24*INDEX(Precio_O,4)*INDEX(IdxPrecio_O,1,MIN(10,AL$17))*(1+P_dPrecio)</f>
        <v>0</v>
      </c>
      <c r="AM49" s="48">
        <f t="shared" si="162"/>
        <v>0</v>
      </c>
      <c r="AN49" s="48">
        <f t="shared" si="162"/>
        <v>0</v>
      </c>
      <c r="AO49" s="48">
        <f t="shared" si="162"/>
        <v>0</v>
      </c>
      <c r="AP49" s="48">
        <f t="shared" si="162"/>
        <v>0</v>
      </c>
      <c r="AQ49" s="48">
        <f t="shared" si="162"/>
        <v>0</v>
      </c>
      <c r="AR49" s="48">
        <f t="shared" si="162"/>
        <v>0</v>
      </c>
      <c r="AS49" s="48">
        <f t="shared" si="162"/>
        <v>0</v>
      </c>
      <c r="AT49" s="48">
        <f t="shared" si="162"/>
        <v>0</v>
      </c>
      <c r="AU49" s="48">
        <f t="shared" si="162"/>
        <v>0</v>
      </c>
      <c r="AV49" s="48">
        <f t="shared" si="162"/>
        <v>0</v>
      </c>
      <c r="AW49" s="48">
        <f t="shared" si="162"/>
        <v>0</v>
      </c>
      <c r="AX49" s="48">
        <f t="shared" si="162"/>
        <v>0</v>
      </c>
      <c r="AY49" s="48">
        <f t="shared" si="162"/>
        <v>0</v>
      </c>
      <c r="AZ49" s="48">
        <f t="shared" si="162"/>
        <v>0</v>
      </c>
      <c r="BA49" s="48">
        <f t="shared" si="162"/>
        <v>0</v>
      </c>
      <c r="BB49" s="48">
        <f t="shared" si="162"/>
        <v>0</v>
      </c>
      <c r="BC49" s="48">
        <f t="shared" si="162"/>
        <v>0</v>
      </c>
      <c r="BD49" s="48">
        <f t="shared" si="162"/>
        <v>0</v>
      </c>
      <c r="BE49" s="48">
        <f t="shared" si="162"/>
        <v>0</v>
      </c>
      <c r="BF49" s="48">
        <f t="shared" si="162"/>
        <v>0</v>
      </c>
      <c r="BG49" s="48">
        <f t="shared" si="162"/>
        <v>0</v>
      </c>
      <c r="BH49" s="48">
        <f t="shared" si="162"/>
        <v>0</v>
      </c>
      <c r="BI49" s="48">
        <f t="shared" si="162"/>
        <v>0</v>
      </c>
      <c r="BJ49" s="48">
        <f t="shared" si="162"/>
        <v>0</v>
      </c>
      <c r="BK49" s="48">
        <f t="shared" si="162"/>
        <v>0</v>
      </c>
      <c r="BL49" s="48">
        <f t="shared" si="162"/>
        <v>0</v>
      </c>
      <c r="BM49" s="48">
        <f t="shared" si="162"/>
        <v>0</v>
      </c>
      <c r="BN49" s="48">
        <f t="shared" si="162"/>
        <v>0</v>
      </c>
      <c r="BO49" s="48">
        <f t="shared" si="162"/>
        <v>0</v>
      </c>
      <c r="BP49" s="48">
        <f t="shared" si="162"/>
        <v>0</v>
      </c>
      <c r="BQ49" s="48">
        <f t="shared" si="162"/>
        <v>0</v>
      </c>
      <c r="BR49" s="48">
        <f t="shared" ref="BR49:CW49" si="163">BR$24*INDEX(Precio_O,4)*INDEX(IdxPrecio_O,1,MIN(10,BR$17))*(1+P_dPrecio)</f>
        <v>0</v>
      </c>
      <c r="BS49" s="48">
        <f t="shared" si="163"/>
        <v>0</v>
      </c>
      <c r="BT49" s="48">
        <f t="shared" si="163"/>
        <v>0</v>
      </c>
      <c r="BU49" s="48">
        <f t="shared" si="163"/>
        <v>0</v>
      </c>
      <c r="BV49" s="48">
        <f t="shared" si="163"/>
        <v>0</v>
      </c>
      <c r="BW49" s="48">
        <f t="shared" si="163"/>
        <v>0</v>
      </c>
      <c r="BX49" s="48">
        <f t="shared" si="163"/>
        <v>0</v>
      </c>
      <c r="BY49" s="48">
        <f t="shared" si="163"/>
        <v>0</v>
      </c>
      <c r="BZ49" s="48">
        <f t="shared" si="163"/>
        <v>0</v>
      </c>
      <c r="CA49" s="48">
        <f t="shared" si="163"/>
        <v>0</v>
      </c>
      <c r="CB49" s="48">
        <f t="shared" si="163"/>
        <v>0</v>
      </c>
      <c r="CC49" s="48">
        <f t="shared" si="163"/>
        <v>0</v>
      </c>
      <c r="CD49" s="48">
        <f t="shared" si="163"/>
        <v>0</v>
      </c>
      <c r="CE49" s="48">
        <f t="shared" si="163"/>
        <v>0</v>
      </c>
      <c r="CF49" s="48">
        <f t="shared" si="163"/>
        <v>0</v>
      </c>
      <c r="CG49" s="48">
        <f t="shared" si="163"/>
        <v>0</v>
      </c>
      <c r="CH49" s="48">
        <f t="shared" si="163"/>
        <v>0</v>
      </c>
      <c r="CI49" s="48">
        <f t="shared" si="163"/>
        <v>0</v>
      </c>
      <c r="CJ49" s="48">
        <f t="shared" si="163"/>
        <v>0</v>
      </c>
      <c r="CK49" s="48">
        <f t="shared" si="163"/>
        <v>0</v>
      </c>
      <c r="CL49" s="48">
        <f t="shared" si="163"/>
        <v>0</v>
      </c>
      <c r="CM49" s="48">
        <f t="shared" si="163"/>
        <v>0</v>
      </c>
      <c r="CN49" s="48">
        <f t="shared" si="163"/>
        <v>0</v>
      </c>
      <c r="CO49" s="48">
        <f t="shared" si="163"/>
        <v>0</v>
      </c>
      <c r="CP49" s="48">
        <f t="shared" si="163"/>
        <v>0</v>
      </c>
      <c r="CQ49" s="48">
        <f t="shared" si="163"/>
        <v>0</v>
      </c>
      <c r="CR49" s="48">
        <f t="shared" si="163"/>
        <v>0</v>
      </c>
      <c r="CS49" s="48">
        <f t="shared" si="163"/>
        <v>0</v>
      </c>
      <c r="CT49" s="48">
        <f t="shared" si="163"/>
        <v>0</v>
      </c>
      <c r="CU49" s="48">
        <f t="shared" si="163"/>
        <v>0</v>
      </c>
      <c r="CV49" s="48">
        <f t="shared" si="163"/>
        <v>0</v>
      </c>
      <c r="CW49" s="48">
        <f t="shared" si="163"/>
        <v>0</v>
      </c>
      <c r="CX49" s="48">
        <f t="shared" ref="CX49:EC49" si="164">CX$24*INDEX(Precio_O,4)*INDEX(IdxPrecio_O,1,MIN(10,CX$17))*(1+P_dPrecio)</f>
        <v>0</v>
      </c>
      <c r="CY49" s="48">
        <f t="shared" si="164"/>
        <v>0</v>
      </c>
      <c r="CZ49" s="48">
        <f t="shared" si="164"/>
        <v>0</v>
      </c>
      <c r="DA49" s="48">
        <f t="shared" si="164"/>
        <v>0</v>
      </c>
      <c r="DB49" s="48">
        <f t="shared" si="164"/>
        <v>0</v>
      </c>
      <c r="DC49" s="48">
        <f t="shared" si="164"/>
        <v>0</v>
      </c>
      <c r="DD49" s="48">
        <f t="shared" si="164"/>
        <v>0</v>
      </c>
      <c r="DE49" s="48">
        <f t="shared" si="164"/>
        <v>0</v>
      </c>
      <c r="DF49" s="48">
        <f t="shared" si="164"/>
        <v>0</v>
      </c>
      <c r="DG49" s="48">
        <f t="shared" si="164"/>
        <v>0</v>
      </c>
      <c r="DH49" s="48">
        <f t="shared" si="164"/>
        <v>0</v>
      </c>
      <c r="DI49" s="48">
        <f t="shared" si="164"/>
        <v>0</v>
      </c>
      <c r="DJ49" s="48">
        <f t="shared" si="164"/>
        <v>0</v>
      </c>
      <c r="DK49" s="48">
        <f t="shared" si="164"/>
        <v>0</v>
      </c>
      <c r="DL49" s="48">
        <f t="shared" si="164"/>
        <v>0</v>
      </c>
      <c r="DM49" s="48">
        <f t="shared" si="164"/>
        <v>0</v>
      </c>
      <c r="DN49" s="48">
        <f t="shared" si="164"/>
        <v>0</v>
      </c>
      <c r="DO49" s="48">
        <f t="shared" si="164"/>
        <v>0</v>
      </c>
      <c r="DP49" s="48">
        <f t="shared" si="164"/>
        <v>0</v>
      </c>
      <c r="DQ49" s="48">
        <f t="shared" si="164"/>
        <v>0</v>
      </c>
      <c r="DR49" s="48">
        <f t="shared" si="164"/>
        <v>0</v>
      </c>
      <c r="DS49" s="48">
        <f t="shared" si="164"/>
        <v>0</v>
      </c>
      <c r="DT49" s="48">
        <f t="shared" si="164"/>
        <v>0</v>
      </c>
      <c r="DU49" s="48">
        <f t="shared" si="164"/>
        <v>0</v>
      </c>
      <c r="DV49" s="48">
        <f t="shared" si="164"/>
        <v>0</v>
      </c>
      <c r="DW49" s="48">
        <f t="shared" si="164"/>
        <v>0</v>
      </c>
      <c r="DX49" s="48">
        <f t="shared" si="164"/>
        <v>0</v>
      </c>
      <c r="DY49" s="48">
        <f t="shared" si="164"/>
        <v>0</v>
      </c>
      <c r="DZ49" s="48">
        <f t="shared" si="164"/>
        <v>0</v>
      </c>
      <c r="EA49" s="48">
        <f t="shared" si="164"/>
        <v>0</v>
      </c>
      <c r="EB49" s="48">
        <f t="shared" si="164"/>
        <v>0</v>
      </c>
      <c r="EC49" s="48">
        <f t="shared" si="164"/>
        <v>0</v>
      </c>
      <c r="ED49" s="48">
        <f t="shared" ref="ED49:ES49" si="165">ED$24*INDEX(Precio_O,4)*INDEX(IdxPrecio_O,1,MIN(10,ED$17))*(1+P_dPrecio)</f>
        <v>0</v>
      </c>
      <c r="EE49" s="48">
        <f t="shared" si="165"/>
        <v>0</v>
      </c>
      <c r="EF49" s="48">
        <f t="shared" si="165"/>
        <v>0</v>
      </c>
      <c r="EG49" s="48">
        <f t="shared" si="165"/>
        <v>0</v>
      </c>
      <c r="EH49" s="48">
        <f t="shared" si="165"/>
        <v>0</v>
      </c>
      <c r="EI49" s="48">
        <f t="shared" si="165"/>
        <v>0</v>
      </c>
      <c r="EJ49" s="48">
        <f t="shared" si="165"/>
        <v>0</v>
      </c>
      <c r="EK49" s="48">
        <f t="shared" si="165"/>
        <v>0</v>
      </c>
      <c r="EL49" s="48">
        <f t="shared" si="165"/>
        <v>0</v>
      </c>
      <c r="EM49" s="48">
        <f t="shared" si="165"/>
        <v>0</v>
      </c>
      <c r="EN49" s="48">
        <f t="shared" si="165"/>
        <v>0</v>
      </c>
      <c r="EO49" s="48">
        <f t="shared" si="165"/>
        <v>0</v>
      </c>
      <c r="EP49" s="48">
        <f t="shared" si="165"/>
        <v>0</v>
      </c>
      <c r="EQ49" s="48">
        <f t="shared" si="165"/>
        <v>0</v>
      </c>
      <c r="ER49" s="48">
        <f t="shared" si="165"/>
        <v>0</v>
      </c>
      <c r="ES49" s="48">
        <f t="shared" si="165"/>
        <v>0</v>
      </c>
    </row>
    <row r="50" spans="1:149" x14ac:dyDescent="0.3">
      <c r="A50" s="14" t="s">
        <v>1027</v>
      </c>
      <c r="B50" s="53" t="str">
        <f>IF(INDEX(Prod_Nombre,5)="","Producto 5",INDEX(Prod_Nombre,5))&amp;" — ventas USD"</f>
        <v>Producto 5 — ventas USD</v>
      </c>
      <c r="C50" s="18" t="s">
        <v>439</v>
      </c>
      <c r="E50" s="54">
        <f t="shared" si="20"/>
        <v>0</v>
      </c>
      <c r="F50" s="48">
        <f t="shared" ref="F50:AK50" si="166">F$25*INDEX(Precio_O,5)*INDEX(IdxPrecio_O,1,MIN(10,F$17))*(1+P_dPrecio)</f>
        <v>0</v>
      </c>
      <c r="G50" s="48">
        <f t="shared" si="166"/>
        <v>0</v>
      </c>
      <c r="H50" s="48">
        <f t="shared" si="166"/>
        <v>0</v>
      </c>
      <c r="I50" s="48">
        <f t="shared" si="166"/>
        <v>0</v>
      </c>
      <c r="J50" s="48">
        <f t="shared" si="166"/>
        <v>0</v>
      </c>
      <c r="K50" s="48">
        <f t="shared" si="166"/>
        <v>0</v>
      </c>
      <c r="L50" s="48">
        <f t="shared" si="166"/>
        <v>0</v>
      </c>
      <c r="M50" s="48">
        <f t="shared" si="166"/>
        <v>0</v>
      </c>
      <c r="N50" s="48">
        <f t="shared" si="166"/>
        <v>0</v>
      </c>
      <c r="O50" s="48">
        <f t="shared" si="166"/>
        <v>0</v>
      </c>
      <c r="P50" s="48">
        <f t="shared" si="166"/>
        <v>0</v>
      </c>
      <c r="Q50" s="48">
        <f t="shared" si="166"/>
        <v>0</v>
      </c>
      <c r="R50" s="48">
        <f t="shared" si="166"/>
        <v>0</v>
      </c>
      <c r="S50" s="48">
        <f t="shared" si="166"/>
        <v>0</v>
      </c>
      <c r="T50" s="48">
        <f t="shared" si="166"/>
        <v>0</v>
      </c>
      <c r="U50" s="48">
        <f t="shared" si="166"/>
        <v>0</v>
      </c>
      <c r="V50" s="48">
        <f t="shared" si="166"/>
        <v>0</v>
      </c>
      <c r="W50" s="48">
        <f t="shared" si="166"/>
        <v>0</v>
      </c>
      <c r="X50" s="48">
        <f t="shared" si="166"/>
        <v>0</v>
      </c>
      <c r="Y50" s="48">
        <f t="shared" si="166"/>
        <v>0</v>
      </c>
      <c r="Z50" s="48">
        <f t="shared" si="166"/>
        <v>0</v>
      </c>
      <c r="AA50" s="48">
        <f t="shared" si="166"/>
        <v>0</v>
      </c>
      <c r="AB50" s="48">
        <f t="shared" si="166"/>
        <v>0</v>
      </c>
      <c r="AC50" s="48">
        <f t="shared" si="166"/>
        <v>0</v>
      </c>
      <c r="AD50" s="48">
        <f t="shared" si="166"/>
        <v>0</v>
      </c>
      <c r="AE50" s="48">
        <f t="shared" si="166"/>
        <v>0</v>
      </c>
      <c r="AF50" s="48">
        <f t="shared" si="166"/>
        <v>0</v>
      </c>
      <c r="AG50" s="48">
        <f t="shared" si="166"/>
        <v>0</v>
      </c>
      <c r="AH50" s="48">
        <f t="shared" si="166"/>
        <v>0</v>
      </c>
      <c r="AI50" s="48">
        <f t="shared" si="166"/>
        <v>0</v>
      </c>
      <c r="AJ50" s="48">
        <f t="shared" si="166"/>
        <v>0</v>
      </c>
      <c r="AK50" s="48">
        <f t="shared" si="166"/>
        <v>0</v>
      </c>
      <c r="AL50" s="48">
        <f t="shared" ref="AL50:BQ50" si="167">AL$25*INDEX(Precio_O,5)*INDEX(IdxPrecio_O,1,MIN(10,AL$17))*(1+P_dPrecio)</f>
        <v>0</v>
      </c>
      <c r="AM50" s="48">
        <f t="shared" si="167"/>
        <v>0</v>
      </c>
      <c r="AN50" s="48">
        <f t="shared" si="167"/>
        <v>0</v>
      </c>
      <c r="AO50" s="48">
        <f t="shared" si="167"/>
        <v>0</v>
      </c>
      <c r="AP50" s="48">
        <f t="shared" si="167"/>
        <v>0</v>
      </c>
      <c r="AQ50" s="48">
        <f t="shared" si="167"/>
        <v>0</v>
      </c>
      <c r="AR50" s="48">
        <f t="shared" si="167"/>
        <v>0</v>
      </c>
      <c r="AS50" s="48">
        <f t="shared" si="167"/>
        <v>0</v>
      </c>
      <c r="AT50" s="48">
        <f t="shared" si="167"/>
        <v>0</v>
      </c>
      <c r="AU50" s="48">
        <f t="shared" si="167"/>
        <v>0</v>
      </c>
      <c r="AV50" s="48">
        <f t="shared" si="167"/>
        <v>0</v>
      </c>
      <c r="AW50" s="48">
        <f t="shared" si="167"/>
        <v>0</v>
      </c>
      <c r="AX50" s="48">
        <f t="shared" si="167"/>
        <v>0</v>
      </c>
      <c r="AY50" s="48">
        <f t="shared" si="167"/>
        <v>0</v>
      </c>
      <c r="AZ50" s="48">
        <f t="shared" si="167"/>
        <v>0</v>
      </c>
      <c r="BA50" s="48">
        <f t="shared" si="167"/>
        <v>0</v>
      </c>
      <c r="BB50" s="48">
        <f t="shared" si="167"/>
        <v>0</v>
      </c>
      <c r="BC50" s="48">
        <f t="shared" si="167"/>
        <v>0</v>
      </c>
      <c r="BD50" s="48">
        <f t="shared" si="167"/>
        <v>0</v>
      </c>
      <c r="BE50" s="48">
        <f t="shared" si="167"/>
        <v>0</v>
      </c>
      <c r="BF50" s="48">
        <f t="shared" si="167"/>
        <v>0</v>
      </c>
      <c r="BG50" s="48">
        <f t="shared" si="167"/>
        <v>0</v>
      </c>
      <c r="BH50" s="48">
        <f t="shared" si="167"/>
        <v>0</v>
      </c>
      <c r="BI50" s="48">
        <f t="shared" si="167"/>
        <v>0</v>
      </c>
      <c r="BJ50" s="48">
        <f t="shared" si="167"/>
        <v>0</v>
      </c>
      <c r="BK50" s="48">
        <f t="shared" si="167"/>
        <v>0</v>
      </c>
      <c r="BL50" s="48">
        <f t="shared" si="167"/>
        <v>0</v>
      </c>
      <c r="BM50" s="48">
        <f t="shared" si="167"/>
        <v>0</v>
      </c>
      <c r="BN50" s="48">
        <f t="shared" si="167"/>
        <v>0</v>
      </c>
      <c r="BO50" s="48">
        <f t="shared" si="167"/>
        <v>0</v>
      </c>
      <c r="BP50" s="48">
        <f t="shared" si="167"/>
        <v>0</v>
      </c>
      <c r="BQ50" s="48">
        <f t="shared" si="167"/>
        <v>0</v>
      </c>
      <c r="BR50" s="48">
        <f t="shared" ref="BR50:CW50" si="168">BR$25*INDEX(Precio_O,5)*INDEX(IdxPrecio_O,1,MIN(10,BR$17))*(1+P_dPrecio)</f>
        <v>0</v>
      </c>
      <c r="BS50" s="48">
        <f t="shared" si="168"/>
        <v>0</v>
      </c>
      <c r="BT50" s="48">
        <f t="shared" si="168"/>
        <v>0</v>
      </c>
      <c r="BU50" s="48">
        <f t="shared" si="168"/>
        <v>0</v>
      </c>
      <c r="BV50" s="48">
        <f t="shared" si="168"/>
        <v>0</v>
      </c>
      <c r="BW50" s="48">
        <f t="shared" si="168"/>
        <v>0</v>
      </c>
      <c r="BX50" s="48">
        <f t="shared" si="168"/>
        <v>0</v>
      </c>
      <c r="BY50" s="48">
        <f t="shared" si="168"/>
        <v>0</v>
      </c>
      <c r="BZ50" s="48">
        <f t="shared" si="168"/>
        <v>0</v>
      </c>
      <c r="CA50" s="48">
        <f t="shared" si="168"/>
        <v>0</v>
      </c>
      <c r="CB50" s="48">
        <f t="shared" si="168"/>
        <v>0</v>
      </c>
      <c r="CC50" s="48">
        <f t="shared" si="168"/>
        <v>0</v>
      </c>
      <c r="CD50" s="48">
        <f t="shared" si="168"/>
        <v>0</v>
      </c>
      <c r="CE50" s="48">
        <f t="shared" si="168"/>
        <v>0</v>
      </c>
      <c r="CF50" s="48">
        <f t="shared" si="168"/>
        <v>0</v>
      </c>
      <c r="CG50" s="48">
        <f t="shared" si="168"/>
        <v>0</v>
      </c>
      <c r="CH50" s="48">
        <f t="shared" si="168"/>
        <v>0</v>
      </c>
      <c r="CI50" s="48">
        <f t="shared" si="168"/>
        <v>0</v>
      </c>
      <c r="CJ50" s="48">
        <f t="shared" si="168"/>
        <v>0</v>
      </c>
      <c r="CK50" s="48">
        <f t="shared" si="168"/>
        <v>0</v>
      </c>
      <c r="CL50" s="48">
        <f t="shared" si="168"/>
        <v>0</v>
      </c>
      <c r="CM50" s="48">
        <f t="shared" si="168"/>
        <v>0</v>
      </c>
      <c r="CN50" s="48">
        <f t="shared" si="168"/>
        <v>0</v>
      </c>
      <c r="CO50" s="48">
        <f t="shared" si="168"/>
        <v>0</v>
      </c>
      <c r="CP50" s="48">
        <f t="shared" si="168"/>
        <v>0</v>
      </c>
      <c r="CQ50" s="48">
        <f t="shared" si="168"/>
        <v>0</v>
      </c>
      <c r="CR50" s="48">
        <f t="shared" si="168"/>
        <v>0</v>
      </c>
      <c r="CS50" s="48">
        <f t="shared" si="168"/>
        <v>0</v>
      </c>
      <c r="CT50" s="48">
        <f t="shared" si="168"/>
        <v>0</v>
      </c>
      <c r="CU50" s="48">
        <f t="shared" si="168"/>
        <v>0</v>
      </c>
      <c r="CV50" s="48">
        <f t="shared" si="168"/>
        <v>0</v>
      </c>
      <c r="CW50" s="48">
        <f t="shared" si="168"/>
        <v>0</v>
      </c>
      <c r="CX50" s="48">
        <f t="shared" ref="CX50:EC50" si="169">CX$25*INDEX(Precio_O,5)*INDEX(IdxPrecio_O,1,MIN(10,CX$17))*(1+P_dPrecio)</f>
        <v>0</v>
      </c>
      <c r="CY50" s="48">
        <f t="shared" si="169"/>
        <v>0</v>
      </c>
      <c r="CZ50" s="48">
        <f t="shared" si="169"/>
        <v>0</v>
      </c>
      <c r="DA50" s="48">
        <f t="shared" si="169"/>
        <v>0</v>
      </c>
      <c r="DB50" s="48">
        <f t="shared" si="169"/>
        <v>0</v>
      </c>
      <c r="DC50" s="48">
        <f t="shared" si="169"/>
        <v>0</v>
      </c>
      <c r="DD50" s="48">
        <f t="shared" si="169"/>
        <v>0</v>
      </c>
      <c r="DE50" s="48">
        <f t="shared" si="169"/>
        <v>0</v>
      </c>
      <c r="DF50" s="48">
        <f t="shared" si="169"/>
        <v>0</v>
      </c>
      <c r="DG50" s="48">
        <f t="shared" si="169"/>
        <v>0</v>
      </c>
      <c r="DH50" s="48">
        <f t="shared" si="169"/>
        <v>0</v>
      </c>
      <c r="DI50" s="48">
        <f t="shared" si="169"/>
        <v>0</v>
      </c>
      <c r="DJ50" s="48">
        <f t="shared" si="169"/>
        <v>0</v>
      </c>
      <c r="DK50" s="48">
        <f t="shared" si="169"/>
        <v>0</v>
      </c>
      <c r="DL50" s="48">
        <f t="shared" si="169"/>
        <v>0</v>
      </c>
      <c r="DM50" s="48">
        <f t="shared" si="169"/>
        <v>0</v>
      </c>
      <c r="DN50" s="48">
        <f t="shared" si="169"/>
        <v>0</v>
      </c>
      <c r="DO50" s="48">
        <f t="shared" si="169"/>
        <v>0</v>
      </c>
      <c r="DP50" s="48">
        <f t="shared" si="169"/>
        <v>0</v>
      </c>
      <c r="DQ50" s="48">
        <f t="shared" si="169"/>
        <v>0</v>
      </c>
      <c r="DR50" s="48">
        <f t="shared" si="169"/>
        <v>0</v>
      </c>
      <c r="DS50" s="48">
        <f t="shared" si="169"/>
        <v>0</v>
      </c>
      <c r="DT50" s="48">
        <f t="shared" si="169"/>
        <v>0</v>
      </c>
      <c r="DU50" s="48">
        <f t="shared" si="169"/>
        <v>0</v>
      </c>
      <c r="DV50" s="48">
        <f t="shared" si="169"/>
        <v>0</v>
      </c>
      <c r="DW50" s="48">
        <f t="shared" si="169"/>
        <v>0</v>
      </c>
      <c r="DX50" s="48">
        <f t="shared" si="169"/>
        <v>0</v>
      </c>
      <c r="DY50" s="48">
        <f t="shared" si="169"/>
        <v>0</v>
      </c>
      <c r="DZ50" s="48">
        <f t="shared" si="169"/>
        <v>0</v>
      </c>
      <c r="EA50" s="48">
        <f t="shared" si="169"/>
        <v>0</v>
      </c>
      <c r="EB50" s="48">
        <f t="shared" si="169"/>
        <v>0</v>
      </c>
      <c r="EC50" s="48">
        <f t="shared" si="169"/>
        <v>0</v>
      </c>
      <c r="ED50" s="48">
        <f t="shared" ref="ED50:ES50" si="170">ED$25*INDEX(Precio_O,5)*INDEX(IdxPrecio_O,1,MIN(10,ED$17))*(1+P_dPrecio)</f>
        <v>0</v>
      </c>
      <c r="EE50" s="48">
        <f t="shared" si="170"/>
        <v>0</v>
      </c>
      <c r="EF50" s="48">
        <f t="shared" si="170"/>
        <v>0</v>
      </c>
      <c r="EG50" s="48">
        <f t="shared" si="170"/>
        <v>0</v>
      </c>
      <c r="EH50" s="48">
        <f t="shared" si="170"/>
        <v>0</v>
      </c>
      <c r="EI50" s="48">
        <f t="shared" si="170"/>
        <v>0</v>
      </c>
      <c r="EJ50" s="48">
        <f t="shared" si="170"/>
        <v>0</v>
      </c>
      <c r="EK50" s="48">
        <f t="shared" si="170"/>
        <v>0</v>
      </c>
      <c r="EL50" s="48">
        <f t="shared" si="170"/>
        <v>0</v>
      </c>
      <c r="EM50" s="48">
        <f t="shared" si="170"/>
        <v>0</v>
      </c>
      <c r="EN50" s="48">
        <f t="shared" si="170"/>
        <v>0</v>
      </c>
      <c r="EO50" s="48">
        <f t="shared" si="170"/>
        <v>0</v>
      </c>
      <c r="EP50" s="48">
        <f t="shared" si="170"/>
        <v>0</v>
      </c>
      <c r="EQ50" s="48">
        <f t="shared" si="170"/>
        <v>0</v>
      </c>
      <c r="ER50" s="48">
        <f t="shared" si="170"/>
        <v>0</v>
      </c>
      <c r="ES50" s="48">
        <f t="shared" si="170"/>
        <v>0</v>
      </c>
    </row>
    <row r="51" spans="1:149" x14ac:dyDescent="0.3">
      <c r="A51" s="14" t="s">
        <v>1028</v>
      </c>
      <c r="B51" s="53" t="str">
        <f>IF(INDEX(Prod_Nombre,6)="","Producto 6",INDEX(Prod_Nombre,6))&amp;" — ventas USD"</f>
        <v>Producto 6 — ventas USD</v>
      </c>
      <c r="C51" s="18" t="s">
        <v>439</v>
      </c>
      <c r="E51" s="54">
        <f t="shared" si="20"/>
        <v>0</v>
      </c>
      <c r="F51" s="48">
        <f t="shared" ref="F51:AK51" si="171">F$26*INDEX(Precio_O,6)*INDEX(IdxPrecio_O,1,MIN(10,F$17))*(1+P_dPrecio)</f>
        <v>0</v>
      </c>
      <c r="G51" s="48">
        <f t="shared" si="171"/>
        <v>0</v>
      </c>
      <c r="H51" s="48">
        <f t="shared" si="171"/>
        <v>0</v>
      </c>
      <c r="I51" s="48">
        <f t="shared" si="171"/>
        <v>0</v>
      </c>
      <c r="J51" s="48">
        <f t="shared" si="171"/>
        <v>0</v>
      </c>
      <c r="K51" s="48">
        <f t="shared" si="171"/>
        <v>0</v>
      </c>
      <c r="L51" s="48">
        <f t="shared" si="171"/>
        <v>0</v>
      </c>
      <c r="M51" s="48">
        <f t="shared" si="171"/>
        <v>0</v>
      </c>
      <c r="N51" s="48">
        <f t="shared" si="171"/>
        <v>0</v>
      </c>
      <c r="O51" s="48">
        <f t="shared" si="171"/>
        <v>0</v>
      </c>
      <c r="P51" s="48">
        <f t="shared" si="171"/>
        <v>0</v>
      </c>
      <c r="Q51" s="48">
        <f t="shared" si="171"/>
        <v>0</v>
      </c>
      <c r="R51" s="48">
        <f t="shared" si="171"/>
        <v>0</v>
      </c>
      <c r="S51" s="48">
        <f t="shared" si="171"/>
        <v>0</v>
      </c>
      <c r="T51" s="48">
        <f t="shared" si="171"/>
        <v>0</v>
      </c>
      <c r="U51" s="48">
        <f t="shared" si="171"/>
        <v>0</v>
      </c>
      <c r="V51" s="48">
        <f t="shared" si="171"/>
        <v>0</v>
      </c>
      <c r="W51" s="48">
        <f t="shared" si="171"/>
        <v>0</v>
      </c>
      <c r="X51" s="48">
        <f t="shared" si="171"/>
        <v>0</v>
      </c>
      <c r="Y51" s="48">
        <f t="shared" si="171"/>
        <v>0</v>
      </c>
      <c r="Z51" s="48">
        <f t="shared" si="171"/>
        <v>0</v>
      </c>
      <c r="AA51" s="48">
        <f t="shared" si="171"/>
        <v>0</v>
      </c>
      <c r="AB51" s="48">
        <f t="shared" si="171"/>
        <v>0</v>
      </c>
      <c r="AC51" s="48">
        <f t="shared" si="171"/>
        <v>0</v>
      </c>
      <c r="AD51" s="48">
        <f t="shared" si="171"/>
        <v>0</v>
      </c>
      <c r="AE51" s="48">
        <f t="shared" si="171"/>
        <v>0</v>
      </c>
      <c r="AF51" s="48">
        <f t="shared" si="171"/>
        <v>0</v>
      </c>
      <c r="AG51" s="48">
        <f t="shared" si="171"/>
        <v>0</v>
      </c>
      <c r="AH51" s="48">
        <f t="shared" si="171"/>
        <v>0</v>
      </c>
      <c r="AI51" s="48">
        <f t="shared" si="171"/>
        <v>0</v>
      </c>
      <c r="AJ51" s="48">
        <f t="shared" si="171"/>
        <v>0</v>
      </c>
      <c r="AK51" s="48">
        <f t="shared" si="171"/>
        <v>0</v>
      </c>
      <c r="AL51" s="48">
        <f t="shared" ref="AL51:BQ51" si="172">AL$26*INDEX(Precio_O,6)*INDEX(IdxPrecio_O,1,MIN(10,AL$17))*(1+P_dPrecio)</f>
        <v>0</v>
      </c>
      <c r="AM51" s="48">
        <f t="shared" si="172"/>
        <v>0</v>
      </c>
      <c r="AN51" s="48">
        <f t="shared" si="172"/>
        <v>0</v>
      </c>
      <c r="AO51" s="48">
        <f t="shared" si="172"/>
        <v>0</v>
      </c>
      <c r="AP51" s="48">
        <f t="shared" si="172"/>
        <v>0</v>
      </c>
      <c r="AQ51" s="48">
        <f t="shared" si="172"/>
        <v>0</v>
      </c>
      <c r="AR51" s="48">
        <f t="shared" si="172"/>
        <v>0</v>
      </c>
      <c r="AS51" s="48">
        <f t="shared" si="172"/>
        <v>0</v>
      </c>
      <c r="AT51" s="48">
        <f t="shared" si="172"/>
        <v>0</v>
      </c>
      <c r="AU51" s="48">
        <f t="shared" si="172"/>
        <v>0</v>
      </c>
      <c r="AV51" s="48">
        <f t="shared" si="172"/>
        <v>0</v>
      </c>
      <c r="AW51" s="48">
        <f t="shared" si="172"/>
        <v>0</v>
      </c>
      <c r="AX51" s="48">
        <f t="shared" si="172"/>
        <v>0</v>
      </c>
      <c r="AY51" s="48">
        <f t="shared" si="172"/>
        <v>0</v>
      </c>
      <c r="AZ51" s="48">
        <f t="shared" si="172"/>
        <v>0</v>
      </c>
      <c r="BA51" s="48">
        <f t="shared" si="172"/>
        <v>0</v>
      </c>
      <c r="BB51" s="48">
        <f t="shared" si="172"/>
        <v>0</v>
      </c>
      <c r="BC51" s="48">
        <f t="shared" si="172"/>
        <v>0</v>
      </c>
      <c r="BD51" s="48">
        <f t="shared" si="172"/>
        <v>0</v>
      </c>
      <c r="BE51" s="48">
        <f t="shared" si="172"/>
        <v>0</v>
      </c>
      <c r="BF51" s="48">
        <f t="shared" si="172"/>
        <v>0</v>
      </c>
      <c r="BG51" s="48">
        <f t="shared" si="172"/>
        <v>0</v>
      </c>
      <c r="BH51" s="48">
        <f t="shared" si="172"/>
        <v>0</v>
      </c>
      <c r="BI51" s="48">
        <f t="shared" si="172"/>
        <v>0</v>
      </c>
      <c r="BJ51" s="48">
        <f t="shared" si="172"/>
        <v>0</v>
      </c>
      <c r="BK51" s="48">
        <f t="shared" si="172"/>
        <v>0</v>
      </c>
      <c r="BL51" s="48">
        <f t="shared" si="172"/>
        <v>0</v>
      </c>
      <c r="BM51" s="48">
        <f t="shared" si="172"/>
        <v>0</v>
      </c>
      <c r="BN51" s="48">
        <f t="shared" si="172"/>
        <v>0</v>
      </c>
      <c r="BO51" s="48">
        <f t="shared" si="172"/>
        <v>0</v>
      </c>
      <c r="BP51" s="48">
        <f t="shared" si="172"/>
        <v>0</v>
      </c>
      <c r="BQ51" s="48">
        <f t="shared" si="172"/>
        <v>0</v>
      </c>
      <c r="BR51" s="48">
        <f t="shared" ref="BR51:CW51" si="173">BR$26*INDEX(Precio_O,6)*INDEX(IdxPrecio_O,1,MIN(10,BR$17))*(1+P_dPrecio)</f>
        <v>0</v>
      </c>
      <c r="BS51" s="48">
        <f t="shared" si="173"/>
        <v>0</v>
      </c>
      <c r="BT51" s="48">
        <f t="shared" si="173"/>
        <v>0</v>
      </c>
      <c r="BU51" s="48">
        <f t="shared" si="173"/>
        <v>0</v>
      </c>
      <c r="BV51" s="48">
        <f t="shared" si="173"/>
        <v>0</v>
      </c>
      <c r="BW51" s="48">
        <f t="shared" si="173"/>
        <v>0</v>
      </c>
      <c r="BX51" s="48">
        <f t="shared" si="173"/>
        <v>0</v>
      </c>
      <c r="BY51" s="48">
        <f t="shared" si="173"/>
        <v>0</v>
      </c>
      <c r="BZ51" s="48">
        <f t="shared" si="173"/>
        <v>0</v>
      </c>
      <c r="CA51" s="48">
        <f t="shared" si="173"/>
        <v>0</v>
      </c>
      <c r="CB51" s="48">
        <f t="shared" si="173"/>
        <v>0</v>
      </c>
      <c r="CC51" s="48">
        <f t="shared" si="173"/>
        <v>0</v>
      </c>
      <c r="CD51" s="48">
        <f t="shared" si="173"/>
        <v>0</v>
      </c>
      <c r="CE51" s="48">
        <f t="shared" si="173"/>
        <v>0</v>
      </c>
      <c r="CF51" s="48">
        <f t="shared" si="173"/>
        <v>0</v>
      </c>
      <c r="CG51" s="48">
        <f t="shared" si="173"/>
        <v>0</v>
      </c>
      <c r="CH51" s="48">
        <f t="shared" si="173"/>
        <v>0</v>
      </c>
      <c r="CI51" s="48">
        <f t="shared" si="173"/>
        <v>0</v>
      </c>
      <c r="CJ51" s="48">
        <f t="shared" si="173"/>
        <v>0</v>
      </c>
      <c r="CK51" s="48">
        <f t="shared" si="173"/>
        <v>0</v>
      </c>
      <c r="CL51" s="48">
        <f t="shared" si="173"/>
        <v>0</v>
      </c>
      <c r="CM51" s="48">
        <f t="shared" si="173"/>
        <v>0</v>
      </c>
      <c r="CN51" s="48">
        <f t="shared" si="173"/>
        <v>0</v>
      </c>
      <c r="CO51" s="48">
        <f t="shared" si="173"/>
        <v>0</v>
      </c>
      <c r="CP51" s="48">
        <f t="shared" si="173"/>
        <v>0</v>
      </c>
      <c r="CQ51" s="48">
        <f t="shared" si="173"/>
        <v>0</v>
      </c>
      <c r="CR51" s="48">
        <f t="shared" si="173"/>
        <v>0</v>
      </c>
      <c r="CS51" s="48">
        <f t="shared" si="173"/>
        <v>0</v>
      </c>
      <c r="CT51" s="48">
        <f t="shared" si="173"/>
        <v>0</v>
      </c>
      <c r="CU51" s="48">
        <f t="shared" si="173"/>
        <v>0</v>
      </c>
      <c r="CV51" s="48">
        <f t="shared" si="173"/>
        <v>0</v>
      </c>
      <c r="CW51" s="48">
        <f t="shared" si="173"/>
        <v>0</v>
      </c>
      <c r="CX51" s="48">
        <f t="shared" ref="CX51:EC51" si="174">CX$26*INDEX(Precio_O,6)*INDEX(IdxPrecio_O,1,MIN(10,CX$17))*(1+P_dPrecio)</f>
        <v>0</v>
      </c>
      <c r="CY51" s="48">
        <f t="shared" si="174"/>
        <v>0</v>
      </c>
      <c r="CZ51" s="48">
        <f t="shared" si="174"/>
        <v>0</v>
      </c>
      <c r="DA51" s="48">
        <f t="shared" si="174"/>
        <v>0</v>
      </c>
      <c r="DB51" s="48">
        <f t="shared" si="174"/>
        <v>0</v>
      </c>
      <c r="DC51" s="48">
        <f t="shared" si="174"/>
        <v>0</v>
      </c>
      <c r="DD51" s="48">
        <f t="shared" si="174"/>
        <v>0</v>
      </c>
      <c r="DE51" s="48">
        <f t="shared" si="174"/>
        <v>0</v>
      </c>
      <c r="DF51" s="48">
        <f t="shared" si="174"/>
        <v>0</v>
      </c>
      <c r="DG51" s="48">
        <f t="shared" si="174"/>
        <v>0</v>
      </c>
      <c r="DH51" s="48">
        <f t="shared" si="174"/>
        <v>0</v>
      </c>
      <c r="DI51" s="48">
        <f t="shared" si="174"/>
        <v>0</v>
      </c>
      <c r="DJ51" s="48">
        <f t="shared" si="174"/>
        <v>0</v>
      </c>
      <c r="DK51" s="48">
        <f t="shared" si="174"/>
        <v>0</v>
      </c>
      <c r="DL51" s="48">
        <f t="shared" si="174"/>
        <v>0</v>
      </c>
      <c r="DM51" s="48">
        <f t="shared" si="174"/>
        <v>0</v>
      </c>
      <c r="DN51" s="48">
        <f t="shared" si="174"/>
        <v>0</v>
      </c>
      <c r="DO51" s="48">
        <f t="shared" si="174"/>
        <v>0</v>
      </c>
      <c r="DP51" s="48">
        <f t="shared" si="174"/>
        <v>0</v>
      </c>
      <c r="DQ51" s="48">
        <f t="shared" si="174"/>
        <v>0</v>
      </c>
      <c r="DR51" s="48">
        <f t="shared" si="174"/>
        <v>0</v>
      </c>
      <c r="DS51" s="48">
        <f t="shared" si="174"/>
        <v>0</v>
      </c>
      <c r="DT51" s="48">
        <f t="shared" si="174"/>
        <v>0</v>
      </c>
      <c r="DU51" s="48">
        <f t="shared" si="174"/>
        <v>0</v>
      </c>
      <c r="DV51" s="48">
        <f t="shared" si="174"/>
        <v>0</v>
      </c>
      <c r="DW51" s="48">
        <f t="shared" si="174"/>
        <v>0</v>
      </c>
      <c r="DX51" s="48">
        <f t="shared" si="174"/>
        <v>0</v>
      </c>
      <c r="DY51" s="48">
        <f t="shared" si="174"/>
        <v>0</v>
      </c>
      <c r="DZ51" s="48">
        <f t="shared" si="174"/>
        <v>0</v>
      </c>
      <c r="EA51" s="48">
        <f t="shared" si="174"/>
        <v>0</v>
      </c>
      <c r="EB51" s="48">
        <f t="shared" si="174"/>
        <v>0</v>
      </c>
      <c r="EC51" s="48">
        <f t="shared" si="174"/>
        <v>0</v>
      </c>
      <c r="ED51" s="48">
        <f t="shared" ref="ED51:ES51" si="175">ED$26*INDEX(Precio_O,6)*INDEX(IdxPrecio_O,1,MIN(10,ED$17))*(1+P_dPrecio)</f>
        <v>0</v>
      </c>
      <c r="EE51" s="48">
        <f t="shared" si="175"/>
        <v>0</v>
      </c>
      <c r="EF51" s="48">
        <f t="shared" si="175"/>
        <v>0</v>
      </c>
      <c r="EG51" s="48">
        <f t="shared" si="175"/>
        <v>0</v>
      </c>
      <c r="EH51" s="48">
        <f t="shared" si="175"/>
        <v>0</v>
      </c>
      <c r="EI51" s="48">
        <f t="shared" si="175"/>
        <v>0</v>
      </c>
      <c r="EJ51" s="48">
        <f t="shared" si="175"/>
        <v>0</v>
      </c>
      <c r="EK51" s="48">
        <f t="shared" si="175"/>
        <v>0</v>
      </c>
      <c r="EL51" s="48">
        <f t="shared" si="175"/>
        <v>0</v>
      </c>
      <c r="EM51" s="48">
        <f t="shared" si="175"/>
        <v>0</v>
      </c>
      <c r="EN51" s="48">
        <f t="shared" si="175"/>
        <v>0</v>
      </c>
      <c r="EO51" s="48">
        <f t="shared" si="175"/>
        <v>0</v>
      </c>
      <c r="EP51" s="48">
        <f t="shared" si="175"/>
        <v>0</v>
      </c>
      <c r="EQ51" s="48">
        <f t="shared" si="175"/>
        <v>0</v>
      </c>
      <c r="ER51" s="48">
        <f t="shared" si="175"/>
        <v>0</v>
      </c>
      <c r="ES51" s="48">
        <f t="shared" si="175"/>
        <v>0</v>
      </c>
    </row>
    <row r="52" spans="1:149" x14ac:dyDescent="0.3">
      <c r="A52" s="14" t="s">
        <v>1029</v>
      </c>
      <c r="B52" s="53" t="str">
        <f>IF(INDEX(Prod_Nombre,7)="","Producto 7",INDEX(Prod_Nombre,7))&amp;" — ventas USD"</f>
        <v>Producto 7 — ventas USD</v>
      </c>
      <c r="C52" s="18" t="s">
        <v>439</v>
      </c>
      <c r="E52" s="54">
        <f t="shared" si="20"/>
        <v>0</v>
      </c>
      <c r="F52" s="48">
        <f t="shared" ref="F52:AK52" si="176">F$27*INDEX(Precio_O,7)*INDEX(IdxPrecio_O,1,MIN(10,F$17))*(1+P_dPrecio)</f>
        <v>0</v>
      </c>
      <c r="G52" s="48">
        <f t="shared" si="176"/>
        <v>0</v>
      </c>
      <c r="H52" s="48">
        <f t="shared" si="176"/>
        <v>0</v>
      </c>
      <c r="I52" s="48">
        <f t="shared" si="176"/>
        <v>0</v>
      </c>
      <c r="J52" s="48">
        <f t="shared" si="176"/>
        <v>0</v>
      </c>
      <c r="K52" s="48">
        <f t="shared" si="176"/>
        <v>0</v>
      </c>
      <c r="L52" s="48">
        <f t="shared" si="176"/>
        <v>0</v>
      </c>
      <c r="M52" s="48">
        <f t="shared" si="176"/>
        <v>0</v>
      </c>
      <c r="N52" s="48">
        <f t="shared" si="176"/>
        <v>0</v>
      </c>
      <c r="O52" s="48">
        <f t="shared" si="176"/>
        <v>0</v>
      </c>
      <c r="P52" s="48">
        <f t="shared" si="176"/>
        <v>0</v>
      </c>
      <c r="Q52" s="48">
        <f t="shared" si="176"/>
        <v>0</v>
      </c>
      <c r="R52" s="48">
        <f t="shared" si="176"/>
        <v>0</v>
      </c>
      <c r="S52" s="48">
        <f t="shared" si="176"/>
        <v>0</v>
      </c>
      <c r="T52" s="48">
        <f t="shared" si="176"/>
        <v>0</v>
      </c>
      <c r="U52" s="48">
        <f t="shared" si="176"/>
        <v>0</v>
      </c>
      <c r="V52" s="48">
        <f t="shared" si="176"/>
        <v>0</v>
      </c>
      <c r="W52" s="48">
        <f t="shared" si="176"/>
        <v>0</v>
      </c>
      <c r="X52" s="48">
        <f t="shared" si="176"/>
        <v>0</v>
      </c>
      <c r="Y52" s="48">
        <f t="shared" si="176"/>
        <v>0</v>
      </c>
      <c r="Z52" s="48">
        <f t="shared" si="176"/>
        <v>0</v>
      </c>
      <c r="AA52" s="48">
        <f t="shared" si="176"/>
        <v>0</v>
      </c>
      <c r="AB52" s="48">
        <f t="shared" si="176"/>
        <v>0</v>
      </c>
      <c r="AC52" s="48">
        <f t="shared" si="176"/>
        <v>0</v>
      </c>
      <c r="AD52" s="48">
        <f t="shared" si="176"/>
        <v>0</v>
      </c>
      <c r="AE52" s="48">
        <f t="shared" si="176"/>
        <v>0</v>
      </c>
      <c r="AF52" s="48">
        <f t="shared" si="176"/>
        <v>0</v>
      </c>
      <c r="AG52" s="48">
        <f t="shared" si="176"/>
        <v>0</v>
      </c>
      <c r="AH52" s="48">
        <f t="shared" si="176"/>
        <v>0</v>
      </c>
      <c r="AI52" s="48">
        <f t="shared" si="176"/>
        <v>0</v>
      </c>
      <c r="AJ52" s="48">
        <f t="shared" si="176"/>
        <v>0</v>
      </c>
      <c r="AK52" s="48">
        <f t="shared" si="176"/>
        <v>0</v>
      </c>
      <c r="AL52" s="48">
        <f t="shared" ref="AL52:BQ52" si="177">AL$27*INDEX(Precio_O,7)*INDEX(IdxPrecio_O,1,MIN(10,AL$17))*(1+P_dPrecio)</f>
        <v>0</v>
      </c>
      <c r="AM52" s="48">
        <f t="shared" si="177"/>
        <v>0</v>
      </c>
      <c r="AN52" s="48">
        <f t="shared" si="177"/>
        <v>0</v>
      </c>
      <c r="AO52" s="48">
        <f t="shared" si="177"/>
        <v>0</v>
      </c>
      <c r="AP52" s="48">
        <f t="shared" si="177"/>
        <v>0</v>
      </c>
      <c r="AQ52" s="48">
        <f t="shared" si="177"/>
        <v>0</v>
      </c>
      <c r="AR52" s="48">
        <f t="shared" si="177"/>
        <v>0</v>
      </c>
      <c r="AS52" s="48">
        <f t="shared" si="177"/>
        <v>0</v>
      </c>
      <c r="AT52" s="48">
        <f t="shared" si="177"/>
        <v>0</v>
      </c>
      <c r="AU52" s="48">
        <f t="shared" si="177"/>
        <v>0</v>
      </c>
      <c r="AV52" s="48">
        <f t="shared" si="177"/>
        <v>0</v>
      </c>
      <c r="AW52" s="48">
        <f t="shared" si="177"/>
        <v>0</v>
      </c>
      <c r="AX52" s="48">
        <f t="shared" si="177"/>
        <v>0</v>
      </c>
      <c r="AY52" s="48">
        <f t="shared" si="177"/>
        <v>0</v>
      </c>
      <c r="AZ52" s="48">
        <f t="shared" si="177"/>
        <v>0</v>
      </c>
      <c r="BA52" s="48">
        <f t="shared" si="177"/>
        <v>0</v>
      </c>
      <c r="BB52" s="48">
        <f t="shared" si="177"/>
        <v>0</v>
      </c>
      <c r="BC52" s="48">
        <f t="shared" si="177"/>
        <v>0</v>
      </c>
      <c r="BD52" s="48">
        <f t="shared" si="177"/>
        <v>0</v>
      </c>
      <c r="BE52" s="48">
        <f t="shared" si="177"/>
        <v>0</v>
      </c>
      <c r="BF52" s="48">
        <f t="shared" si="177"/>
        <v>0</v>
      </c>
      <c r="BG52" s="48">
        <f t="shared" si="177"/>
        <v>0</v>
      </c>
      <c r="BH52" s="48">
        <f t="shared" si="177"/>
        <v>0</v>
      </c>
      <c r="BI52" s="48">
        <f t="shared" si="177"/>
        <v>0</v>
      </c>
      <c r="BJ52" s="48">
        <f t="shared" si="177"/>
        <v>0</v>
      </c>
      <c r="BK52" s="48">
        <f t="shared" si="177"/>
        <v>0</v>
      </c>
      <c r="BL52" s="48">
        <f t="shared" si="177"/>
        <v>0</v>
      </c>
      <c r="BM52" s="48">
        <f t="shared" si="177"/>
        <v>0</v>
      </c>
      <c r="BN52" s="48">
        <f t="shared" si="177"/>
        <v>0</v>
      </c>
      <c r="BO52" s="48">
        <f t="shared" si="177"/>
        <v>0</v>
      </c>
      <c r="BP52" s="48">
        <f t="shared" si="177"/>
        <v>0</v>
      </c>
      <c r="BQ52" s="48">
        <f t="shared" si="177"/>
        <v>0</v>
      </c>
      <c r="BR52" s="48">
        <f t="shared" ref="BR52:CW52" si="178">BR$27*INDEX(Precio_O,7)*INDEX(IdxPrecio_O,1,MIN(10,BR$17))*(1+P_dPrecio)</f>
        <v>0</v>
      </c>
      <c r="BS52" s="48">
        <f t="shared" si="178"/>
        <v>0</v>
      </c>
      <c r="BT52" s="48">
        <f t="shared" si="178"/>
        <v>0</v>
      </c>
      <c r="BU52" s="48">
        <f t="shared" si="178"/>
        <v>0</v>
      </c>
      <c r="BV52" s="48">
        <f t="shared" si="178"/>
        <v>0</v>
      </c>
      <c r="BW52" s="48">
        <f t="shared" si="178"/>
        <v>0</v>
      </c>
      <c r="BX52" s="48">
        <f t="shared" si="178"/>
        <v>0</v>
      </c>
      <c r="BY52" s="48">
        <f t="shared" si="178"/>
        <v>0</v>
      </c>
      <c r="BZ52" s="48">
        <f t="shared" si="178"/>
        <v>0</v>
      </c>
      <c r="CA52" s="48">
        <f t="shared" si="178"/>
        <v>0</v>
      </c>
      <c r="CB52" s="48">
        <f t="shared" si="178"/>
        <v>0</v>
      </c>
      <c r="CC52" s="48">
        <f t="shared" si="178"/>
        <v>0</v>
      </c>
      <c r="CD52" s="48">
        <f t="shared" si="178"/>
        <v>0</v>
      </c>
      <c r="CE52" s="48">
        <f t="shared" si="178"/>
        <v>0</v>
      </c>
      <c r="CF52" s="48">
        <f t="shared" si="178"/>
        <v>0</v>
      </c>
      <c r="CG52" s="48">
        <f t="shared" si="178"/>
        <v>0</v>
      </c>
      <c r="CH52" s="48">
        <f t="shared" si="178"/>
        <v>0</v>
      </c>
      <c r="CI52" s="48">
        <f t="shared" si="178"/>
        <v>0</v>
      </c>
      <c r="CJ52" s="48">
        <f t="shared" si="178"/>
        <v>0</v>
      </c>
      <c r="CK52" s="48">
        <f t="shared" si="178"/>
        <v>0</v>
      </c>
      <c r="CL52" s="48">
        <f t="shared" si="178"/>
        <v>0</v>
      </c>
      <c r="CM52" s="48">
        <f t="shared" si="178"/>
        <v>0</v>
      </c>
      <c r="CN52" s="48">
        <f t="shared" si="178"/>
        <v>0</v>
      </c>
      <c r="CO52" s="48">
        <f t="shared" si="178"/>
        <v>0</v>
      </c>
      <c r="CP52" s="48">
        <f t="shared" si="178"/>
        <v>0</v>
      </c>
      <c r="CQ52" s="48">
        <f t="shared" si="178"/>
        <v>0</v>
      </c>
      <c r="CR52" s="48">
        <f t="shared" si="178"/>
        <v>0</v>
      </c>
      <c r="CS52" s="48">
        <f t="shared" si="178"/>
        <v>0</v>
      </c>
      <c r="CT52" s="48">
        <f t="shared" si="178"/>
        <v>0</v>
      </c>
      <c r="CU52" s="48">
        <f t="shared" si="178"/>
        <v>0</v>
      </c>
      <c r="CV52" s="48">
        <f t="shared" si="178"/>
        <v>0</v>
      </c>
      <c r="CW52" s="48">
        <f t="shared" si="178"/>
        <v>0</v>
      </c>
      <c r="CX52" s="48">
        <f t="shared" ref="CX52:EC52" si="179">CX$27*INDEX(Precio_O,7)*INDEX(IdxPrecio_O,1,MIN(10,CX$17))*(1+P_dPrecio)</f>
        <v>0</v>
      </c>
      <c r="CY52" s="48">
        <f t="shared" si="179"/>
        <v>0</v>
      </c>
      <c r="CZ52" s="48">
        <f t="shared" si="179"/>
        <v>0</v>
      </c>
      <c r="DA52" s="48">
        <f t="shared" si="179"/>
        <v>0</v>
      </c>
      <c r="DB52" s="48">
        <f t="shared" si="179"/>
        <v>0</v>
      </c>
      <c r="DC52" s="48">
        <f t="shared" si="179"/>
        <v>0</v>
      </c>
      <c r="DD52" s="48">
        <f t="shared" si="179"/>
        <v>0</v>
      </c>
      <c r="DE52" s="48">
        <f t="shared" si="179"/>
        <v>0</v>
      </c>
      <c r="DF52" s="48">
        <f t="shared" si="179"/>
        <v>0</v>
      </c>
      <c r="DG52" s="48">
        <f t="shared" si="179"/>
        <v>0</v>
      </c>
      <c r="DH52" s="48">
        <f t="shared" si="179"/>
        <v>0</v>
      </c>
      <c r="DI52" s="48">
        <f t="shared" si="179"/>
        <v>0</v>
      </c>
      <c r="DJ52" s="48">
        <f t="shared" si="179"/>
        <v>0</v>
      </c>
      <c r="DK52" s="48">
        <f t="shared" si="179"/>
        <v>0</v>
      </c>
      <c r="DL52" s="48">
        <f t="shared" si="179"/>
        <v>0</v>
      </c>
      <c r="DM52" s="48">
        <f t="shared" si="179"/>
        <v>0</v>
      </c>
      <c r="DN52" s="48">
        <f t="shared" si="179"/>
        <v>0</v>
      </c>
      <c r="DO52" s="48">
        <f t="shared" si="179"/>
        <v>0</v>
      </c>
      <c r="DP52" s="48">
        <f t="shared" si="179"/>
        <v>0</v>
      </c>
      <c r="DQ52" s="48">
        <f t="shared" si="179"/>
        <v>0</v>
      </c>
      <c r="DR52" s="48">
        <f t="shared" si="179"/>
        <v>0</v>
      </c>
      <c r="DS52" s="48">
        <f t="shared" si="179"/>
        <v>0</v>
      </c>
      <c r="DT52" s="48">
        <f t="shared" si="179"/>
        <v>0</v>
      </c>
      <c r="DU52" s="48">
        <f t="shared" si="179"/>
        <v>0</v>
      </c>
      <c r="DV52" s="48">
        <f t="shared" si="179"/>
        <v>0</v>
      </c>
      <c r="DW52" s="48">
        <f t="shared" si="179"/>
        <v>0</v>
      </c>
      <c r="DX52" s="48">
        <f t="shared" si="179"/>
        <v>0</v>
      </c>
      <c r="DY52" s="48">
        <f t="shared" si="179"/>
        <v>0</v>
      </c>
      <c r="DZ52" s="48">
        <f t="shared" si="179"/>
        <v>0</v>
      </c>
      <c r="EA52" s="48">
        <f t="shared" si="179"/>
        <v>0</v>
      </c>
      <c r="EB52" s="48">
        <f t="shared" si="179"/>
        <v>0</v>
      </c>
      <c r="EC52" s="48">
        <f t="shared" si="179"/>
        <v>0</v>
      </c>
      <c r="ED52" s="48">
        <f t="shared" ref="ED52:ES52" si="180">ED$27*INDEX(Precio_O,7)*INDEX(IdxPrecio_O,1,MIN(10,ED$17))*(1+P_dPrecio)</f>
        <v>0</v>
      </c>
      <c r="EE52" s="48">
        <f t="shared" si="180"/>
        <v>0</v>
      </c>
      <c r="EF52" s="48">
        <f t="shared" si="180"/>
        <v>0</v>
      </c>
      <c r="EG52" s="48">
        <f t="shared" si="180"/>
        <v>0</v>
      </c>
      <c r="EH52" s="48">
        <f t="shared" si="180"/>
        <v>0</v>
      </c>
      <c r="EI52" s="48">
        <f t="shared" si="180"/>
        <v>0</v>
      </c>
      <c r="EJ52" s="48">
        <f t="shared" si="180"/>
        <v>0</v>
      </c>
      <c r="EK52" s="48">
        <f t="shared" si="180"/>
        <v>0</v>
      </c>
      <c r="EL52" s="48">
        <f t="shared" si="180"/>
        <v>0</v>
      </c>
      <c r="EM52" s="48">
        <f t="shared" si="180"/>
        <v>0</v>
      </c>
      <c r="EN52" s="48">
        <f t="shared" si="180"/>
        <v>0</v>
      </c>
      <c r="EO52" s="48">
        <f t="shared" si="180"/>
        <v>0</v>
      </c>
      <c r="EP52" s="48">
        <f t="shared" si="180"/>
        <v>0</v>
      </c>
      <c r="EQ52" s="48">
        <f t="shared" si="180"/>
        <v>0</v>
      </c>
      <c r="ER52" s="48">
        <f t="shared" si="180"/>
        <v>0</v>
      </c>
      <c r="ES52" s="48">
        <f t="shared" si="180"/>
        <v>0</v>
      </c>
    </row>
    <row r="53" spans="1:149" x14ac:dyDescent="0.3">
      <c r="A53" s="14" t="s">
        <v>1030</v>
      </c>
      <c r="B53" s="53" t="str">
        <f>IF(INDEX(Prod_Nombre,8)="","Producto 8",INDEX(Prod_Nombre,8))&amp;" — ventas USD"</f>
        <v>Producto 8 — ventas USD</v>
      </c>
      <c r="C53" s="18" t="s">
        <v>439</v>
      </c>
      <c r="E53" s="54">
        <f t="shared" ref="E53:E71" si="181">SUM(F53:ES53)</f>
        <v>0</v>
      </c>
      <c r="F53" s="48">
        <f t="shared" ref="F53:AK53" si="182">F$28*INDEX(Precio_O,8)*INDEX(IdxPrecio_O,1,MIN(10,F$17))*(1+P_dPrecio)</f>
        <v>0</v>
      </c>
      <c r="G53" s="48">
        <f t="shared" si="182"/>
        <v>0</v>
      </c>
      <c r="H53" s="48">
        <f t="shared" si="182"/>
        <v>0</v>
      </c>
      <c r="I53" s="48">
        <f t="shared" si="182"/>
        <v>0</v>
      </c>
      <c r="J53" s="48">
        <f t="shared" si="182"/>
        <v>0</v>
      </c>
      <c r="K53" s="48">
        <f t="shared" si="182"/>
        <v>0</v>
      </c>
      <c r="L53" s="48">
        <f t="shared" si="182"/>
        <v>0</v>
      </c>
      <c r="M53" s="48">
        <f t="shared" si="182"/>
        <v>0</v>
      </c>
      <c r="N53" s="48">
        <f t="shared" si="182"/>
        <v>0</v>
      </c>
      <c r="O53" s="48">
        <f t="shared" si="182"/>
        <v>0</v>
      </c>
      <c r="P53" s="48">
        <f t="shared" si="182"/>
        <v>0</v>
      </c>
      <c r="Q53" s="48">
        <f t="shared" si="182"/>
        <v>0</v>
      </c>
      <c r="R53" s="48">
        <f t="shared" si="182"/>
        <v>0</v>
      </c>
      <c r="S53" s="48">
        <f t="shared" si="182"/>
        <v>0</v>
      </c>
      <c r="T53" s="48">
        <f t="shared" si="182"/>
        <v>0</v>
      </c>
      <c r="U53" s="48">
        <f t="shared" si="182"/>
        <v>0</v>
      </c>
      <c r="V53" s="48">
        <f t="shared" si="182"/>
        <v>0</v>
      </c>
      <c r="W53" s="48">
        <f t="shared" si="182"/>
        <v>0</v>
      </c>
      <c r="X53" s="48">
        <f t="shared" si="182"/>
        <v>0</v>
      </c>
      <c r="Y53" s="48">
        <f t="shared" si="182"/>
        <v>0</v>
      </c>
      <c r="Z53" s="48">
        <f t="shared" si="182"/>
        <v>0</v>
      </c>
      <c r="AA53" s="48">
        <f t="shared" si="182"/>
        <v>0</v>
      </c>
      <c r="AB53" s="48">
        <f t="shared" si="182"/>
        <v>0</v>
      </c>
      <c r="AC53" s="48">
        <f t="shared" si="182"/>
        <v>0</v>
      </c>
      <c r="AD53" s="48">
        <f t="shared" si="182"/>
        <v>0</v>
      </c>
      <c r="AE53" s="48">
        <f t="shared" si="182"/>
        <v>0</v>
      </c>
      <c r="AF53" s="48">
        <f t="shared" si="182"/>
        <v>0</v>
      </c>
      <c r="AG53" s="48">
        <f t="shared" si="182"/>
        <v>0</v>
      </c>
      <c r="AH53" s="48">
        <f t="shared" si="182"/>
        <v>0</v>
      </c>
      <c r="AI53" s="48">
        <f t="shared" si="182"/>
        <v>0</v>
      </c>
      <c r="AJ53" s="48">
        <f t="shared" si="182"/>
        <v>0</v>
      </c>
      <c r="AK53" s="48">
        <f t="shared" si="182"/>
        <v>0</v>
      </c>
      <c r="AL53" s="48">
        <f t="shared" ref="AL53:BQ53" si="183">AL$28*INDEX(Precio_O,8)*INDEX(IdxPrecio_O,1,MIN(10,AL$17))*(1+P_dPrecio)</f>
        <v>0</v>
      </c>
      <c r="AM53" s="48">
        <f t="shared" si="183"/>
        <v>0</v>
      </c>
      <c r="AN53" s="48">
        <f t="shared" si="183"/>
        <v>0</v>
      </c>
      <c r="AO53" s="48">
        <f t="shared" si="183"/>
        <v>0</v>
      </c>
      <c r="AP53" s="48">
        <f t="shared" si="183"/>
        <v>0</v>
      </c>
      <c r="AQ53" s="48">
        <f t="shared" si="183"/>
        <v>0</v>
      </c>
      <c r="AR53" s="48">
        <f t="shared" si="183"/>
        <v>0</v>
      </c>
      <c r="AS53" s="48">
        <f t="shared" si="183"/>
        <v>0</v>
      </c>
      <c r="AT53" s="48">
        <f t="shared" si="183"/>
        <v>0</v>
      </c>
      <c r="AU53" s="48">
        <f t="shared" si="183"/>
        <v>0</v>
      </c>
      <c r="AV53" s="48">
        <f t="shared" si="183"/>
        <v>0</v>
      </c>
      <c r="AW53" s="48">
        <f t="shared" si="183"/>
        <v>0</v>
      </c>
      <c r="AX53" s="48">
        <f t="shared" si="183"/>
        <v>0</v>
      </c>
      <c r="AY53" s="48">
        <f t="shared" si="183"/>
        <v>0</v>
      </c>
      <c r="AZ53" s="48">
        <f t="shared" si="183"/>
        <v>0</v>
      </c>
      <c r="BA53" s="48">
        <f t="shared" si="183"/>
        <v>0</v>
      </c>
      <c r="BB53" s="48">
        <f t="shared" si="183"/>
        <v>0</v>
      </c>
      <c r="BC53" s="48">
        <f t="shared" si="183"/>
        <v>0</v>
      </c>
      <c r="BD53" s="48">
        <f t="shared" si="183"/>
        <v>0</v>
      </c>
      <c r="BE53" s="48">
        <f t="shared" si="183"/>
        <v>0</v>
      </c>
      <c r="BF53" s="48">
        <f t="shared" si="183"/>
        <v>0</v>
      </c>
      <c r="BG53" s="48">
        <f t="shared" si="183"/>
        <v>0</v>
      </c>
      <c r="BH53" s="48">
        <f t="shared" si="183"/>
        <v>0</v>
      </c>
      <c r="BI53" s="48">
        <f t="shared" si="183"/>
        <v>0</v>
      </c>
      <c r="BJ53" s="48">
        <f t="shared" si="183"/>
        <v>0</v>
      </c>
      <c r="BK53" s="48">
        <f t="shared" si="183"/>
        <v>0</v>
      </c>
      <c r="BL53" s="48">
        <f t="shared" si="183"/>
        <v>0</v>
      </c>
      <c r="BM53" s="48">
        <f t="shared" si="183"/>
        <v>0</v>
      </c>
      <c r="BN53" s="48">
        <f t="shared" si="183"/>
        <v>0</v>
      </c>
      <c r="BO53" s="48">
        <f t="shared" si="183"/>
        <v>0</v>
      </c>
      <c r="BP53" s="48">
        <f t="shared" si="183"/>
        <v>0</v>
      </c>
      <c r="BQ53" s="48">
        <f t="shared" si="183"/>
        <v>0</v>
      </c>
      <c r="BR53" s="48">
        <f t="shared" ref="BR53:CW53" si="184">BR$28*INDEX(Precio_O,8)*INDEX(IdxPrecio_O,1,MIN(10,BR$17))*(1+P_dPrecio)</f>
        <v>0</v>
      </c>
      <c r="BS53" s="48">
        <f t="shared" si="184"/>
        <v>0</v>
      </c>
      <c r="BT53" s="48">
        <f t="shared" si="184"/>
        <v>0</v>
      </c>
      <c r="BU53" s="48">
        <f t="shared" si="184"/>
        <v>0</v>
      </c>
      <c r="BV53" s="48">
        <f t="shared" si="184"/>
        <v>0</v>
      </c>
      <c r="BW53" s="48">
        <f t="shared" si="184"/>
        <v>0</v>
      </c>
      <c r="BX53" s="48">
        <f t="shared" si="184"/>
        <v>0</v>
      </c>
      <c r="BY53" s="48">
        <f t="shared" si="184"/>
        <v>0</v>
      </c>
      <c r="BZ53" s="48">
        <f t="shared" si="184"/>
        <v>0</v>
      </c>
      <c r="CA53" s="48">
        <f t="shared" si="184"/>
        <v>0</v>
      </c>
      <c r="CB53" s="48">
        <f t="shared" si="184"/>
        <v>0</v>
      </c>
      <c r="CC53" s="48">
        <f t="shared" si="184"/>
        <v>0</v>
      </c>
      <c r="CD53" s="48">
        <f t="shared" si="184"/>
        <v>0</v>
      </c>
      <c r="CE53" s="48">
        <f t="shared" si="184"/>
        <v>0</v>
      </c>
      <c r="CF53" s="48">
        <f t="shared" si="184"/>
        <v>0</v>
      </c>
      <c r="CG53" s="48">
        <f t="shared" si="184"/>
        <v>0</v>
      </c>
      <c r="CH53" s="48">
        <f t="shared" si="184"/>
        <v>0</v>
      </c>
      <c r="CI53" s="48">
        <f t="shared" si="184"/>
        <v>0</v>
      </c>
      <c r="CJ53" s="48">
        <f t="shared" si="184"/>
        <v>0</v>
      </c>
      <c r="CK53" s="48">
        <f t="shared" si="184"/>
        <v>0</v>
      </c>
      <c r="CL53" s="48">
        <f t="shared" si="184"/>
        <v>0</v>
      </c>
      <c r="CM53" s="48">
        <f t="shared" si="184"/>
        <v>0</v>
      </c>
      <c r="CN53" s="48">
        <f t="shared" si="184"/>
        <v>0</v>
      </c>
      <c r="CO53" s="48">
        <f t="shared" si="184"/>
        <v>0</v>
      </c>
      <c r="CP53" s="48">
        <f t="shared" si="184"/>
        <v>0</v>
      </c>
      <c r="CQ53" s="48">
        <f t="shared" si="184"/>
        <v>0</v>
      </c>
      <c r="CR53" s="48">
        <f t="shared" si="184"/>
        <v>0</v>
      </c>
      <c r="CS53" s="48">
        <f t="shared" si="184"/>
        <v>0</v>
      </c>
      <c r="CT53" s="48">
        <f t="shared" si="184"/>
        <v>0</v>
      </c>
      <c r="CU53" s="48">
        <f t="shared" si="184"/>
        <v>0</v>
      </c>
      <c r="CV53" s="48">
        <f t="shared" si="184"/>
        <v>0</v>
      </c>
      <c r="CW53" s="48">
        <f t="shared" si="184"/>
        <v>0</v>
      </c>
      <c r="CX53" s="48">
        <f t="shared" ref="CX53:EC53" si="185">CX$28*INDEX(Precio_O,8)*INDEX(IdxPrecio_O,1,MIN(10,CX$17))*(1+P_dPrecio)</f>
        <v>0</v>
      </c>
      <c r="CY53" s="48">
        <f t="shared" si="185"/>
        <v>0</v>
      </c>
      <c r="CZ53" s="48">
        <f t="shared" si="185"/>
        <v>0</v>
      </c>
      <c r="DA53" s="48">
        <f t="shared" si="185"/>
        <v>0</v>
      </c>
      <c r="DB53" s="48">
        <f t="shared" si="185"/>
        <v>0</v>
      </c>
      <c r="DC53" s="48">
        <f t="shared" si="185"/>
        <v>0</v>
      </c>
      <c r="DD53" s="48">
        <f t="shared" si="185"/>
        <v>0</v>
      </c>
      <c r="DE53" s="48">
        <f t="shared" si="185"/>
        <v>0</v>
      </c>
      <c r="DF53" s="48">
        <f t="shared" si="185"/>
        <v>0</v>
      </c>
      <c r="DG53" s="48">
        <f t="shared" si="185"/>
        <v>0</v>
      </c>
      <c r="DH53" s="48">
        <f t="shared" si="185"/>
        <v>0</v>
      </c>
      <c r="DI53" s="48">
        <f t="shared" si="185"/>
        <v>0</v>
      </c>
      <c r="DJ53" s="48">
        <f t="shared" si="185"/>
        <v>0</v>
      </c>
      <c r="DK53" s="48">
        <f t="shared" si="185"/>
        <v>0</v>
      </c>
      <c r="DL53" s="48">
        <f t="shared" si="185"/>
        <v>0</v>
      </c>
      <c r="DM53" s="48">
        <f t="shared" si="185"/>
        <v>0</v>
      </c>
      <c r="DN53" s="48">
        <f t="shared" si="185"/>
        <v>0</v>
      </c>
      <c r="DO53" s="48">
        <f t="shared" si="185"/>
        <v>0</v>
      </c>
      <c r="DP53" s="48">
        <f t="shared" si="185"/>
        <v>0</v>
      </c>
      <c r="DQ53" s="48">
        <f t="shared" si="185"/>
        <v>0</v>
      </c>
      <c r="DR53" s="48">
        <f t="shared" si="185"/>
        <v>0</v>
      </c>
      <c r="DS53" s="48">
        <f t="shared" si="185"/>
        <v>0</v>
      </c>
      <c r="DT53" s="48">
        <f t="shared" si="185"/>
        <v>0</v>
      </c>
      <c r="DU53" s="48">
        <f t="shared" si="185"/>
        <v>0</v>
      </c>
      <c r="DV53" s="48">
        <f t="shared" si="185"/>
        <v>0</v>
      </c>
      <c r="DW53" s="48">
        <f t="shared" si="185"/>
        <v>0</v>
      </c>
      <c r="DX53" s="48">
        <f t="shared" si="185"/>
        <v>0</v>
      </c>
      <c r="DY53" s="48">
        <f t="shared" si="185"/>
        <v>0</v>
      </c>
      <c r="DZ53" s="48">
        <f t="shared" si="185"/>
        <v>0</v>
      </c>
      <c r="EA53" s="48">
        <f t="shared" si="185"/>
        <v>0</v>
      </c>
      <c r="EB53" s="48">
        <f t="shared" si="185"/>
        <v>0</v>
      </c>
      <c r="EC53" s="48">
        <f t="shared" si="185"/>
        <v>0</v>
      </c>
      <c r="ED53" s="48">
        <f t="shared" ref="ED53:ES53" si="186">ED$28*INDEX(Precio_O,8)*INDEX(IdxPrecio_O,1,MIN(10,ED$17))*(1+P_dPrecio)</f>
        <v>0</v>
      </c>
      <c r="EE53" s="48">
        <f t="shared" si="186"/>
        <v>0</v>
      </c>
      <c r="EF53" s="48">
        <f t="shared" si="186"/>
        <v>0</v>
      </c>
      <c r="EG53" s="48">
        <f t="shared" si="186"/>
        <v>0</v>
      </c>
      <c r="EH53" s="48">
        <f t="shared" si="186"/>
        <v>0</v>
      </c>
      <c r="EI53" s="48">
        <f t="shared" si="186"/>
        <v>0</v>
      </c>
      <c r="EJ53" s="48">
        <f t="shared" si="186"/>
        <v>0</v>
      </c>
      <c r="EK53" s="48">
        <f t="shared" si="186"/>
        <v>0</v>
      </c>
      <c r="EL53" s="48">
        <f t="shared" si="186"/>
        <v>0</v>
      </c>
      <c r="EM53" s="48">
        <f t="shared" si="186"/>
        <v>0</v>
      </c>
      <c r="EN53" s="48">
        <f t="shared" si="186"/>
        <v>0</v>
      </c>
      <c r="EO53" s="48">
        <f t="shared" si="186"/>
        <v>0</v>
      </c>
      <c r="EP53" s="48">
        <f t="shared" si="186"/>
        <v>0</v>
      </c>
      <c r="EQ53" s="48">
        <f t="shared" si="186"/>
        <v>0</v>
      </c>
      <c r="ER53" s="48">
        <f t="shared" si="186"/>
        <v>0</v>
      </c>
      <c r="ES53" s="48">
        <f t="shared" si="186"/>
        <v>0</v>
      </c>
    </row>
    <row r="54" spans="1:149" x14ac:dyDescent="0.3">
      <c r="A54" s="14" t="s">
        <v>1031</v>
      </c>
      <c r="B54" s="53" t="str">
        <f>IF(INDEX(Prod_Nombre,9)="","Producto 9",INDEX(Prod_Nombre,9))&amp;" — ventas USD"</f>
        <v>Producto 9 — ventas USD</v>
      </c>
      <c r="C54" s="18" t="s">
        <v>439</v>
      </c>
      <c r="E54" s="54">
        <f t="shared" si="181"/>
        <v>0</v>
      </c>
      <c r="F54" s="48">
        <f t="shared" ref="F54:AK54" si="187">F$29*INDEX(Precio_O,9)*INDEX(IdxPrecio_O,1,MIN(10,F$17))*(1+P_dPrecio)</f>
        <v>0</v>
      </c>
      <c r="G54" s="48">
        <f t="shared" si="187"/>
        <v>0</v>
      </c>
      <c r="H54" s="48">
        <f t="shared" si="187"/>
        <v>0</v>
      </c>
      <c r="I54" s="48">
        <f t="shared" si="187"/>
        <v>0</v>
      </c>
      <c r="J54" s="48">
        <f t="shared" si="187"/>
        <v>0</v>
      </c>
      <c r="K54" s="48">
        <f t="shared" si="187"/>
        <v>0</v>
      </c>
      <c r="L54" s="48">
        <f t="shared" si="187"/>
        <v>0</v>
      </c>
      <c r="M54" s="48">
        <f t="shared" si="187"/>
        <v>0</v>
      </c>
      <c r="N54" s="48">
        <f t="shared" si="187"/>
        <v>0</v>
      </c>
      <c r="O54" s="48">
        <f t="shared" si="187"/>
        <v>0</v>
      </c>
      <c r="P54" s="48">
        <f t="shared" si="187"/>
        <v>0</v>
      </c>
      <c r="Q54" s="48">
        <f t="shared" si="187"/>
        <v>0</v>
      </c>
      <c r="R54" s="48">
        <f t="shared" si="187"/>
        <v>0</v>
      </c>
      <c r="S54" s="48">
        <f t="shared" si="187"/>
        <v>0</v>
      </c>
      <c r="T54" s="48">
        <f t="shared" si="187"/>
        <v>0</v>
      </c>
      <c r="U54" s="48">
        <f t="shared" si="187"/>
        <v>0</v>
      </c>
      <c r="V54" s="48">
        <f t="shared" si="187"/>
        <v>0</v>
      </c>
      <c r="W54" s="48">
        <f t="shared" si="187"/>
        <v>0</v>
      </c>
      <c r="X54" s="48">
        <f t="shared" si="187"/>
        <v>0</v>
      </c>
      <c r="Y54" s="48">
        <f t="shared" si="187"/>
        <v>0</v>
      </c>
      <c r="Z54" s="48">
        <f t="shared" si="187"/>
        <v>0</v>
      </c>
      <c r="AA54" s="48">
        <f t="shared" si="187"/>
        <v>0</v>
      </c>
      <c r="AB54" s="48">
        <f t="shared" si="187"/>
        <v>0</v>
      </c>
      <c r="AC54" s="48">
        <f t="shared" si="187"/>
        <v>0</v>
      </c>
      <c r="AD54" s="48">
        <f t="shared" si="187"/>
        <v>0</v>
      </c>
      <c r="AE54" s="48">
        <f t="shared" si="187"/>
        <v>0</v>
      </c>
      <c r="AF54" s="48">
        <f t="shared" si="187"/>
        <v>0</v>
      </c>
      <c r="AG54" s="48">
        <f t="shared" si="187"/>
        <v>0</v>
      </c>
      <c r="AH54" s="48">
        <f t="shared" si="187"/>
        <v>0</v>
      </c>
      <c r="AI54" s="48">
        <f t="shared" si="187"/>
        <v>0</v>
      </c>
      <c r="AJ54" s="48">
        <f t="shared" si="187"/>
        <v>0</v>
      </c>
      <c r="AK54" s="48">
        <f t="shared" si="187"/>
        <v>0</v>
      </c>
      <c r="AL54" s="48">
        <f t="shared" ref="AL54:BQ54" si="188">AL$29*INDEX(Precio_O,9)*INDEX(IdxPrecio_O,1,MIN(10,AL$17))*(1+P_dPrecio)</f>
        <v>0</v>
      </c>
      <c r="AM54" s="48">
        <f t="shared" si="188"/>
        <v>0</v>
      </c>
      <c r="AN54" s="48">
        <f t="shared" si="188"/>
        <v>0</v>
      </c>
      <c r="AO54" s="48">
        <f t="shared" si="188"/>
        <v>0</v>
      </c>
      <c r="AP54" s="48">
        <f t="shared" si="188"/>
        <v>0</v>
      </c>
      <c r="AQ54" s="48">
        <f t="shared" si="188"/>
        <v>0</v>
      </c>
      <c r="AR54" s="48">
        <f t="shared" si="188"/>
        <v>0</v>
      </c>
      <c r="AS54" s="48">
        <f t="shared" si="188"/>
        <v>0</v>
      </c>
      <c r="AT54" s="48">
        <f t="shared" si="188"/>
        <v>0</v>
      </c>
      <c r="AU54" s="48">
        <f t="shared" si="188"/>
        <v>0</v>
      </c>
      <c r="AV54" s="48">
        <f t="shared" si="188"/>
        <v>0</v>
      </c>
      <c r="AW54" s="48">
        <f t="shared" si="188"/>
        <v>0</v>
      </c>
      <c r="AX54" s="48">
        <f t="shared" si="188"/>
        <v>0</v>
      </c>
      <c r="AY54" s="48">
        <f t="shared" si="188"/>
        <v>0</v>
      </c>
      <c r="AZ54" s="48">
        <f t="shared" si="188"/>
        <v>0</v>
      </c>
      <c r="BA54" s="48">
        <f t="shared" si="188"/>
        <v>0</v>
      </c>
      <c r="BB54" s="48">
        <f t="shared" si="188"/>
        <v>0</v>
      </c>
      <c r="BC54" s="48">
        <f t="shared" si="188"/>
        <v>0</v>
      </c>
      <c r="BD54" s="48">
        <f t="shared" si="188"/>
        <v>0</v>
      </c>
      <c r="BE54" s="48">
        <f t="shared" si="188"/>
        <v>0</v>
      </c>
      <c r="BF54" s="48">
        <f t="shared" si="188"/>
        <v>0</v>
      </c>
      <c r="BG54" s="48">
        <f t="shared" si="188"/>
        <v>0</v>
      </c>
      <c r="BH54" s="48">
        <f t="shared" si="188"/>
        <v>0</v>
      </c>
      <c r="BI54" s="48">
        <f t="shared" si="188"/>
        <v>0</v>
      </c>
      <c r="BJ54" s="48">
        <f t="shared" si="188"/>
        <v>0</v>
      </c>
      <c r="BK54" s="48">
        <f t="shared" si="188"/>
        <v>0</v>
      </c>
      <c r="BL54" s="48">
        <f t="shared" si="188"/>
        <v>0</v>
      </c>
      <c r="BM54" s="48">
        <f t="shared" si="188"/>
        <v>0</v>
      </c>
      <c r="BN54" s="48">
        <f t="shared" si="188"/>
        <v>0</v>
      </c>
      <c r="BO54" s="48">
        <f t="shared" si="188"/>
        <v>0</v>
      </c>
      <c r="BP54" s="48">
        <f t="shared" si="188"/>
        <v>0</v>
      </c>
      <c r="BQ54" s="48">
        <f t="shared" si="188"/>
        <v>0</v>
      </c>
      <c r="BR54" s="48">
        <f t="shared" ref="BR54:CW54" si="189">BR$29*INDEX(Precio_O,9)*INDEX(IdxPrecio_O,1,MIN(10,BR$17))*(1+P_dPrecio)</f>
        <v>0</v>
      </c>
      <c r="BS54" s="48">
        <f t="shared" si="189"/>
        <v>0</v>
      </c>
      <c r="BT54" s="48">
        <f t="shared" si="189"/>
        <v>0</v>
      </c>
      <c r="BU54" s="48">
        <f t="shared" si="189"/>
        <v>0</v>
      </c>
      <c r="BV54" s="48">
        <f t="shared" si="189"/>
        <v>0</v>
      </c>
      <c r="BW54" s="48">
        <f t="shared" si="189"/>
        <v>0</v>
      </c>
      <c r="BX54" s="48">
        <f t="shared" si="189"/>
        <v>0</v>
      </c>
      <c r="BY54" s="48">
        <f t="shared" si="189"/>
        <v>0</v>
      </c>
      <c r="BZ54" s="48">
        <f t="shared" si="189"/>
        <v>0</v>
      </c>
      <c r="CA54" s="48">
        <f t="shared" si="189"/>
        <v>0</v>
      </c>
      <c r="CB54" s="48">
        <f t="shared" si="189"/>
        <v>0</v>
      </c>
      <c r="CC54" s="48">
        <f t="shared" si="189"/>
        <v>0</v>
      </c>
      <c r="CD54" s="48">
        <f t="shared" si="189"/>
        <v>0</v>
      </c>
      <c r="CE54" s="48">
        <f t="shared" si="189"/>
        <v>0</v>
      </c>
      <c r="CF54" s="48">
        <f t="shared" si="189"/>
        <v>0</v>
      </c>
      <c r="CG54" s="48">
        <f t="shared" si="189"/>
        <v>0</v>
      </c>
      <c r="CH54" s="48">
        <f t="shared" si="189"/>
        <v>0</v>
      </c>
      <c r="CI54" s="48">
        <f t="shared" si="189"/>
        <v>0</v>
      </c>
      <c r="CJ54" s="48">
        <f t="shared" si="189"/>
        <v>0</v>
      </c>
      <c r="CK54" s="48">
        <f t="shared" si="189"/>
        <v>0</v>
      </c>
      <c r="CL54" s="48">
        <f t="shared" si="189"/>
        <v>0</v>
      </c>
      <c r="CM54" s="48">
        <f t="shared" si="189"/>
        <v>0</v>
      </c>
      <c r="CN54" s="48">
        <f t="shared" si="189"/>
        <v>0</v>
      </c>
      <c r="CO54" s="48">
        <f t="shared" si="189"/>
        <v>0</v>
      </c>
      <c r="CP54" s="48">
        <f t="shared" si="189"/>
        <v>0</v>
      </c>
      <c r="CQ54" s="48">
        <f t="shared" si="189"/>
        <v>0</v>
      </c>
      <c r="CR54" s="48">
        <f t="shared" si="189"/>
        <v>0</v>
      </c>
      <c r="CS54" s="48">
        <f t="shared" si="189"/>
        <v>0</v>
      </c>
      <c r="CT54" s="48">
        <f t="shared" si="189"/>
        <v>0</v>
      </c>
      <c r="CU54" s="48">
        <f t="shared" si="189"/>
        <v>0</v>
      </c>
      <c r="CV54" s="48">
        <f t="shared" si="189"/>
        <v>0</v>
      </c>
      <c r="CW54" s="48">
        <f t="shared" si="189"/>
        <v>0</v>
      </c>
      <c r="CX54" s="48">
        <f t="shared" ref="CX54:EC54" si="190">CX$29*INDEX(Precio_O,9)*INDEX(IdxPrecio_O,1,MIN(10,CX$17))*(1+P_dPrecio)</f>
        <v>0</v>
      </c>
      <c r="CY54" s="48">
        <f t="shared" si="190"/>
        <v>0</v>
      </c>
      <c r="CZ54" s="48">
        <f t="shared" si="190"/>
        <v>0</v>
      </c>
      <c r="DA54" s="48">
        <f t="shared" si="190"/>
        <v>0</v>
      </c>
      <c r="DB54" s="48">
        <f t="shared" si="190"/>
        <v>0</v>
      </c>
      <c r="DC54" s="48">
        <f t="shared" si="190"/>
        <v>0</v>
      </c>
      <c r="DD54" s="48">
        <f t="shared" si="190"/>
        <v>0</v>
      </c>
      <c r="DE54" s="48">
        <f t="shared" si="190"/>
        <v>0</v>
      </c>
      <c r="DF54" s="48">
        <f t="shared" si="190"/>
        <v>0</v>
      </c>
      <c r="DG54" s="48">
        <f t="shared" si="190"/>
        <v>0</v>
      </c>
      <c r="DH54" s="48">
        <f t="shared" si="190"/>
        <v>0</v>
      </c>
      <c r="DI54" s="48">
        <f t="shared" si="190"/>
        <v>0</v>
      </c>
      <c r="DJ54" s="48">
        <f t="shared" si="190"/>
        <v>0</v>
      </c>
      <c r="DK54" s="48">
        <f t="shared" si="190"/>
        <v>0</v>
      </c>
      <c r="DL54" s="48">
        <f t="shared" si="190"/>
        <v>0</v>
      </c>
      <c r="DM54" s="48">
        <f t="shared" si="190"/>
        <v>0</v>
      </c>
      <c r="DN54" s="48">
        <f t="shared" si="190"/>
        <v>0</v>
      </c>
      <c r="DO54" s="48">
        <f t="shared" si="190"/>
        <v>0</v>
      </c>
      <c r="DP54" s="48">
        <f t="shared" si="190"/>
        <v>0</v>
      </c>
      <c r="DQ54" s="48">
        <f t="shared" si="190"/>
        <v>0</v>
      </c>
      <c r="DR54" s="48">
        <f t="shared" si="190"/>
        <v>0</v>
      </c>
      <c r="DS54" s="48">
        <f t="shared" si="190"/>
        <v>0</v>
      </c>
      <c r="DT54" s="48">
        <f t="shared" si="190"/>
        <v>0</v>
      </c>
      <c r="DU54" s="48">
        <f t="shared" si="190"/>
        <v>0</v>
      </c>
      <c r="DV54" s="48">
        <f t="shared" si="190"/>
        <v>0</v>
      </c>
      <c r="DW54" s="48">
        <f t="shared" si="190"/>
        <v>0</v>
      </c>
      <c r="DX54" s="48">
        <f t="shared" si="190"/>
        <v>0</v>
      </c>
      <c r="DY54" s="48">
        <f t="shared" si="190"/>
        <v>0</v>
      </c>
      <c r="DZ54" s="48">
        <f t="shared" si="190"/>
        <v>0</v>
      </c>
      <c r="EA54" s="48">
        <f t="shared" si="190"/>
        <v>0</v>
      </c>
      <c r="EB54" s="48">
        <f t="shared" si="190"/>
        <v>0</v>
      </c>
      <c r="EC54" s="48">
        <f t="shared" si="190"/>
        <v>0</v>
      </c>
      <c r="ED54" s="48">
        <f t="shared" ref="ED54:ES54" si="191">ED$29*INDEX(Precio_O,9)*INDEX(IdxPrecio_O,1,MIN(10,ED$17))*(1+P_dPrecio)</f>
        <v>0</v>
      </c>
      <c r="EE54" s="48">
        <f t="shared" si="191"/>
        <v>0</v>
      </c>
      <c r="EF54" s="48">
        <f t="shared" si="191"/>
        <v>0</v>
      </c>
      <c r="EG54" s="48">
        <f t="shared" si="191"/>
        <v>0</v>
      </c>
      <c r="EH54" s="48">
        <f t="shared" si="191"/>
        <v>0</v>
      </c>
      <c r="EI54" s="48">
        <f t="shared" si="191"/>
        <v>0</v>
      </c>
      <c r="EJ54" s="48">
        <f t="shared" si="191"/>
        <v>0</v>
      </c>
      <c r="EK54" s="48">
        <f t="shared" si="191"/>
        <v>0</v>
      </c>
      <c r="EL54" s="48">
        <f t="shared" si="191"/>
        <v>0</v>
      </c>
      <c r="EM54" s="48">
        <f t="shared" si="191"/>
        <v>0</v>
      </c>
      <c r="EN54" s="48">
        <f t="shared" si="191"/>
        <v>0</v>
      </c>
      <c r="EO54" s="48">
        <f t="shared" si="191"/>
        <v>0</v>
      </c>
      <c r="EP54" s="48">
        <f t="shared" si="191"/>
        <v>0</v>
      </c>
      <c r="EQ54" s="48">
        <f t="shared" si="191"/>
        <v>0</v>
      </c>
      <c r="ER54" s="48">
        <f t="shared" si="191"/>
        <v>0</v>
      </c>
      <c r="ES54" s="48">
        <f t="shared" si="191"/>
        <v>0</v>
      </c>
    </row>
    <row r="55" spans="1:149" x14ac:dyDescent="0.3">
      <c r="A55" s="14" t="s">
        <v>1032</v>
      </c>
      <c r="B55" s="53" t="str">
        <f>IF(INDEX(Prod_Nombre,10)="","Producto 10",INDEX(Prod_Nombre,10))&amp;" — ventas USD"</f>
        <v>Producto 10 — ventas USD</v>
      </c>
      <c r="C55" s="18" t="s">
        <v>439</v>
      </c>
      <c r="E55" s="54">
        <f t="shared" si="181"/>
        <v>0</v>
      </c>
      <c r="F55" s="48">
        <f t="shared" ref="F55:AK55" si="192">F$30*INDEX(Precio_O,10)*INDEX(IdxPrecio_O,1,MIN(10,F$17))*(1+P_dPrecio)</f>
        <v>0</v>
      </c>
      <c r="G55" s="48">
        <f t="shared" si="192"/>
        <v>0</v>
      </c>
      <c r="H55" s="48">
        <f t="shared" si="192"/>
        <v>0</v>
      </c>
      <c r="I55" s="48">
        <f t="shared" si="192"/>
        <v>0</v>
      </c>
      <c r="J55" s="48">
        <f t="shared" si="192"/>
        <v>0</v>
      </c>
      <c r="K55" s="48">
        <f t="shared" si="192"/>
        <v>0</v>
      </c>
      <c r="L55" s="48">
        <f t="shared" si="192"/>
        <v>0</v>
      </c>
      <c r="M55" s="48">
        <f t="shared" si="192"/>
        <v>0</v>
      </c>
      <c r="N55" s="48">
        <f t="shared" si="192"/>
        <v>0</v>
      </c>
      <c r="O55" s="48">
        <f t="shared" si="192"/>
        <v>0</v>
      </c>
      <c r="P55" s="48">
        <f t="shared" si="192"/>
        <v>0</v>
      </c>
      <c r="Q55" s="48">
        <f t="shared" si="192"/>
        <v>0</v>
      </c>
      <c r="R55" s="48">
        <f t="shared" si="192"/>
        <v>0</v>
      </c>
      <c r="S55" s="48">
        <f t="shared" si="192"/>
        <v>0</v>
      </c>
      <c r="T55" s="48">
        <f t="shared" si="192"/>
        <v>0</v>
      </c>
      <c r="U55" s="48">
        <f t="shared" si="192"/>
        <v>0</v>
      </c>
      <c r="V55" s="48">
        <f t="shared" si="192"/>
        <v>0</v>
      </c>
      <c r="W55" s="48">
        <f t="shared" si="192"/>
        <v>0</v>
      </c>
      <c r="X55" s="48">
        <f t="shared" si="192"/>
        <v>0</v>
      </c>
      <c r="Y55" s="48">
        <f t="shared" si="192"/>
        <v>0</v>
      </c>
      <c r="Z55" s="48">
        <f t="shared" si="192"/>
        <v>0</v>
      </c>
      <c r="AA55" s="48">
        <f t="shared" si="192"/>
        <v>0</v>
      </c>
      <c r="AB55" s="48">
        <f t="shared" si="192"/>
        <v>0</v>
      </c>
      <c r="AC55" s="48">
        <f t="shared" si="192"/>
        <v>0</v>
      </c>
      <c r="AD55" s="48">
        <f t="shared" si="192"/>
        <v>0</v>
      </c>
      <c r="AE55" s="48">
        <f t="shared" si="192"/>
        <v>0</v>
      </c>
      <c r="AF55" s="48">
        <f t="shared" si="192"/>
        <v>0</v>
      </c>
      <c r="AG55" s="48">
        <f t="shared" si="192"/>
        <v>0</v>
      </c>
      <c r="AH55" s="48">
        <f t="shared" si="192"/>
        <v>0</v>
      </c>
      <c r="AI55" s="48">
        <f t="shared" si="192"/>
        <v>0</v>
      </c>
      <c r="AJ55" s="48">
        <f t="shared" si="192"/>
        <v>0</v>
      </c>
      <c r="AK55" s="48">
        <f t="shared" si="192"/>
        <v>0</v>
      </c>
      <c r="AL55" s="48">
        <f t="shared" ref="AL55:BQ55" si="193">AL$30*INDEX(Precio_O,10)*INDEX(IdxPrecio_O,1,MIN(10,AL$17))*(1+P_dPrecio)</f>
        <v>0</v>
      </c>
      <c r="AM55" s="48">
        <f t="shared" si="193"/>
        <v>0</v>
      </c>
      <c r="AN55" s="48">
        <f t="shared" si="193"/>
        <v>0</v>
      </c>
      <c r="AO55" s="48">
        <f t="shared" si="193"/>
        <v>0</v>
      </c>
      <c r="AP55" s="48">
        <f t="shared" si="193"/>
        <v>0</v>
      </c>
      <c r="AQ55" s="48">
        <f t="shared" si="193"/>
        <v>0</v>
      </c>
      <c r="AR55" s="48">
        <f t="shared" si="193"/>
        <v>0</v>
      </c>
      <c r="AS55" s="48">
        <f t="shared" si="193"/>
        <v>0</v>
      </c>
      <c r="AT55" s="48">
        <f t="shared" si="193"/>
        <v>0</v>
      </c>
      <c r="AU55" s="48">
        <f t="shared" si="193"/>
        <v>0</v>
      </c>
      <c r="AV55" s="48">
        <f t="shared" si="193"/>
        <v>0</v>
      </c>
      <c r="AW55" s="48">
        <f t="shared" si="193"/>
        <v>0</v>
      </c>
      <c r="AX55" s="48">
        <f t="shared" si="193"/>
        <v>0</v>
      </c>
      <c r="AY55" s="48">
        <f t="shared" si="193"/>
        <v>0</v>
      </c>
      <c r="AZ55" s="48">
        <f t="shared" si="193"/>
        <v>0</v>
      </c>
      <c r="BA55" s="48">
        <f t="shared" si="193"/>
        <v>0</v>
      </c>
      <c r="BB55" s="48">
        <f t="shared" si="193"/>
        <v>0</v>
      </c>
      <c r="BC55" s="48">
        <f t="shared" si="193"/>
        <v>0</v>
      </c>
      <c r="BD55" s="48">
        <f t="shared" si="193"/>
        <v>0</v>
      </c>
      <c r="BE55" s="48">
        <f t="shared" si="193"/>
        <v>0</v>
      </c>
      <c r="BF55" s="48">
        <f t="shared" si="193"/>
        <v>0</v>
      </c>
      <c r="BG55" s="48">
        <f t="shared" si="193"/>
        <v>0</v>
      </c>
      <c r="BH55" s="48">
        <f t="shared" si="193"/>
        <v>0</v>
      </c>
      <c r="BI55" s="48">
        <f t="shared" si="193"/>
        <v>0</v>
      </c>
      <c r="BJ55" s="48">
        <f t="shared" si="193"/>
        <v>0</v>
      </c>
      <c r="BK55" s="48">
        <f t="shared" si="193"/>
        <v>0</v>
      </c>
      <c r="BL55" s="48">
        <f t="shared" si="193"/>
        <v>0</v>
      </c>
      <c r="BM55" s="48">
        <f t="shared" si="193"/>
        <v>0</v>
      </c>
      <c r="BN55" s="48">
        <f t="shared" si="193"/>
        <v>0</v>
      </c>
      <c r="BO55" s="48">
        <f t="shared" si="193"/>
        <v>0</v>
      </c>
      <c r="BP55" s="48">
        <f t="shared" si="193"/>
        <v>0</v>
      </c>
      <c r="BQ55" s="48">
        <f t="shared" si="193"/>
        <v>0</v>
      </c>
      <c r="BR55" s="48">
        <f t="shared" ref="BR55:CW55" si="194">BR$30*INDEX(Precio_O,10)*INDEX(IdxPrecio_O,1,MIN(10,BR$17))*(1+P_dPrecio)</f>
        <v>0</v>
      </c>
      <c r="BS55" s="48">
        <f t="shared" si="194"/>
        <v>0</v>
      </c>
      <c r="BT55" s="48">
        <f t="shared" si="194"/>
        <v>0</v>
      </c>
      <c r="BU55" s="48">
        <f t="shared" si="194"/>
        <v>0</v>
      </c>
      <c r="BV55" s="48">
        <f t="shared" si="194"/>
        <v>0</v>
      </c>
      <c r="BW55" s="48">
        <f t="shared" si="194"/>
        <v>0</v>
      </c>
      <c r="BX55" s="48">
        <f t="shared" si="194"/>
        <v>0</v>
      </c>
      <c r="BY55" s="48">
        <f t="shared" si="194"/>
        <v>0</v>
      </c>
      <c r="BZ55" s="48">
        <f t="shared" si="194"/>
        <v>0</v>
      </c>
      <c r="CA55" s="48">
        <f t="shared" si="194"/>
        <v>0</v>
      </c>
      <c r="CB55" s="48">
        <f t="shared" si="194"/>
        <v>0</v>
      </c>
      <c r="CC55" s="48">
        <f t="shared" si="194"/>
        <v>0</v>
      </c>
      <c r="CD55" s="48">
        <f t="shared" si="194"/>
        <v>0</v>
      </c>
      <c r="CE55" s="48">
        <f t="shared" si="194"/>
        <v>0</v>
      </c>
      <c r="CF55" s="48">
        <f t="shared" si="194"/>
        <v>0</v>
      </c>
      <c r="CG55" s="48">
        <f t="shared" si="194"/>
        <v>0</v>
      </c>
      <c r="CH55" s="48">
        <f t="shared" si="194"/>
        <v>0</v>
      </c>
      <c r="CI55" s="48">
        <f t="shared" si="194"/>
        <v>0</v>
      </c>
      <c r="CJ55" s="48">
        <f t="shared" si="194"/>
        <v>0</v>
      </c>
      <c r="CK55" s="48">
        <f t="shared" si="194"/>
        <v>0</v>
      </c>
      <c r="CL55" s="48">
        <f t="shared" si="194"/>
        <v>0</v>
      </c>
      <c r="CM55" s="48">
        <f t="shared" si="194"/>
        <v>0</v>
      </c>
      <c r="CN55" s="48">
        <f t="shared" si="194"/>
        <v>0</v>
      </c>
      <c r="CO55" s="48">
        <f t="shared" si="194"/>
        <v>0</v>
      </c>
      <c r="CP55" s="48">
        <f t="shared" si="194"/>
        <v>0</v>
      </c>
      <c r="CQ55" s="48">
        <f t="shared" si="194"/>
        <v>0</v>
      </c>
      <c r="CR55" s="48">
        <f t="shared" si="194"/>
        <v>0</v>
      </c>
      <c r="CS55" s="48">
        <f t="shared" si="194"/>
        <v>0</v>
      </c>
      <c r="CT55" s="48">
        <f t="shared" si="194"/>
        <v>0</v>
      </c>
      <c r="CU55" s="48">
        <f t="shared" si="194"/>
        <v>0</v>
      </c>
      <c r="CV55" s="48">
        <f t="shared" si="194"/>
        <v>0</v>
      </c>
      <c r="CW55" s="48">
        <f t="shared" si="194"/>
        <v>0</v>
      </c>
      <c r="CX55" s="48">
        <f t="shared" ref="CX55:EC55" si="195">CX$30*INDEX(Precio_O,10)*INDEX(IdxPrecio_O,1,MIN(10,CX$17))*(1+P_dPrecio)</f>
        <v>0</v>
      </c>
      <c r="CY55" s="48">
        <f t="shared" si="195"/>
        <v>0</v>
      </c>
      <c r="CZ55" s="48">
        <f t="shared" si="195"/>
        <v>0</v>
      </c>
      <c r="DA55" s="48">
        <f t="shared" si="195"/>
        <v>0</v>
      </c>
      <c r="DB55" s="48">
        <f t="shared" si="195"/>
        <v>0</v>
      </c>
      <c r="DC55" s="48">
        <f t="shared" si="195"/>
        <v>0</v>
      </c>
      <c r="DD55" s="48">
        <f t="shared" si="195"/>
        <v>0</v>
      </c>
      <c r="DE55" s="48">
        <f t="shared" si="195"/>
        <v>0</v>
      </c>
      <c r="DF55" s="48">
        <f t="shared" si="195"/>
        <v>0</v>
      </c>
      <c r="DG55" s="48">
        <f t="shared" si="195"/>
        <v>0</v>
      </c>
      <c r="DH55" s="48">
        <f t="shared" si="195"/>
        <v>0</v>
      </c>
      <c r="DI55" s="48">
        <f t="shared" si="195"/>
        <v>0</v>
      </c>
      <c r="DJ55" s="48">
        <f t="shared" si="195"/>
        <v>0</v>
      </c>
      <c r="DK55" s="48">
        <f t="shared" si="195"/>
        <v>0</v>
      </c>
      <c r="DL55" s="48">
        <f t="shared" si="195"/>
        <v>0</v>
      </c>
      <c r="DM55" s="48">
        <f t="shared" si="195"/>
        <v>0</v>
      </c>
      <c r="DN55" s="48">
        <f t="shared" si="195"/>
        <v>0</v>
      </c>
      <c r="DO55" s="48">
        <f t="shared" si="195"/>
        <v>0</v>
      </c>
      <c r="DP55" s="48">
        <f t="shared" si="195"/>
        <v>0</v>
      </c>
      <c r="DQ55" s="48">
        <f t="shared" si="195"/>
        <v>0</v>
      </c>
      <c r="DR55" s="48">
        <f t="shared" si="195"/>
        <v>0</v>
      </c>
      <c r="DS55" s="48">
        <f t="shared" si="195"/>
        <v>0</v>
      </c>
      <c r="DT55" s="48">
        <f t="shared" si="195"/>
        <v>0</v>
      </c>
      <c r="DU55" s="48">
        <f t="shared" si="195"/>
        <v>0</v>
      </c>
      <c r="DV55" s="48">
        <f t="shared" si="195"/>
        <v>0</v>
      </c>
      <c r="DW55" s="48">
        <f t="shared" si="195"/>
        <v>0</v>
      </c>
      <c r="DX55" s="48">
        <f t="shared" si="195"/>
        <v>0</v>
      </c>
      <c r="DY55" s="48">
        <f t="shared" si="195"/>
        <v>0</v>
      </c>
      <c r="DZ55" s="48">
        <f t="shared" si="195"/>
        <v>0</v>
      </c>
      <c r="EA55" s="48">
        <f t="shared" si="195"/>
        <v>0</v>
      </c>
      <c r="EB55" s="48">
        <f t="shared" si="195"/>
        <v>0</v>
      </c>
      <c r="EC55" s="48">
        <f t="shared" si="195"/>
        <v>0</v>
      </c>
      <c r="ED55" s="48">
        <f t="shared" ref="ED55:ES55" si="196">ED$30*INDEX(Precio_O,10)*INDEX(IdxPrecio_O,1,MIN(10,ED$17))*(1+P_dPrecio)</f>
        <v>0</v>
      </c>
      <c r="EE55" s="48">
        <f t="shared" si="196"/>
        <v>0</v>
      </c>
      <c r="EF55" s="48">
        <f t="shared" si="196"/>
        <v>0</v>
      </c>
      <c r="EG55" s="48">
        <f t="shared" si="196"/>
        <v>0</v>
      </c>
      <c r="EH55" s="48">
        <f t="shared" si="196"/>
        <v>0</v>
      </c>
      <c r="EI55" s="48">
        <f t="shared" si="196"/>
        <v>0</v>
      </c>
      <c r="EJ55" s="48">
        <f t="shared" si="196"/>
        <v>0</v>
      </c>
      <c r="EK55" s="48">
        <f t="shared" si="196"/>
        <v>0</v>
      </c>
      <c r="EL55" s="48">
        <f t="shared" si="196"/>
        <v>0</v>
      </c>
      <c r="EM55" s="48">
        <f t="shared" si="196"/>
        <v>0</v>
      </c>
      <c r="EN55" s="48">
        <f t="shared" si="196"/>
        <v>0</v>
      </c>
      <c r="EO55" s="48">
        <f t="shared" si="196"/>
        <v>0</v>
      </c>
      <c r="EP55" s="48">
        <f t="shared" si="196"/>
        <v>0</v>
      </c>
      <c r="EQ55" s="48">
        <f t="shared" si="196"/>
        <v>0</v>
      </c>
      <c r="ER55" s="48">
        <f t="shared" si="196"/>
        <v>0</v>
      </c>
      <c r="ES55" s="48">
        <f t="shared" si="196"/>
        <v>0</v>
      </c>
    </row>
    <row r="56" spans="1:149" x14ac:dyDescent="0.3">
      <c r="A56" s="14" t="s">
        <v>1033</v>
      </c>
      <c r="B56" s="53" t="str">
        <f>IF(INDEX(Prod_Nombre,11)="","Producto 11",INDEX(Prod_Nombre,11))&amp;" — ventas USD"</f>
        <v>Producto 11 — ventas USD</v>
      </c>
      <c r="C56" s="18" t="s">
        <v>439</v>
      </c>
      <c r="E56" s="54">
        <f t="shared" si="181"/>
        <v>0</v>
      </c>
      <c r="F56" s="48">
        <f t="shared" ref="F56:AK56" si="197">F$31*INDEX(Precio_O,11)*INDEX(IdxPrecio_O,1,MIN(10,F$17))*(1+P_dPrecio)</f>
        <v>0</v>
      </c>
      <c r="G56" s="48">
        <f t="shared" si="197"/>
        <v>0</v>
      </c>
      <c r="H56" s="48">
        <f t="shared" si="197"/>
        <v>0</v>
      </c>
      <c r="I56" s="48">
        <f t="shared" si="197"/>
        <v>0</v>
      </c>
      <c r="J56" s="48">
        <f t="shared" si="197"/>
        <v>0</v>
      </c>
      <c r="K56" s="48">
        <f t="shared" si="197"/>
        <v>0</v>
      </c>
      <c r="L56" s="48">
        <f t="shared" si="197"/>
        <v>0</v>
      </c>
      <c r="M56" s="48">
        <f t="shared" si="197"/>
        <v>0</v>
      </c>
      <c r="N56" s="48">
        <f t="shared" si="197"/>
        <v>0</v>
      </c>
      <c r="O56" s="48">
        <f t="shared" si="197"/>
        <v>0</v>
      </c>
      <c r="P56" s="48">
        <f t="shared" si="197"/>
        <v>0</v>
      </c>
      <c r="Q56" s="48">
        <f t="shared" si="197"/>
        <v>0</v>
      </c>
      <c r="R56" s="48">
        <f t="shared" si="197"/>
        <v>0</v>
      </c>
      <c r="S56" s="48">
        <f t="shared" si="197"/>
        <v>0</v>
      </c>
      <c r="T56" s="48">
        <f t="shared" si="197"/>
        <v>0</v>
      </c>
      <c r="U56" s="48">
        <f t="shared" si="197"/>
        <v>0</v>
      </c>
      <c r="V56" s="48">
        <f t="shared" si="197"/>
        <v>0</v>
      </c>
      <c r="W56" s="48">
        <f t="shared" si="197"/>
        <v>0</v>
      </c>
      <c r="X56" s="48">
        <f t="shared" si="197"/>
        <v>0</v>
      </c>
      <c r="Y56" s="48">
        <f t="shared" si="197"/>
        <v>0</v>
      </c>
      <c r="Z56" s="48">
        <f t="shared" si="197"/>
        <v>0</v>
      </c>
      <c r="AA56" s="48">
        <f t="shared" si="197"/>
        <v>0</v>
      </c>
      <c r="AB56" s="48">
        <f t="shared" si="197"/>
        <v>0</v>
      </c>
      <c r="AC56" s="48">
        <f t="shared" si="197"/>
        <v>0</v>
      </c>
      <c r="AD56" s="48">
        <f t="shared" si="197"/>
        <v>0</v>
      </c>
      <c r="AE56" s="48">
        <f t="shared" si="197"/>
        <v>0</v>
      </c>
      <c r="AF56" s="48">
        <f t="shared" si="197"/>
        <v>0</v>
      </c>
      <c r="AG56" s="48">
        <f t="shared" si="197"/>
        <v>0</v>
      </c>
      <c r="AH56" s="48">
        <f t="shared" si="197"/>
        <v>0</v>
      </c>
      <c r="AI56" s="48">
        <f t="shared" si="197"/>
        <v>0</v>
      </c>
      <c r="AJ56" s="48">
        <f t="shared" si="197"/>
        <v>0</v>
      </c>
      <c r="AK56" s="48">
        <f t="shared" si="197"/>
        <v>0</v>
      </c>
      <c r="AL56" s="48">
        <f t="shared" ref="AL56:BQ56" si="198">AL$31*INDEX(Precio_O,11)*INDEX(IdxPrecio_O,1,MIN(10,AL$17))*(1+P_dPrecio)</f>
        <v>0</v>
      </c>
      <c r="AM56" s="48">
        <f t="shared" si="198"/>
        <v>0</v>
      </c>
      <c r="AN56" s="48">
        <f t="shared" si="198"/>
        <v>0</v>
      </c>
      <c r="AO56" s="48">
        <f t="shared" si="198"/>
        <v>0</v>
      </c>
      <c r="AP56" s="48">
        <f t="shared" si="198"/>
        <v>0</v>
      </c>
      <c r="AQ56" s="48">
        <f t="shared" si="198"/>
        <v>0</v>
      </c>
      <c r="AR56" s="48">
        <f t="shared" si="198"/>
        <v>0</v>
      </c>
      <c r="AS56" s="48">
        <f t="shared" si="198"/>
        <v>0</v>
      </c>
      <c r="AT56" s="48">
        <f t="shared" si="198"/>
        <v>0</v>
      </c>
      <c r="AU56" s="48">
        <f t="shared" si="198"/>
        <v>0</v>
      </c>
      <c r="AV56" s="48">
        <f t="shared" si="198"/>
        <v>0</v>
      </c>
      <c r="AW56" s="48">
        <f t="shared" si="198"/>
        <v>0</v>
      </c>
      <c r="AX56" s="48">
        <f t="shared" si="198"/>
        <v>0</v>
      </c>
      <c r="AY56" s="48">
        <f t="shared" si="198"/>
        <v>0</v>
      </c>
      <c r="AZ56" s="48">
        <f t="shared" si="198"/>
        <v>0</v>
      </c>
      <c r="BA56" s="48">
        <f t="shared" si="198"/>
        <v>0</v>
      </c>
      <c r="BB56" s="48">
        <f t="shared" si="198"/>
        <v>0</v>
      </c>
      <c r="BC56" s="48">
        <f t="shared" si="198"/>
        <v>0</v>
      </c>
      <c r="BD56" s="48">
        <f t="shared" si="198"/>
        <v>0</v>
      </c>
      <c r="BE56" s="48">
        <f t="shared" si="198"/>
        <v>0</v>
      </c>
      <c r="BF56" s="48">
        <f t="shared" si="198"/>
        <v>0</v>
      </c>
      <c r="BG56" s="48">
        <f t="shared" si="198"/>
        <v>0</v>
      </c>
      <c r="BH56" s="48">
        <f t="shared" si="198"/>
        <v>0</v>
      </c>
      <c r="BI56" s="48">
        <f t="shared" si="198"/>
        <v>0</v>
      </c>
      <c r="BJ56" s="48">
        <f t="shared" si="198"/>
        <v>0</v>
      </c>
      <c r="BK56" s="48">
        <f t="shared" si="198"/>
        <v>0</v>
      </c>
      <c r="BL56" s="48">
        <f t="shared" si="198"/>
        <v>0</v>
      </c>
      <c r="BM56" s="48">
        <f t="shared" si="198"/>
        <v>0</v>
      </c>
      <c r="BN56" s="48">
        <f t="shared" si="198"/>
        <v>0</v>
      </c>
      <c r="BO56" s="48">
        <f t="shared" si="198"/>
        <v>0</v>
      </c>
      <c r="BP56" s="48">
        <f t="shared" si="198"/>
        <v>0</v>
      </c>
      <c r="BQ56" s="48">
        <f t="shared" si="198"/>
        <v>0</v>
      </c>
      <c r="BR56" s="48">
        <f t="shared" ref="BR56:CW56" si="199">BR$31*INDEX(Precio_O,11)*INDEX(IdxPrecio_O,1,MIN(10,BR$17))*(1+P_dPrecio)</f>
        <v>0</v>
      </c>
      <c r="BS56" s="48">
        <f t="shared" si="199"/>
        <v>0</v>
      </c>
      <c r="BT56" s="48">
        <f t="shared" si="199"/>
        <v>0</v>
      </c>
      <c r="BU56" s="48">
        <f t="shared" si="199"/>
        <v>0</v>
      </c>
      <c r="BV56" s="48">
        <f t="shared" si="199"/>
        <v>0</v>
      </c>
      <c r="BW56" s="48">
        <f t="shared" si="199"/>
        <v>0</v>
      </c>
      <c r="BX56" s="48">
        <f t="shared" si="199"/>
        <v>0</v>
      </c>
      <c r="BY56" s="48">
        <f t="shared" si="199"/>
        <v>0</v>
      </c>
      <c r="BZ56" s="48">
        <f t="shared" si="199"/>
        <v>0</v>
      </c>
      <c r="CA56" s="48">
        <f t="shared" si="199"/>
        <v>0</v>
      </c>
      <c r="CB56" s="48">
        <f t="shared" si="199"/>
        <v>0</v>
      </c>
      <c r="CC56" s="48">
        <f t="shared" si="199"/>
        <v>0</v>
      </c>
      <c r="CD56" s="48">
        <f t="shared" si="199"/>
        <v>0</v>
      </c>
      <c r="CE56" s="48">
        <f t="shared" si="199"/>
        <v>0</v>
      </c>
      <c r="CF56" s="48">
        <f t="shared" si="199"/>
        <v>0</v>
      </c>
      <c r="CG56" s="48">
        <f t="shared" si="199"/>
        <v>0</v>
      </c>
      <c r="CH56" s="48">
        <f t="shared" si="199"/>
        <v>0</v>
      </c>
      <c r="CI56" s="48">
        <f t="shared" si="199"/>
        <v>0</v>
      </c>
      <c r="CJ56" s="48">
        <f t="shared" si="199"/>
        <v>0</v>
      </c>
      <c r="CK56" s="48">
        <f t="shared" si="199"/>
        <v>0</v>
      </c>
      <c r="CL56" s="48">
        <f t="shared" si="199"/>
        <v>0</v>
      </c>
      <c r="CM56" s="48">
        <f t="shared" si="199"/>
        <v>0</v>
      </c>
      <c r="CN56" s="48">
        <f t="shared" si="199"/>
        <v>0</v>
      </c>
      <c r="CO56" s="48">
        <f t="shared" si="199"/>
        <v>0</v>
      </c>
      <c r="CP56" s="48">
        <f t="shared" si="199"/>
        <v>0</v>
      </c>
      <c r="CQ56" s="48">
        <f t="shared" si="199"/>
        <v>0</v>
      </c>
      <c r="CR56" s="48">
        <f t="shared" si="199"/>
        <v>0</v>
      </c>
      <c r="CS56" s="48">
        <f t="shared" si="199"/>
        <v>0</v>
      </c>
      <c r="CT56" s="48">
        <f t="shared" si="199"/>
        <v>0</v>
      </c>
      <c r="CU56" s="48">
        <f t="shared" si="199"/>
        <v>0</v>
      </c>
      <c r="CV56" s="48">
        <f t="shared" si="199"/>
        <v>0</v>
      </c>
      <c r="CW56" s="48">
        <f t="shared" si="199"/>
        <v>0</v>
      </c>
      <c r="CX56" s="48">
        <f t="shared" ref="CX56:EC56" si="200">CX$31*INDEX(Precio_O,11)*INDEX(IdxPrecio_O,1,MIN(10,CX$17))*(1+P_dPrecio)</f>
        <v>0</v>
      </c>
      <c r="CY56" s="48">
        <f t="shared" si="200"/>
        <v>0</v>
      </c>
      <c r="CZ56" s="48">
        <f t="shared" si="200"/>
        <v>0</v>
      </c>
      <c r="DA56" s="48">
        <f t="shared" si="200"/>
        <v>0</v>
      </c>
      <c r="DB56" s="48">
        <f t="shared" si="200"/>
        <v>0</v>
      </c>
      <c r="DC56" s="48">
        <f t="shared" si="200"/>
        <v>0</v>
      </c>
      <c r="DD56" s="48">
        <f t="shared" si="200"/>
        <v>0</v>
      </c>
      <c r="DE56" s="48">
        <f t="shared" si="200"/>
        <v>0</v>
      </c>
      <c r="DF56" s="48">
        <f t="shared" si="200"/>
        <v>0</v>
      </c>
      <c r="DG56" s="48">
        <f t="shared" si="200"/>
        <v>0</v>
      </c>
      <c r="DH56" s="48">
        <f t="shared" si="200"/>
        <v>0</v>
      </c>
      <c r="DI56" s="48">
        <f t="shared" si="200"/>
        <v>0</v>
      </c>
      <c r="DJ56" s="48">
        <f t="shared" si="200"/>
        <v>0</v>
      </c>
      <c r="DK56" s="48">
        <f t="shared" si="200"/>
        <v>0</v>
      </c>
      <c r="DL56" s="48">
        <f t="shared" si="200"/>
        <v>0</v>
      </c>
      <c r="DM56" s="48">
        <f t="shared" si="200"/>
        <v>0</v>
      </c>
      <c r="DN56" s="48">
        <f t="shared" si="200"/>
        <v>0</v>
      </c>
      <c r="DO56" s="48">
        <f t="shared" si="200"/>
        <v>0</v>
      </c>
      <c r="DP56" s="48">
        <f t="shared" si="200"/>
        <v>0</v>
      </c>
      <c r="DQ56" s="48">
        <f t="shared" si="200"/>
        <v>0</v>
      </c>
      <c r="DR56" s="48">
        <f t="shared" si="200"/>
        <v>0</v>
      </c>
      <c r="DS56" s="48">
        <f t="shared" si="200"/>
        <v>0</v>
      </c>
      <c r="DT56" s="48">
        <f t="shared" si="200"/>
        <v>0</v>
      </c>
      <c r="DU56" s="48">
        <f t="shared" si="200"/>
        <v>0</v>
      </c>
      <c r="DV56" s="48">
        <f t="shared" si="200"/>
        <v>0</v>
      </c>
      <c r="DW56" s="48">
        <f t="shared" si="200"/>
        <v>0</v>
      </c>
      <c r="DX56" s="48">
        <f t="shared" si="200"/>
        <v>0</v>
      </c>
      <c r="DY56" s="48">
        <f t="shared" si="200"/>
        <v>0</v>
      </c>
      <c r="DZ56" s="48">
        <f t="shared" si="200"/>
        <v>0</v>
      </c>
      <c r="EA56" s="48">
        <f t="shared" si="200"/>
        <v>0</v>
      </c>
      <c r="EB56" s="48">
        <f t="shared" si="200"/>
        <v>0</v>
      </c>
      <c r="EC56" s="48">
        <f t="shared" si="200"/>
        <v>0</v>
      </c>
      <c r="ED56" s="48">
        <f t="shared" ref="ED56:ES56" si="201">ED$31*INDEX(Precio_O,11)*INDEX(IdxPrecio_O,1,MIN(10,ED$17))*(1+P_dPrecio)</f>
        <v>0</v>
      </c>
      <c r="EE56" s="48">
        <f t="shared" si="201"/>
        <v>0</v>
      </c>
      <c r="EF56" s="48">
        <f t="shared" si="201"/>
        <v>0</v>
      </c>
      <c r="EG56" s="48">
        <f t="shared" si="201"/>
        <v>0</v>
      </c>
      <c r="EH56" s="48">
        <f t="shared" si="201"/>
        <v>0</v>
      </c>
      <c r="EI56" s="48">
        <f t="shared" si="201"/>
        <v>0</v>
      </c>
      <c r="EJ56" s="48">
        <f t="shared" si="201"/>
        <v>0</v>
      </c>
      <c r="EK56" s="48">
        <f t="shared" si="201"/>
        <v>0</v>
      </c>
      <c r="EL56" s="48">
        <f t="shared" si="201"/>
        <v>0</v>
      </c>
      <c r="EM56" s="48">
        <f t="shared" si="201"/>
        <v>0</v>
      </c>
      <c r="EN56" s="48">
        <f t="shared" si="201"/>
        <v>0</v>
      </c>
      <c r="EO56" s="48">
        <f t="shared" si="201"/>
        <v>0</v>
      </c>
      <c r="EP56" s="48">
        <f t="shared" si="201"/>
        <v>0</v>
      </c>
      <c r="EQ56" s="48">
        <f t="shared" si="201"/>
        <v>0</v>
      </c>
      <c r="ER56" s="48">
        <f t="shared" si="201"/>
        <v>0</v>
      </c>
      <c r="ES56" s="48">
        <f t="shared" si="201"/>
        <v>0</v>
      </c>
    </row>
    <row r="57" spans="1:149" x14ac:dyDescent="0.3">
      <c r="A57" s="14" t="s">
        <v>1034</v>
      </c>
      <c r="B57" s="53" t="str">
        <f>IF(INDEX(Prod_Nombre,12)="","Producto 12",INDEX(Prod_Nombre,12))&amp;" — ventas USD"</f>
        <v>Producto 12 — ventas USD</v>
      </c>
      <c r="C57" s="18" t="s">
        <v>439</v>
      </c>
      <c r="E57" s="54">
        <f t="shared" si="181"/>
        <v>0</v>
      </c>
      <c r="F57" s="48">
        <f t="shared" ref="F57:AK57" si="202">F$32*INDEX(Precio_O,12)*INDEX(IdxPrecio_O,1,MIN(10,F$17))*(1+P_dPrecio)</f>
        <v>0</v>
      </c>
      <c r="G57" s="48">
        <f t="shared" si="202"/>
        <v>0</v>
      </c>
      <c r="H57" s="48">
        <f t="shared" si="202"/>
        <v>0</v>
      </c>
      <c r="I57" s="48">
        <f t="shared" si="202"/>
        <v>0</v>
      </c>
      <c r="J57" s="48">
        <f t="shared" si="202"/>
        <v>0</v>
      </c>
      <c r="K57" s="48">
        <f t="shared" si="202"/>
        <v>0</v>
      </c>
      <c r="L57" s="48">
        <f t="shared" si="202"/>
        <v>0</v>
      </c>
      <c r="M57" s="48">
        <f t="shared" si="202"/>
        <v>0</v>
      </c>
      <c r="N57" s="48">
        <f t="shared" si="202"/>
        <v>0</v>
      </c>
      <c r="O57" s="48">
        <f t="shared" si="202"/>
        <v>0</v>
      </c>
      <c r="P57" s="48">
        <f t="shared" si="202"/>
        <v>0</v>
      </c>
      <c r="Q57" s="48">
        <f t="shared" si="202"/>
        <v>0</v>
      </c>
      <c r="R57" s="48">
        <f t="shared" si="202"/>
        <v>0</v>
      </c>
      <c r="S57" s="48">
        <f t="shared" si="202"/>
        <v>0</v>
      </c>
      <c r="T57" s="48">
        <f t="shared" si="202"/>
        <v>0</v>
      </c>
      <c r="U57" s="48">
        <f t="shared" si="202"/>
        <v>0</v>
      </c>
      <c r="V57" s="48">
        <f t="shared" si="202"/>
        <v>0</v>
      </c>
      <c r="W57" s="48">
        <f t="shared" si="202"/>
        <v>0</v>
      </c>
      <c r="X57" s="48">
        <f t="shared" si="202"/>
        <v>0</v>
      </c>
      <c r="Y57" s="48">
        <f t="shared" si="202"/>
        <v>0</v>
      </c>
      <c r="Z57" s="48">
        <f t="shared" si="202"/>
        <v>0</v>
      </c>
      <c r="AA57" s="48">
        <f t="shared" si="202"/>
        <v>0</v>
      </c>
      <c r="AB57" s="48">
        <f t="shared" si="202"/>
        <v>0</v>
      </c>
      <c r="AC57" s="48">
        <f t="shared" si="202"/>
        <v>0</v>
      </c>
      <c r="AD57" s="48">
        <f t="shared" si="202"/>
        <v>0</v>
      </c>
      <c r="AE57" s="48">
        <f t="shared" si="202"/>
        <v>0</v>
      </c>
      <c r="AF57" s="48">
        <f t="shared" si="202"/>
        <v>0</v>
      </c>
      <c r="AG57" s="48">
        <f t="shared" si="202"/>
        <v>0</v>
      </c>
      <c r="AH57" s="48">
        <f t="shared" si="202"/>
        <v>0</v>
      </c>
      <c r="AI57" s="48">
        <f t="shared" si="202"/>
        <v>0</v>
      </c>
      <c r="AJ57" s="48">
        <f t="shared" si="202"/>
        <v>0</v>
      </c>
      <c r="AK57" s="48">
        <f t="shared" si="202"/>
        <v>0</v>
      </c>
      <c r="AL57" s="48">
        <f t="shared" ref="AL57:BQ57" si="203">AL$32*INDEX(Precio_O,12)*INDEX(IdxPrecio_O,1,MIN(10,AL$17))*(1+P_dPrecio)</f>
        <v>0</v>
      </c>
      <c r="AM57" s="48">
        <f t="shared" si="203"/>
        <v>0</v>
      </c>
      <c r="AN57" s="48">
        <f t="shared" si="203"/>
        <v>0</v>
      </c>
      <c r="AO57" s="48">
        <f t="shared" si="203"/>
        <v>0</v>
      </c>
      <c r="AP57" s="48">
        <f t="shared" si="203"/>
        <v>0</v>
      </c>
      <c r="AQ57" s="48">
        <f t="shared" si="203"/>
        <v>0</v>
      </c>
      <c r="AR57" s="48">
        <f t="shared" si="203"/>
        <v>0</v>
      </c>
      <c r="AS57" s="48">
        <f t="shared" si="203"/>
        <v>0</v>
      </c>
      <c r="AT57" s="48">
        <f t="shared" si="203"/>
        <v>0</v>
      </c>
      <c r="AU57" s="48">
        <f t="shared" si="203"/>
        <v>0</v>
      </c>
      <c r="AV57" s="48">
        <f t="shared" si="203"/>
        <v>0</v>
      </c>
      <c r="AW57" s="48">
        <f t="shared" si="203"/>
        <v>0</v>
      </c>
      <c r="AX57" s="48">
        <f t="shared" si="203"/>
        <v>0</v>
      </c>
      <c r="AY57" s="48">
        <f t="shared" si="203"/>
        <v>0</v>
      </c>
      <c r="AZ57" s="48">
        <f t="shared" si="203"/>
        <v>0</v>
      </c>
      <c r="BA57" s="48">
        <f t="shared" si="203"/>
        <v>0</v>
      </c>
      <c r="BB57" s="48">
        <f t="shared" si="203"/>
        <v>0</v>
      </c>
      <c r="BC57" s="48">
        <f t="shared" si="203"/>
        <v>0</v>
      </c>
      <c r="BD57" s="48">
        <f t="shared" si="203"/>
        <v>0</v>
      </c>
      <c r="BE57" s="48">
        <f t="shared" si="203"/>
        <v>0</v>
      </c>
      <c r="BF57" s="48">
        <f t="shared" si="203"/>
        <v>0</v>
      </c>
      <c r="BG57" s="48">
        <f t="shared" si="203"/>
        <v>0</v>
      </c>
      <c r="BH57" s="48">
        <f t="shared" si="203"/>
        <v>0</v>
      </c>
      <c r="BI57" s="48">
        <f t="shared" si="203"/>
        <v>0</v>
      </c>
      <c r="BJ57" s="48">
        <f t="shared" si="203"/>
        <v>0</v>
      </c>
      <c r="BK57" s="48">
        <f t="shared" si="203"/>
        <v>0</v>
      </c>
      <c r="BL57" s="48">
        <f t="shared" si="203"/>
        <v>0</v>
      </c>
      <c r="BM57" s="48">
        <f t="shared" si="203"/>
        <v>0</v>
      </c>
      <c r="BN57" s="48">
        <f t="shared" si="203"/>
        <v>0</v>
      </c>
      <c r="BO57" s="48">
        <f t="shared" si="203"/>
        <v>0</v>
      </c>
      <c r="BP57" s="48">
        <f t="shared" si="203"/>
        <v>0</v>
      </c>
      <c r="BQ57" s="48">
        <f t="shared" si="203"/>
        <v>0</v>
      </c>
      <c r="BR57" s="48">
        <f t="shared" ref="BR57:CW57" si="204">BR$32*INDEX(Precio_O,12)*INDEX(IdxPrecio_O,1,MIN(10,BR$17))*(1+P_dPrecio)</f>
        <v>0</v>
      </c>
      <c r="BS57" s="48">
        <f t="shared" si="204"/>
        <v>0</v>
      </c>
      <c r="BT57" s="48">
        <f t="shared" si="204"/>
        <v>0</v>
      </c>
      <c r="BU57" s="48">
        <f t="shared" si="204"/>
        <v>0</v>
      </c>
      <c r="BV57" s="48">
        <f t="shared" si="204"/>
        <v>0</v>
      </c>
      <c r="BW57" s="48">
        <f t="shared" si="204"/>
        <v>0</v>
      </c>
      <c r="BX57" s="48">
        <f t="shared" si="204"/>
        <v>0</v>
      </c>
      <c r="BY57" s="48">
        <f t="shared" si="204"/>
        <v>0</v>
      </c>
      <c r="BZ57" s="48">
        <f t="shared" si="204"/>
        <v>0</v>
      </c>
      <c r="CA57" s="48">
        <f t="shared" si="204"/>
        <v>0</v>
      </c>
      <c r="CB57" s="48">
        <f t="shared" si="204"/>
        <v>0</v>
      </c>
      <c r="CC57" s="48">
        <f t="shared" si="204"/>
        <v>0</v>
      </c>
      <c r="CD57" s="48">
        <f t="shared" si="204"/>
        <v>0</v>
      </c>
      <c r="CE57" s="48">
        <f t="shared" si="204"/>
        <v>0</v>
      </c>
      <c r="CF57" s="48">
        <f t="shared" si="204"/>
        <v>0</v>
      </c>
      <c r="CG57" s="48">
        <f t="shared" si="204"/>
        <v>0</v>
      </c>
      <c r="CH57" s="48">
        <f t="shared" si="204"/>
        <v>0</v>
      </c>
      <c r="CI57" s="48">
        <f t="shared" si="204"/>
        <v>0</v>
      </c>
      <c r="CJ57" s="48">
        <f t="shared" si="204"/>
        <v>0</v>
      </c>
      <c r="CK57" s="48">
        <f t="shared" si="204"/>
        <v>0</v>
      </c>
      <c r="CL57" s="48">
        <f t="shared" si="204"/>
        <v>0</v>
      </c>
      <c r="CM57" s="48">
        <f t="shared" si="204"/>
        <v>0</v>
      </c>
      <c r="CN57" s="48">
        <f t="shared" si="204"/>
        <v>0</v>
      </c>
      <c r="CO57" s="48">
        <f t="shared" si="204"/>
        <v>0</v>
      </c>
      <c r="CP57" s="48">
        <f t="shared" si="204"/>
        <v>0</v>
      </c>
      <c r="CQ57" s="48">
        <f t="shared" si="204"/>
        <v>0</v>
      </c>
      <c r="CR57" s="48">
        <f t="shared" si="204"/>
        <v>0</v>
      </c>
      <c r="CS57" s="48">
        <f t="shared" si="204"/>
        <v>0</v>
      </c>
      <c r="CT57" s="48">
        <f t="shared" si="204"/>
        <v>0</v>
      </c>
      <c r="CU57" s="48">
        <f t="shared" si="204"/>
        <v>0</v>
      </c>
      <c r="CV57" s="48">
        <f t="shared" si="204"/>
        <v>0</v>
      </c>
      <c r="CW57" s="48">
        <f t="shared" si="204"/>
        <v>0</v>
      </c>
      <c r="CX57" s="48">
        <f t="shared" ref="CX57:EC57" si="205">CX$32*INDEX(Precio_O,12)*INDEX(IdxPrecio_O,1,MIN(10,CX$17))*(1+P_dPrecio)</f>
        <v>0</v>
      </c>
      <c r="CY57" s="48">
        <f t="shared" si="205"/>
        <v>0</v>
      </c>
      <c r="CZ57" s="48">
        <f t="shared" si="205"/>
        <v>0</v>
      </c>
      <c r="DA57" s="48">
        <f t="shared" si="205"/>
        <v>0</v>
      </c>
      <c r="DB57" s="48">
        <f t="shared" si="205"/>
        <v>0</v>
      </c>
      <c r="DC57" s="48">
        <f t="shared" si="205"/>
        <v>0</v>
      </c>
      <c r="DD57" s="48">
        <f t="shared" si="205"/>
        <v>0</v>
      </c>
      <c r="DE57" s="48">
        <f t="shared" si="205"/>
        <v>0</v>
      </c>
      <c r="DF57" s="48">
        <f t="shared" si="205"/>
        <v>0</v>
      </c>
      <c r="DG57" s="48">
        <f t="shared" si="205"/>
        <v>0</v>
      </c>
      <c r="DH57" s="48">
        <f t="shared" si="205"/>
        <v>0</v>
      </c>
      <c r="DI57" s="48">
        <f t="shared" si="205"/>
        <v>0</v>
      </c>
      <c r="DJ57" s="48">
        <f t="shared" si="205"/>
        <v>0</v>
      </c>
      <c r="DK57" s="48">
        <f t="shared" si="205"/>
        <v>0</v>
      </c>
      <c r="DL57" s="48">
        <f t="shared" si="205"/>
        <v>0</v>
      </c>
      <c r="DM57" s="48">
        <f t="shared" si="205"/>
        <v>0</v>
      </c>
      <c r="DN57" s="48">
        <f t="shared" si="205"/>
        <v>0</v>
      </c>
      <c r="DO57" s="48">
        <f t="shared" si="205"/>
        <v>0</v>
      </c>
      <c r="DP57" s="48">
        <f t="shared" si="205"/>
        <v>0</v>
      </c>
      <c r="DQ57" s="48">
        <f t="shared" si="205"/>
        <v>0</v>
      </c>
      <c r="DR57" s="48">
        <f t="shared" si="205"/>
        <v>0</v>
      </c>
      <c r="DS57" s="48">
        <f t="shared" si="205"/>
        <v>0</v>
      </c>
      <c r="DT57" s="48">
        <f t="shared" si="205"/>
        <v>0</v>
      </c>
      <c r="DU57" s="48">
        <f t="shared" si="205"/>
        <v>0</v>
      </c>
      <c r="DV57" s="48">
        <f t="shared" si="205"/>
        <v>0</v>
      </c>
      <c r="DW57" s="48">
        <f t="shared" si="205"/>
        <v>0</v>
      </c>
      <c r="DX57" s="48">
        <f t="shared" si="205"/>
        <v>0</v>
      </c>
      <c r="DY57" s="48">
        <f t="shared" si="205"/>
        <v>0</v>
      </c>
      <c r="DZ57" s="48">
        <f t="shared" si="205"/>
        <v>0</v>
      </c>
      <c r="EA57" s="48">
        <f t="shared" si="205"/>
        <v>0</v>
      </c>
      <c r="EB57" s="48">
        <f t="shared" si="205"/>
        <v>0</v>
      </c>
      <c r="EC57" s="48">
        <f t="shared" si="205"/>
        <v>0</v>
      </c>
      <c r="ED57" s="48">
        <f t="shared" ref="ED57:ES57" si="206">ED$32*INDEX(Precio_O,12)*INDEX(IdxPrecio_O,1,MIN(10,ED$17))*(1+P_dPrecio)</f>
        <v>0</v>
      </c>
      <c r="EE57" s="48">
        <f t="shared" si="206"/>
        <v>0</v>
      </c>
      <c r="EF57" s="48">
        <f t="shared" si="206"/>
        <v>0</v>
      </c>
      <c r="EG57" s="48">
        <f t="shared" si="206"/>
        <v>0</v>
      </c>
      <c r="EH57" s="48">
        <f t="shared" si="206"/>
        <v>0</v>
      </c>
      <c r="EI57" s="48">
        <f t="shared" si="206"/>
        <v>0</v>
      </c>
      <c r="EJ57" s="48">
        <f t="shared" si="206"/>
        <v>0</v>
      </c>
      <c r="EK57" s="48">
        <f t="shared" si="206"/>
        <v>0</v>
      </c>
      <c r="EL57" s="48">
        <f t="shared" si="206"/>
        <v>0</v>
      </c>
      <c r="EM57" s="48">
        <f t="shared" si="206"/>
        <v>0</v>
      </c>
      <c r="EN57" s="48">
        <f t="shared" si="206"/>
        <v>0</v>
      </c>
      <c r="EO57" s="48">
        <f t="shared" si="206"/>
        <v>0</v>
      </c>
      <c r="EP57" s="48">
        <f t="shared" si="206"/>
        <v>0</v>
      </c>
      <c r="EQ57" s="48">
        <f t="shared" si="206"/>
        <v>0</v>
      </c>
      <c r="ER57" s="48">
        <f t="shared" si="206"/>
        <v>0</v>
      </c>
      <c r="ES57" s="48">
        <f t="shared" si="206"/>
        <v>0</v>
      </c>
    </row>
    <row r="58" spans="1:149" x14ac:dyDescent="0.3">
      <c r="A58" s="14" t="s">
        <v>1035</v>
      </c>
      <c r="B58" s="53" t="str">
        <f>IF(INDEX(Prod_Nombre,13)="","Producto 13",INDEX(Prod_Nombre,13))&amp;" — ventas USD"</f>
        <v>Producto 13 — ventas USD</v>
      </c>
      <c r="C58" s="18" t="s">
        <v>439</v>
      </c>
      <c r="E58" s="54">
        <f t="shared" si="181"/>
        <v>0</v>
      </c>
      <c r="F58" s="48">
        <f t="shared" ref="F58:AK58" si="207">F$33*INDEX(Precio_O,13)*INDEX(IdxPrecio_O,1,MIN(10,F$17))*(1+P_dPrecio)</f>
        <v>0</v>
      </c>
      <c r="G58" s="48">
        <f t="shared" si="207"/>
        <v>0</v>
      </c>
      <c r="H58" s="48">
        <f t="shared" si="207"/>
        <v>0</v>
      </c>
      <c r="I58" s="48">
        <f t="shared" si="207"/>
        <v>0</v>
      </c>
      <c r="J58" s="48">
        <f t="shared" si="207"/>
        <v>0</v>
      </c>
      <c r="K58" s="48">
        <f t="shared" si="207"/>
        <v>0</v>
      </c>
      <c r="L58" s="48">
        <f t="shared" si="207"/>
        <v>0</v>
      </c>
      <c r="M58" s="48">
        <f t="shared" si="207"/>
        <v>0</v>
      </c>
      <c r="N58" s="48">
        <f t="shared" si="207"/>
        <v>0</v>
      </c>
      <c r="O58" s="48">
        <f t="shared" si="207"/>
        <v>0</v>
      </c>
      <c r="P58" s="48">
        <f t="shared" si="207"/>
        <v>0</v>
      </c>
      <c r="Q58" s="48">
        <f t="shared" si="207"/>
        <v>0</v>
      </c>
      <c r="R58" s="48">
        <f t="shared" si="207"/>
        <v>0</v>
      </c>
      <c r="S58" s="48">
        <f t="shared" si="207"/>
        <v>0</v>
      </c>
      <c r="T58" s="48">
        <f t="shared" si="207"/>
        <v>0</v>
      </c>
      <c r="U58" s="48">
        <f t="shared" si="207"/>
        <v>0</v>
      </c>
      <c r="V58" s="48">
        <f t="shared" si="207"/>
        <v>0</v>
      </c>
      <c r="W58" s="48">
        <f t="shared" si="207"/>
        <v>0</v>
      </c>
      <c r="X58" s="48">
        <f t="shared" si="207"/>
        <v>0</v>
      </c>
      <c r="Y58" s="48">
        <f t="shared" si="207"/>
        <v>0</v>
      </c>
      <c r="Z58" s="48">
        <f t="shared" si="207"/>
        <v>0</v>
      </c>
      <c r="AA58" s="48">
        <f t="shared" si="207"/>
        <v>0</v>
      </c>
      <c r="AB58" s="48">
        <f t="shared" si="207"/>
        <v>0</v>
      </c>
      <c r="AC58" s="48">
        <f t="shared" si="207"/>
        <v>0</v>
      </c>
      <c r="AD58" s="48">
        <f t="shared" si="207"/>
        <v>0</v>
      </c>
      <c r="AE58" s="48">
        <f t="shared" si="207"/>
        <v>0</v>
      </c>
      <c r="AF58" s="48">
        <f t="shared" si="207"/>
        <v>0</v>
      </c>
      <c r="AG58" s="48">
        <f t="shared" si="207"/>
        <v>0</v>
      </c>
      <c r="AH58" s="48">
        <f t="shared" si="207"/>
        <v>0</v>
      </c>
      <c r="AI58" s="48">
        <f t="shared" si="207"/>
        <v>0</v>
      </c>
      <c r="AJ58" s="48">
        <f t="shared" si="207"/>
        <v>0</v>
      </c>
      <c r="AK58" s="48">
        <f t="shared" si="207"/>
        <v>0</v>
      </c>
      <c r="AL58" s="48">
        <f t="shared" ref="AL58:BQ58" si="208">AL$33*INDEX(Precio_O,13)*INDEX(IdxPrecio_O,1,MIN(10,AL$17))*(1+P_dPrecio)</f>
        <v>0</v>
      </c>
      <c r="AM58" s="48">
        <f t="shared" si="208"/>
        <v>0</v>
      </c>
      <c r="AN58" s="48">
        <f t="shared" si="208"/>
        <v>0</v>
      </c>
      <c r="AO58" s="48">
        <f t="shared" si="208"/>
        <v>0</v>
      </c>
      <c r="AP58" s="48">
        <f t="shared" si="208"/>
        <v>0</v>
      </c>
      <c r="AQ58" s="48">
        <f t="shared" si="208"/>
        <v>0</v>
      </c>
      <c r="AR58" s="48">
        <f t="shared" si="208"/>
        <v>0</v>
      </c>
      <c r="AS58" s="48">
        <f t="shared" si="208"/>
        <v>0</v>
      </c>
      <c r="AT58" s="48">
        <f t="shared" si="208"/>
        <v>0</v>
      </c>
      <c r="AU58" s="48">
        <f t="shared" si="208"/>
        <v>0</v>
      </c>
      <c r="AV58" s="48">
        <f t="shared" si="208"/>
        <v>0</v>
      </c>
      <c r="AW58" s="48">
        <f t="shared" si="208"/>
        <v>0</v>
      </c>
      <c r="AX58" s="48">
        <f t="shared" si="208"/>
        <v>0</v>
      </c>
      <c r="AY58" s="48">
        <f t="shared" si="208"/>
        <v>0</v>
      </c>
      <c r="AZ58" s="48">
        <f t="shared" si="208"/>
        <v>0</v>
      </c>
      <c r="BA58" s="48">
        <f t="shared" si="208"/>
        <v>0</v>
      </c>
      <c r="BB58" s="48">
        <f t="shared" si="208"/>
        <v>0</v>
      </c>
      <c r="BC58" s="48">
        <f t="shared" si="208"/>
        <v>0</v>
      </c>
      <c r="BD58" s="48">
        <f t="shared" si="208"/>
        <v>0</v>
      </c>
      <c r="BE58" s="48">
        <f t="shared" si="208"/>
        <v>0</v>
      </c>
      <c r="BF58" s="48">
        <f t="shared" si="208"/>
        <v>0</v>
      </c>
      <c r="BG58" s="48">
        <f t="shared" si="208"/>
        <v>0</v>
      </c>
      <c r="BH58" s="48">
        <f t="shared" si="208"/>
        <v>0</v>
      </c>
      <c r="BI58" s="48">
        <f t="shared" si="208"/>
        <v>0</v>
      </c>
      <c r="BJ58" s="48">
        <f t="shared" si="208"/>
        <v>0</v>
      </c>
      <c r="BK58" s="48">
        <f t="shared" si="208"/>
        <v>0</v>
      </c>
      <c r="BL58" s="48">
        <f t="shared" si="208"/>
        <v>0</v>
      </c>
      <c r="BM58" s="48">
        <f t="shared" si="208"/>
        <v>0</v>
      </c>
      <c r="BN58" s="48">
        <f t="shared" si="208"/>
        <v>0</v>
      </c>
      <c r="BO58" s="48">
        <f t="shared" si="208"/>
        <v>0</v>
      </c>
      <c r="BP58" s="48">
        <f t="shared" si="208"/>
        <v>0</v>
      </c>
      <c r="BQ58" s="48">
        <f t="shared" si="208"/>
        <v>0</v>
      </c>
      <c r="BR58" s="48">
        <f t="shared" ref="BR58:CW58" si="209">BR$33*INDEX(Precio_O,13)*INDEX(IdxPrecio_O,1,MIN(10,BR$17))*(1+P_dPrecio)</f>
        <v>0</v>
      </c>
      <c r="BS58" s="48">
        <f t="shared" si="209"/>
        <v>0</v>
      </c>
      <c r="BT58" s="48">
        <f t="shared" si="209"/>
        <v>0</v>
      </c>
      <c r="BU58" s="48">
        <f t="shared" si="209"/>
        <v>0</v>
      </c>
      <c r="BV58" s="48">
        <f t="shared" si="209"/>
        <v>0</v>
      </c>
      <c r="BW58" s="48">
        <f t="shared" si="209"/>
        <v>0</v>
      </c>
      <c r="BX58" s="48">
        <f t="shared" si="209"/>
        <v>0</v>
      </c>
      <c r="BY58" s="48">
        <f t="shared" si="209"/>
        <v>0</v>
      </c>
      <c r="BZ58" s="48">
        <f t="shared" si="209"/>
        <v>0</v>
      </c>
      <c r="CA58" s="48">
        <f t="shared" si="209"/>
        <v>0</v>
      </c>
      <c r="CB58" s="48">
        <f t="shared" si="209"/>
        <v>0</v>
      </c>
      <c r="CC58" s="48">
        <f t="shared" si="209"/>
        <v>0</v>
      </c>
      <c r="CD58" s="48">
        <f t="shared" si="209"/>
        <v>0</v>
      </c>
      <c r="CE58" s="48">
        <f t="shared" si="209"/>
        <v>0</v>
      </c>
      <c r="CF58" s="48">
        <f t="shared" si="209"/>
        <v>0</v>
      </c>
      <c r="CG58" s="48">
        <f t="shared" si="209"/>
        <v>0</v>
      </c>
      <c r="CH58" s="48">
        <f t="shared" si="209"/>
        <v>0</v>
      </c>
      <c r="CI58" s="48">
        <f t="shared" si="209"/>
        <v>0</v>
      </c>
      <c r="CJ58" s="48">
        <f t="shared" si="209"/>
        <v>0</v>
      </c>
      <c r="CK58" s="48">
        <f t="shared" si="209"/>
        <v>0</v>
      </c>
      <c r="CL58" s="48">
        <f t="shared" si="209"/>
        <v>0</v>
      </c>
      <c r="CM58" s="48">
        <f t="shared" si="209"/>
        <v>0</v>
      </c>
      <c r="CN58" s="48">
        <f t="shared" si="209"/>
        <v>0</v>
      </c>
      <c r="CO58" s="48">
        <f t="shared" si="209"/>
        <v>0</v>
      </c>
      <c r="CP58" s="48">
        <f t="shared" si="209"/>
        <v>0</v>
      </c>
      <c r="CQ58" s="48">
        <f t="shared" si="209"/>
        <v>0</v>
      </c>
      <c r="CR58" s="48">
        <f t="shared" si="209"/>
        <v>0</v>
      </c>
      <c r="CS58" s="48">
        <f t="shared" si="209"/>
        <v>0</v>
      </c>
      <c r="CT58" s="48">
        <f t="shared" si="209"/>
        <v>0</v>
      </c>
      <c r="CU58" s="48">
        <f t="shared" si="209"/>
        <v>0</v>
      </c>
      <c r="CV58" s="48">
        <f t="shared" si="209"/>
        <v>0</v>
      </c>
      <c r="CW58" s="48">
        <f t="shared" si="209"/>
        <v>0</v>
      </c>
      <c r="CX58" s="48">
        <f t="shared" ref="CX58:EC58" si="210">CX$33*INDEX(Precio_O,13)*INDEX(IdxPrecio_O,1,MIN(10,CX$17))*(1+P_dPrecio)</f>
        <v>0</v>
      </c>
      <c r="CY58" s="48">
        <f t="shared" si="210"/>
        <v>0</v>
      </c>
      <c r="CZ58" s="48">
        <f t="shared" si="210"/>
        <v>0</v>
      </c>
      <c r="DA58" s="48">
        <f t="shared" si="210"/>
        <v>0</v>
      </c>
      <c r="DB58" s="48">
        <f t="shared" si="210"/>
        <v>0</v>
      </c>
      <c r="DC58" s="48">
        <f t="shared" si="210"/>
        <v>0</v>
      </c>
      <c r="DD58" s="48">
        <f t="shared" si="210"/>
        <v>0</v>
      </c>
      <c r="DE58" s="48">
        <f t="shared" si="210"/>
        <v>0</v>
      </c>
      <c r="DF58" s="48">
        <f t="shared" si="210"/>
        <v>0</v>
      </c>
      <c r="DG58" s="48">
        <f t="shared" si="210"/>
        <v>0</v>
      </c>
      <c r="DH58" s="48">
        <f t="shared" si="210"/>
        <v>0</v>
      </c>
      <c r="DI58" s="48">
        <f t="shared" si="210"/>
        <v>0</v>
      </c>
      <c r="DJ58" s="48">
        <f t="shared" si="210"/>
        <v>0</v>
      </c>
      <c r="DK58" s="48">
        <f t="shared" si="210"/>
        <v>0</v>
      </c>
      <c r="DL58" s="48">
        <f t="shared" si="210"/>
        <v>0</v>
      </c>
      <c r="DM58" s="48">
        <f t="shared" si="210"/>
        <v>0</v>
      </c>
      <c r="DN58" s="48">
        <f t="shared" si="210"/>
        <v>0</v>
      </c>
      <c r="DO58" s="48">
        <f t="shared" si="210"/>
        <v>0</v>
      </c>
      <c r="DP58" s="48">
        <f t="shared" si="210"/>
        <v>0</v>
      </c>
      <c r="DQ58" s="48">
        <f t="shared" si="210"/>
        <v>0</v>
      </c>
      <c r="DR58" s="48">
        <f t="shared" si="210"/>
        <v>0</v>
      </c>
      <c r="DS58" s="48">
        <f t="shared" si="210"/>
        <v>0</v>
      </c>
      <c r="DT58" s="48">
        <f t="shared" si="210"/>
        <v>0</v>
      </c>
      <c r="DU58" s="48">
        <f t="shared" si="210"/>
        <v>0</v>
      </c>
      <c r="DV58" s="48">
        <f t="shared" si="210"/>
        <v>0</v>
      </c>
      <c r="DW58" s="48">
        <f t="shared" si="210"/>
        <v>0</v>
      </c>
      <c r="DX58" s="48">
        <f t="shared" si="210"/>
        <v>0</v>
      </c>
      <c r="DY58" s="48">
        <f t="shared" si="210"/>
        <v>0</v>
      </c>
      <c r="DZ58" s="48">
        <f t="shared" si="210"/>
        <v>0</v>
      </c>
      <c r="EA58" s="48">
        <f t="shared" si="210"/>
        <v>0</v>
      </c>
      <c r="EB58" s="48">
        <f t="shared" si="210"/>
        <v>0</v>
      </c>
      <c r="EC58" s="48">
        <f t="shared" si="210"/>
        <v>0</v>
      </c>
      <c r="ED58" s="48">
        <f t="shared" ref="ED58:ES58" si="211">ED$33*INDEX(Precio_O,13)*INDEX(IdxPrecio_O,1,MIN(10,ED$17))*(1+P_dPrecio)</f>
        <v>0</v>
      </c>
      <c r="EE58" s="48">
        <f t="shared" si="211"/>
        <v>0</v>
      </c>
      <c r="EF58" s="48">
        <f t="shared" si="211"/>
        <v>0</v>
      </c>
      <c r="EG58" s="48">
        <f t="shared" si="211"/>
        <v>0</v>
      </c>
      <c r="EH58" s="48">
        <f t="shared" si="211"/>
        <v>0</v>
      </c>
      <c r="EI58" s="48">
        <f t="shared" si="211"/>
        <v>0</v>
      </c>
      <c r="EJ58" s="48">
        <f t="shared" si="211"/>
        <v>0</v>
      </c>
      <c r="EK58" s="48">
        <f t="shared" si="211"/>
        <v>0</v>
      </c>
      <c r="EL58" s="48">
        <f t="shared" si="211"/>
        <v>0</v>
      </c>
      <c r="EM58" s="48">
        <f t="shared" si="211"/>
        <v>0</v>
      </c>
      <c r="EN58" s="48">
        <f t="shared" si="211"/>
        <v>0</v>
      </c>
      <c r="EO58" s="48">
        <f t="shared" si="211"/>
        <v>0</v>
      </c>
      <c r="EP58" s="48">
        <f t="shared" si="211"/>
        <v>0</v>
      </c>
      <c r="EQ58" s="48">
        <f t="shared" si="211"/>
        <v>0</v>
      </c>
      <c r="ER58" s="48">
        <f t="shared" si="211"/>
        <v>0</v>
      </c>
      <c r="ES58" s="48">
        <f t="shared" si="211"/>
        <v>0</v>
      </c>
    </row>
    <row r="59" spans="1:149" x14ac:dyDescent="0.3">
      <c r="A59" s="14" t="s">
        <v>1036</v>
      </c>
      <c r="B59" s="53" t="str">
        <f>IF(INDEX(Prod_Nombre,14)="","Producto 14",INDEX(Prod_Nombre,14))&amp;" — ventas USD"</f>
        <v>Producto 14 — ventas USD</v>
      </c>
      <c r="C59" s="18" t="s">
        <v>439</v>
      </c>
      <c r="E59" s="54">
        <f t="shared" si="181"/>
        <v>0</v>
      </c>
      <c r="F59" s="48">
        <f t="shared" ref="F59:AK59" si="212">F$34*INDEX(Precio_O,14)*INDEX(IdxPrecio_O,1,MIN(10,F$17))*(1+P_dPrecio)</f>
        <v>0</v>
      </c>
      <c r="G59" s="48">
        <f t="shared" si="212"/>
        <v>0</v>
      </c>
      <c r="H59" s="48">
        <f t="shared" si="212"/>
        <v>0</v>
      </c>
      <c r="I59" s="48">
        <f t="shared" si="212"/>
        <v>0</v>
      </c>
      <c r="J59" s="48">
        <f t="shared" si="212"/>
        <v>0</v>
      </c>
      <c r="K59" s="48">
        <f t="shared" si="212"/>
        <v>0</v>
      </c>
      <c r="L59" s="48">
        <f t="shared" si="212"/>
        <v>0</v>
      </c>
      <c r="M59" s="48">
        <f t="shared" si="212"/>
        <v>0</v>
      </c>
      <c r="N59" s="48">
        <f t="shared" si="212"/>
        <v>0</v>
      </c>
      <c r="O59" s="48">
        <f t="shared" si="212"/>
        <v>0</v>
      </c>
      <c r="P59" s="48">
        <f t="shared" si="212"/>
        <v>0</v>
      </c>
      <c r="Q59" s="48">
        <f t="shared" si="212"/>
        <v>0</v>
      </c>
      <c r="R59" s="48">
        <f t="shared" si="212"/>
        <v>0</v>
      </c>
      <c r="S59" s="48">
        <f t="shared" si="212"/>
        <v>0</v>
      </c>
      <c r="T59" s="48">
        <f t="shared" si="212"/>
        <v>0</v>
      </c>
      <c r="U59" s="48">
        <f t="shared" si="212"/>
        <v>0</v>
      </c>
      <c r="V59" s="48">
        <f t="shared" si="212"/>
        <v>0</v>
      </c>
      <c r="W59" s="48">
        <f t="shared" si="212"/>
        <v>0</v>
      </c>
      <c r="X59" s="48">
        <f t="shared" si="212"/>
        <v>0</v>
      </c>
      <c r="Y59" s="48">
        <f t="shared" si="212"/>
        <v>0</v>
      </c>
      <c r="Z59" s="48">
        <f t="shared" si="212"/>
        <v>0</v>
      </c>
      <c r="AA59" s="48">
        <f t="shared" si="212"/>
        <v>0</v>
      </c>
      <c r="AB59" s="48">
        <f t="shared" si="212"/>
        <v>0</v>
      </c>
      <c r="AC59" s="48">
        <f t="shared" si="212"/>
        <v>0</v>
      </c>
      <c r="AD59" s="48">
        <f t="shared" si="212"/>
        <v>0</v>
      </c>
      <c r="AE59" s="48">
        <f t="shared" si="212"/>
        <v>0</v>
      </c>
      <c r="AF59" s="48">
        <f t="shared" si="212"/>
        <v>0</v>
      </c>
      <c r="AG59" s="48">
        <f t="shared" si="212"/>
        <v>0</v>
      </c>
      <c r="AH59" s="48">
        <f t="shared" si="212"/>
        <v>0</v>
      </c>
      <c r="AI59" s="48">
        <f t="shared" si="212"/>
        <v>0</v>
      </c>
      <c r="AJ59" s="48">
        <f t="shared" si="212"/>
        <v>0</v>
      </c>
      <c r="AK59" s="48">
        <f t="shared" si="212"/>
        <v>0</v>
      </c>
      <c r="AL59" s="48">
        <f t="shared" ref="AL59:BQ59" si="213">AL$34*INDEX(Precio_O,14)*INDEX(IdxPrecio_O,1,MIN(10,AL$17))*(1+P_dPrecio)</f>
        <v>0</v>
      </c>
      <c r="AM59" s="48">
        <f t="shared" si="213"/>
        <v>0</v>
      </c>
      <c r="AN59" s="48">
        <f t="shared" si="213"/>
        <v>0</v>
      </c>
      <c r="AO59" s="48">
        <f t="shared" si="213"/>
        <v>0</v>
      </c>
      <c r="AP59" s="48">
        <f t="shared" si="213"/>
        <v>0</v>
      </c>
      <c r="AQ59" s="48">
        <f t="shared" si="213"/>
        <v>0</v>
      </c>
      <c r="AR59" s="48">
        <f t="shared" si="213"/>
        <v>0</v>
      </c>
      <c r="AS59" s="48">
        <f t="shared" si="213"/>
        <v>0</v>
      </c>
      <c r="AT59" s="48">
        <f t="shared" si="213"/>
        <v>0</v>
      </c>
      <c r="AU59" s="48">
        <f t="shared" si="213"/>
        <v>0</v>
      </c>
      <c r="AV59" s="48">
        <f t="shared" si="213"/>
        <v>0</v>
      </c>
      <c r="AW59" s="48">
        <f t="shared" si="213"/>
        <v>0</v>
      </c>
      <c r="AX59" s="48">
        <f t="shared" si="213"/>
        <v>0</v>
      </c>
      <c r="AY59" s="48">
        <f t="shared" si="213"/>
        <v>0</v>
      </c>
      <c r="AZ59" s="48">
        <f t="shared" si="213"/>
        <v>0</v>
      </c>
      <c r="BA59" s="48">
        <f t="shared" si="213"/>
        <v>0</v>
      </c>
      <c r="BB59" s="48">
        <f t="shared" si="213"/>
        <v>0</v>
      </c>
      <c r="BC59" s="48">
        <f t="shared" si="213"/>
        <v>0</v>
      </c>
      <c r="BD59" s="48">
        <f t="shared" si="213"/>
        <v>0</v>
      </c>
      <c r="BE59" s="48">
        <f t="shared" si="213"/>
        <v>0</v>
      </c>
      <c r="BF59" s="48">
        <f t="shared" si="213"/>
        <v>0</v>
      </c>
      <c r="BG59" s="48">
        <f t="shared" si="213"/>
        <v>0</v>
      </c>
      <c r="BH59" s="48">
        <f t="shared" si="213"/>
        <v>0</v>
      </c>
      <c r="BI59" s="48">
        <f t="shared" si="213"/>
        <v>0</v>
      </c>
      <c r="BJ59" s="48">
        <f t="shared" si="213"/>
        <v>0</v>
      </c>
      <c r="BK59" s="48">
        <f t="shared" si="213"/>
        <v>0</v>
      </c>
      <c r="BL59" s="48">
        <f t="shared" si="213"/>
        <v>0</v>
      </c>
      <c r="BM59" s="48">
        <f t="shared" si="213"/>
        <v>0</v>
      </c>
      <c r="BN59" s="48">
        <f t="shared" si="213"/>
        <v>0</v>
      </c>
      <c r="BO59" s="48">
        <f t="shared" si="213"/>
        <v>0</v>
      </c>
      <c r="BP59" s="48">
        <f t="shared" si="213"/>
        <v>0</v>
      </c>
      <c r="BQ59" s="48">
        <f t="shared" si="213"/>
        <v>0</v>
      </c>
      <c r="BR59" s="48">
        <f t="shared" ref="BR59:CW59" si="214">BR$34*INDEX(Precio_O,14)*INDEX(IdxPrecio_O,1,MIN(10,BR$17))*(1+P_dPrecio)</f>
        <v>0</v>
      </c>
      <c r="BS59" s="48">
        <f t="shared" si="214"/>
        <v>0</v>
      </c>
      <c r="BT59" s="48">
        <f t="shared" si="214"/>
        <v>0</v>
      </c>
      <c r="BU59" s="48">
        <f t="shared" si="214"/>
        <v>0</v>
      </c>
      <c r="BV59" s="48">
        <f t="shared" si="214"/>
        <v>0</v>
      </c>
      <c r="BW59" s="48">
        <f t="shared" si="214"/>
        <v>0</v>
      </c>
      <c r="BX59" s="48">
        <f t="shared" si="214"/>
        <v>0</v>
      </c>
      <c r="BY59" s="48">
        <f t="shared" si="214"/>
        <v>0</v>
      </c>
      <c r="BZ59" s="48">
        <f t="shared" si="214"/>
        <v>0</v>
      </c>
      <c r="CA59" s="48">
        <f t="shared" si="214"/>
        <v>0</v>
      </c>
      <c r="CB59" s="48">
        <f t="shared" si="214"/>
        <v>0</v>
      </c>
      <c r="CC59" s="48">
        <f t="shared" si="214"/>
        <v>0</v>
      </c>
      <c r="CD59" s="48">
        <f t="shared" si="214"/>
        <v>0</v>
      </c>
      <c r="CE59" s="48">
        <f t="shared" si="214"/>
        <v>0</v>
      </c>
      <c r="CF59" s="48">
        <f t="shared" si="214"/>
        <v>0</v>
      </c>
      <c r="CG59" s="48">
        <f t="shared" si="214"/>
        <v>0</v>
      </c>
      <c r="CH59" s="48">
        <f t="shared" si="214"/>
        <v>0</v>
      </c>
      <c r="CI59" s="48">
        <f t="shared" si="214"/>
        <v>0</v>
      </c>
      <c r="CJ59" s="48">
        <f t="shared" si="214"/>
        <v>0</v>
      </c>
      <c r="CK59" s="48">
        <f t="shared" si="214"/>
        <v>0</v>
      </c>
      <c r="CL59" s="48">
        <f t="shared" si="214"/>
        <v>0</v>
      </c>
      <c r="CM59" s="48">
        <f t="shared" si="214"/>
        <v>0</v>
      </c>
      <c r="CN59" s="48">
        <f t="shared" si="214"/>
        <v>0</v>
      </c>
      <c r="CO59" s="48">
        <f t="shared" si="214"/>
        <v>0</v>
      </c>
      <c r="CP59" s="48">
        <f t="shared" si="214"/>
        <v>0</v>
      </c>
      <c r="CQ59" s="48">
        <f t="shared" si="214"/>
        <v>0</v>
      </c>
      <c r="CR59" s="48">
        <f t="shared" si="214"/>
        <v>0</v>
      </c>
      <c r="CS59" s="48">
        <f t="shared" si="214"/>
        <v>0</v>
      </c>
      <c r="CT59" s="48">
        <f t="shared" si="214"/>
        <v>0</v>
      </c>
      <c r="CU59" s="48">
        <f t="shared" si="214"/>
        <v>0</v>
      </c>
      <c r="CV59" s="48">
        <f t="shared" si="214"/>
        <v>0</v>
      </c>
      <c r="CW59" s="48">
        <f t="shared" si="214"/>
        <v>0</v>
      </c>
      <c r="CX59" s="48">
        <f t="shared" ref="CX59:EC59" si="215">CX$34*INDEX(Precio_O,14)*INDEX(IdxPrecio_O,1,MIN(10,CX$17))*(1+P_dPrecio)</f>
        <v>0</v>
      </c>
      <c r="CY59" s="48">
        <f t="shared" si="215"/>
        <v>0</v>
      </c>
      <c r="CZ59" s="48">
        <f t="shared" si="215"/>
        <v>0</v>
      </c>
      <c r="DA59" s="48">
        <f t="shared" si="215"/>
        <v>0</v>
      </c>
      <c r="DB59" s="48">
        <f t="shared" si="215"/>
        <v>0</v>
      </c>
      <c r="DC59" s="48">
        <f t="shared" si="215"/>
        <v>0</v>
      </c>
      <c r="DD59" s="48">
        <f t="shared" si="215"/>
        <v>0</v>
      </c>
      <c r="DE59" s="48">
        <f t="shared" si="215"/>
        <v>0</v>
      </c>
      <c r="DF59" s="48">
        <f t="shared" si="215"/>
        <v>0</v>
      </c>
      <c r="DG59" s="48">
        <f t="shared" si="215"/>
        <v>0</v>
      </c>
      <c r="DH59" s="48">
        <f t="shared" si="215"/>
        <v>0</v>
      </c>
      <c r="DI59" s="48">
        <f t="shared" si="215"/>
        <v>0</v>
      </c>
      <c r="DJ59" s="48">
        <f t="shared" si="215"/>
        <v>0</v>
      </c>
      <c r="DK59" s="48">
        <f t="shared" si="215"/>
        <v>0</v>
      </c>
      <c r="DL59" s="48">
        <f t="shared" si="215"/>
        <v>0</v>
      </c>
      <c r="DM59" s="48">
        <f t="shared" si="215"/>
        <v>0</v>
      </c>
      <c r="DN59" s="48">
        <f t="shared" si="215"/>
        <v>0</v>
      </c>
      <c r="DO59" s="48">
        <f t="shared" si="215"/>
        <v>0</v>
      </c>
      <c r="DP59" s="48">
        <f t="shared" si="215"/>
        <v>0</v>
      </c>
      <c r="DQ59" s="48">
        <f t="shared" si="215"/>
        <v>0</v>
      </c>
      <c r="DR59" s="48">
        <f t="shared" si="215"/>
        <v>0</v>
      </c>
      <c r="DS59" s="48">
        <f t="shared" si="215"/>
        <v>0</v>
      </c>
      <c r="DT59" s="48">
        <f t="shared" si="215"/>
        <v>0</v>
      </c>
      <c r="DU59" s="48">
        <f t="shared" si="215"/>
        <v>0</v>
      </c>
      <c r="DV59" s="48">
        <f t="shared" si="215"/>
        <v>0</v>
      </c>
      <c r="DW59" s="48">
        <f t="shared" si="215"/>
        <v>0</v>
      </c>
      <c r="DX59" s="48">
        <f t="shared" si="215"/>
        <v>0</v>
      </c>
      <c r="DY59" s="48">
        <f t="shared" si="215"/>
        <v>0</v>
      </c>
      <c r="DZ59" s="48">
        <f t="shared" si="215"/>
        <v>0</v>
      </c>
      <c r="EA59" s="48">
        <f t="shared" si="215"/>
        <v>0</v>
      </c>
      <c r="EB59" s="48">
        <f t="shared" si="215"/>
        <v>0</v>
      </c>
      <c r="EC59" s="48">
        <f t="shared" si="215"/>
        <v>0</v>
      </c>
      <c r="ED59" s="48">
        <f t="shared" ref="ED59:ES59" si="216">ED$34*INDEX(Precio_O,14)*INDEX(IdxPrecio_O,1,MIN(10,ED$17))*(1+P_dPrecio)</f>
        <v>0</v>
      </c>
      <c r="EE59" s="48">
        <f t="shared" si="216"/>
        <v>0</v>
      </c>
      <c r="EF59" s="48">
        <f t="shared" si="216"/>
        <v>0</v>
      </c>
      <c r="EG59" s="48">
        <f t="shared" si="216"/>
        <v>0</v>
      </c>
      <c r="EH59" s="48">
        <f t="shared" si="216"/>
        <v>0</v>
      </c>
      <c r="EI59" s="48">
        <f t="shared" si="216"/>
        <v>0</v>
      </c>
      <c r="EJ59" s="48">
        <f t="shared" si="216"/>
        <v>0</v>
      </c>
      <c r="EK59" s="48">
        <f t="shared" si="216"/>
        <v>0</v>
      </c>
      <c r="EL59" s="48">
        <f t="shared" si="216"/>
        <v>0</v>
      </c>
      <c r="EM59" s="48">
        <f t="shared" si="216"/>
        <v>0</v>
      </c>
      <c r="EN59" s="48">
        <f t="shared" si="216"/>
        <v>0</v>
      </c>
      <c r="EO59" s="48">
        <f t="shared" si="216"/>
        <v>0</v>
      </c>
      <c r="EP59" s="48">
        <f t="shared" si="216"/>
        <v>0</v>
      </c>
      <c r="EQ59" s="48">
        <f t="shared" si="216"/>
        <v>0</v>
      </c>
      <c r="ER59" s="48">
        <f t="shared" si="216"/>
        <v>0</v>
      </c>
      <c r="ES59" s="48">
        <f t="shared" si="216"/>
        <v>0</v>
      </c>
    </row>
    <row r="60" spans="1:149" x14ac:dyDescent="0.3">
      <c r="A60" s="14" t="s">
        <v>1037</v>
      </c>
      <c r="B60" s="53" t="str">
        <f>IF(INDEX(Prod_Nombre,15)="","Producto 15",INDEX(Prod_Nombre,15))&amp;" — ventas USD"</f>
        <v>Producto 15 — ventas USD</v>
      </c>
      <c r="C60" s="18" t="s">
        <v>439</v>
      </c>
      <c r="E60" s="54">
        <f t="shared" si="181"/>
        <v>0</v>
      </c>
      <c r="F60" s="48">
        <f t="shared" ref="F60:AK60" si="217">F$35*INDEX(Precio_O,15)*INDEX(IdxPrecio_O,1,MIN(10,F$17))*(1+P_dPrecio)</f>
        <v>0</v>
      </c>
      <c r="G60" s="48">
        <f t="shared" si="217"/>
        <v>0</v>
      </c>
      <c r="H60" s="48">
        <f t="shared" si="217"/>
        <v>0</v>
      </c>
      <c r="I60" s="48">
        <f t="shared" si="217"/>
        <v>0</v>
      </c>
      <c r="J60" s="48">
        <f t="shared" si="217"/>
        <v>0</v>
      </c>
      <c r="K60" s="48">
        <f t="shared" si="217"/>
        <v>0</v>
      </c>
      <c r="L60" s="48">
        <f t="shared" si="217"/>
        <v>0</v>
      </c>
      <c r="M60" s="48">
        <f t="shared" si="217"/>
        <v>0</v>
      </c>
      <c r="N60" s="48">
        <f t="shared" si="217"/>
        <v>0</v>
      </c>
      <c r="O60" s="48">
        <f t="shared" si="217"/>
        <v>0</v>
      </c>
      <c r="P60" s="48">
        <f t="shared" si="217"/>
        <v>0</v>
      </c>
      <c r="Q60" s="48">
        <f t="shared" si="217"/>
        <v>0</v>
      </c>
      <c r="R60" s="48">
        <f t="shared" si="217"/>
        <v>0</v>
      </c>
      <c r="S60" s="48">
        <f t="shared" si="217"/>
        <v>0</v>
      </c>
      <c r="T60" s="48">
        <f t="shared" si="217"/>
        <v>0</v>
      </c>
      <c r="U60" s="48">
        <f t="shared" si="217"/>
        <v>0</v>
      </c>
      <c r="V60" s="48">
        <f t="shared" si="217"/>
        <v>0</v>
      </c>
      <c r="W60" s="48">
        <f t="shared" si="217"/>
        <v>0</v>
      </c>
      <c r="X60" s="48">
        <f t="shared" si="217"/>
        <v>0</v>
      </c>
      <c r="Y60" s="48">
        <f t="shared" si="217"/>
        <v>0</v>
      </c>
      <c r="Z60" s="48">
        <f t="shared" si="217"/>
        <v>0</v>
      </c>
      <c r="AA60" s="48">
        <f t="shared" si="217"/>
        <v>0</v>
      </c>
      <c r="AB60" s="48">
        <f t="shared" si="217"/>
        <v>0</v>
      </c>
      <c r="AC60" s="48">
        <f t="shared" si="217"/>
        <v>0</v>
      </c>
      <c r="AD60" s="48">
        <f t="shared" si="217"/>
        <v>0</v>
      </c>
      <c r="AE60" s="48">
        <f t="shared" si="217"/>
        <v>0</v>
      </c>
      <c r="AF60" s="48">
        <f t="shared" si="217"/>
        <v>0</v>
      </c>
      <c r="AG60" s="48">
        <f t="shared" si="217"/>
        <v>0</v>
      </c>
      <c r="AH60" s="48">
        <f t="shared" si="217"/>
        <v>0</v>
      </c>
      <c r="AI60" s="48">
        <f t="shared" si="217"/>
        <v>0</v>
      </c>
      <c r="AJ60" s="48">
        <f t="shared" si="217"/>
        <v>0</v>
      </c>
      <c r="AK60" s="48">
        <f t="shared" si="217"/>
        <v>0</v>
      </c>
      <c r="AL60" s="48">
        <f t="shared" ref="AL60:BQ60" si="218">AL$35*INDEX(Precio_O,15)*INDEX(IdxPrecio_O,1,MIN(10,AL$17))*(1+P_dPrecio)</f>
        <v>0</v>
      </c>
      <c r="AM60" s="48">
        <f t="shared" si="218"/>
        <v>0</v>
      </c>
      <c r="AN60" s="48">
        <f t="shared" si="218"/>
        <v>0</v>
      </c>
      <c r="AO60" s="48">
        <f t="shared" si="218"/>
        <v>0</v>
      </c>
      <c r="AP60" s="48">
        <f t="shared" si="218"/>
        <v>0</v>
      </c>
      <c r="AQ60" s="48">
        <f t="shared" si="218"/>
        <v>0</v>
      </c>
      <c r="AR60" s="48">
        <f t="shared" si="218"/>
        <v>0</v>
      </c>
      <c r="AS60" s="48">
        <f t="shared" si="218"/>
        <v>0</v>
      </c>
      <c r="AT60" s="48">
        <f t="shared" si="218"/>
        <v>0</v>
      </c>
      <c r="AU60" s="48">
        <f t="shared" si="218"/>
        <v>0</v>
      </c>
      <c r="AV60" s="48">
        <f t="shared" si="218"/>
        <v>0</v>
      </c>
      <c r="AW60" s="48">
        <f t="shared" si="218"/>
        <v>0</v>
      </c>
      <c r="AX60" s="48">
        <f t="shared" si="218"/>
        <v>0</v>
      </c>
      <c r="AY60" s="48">
        <f t="shared" si="218"/>
        <v>0</v>
      </c>
      <c r="AZ60" s="48">
        <f t="shared" si="218"/>
        <v>0</v>
      </c>
      <c r="BA60" s="48">
        <f t="shared" si="218"/>
        <v>0</v>
      </c>
      <c r="BB60" s="48">
        <f t="shared" si="218"/>
        <v>0</v>
      </c>
      <c r="BC60" s="48">
        <f t="shared" si="218"/>
        <v>0</v>
      </c>
      <c r="BD60" s="48">
        <f t="shared" si="218"/>
        <v>0</v>
      </c>
      <c r="BE60" s="48">
        <f t="shared" si="218"/>
        <v>0</v>
      </c>
      <c r="BF60" s="48">
        <f t="shared" si="218"/>
        <v>0</v>
      </c>
      <c r="BG60" s="48">
        <f t="shared" si="218"/>
        <v>0</v>
      </c>
      <c r="BH60" s="48">
        <f t="shared" si="218"/>
        <v>0</v>
      </c>
      <c r="BI60" s="48">
        <f t="shared" si="218"/>
        <v>0</v>
      </c>
      <c r="BJ60" s="48">
        <f t="shared" si="218"/>
        <v>0</v>
      </c>
      <c r="BK60" s="48">
        <f t="shared" si="218"/>
        <v>0</v>
      </c>
      <c r="BL60" s="48">
        <f t="shared" si="218"/>
        <v>0</v>
      </c>
      <c r="BM60" s="48">
        <f t="shared" si="218"/>
        <v>0</v>
      </c>
      <c r="BN60" s="48">
        <f t="shared" si="218"/>
        <v>0</v>
      </c>
      <c r="BO60" s="48">
        <f t="shared" si="218"/>
        <v>0</v>
      </c>
      <c r="BP60" s="48">
        <f t="shared" si="218"/>
        <v>0</v>
      </c>
      <c r="BQ60" s="48">
        <f t="shared" si="218"/>
        <v>0</v>
      </c>
      <c r="BR60" s="48">
        <f t="shared" ref="BR60:CW60" si="219">BR$35*INDEX(Precio_O,15)*INDEX(IdxPrecio_O,1,MIN(10,BR$17))*(1+P_dPrecio)</f>
        <v>0</v>
      </c>
      <c r="BS60" s="48">
        <f t="shared" si="219"/>
        <v>0</v>
      </c>
      <c r="BT60" s="48">
        <f t="shared" si="219"/>
        <v>0</v>
      </c>
      <c r="BU60" s="48">
        <f t="shared" si="219"/>
        <v>0</v>
      </c>
      <c r="BV60" s="48">
        <f t="shared" si="219"/>
        <v>0</v>
      </c>
      <c r="BW60" s="48">
        <f t="shared" si="219"/>
        <v>0</v>
      </c>
      <c r="BX60" s="48">
        <f t="shared" si="219"/>
        <v>0</v>
      </c>
      <c r="BY60" s="48">
        <f t="shared" si="219"/>
        <v>0</v>
      </c>
      <c r="BZ60" s="48">
        <f t="shared" si="219"/>
        <v>0</v>
      </c>
      <c r="CA60" s="48">
        <f t="shared" si="219"/>
        <v>0</v>
      </c>
      <c r="CB60" s="48">
        <f t="shared" si="219"/>
        <v>0</v>
      </c>
      <c r="CC60" s="48">
        <f t="shared" si="219"/>
        <v>0</v>
      </c>
      <c r="CD60" s="48">
        <f t="shared" si="219"/>
        <v>0</v>
      </c>
      <c r="CE60" s="48">
        <f t="shared" si="219"/>
        <v>0</v>
      </c>
      <c r="CF60" s="48">
        <f t="shared" si="219"/>
        <v>0</v>
      </c>
      <c r="CG60" s="48">
        <f t="shared" si="219"/>
        <v>0</v>
      </c>
      <c r="CH60" s="48">
        <f t="shared" si="219"/>
        <v>0</v>
      </c>
      <c r="CI60" s="48">
        <f t="shared" si="219"/>
        <v>0</v>
      </c>
      <c r="CJ60" s="48">
        <f t="shared" si="219"/>
        <v>0</v>
      </c>
      <c r="CK60" s="48">
        <f t="shared" si="219"/>
        <v>0</v>
      </c>
      <c r="CL60" s="48">
        <f t="shared" si="219"/>
        <v>0</v>
      </c>
      <c r="CM60" s="48">
        <f t="shared" si="219"/>
        <v>0</v>
      </c>
      <c r="CN60" s="48">
        <f t="shared" si="219"/>
        <v>0</v>
      </c>
      <c r="CO60" s="48">
        <f t="shared" si="219"/>
        <v>0</v>
      </c>
      <c r="CP60" s="48">
        <f t="shared" si="219"/>
        <v>0</v>
      </c>
      <c r="CQ60" s="48">
        <f t="shared" si="219"/>
        <v>0</v>
      </c>
      <c r="CR60" s="48">
        <f t="shared" si="219"/>
        <v>0</v>
      </c>
      <c r="CS60" s="48">
        <f t="shared" si="219"/>
        <v>0</v>
      </c>
      <c r="CT60" s="48">
        <f t="shared" si="219"/>
        <v>0</v>
      </c>
      <c r="CU60" s="48">
        <f t="shared" si="219"/>
        <v>0</v>
      </c>
      <c r="CV60" s="48">
        <f t="shared" si="219"/>
        <v>0</v>
      </c>
      <c r="CW60" s="48">
        <f t="shared" si="219"/>
        <v>0</v>
      </c>
      <c r="CX60" s="48">
        <f t="shared" ref="CX60:EC60" si="220">CX$35*INDEX(Precio_O,15)*INDEX(IdxPrecio_O,1,MIN(10,CX$17))*(1+P_dPrecio)</f>
        <v>0</v>
      </c>
      <c r="CY60" s="48">
        <f t="shared" si="220"/>
        <v>0</v>
      </c>
      <c r="CZ60" s="48">
        <f t="shared" si="220"/>
        <v>0</v>
      </c>
      <c r="DA60" s="48">
        <f t="shared" si="220"/>
        <v>0</v>
      </c>
      <c r="DB60" s="48">
        <f t="shared" si="220"/>
        <v>0</v>
      </c>
      <c r="DC60" s="48">
        <f t="shared" si="220"/>
        <v>0</v>
      </c>
      <c r="DD60" s="48">
        <f t="shared" si="220"/>
        <v>0</v>
      </c>
      <c r="DE60" s="48">
        <f t="shared" si="220"/>
        <v>0</v>
      </c>
      <c r="DF60" s="48">
        <f t="shared" si="220"/>
        <v>0</v>
      </c>
      <c r="DG60" s="48">
        <f t="shared" si="220"/>
        <v>0</v>
      </c>
      <c r="DH60" s="48">
        <f t="shared" si="220"/>
        <v>0</v>
      </c>
      <c r="DI60" s="48">
        <f t="shared" si="220"/>
        <v>0</v>
      </c>
      <c r="DJ60" s="48">
        <f t="shared" si="220"/>
        <v>0</v>
      </c>
      <c r="DK60" s="48">
        <f t="shared" si="220"/>
        <v>0</v>
      </c>
      <c r="DL60" s="48">
        <f t="shared" si="220"/>
        <v>0</v>
      </c>
      <c r="DM60" s="48">
        <f t="shared" si="220"/>
        <v>0</v>
      </c>
      <c r="DN60" s="48">
        <f t="shared" si="220"/>
        <v>0</v>
      </c>
      <c r="DO60" s="48">
        <f t="shared" si="220"/>
        <v>0</v>
      </c>
      <c r="DP60" s="48">
        <f t="shared" si="220"/>
        <v>0</v>
      </c>
      <c r="DQ60" s="48">
        <f t="shared" si="220"/>
        <v>0</v>
      </c>
      <c r="DR60" s="48">
        <f t="shared" si="220"/>
        <v>0</v>
      </c>
      <c r="DS60" s="48">
        <f t="shared" si="220"/>
        <v>0</v>
      </c>
      <c r="DT60" s="48">
        <f t="shared" si="220"/>
        <v>0</v>
      </c>
      <c r="DU60" s="48">
        <f t="shared" si="220"/>
        <v>0</v>
      </c>
      <c r="DV60" s="48">
        <f t="shared" si="220"/>
        <v>0</v>
      </c>
      <c r="DW60" s="48">
        <f t="shared" si="220"/>
        <v>0</v>
      </c>
      <c r="DX60" s="48">
        <f t="shared" si="220"/>
        <v>0</v>
      </c>
      <c r="DY60" s="48">
        <f t="shared" si="220"/>
        <v>0</v>
      </c>
      <c r="DZ60" s="48">
        <f t="shared" si="220"/>
        <v>0</v>
      </c>
      <c r="EA60" s="48">
        <f t="shared" si="220"/>
        <v>0</v>
      </c>
      <c r="EB60" s="48">
        <f t="shared" si="220"/>
        <v>0</v>
      </c>
      <c r="EC60" s="48">
        <f t="shared" si="220"/>
        <v>0</v>
      </c>
      <c r="ED60" s="48">
        <f t="shared" ref="ED60:ES60" si="221">ED$35*INDEX(Precio_O,15)*INDEX(IdxPrecio_O,1,MIN(10,ED$17))*(1+P_dPrecio)</f>
        <v>0</v>
      </c>
      <c r="EE60" s="48">
        <f t="shared" si="221"/>
        <v>0</v>
      </c>
      <c r="EF60" s="48">
        <f t="shared" si="221"/>
        <v>0</v>
      </c>
      <c r="EG60" s="48">
        <f t="shared" si="221"/>
        <v>0</v>
      </c>
      <c r="EH60" s="48">
        <f t="shared" si="221"/>
        <v>0</v>
      </c>
      <c r="EI60" s="48">
        <f t="shared" si="221"/>
        <v>0</v>
      </c>
      <c r="EJ60" s="48">
        <f t="shared" si="221"/>
        <v>0</v>
      </c>
      <c r="EK60" s="48">
        <f t="shared" si="221"/>
        <v>0</v>
      </c>
      <c r="EL60" s="48">
        <f t="shared" si="221"/>
        <v>0</v>
      </c>
      <c r="EM60" s="48">
        <f t="shared" si="221"/>
        <v>0</v>
      </c>
      <c r="EN60" s="48">
        <f t="shared" si="221"/>
        <v>0</v>
      </c>
      <c r="EO60" s="48">
        <f t="shared" si="221"/>
        <v>0</v>
      </c>
      <c r="EP60" s="48">
        <f t="shared" si="221"/>
        <v>0</v>
      </c>
      <c r="EQ60" s="48">
        <f t="shared" si="221"/>
        <v>0</v>
      </c>
      <c r="ER60" s="48">
        <f t="shared" si="221"/>
        <v>0</v>
      </c>
      <c r="ES60" s="48">
        <f t="shared" si="221"/>
        <v>0</v>
      </c>
    </row>
    <row r="61" spans="1:149" x14ac:dyDescent="0.3">
      <c r="A61" s="14" t="s">
        <v>1038</v>
      </c>
      <c r="B61" s="53" t="str">
        <f>IF(INDEX(Prod_Nombre,16)="","Producto 16",INDEX(Prod_Nombre,16))&amp;" — ventas USD"</f>
        <v>Producto 16 — ventas USD</v>
      </c>
      <c r="C61" s="18" t="s">
        <v>439</v>
      </c>
      <c r="E61" s="54">
        <f t="shared" si="181"/>
        <v>0</v>
      </c>
      <c r="F61" s="48">
        <f t="shared" ref="F61:AK61" si="222">F$36*INDEX(Precio_O,16)*INDEX(IdxPrecio_O,1,MIN(10,F$17))*(1+P_dPrecio)</f>
        <v>0</v>
      </c>
      <c r="G61" s="48">
        <f t="shared" si="222"/>
        <v>0</v>
      </c>
      <c r="H61" s="48">
        <f t="shared" si="222"/>
        <v>0</v>
      </c>
      <c r="I61" s="48">
        <f t="shared" si="222"/>
        <v>0</v>
      </c>
      <c r="J61" s="48">
        <f t="shared" si="222"/>
        <v>0</v>
      </c>
      <c r="K61" s="48">
        <f t="shared" si="222"/>
        <v>0</v>
      </c>
      <c r="L61" s="48">
        <f t="shared" si="222"/>
        <v>0</v>
      </c>
      <c r="M61" s="48">
        <f t="shared" si="222"/>
        <v>0</v>
      </c>
      <c r="N61" s="48">
        <f t="shared" si="222"/>
        <v>0</v>
      </c>
      <c r="O61" s="48">
        <f t="shared" si="222"/>
        <v>0</v>
      </c>
      <c r="P61" s="48">
        <f t="shared" si="222"/>
        <v>0</v>
      </c>
      <c r="Q61" s="48">
        <f t="shared" si="222"/>
        <v>0</v>
      </c>
      <c r="R61" s="48">
        <f t="shared" si="222"/>
        <v>0</v>
      </c>
      <c r="S61" s="48">
        <f t="shared" si="222"/>
        <v>0</v>
      </c>
      <c r="T61" s="48">
        <f t="shared" si="222"/>
        <v>0</v>
      </c>
      <c r="U61" s="48">
        <f t="shared" si="222"/>
        <v>0</v>
      </c>
      <c r="V61" s="48">
        <f t="shared" si="222"/>
        <v>0</v>
      </c>
      <c r="W61" s="48">
        <f t="shared" si="222"/>
        <v>0</v>
      </c>
      <c r="X61" s="48">
        <f t="shared" si="222"/>
        <v>0</v>
      </c>
      <c r="Y61" s="48">
        <f t="shared" si="222"/>
        <v>0</v>
      </c>
      <c r="Z61" s="48">
        <f t="shared" si="222"/>
        <v>0</v>
      </c>
      <c r="AA61" s="48">
        <f t="shared" si="222"/>
        <v>0</v>
      </c>
      <c r="AB61" s="48">
        <f t="shared" si="222"/>
        <v>0</v>
      </c>
      <c r="AC61" s="48">
        <f t="shared" si="222"/>
        <v>0</v>
      </c>
      <c r="AD61" s="48">
        <f t="shared" si="222"/>
        <v>0</v>
      </c>
      <c r="AE61" s="48">
        <f t="shared" si="222"/>
        <v>0</v>
      </c>
      <c r="AF61" s="48">
        <f t="shared" si="222"/>
        <v>0</v>
      </c>
      <c r="AG61" s="48">
        <f t="shared" si="222"/>
        <v>0</v>
      </c>
      <c r="AH61" s="48">
        <f t="shared" si="222"/>
        <v>0</v>
      </c>
      <c r="AI61" s="48">
        <f t="shared" si="222"/>
        <v>0</v>
      </c>
      <c r="AJ61" s="48">
        <f t="shared" si="222"/>
        <v>0</v>
      </c>
      <c r="AK61" s="48">
        <f t="shared" si="222"/>
        <v>0</v>
      </c>
      <c r="AL61" s="48">
        <f t="shared" ref="AL61:BQ61" si="223">AL$36*INDEX(Precio_O,16)*INDEX(IdxPrecio_O,1,MIN(10,AL$17))*(1+P_dPrecio)</f>
        <v>0</v>
      </c>
      <c r="AM61" s="48">
        <f t="shared" si="223"/>
        <v>0</v>
      </c>
      <c r="AN61" s="48">
        <f t="shared" si="223"/>
        <v>0</v>
      </c>
      <c r="AO61" s="48">
        <f t="shared" si="223"/>
        <v>0</v>
      </c>
      <c r="AP61" s="48">
        <f t="shared" si="223"/>
        <v>0</v>
      </c>
      <c r="AQ61" s="48">
        <f t="shared" si="223"/>
        <v>0</v>
      </c>
      <c r="AR61" s="48">
        <f t="shared" si="223"/>
        <v>0</v>
      </c>
      <c r="AS61" s="48">
        <f t="shared" si="223"/>
        <v>0</v>
      </c>
      <c r="AT61" s="48">
        <f t="shared" si="223"/>
        <v>0</v>
      </c>
      <c r="AU61" s="48">
        <f t="shared" si="223"/>
        <v>0</v>
      </c>
      <c r="AV61" s="48">
        <f t="shared" si="223"/>
        <v>0</v>
      </c>
      <c r="AW61" s="48">
        <f t="shared" si="223"/>
        <v>0</v>
      </c>
      <c r="AX61" s="48">
        <f t="shared" si="223"/>
        <v>0</v>
      </c>
      <c r="AY61" s="48">
        <f t="shared" si="223"/>
        <v>0</v>
      </c>
      <c r="AZ61" s="48">
        <f t="shared" si="223"/>
        <v>0</v>
      </c>
      <c r="BA61" s="48">
        <f t="shared" si="223"/>
        <v>0</v>
      </c>
      <c r="BB61" s="48">
        <f t="shared" si="223"/>
        <v>0</v>
      </c>
      <c r="BC61" s="48">
        <f t="shared" si="223"/>
        <v>0</v>
      </c>
      <c r="BD61" s="48">
        <f t="shared" si="223"/>
        <v>0</v>
      </c>
      <c r="BE61" s="48">
        <f t="shared" si="223"/>
        <v>0</v>
      </c>
      <c r="BF61" s="48">
        <f t="shared" si="223"/>
        <v>0</v>
      </c>
      <c r="BG61" s="48">
        <f t="shared" si="223"/>
        <v>0</v>
      </c>
      <c r="BH61" s="48">
        <f t="shared" si="223"/>
        <v>0</v>
      </c>
      <c r="BI61" s="48">
        <f t="shared" si="223"/>
        <v>0</v>
      </c>
      <c r="BJ61" s="48">
        <f t="shared" si="223"/>
        <v>0</v>
      </c>
      <c r="BK61" s="48">
        <f t="shared" si="223"/>
        <v>0</v>
      </c>
      <c r="BL61" s="48">
        <f t="shared" si="223"/>
        <v>0</v>
      </c>
      <c r="BM61" s="48">
        <f t="shared" si="223"/>
        <v>0</v>
      </c>
      <c r="BN61" s="48">
        <f t="shared" si="223"/>
        <v>0</v>
      </c>
      <c r="BO61" s="48">
        <f t="shared" si="223"/>
        <v>0</v>
      </c>
      <c r="BP61" s="48">
        <f t="shared" si="223"/>
        <v>0</v>
      </c>
      <c r="BQ61" s="48">
        <f t="shared" si="223"/>
        <v>0</v>
      </c>
      <c r="BR61" s="48">
        <f t="shared" ref="BR61:CW61" si="224">BR$36*INDEX(Precio_O,16)*INDEX(IdxPrecio_O,1,MIN(10,BR$17))*(1+P_dPrecio)</f>
        <v>0</v>
      </c>
      <c r="BS61" s="48">
        <f t="shared" si="224"/>
        <v>0</v>
      </c>
      <c r="BT61" s="48">
        <f t="shared" si="224"/>
        <v>0</v>
      </c>
      <c r="BU61" s="48">
        <f t="shared" si="224"/>
        <v>0</v>
      </c>
      <c r="BV61" s="48">
        <f t="shared" si="224"/>
        <v>0</v>
      </c>
      <c r="BW61" s="48">
        <f t="shared" si="224"/>
        <v>0</v>
      </c>
      <c r="BX61" s="48">
        <f t="shared" si="224"/>
        <v>0</v>
      </c>
      <c r="BY61" s="48">
        <f t="shared" si="224"/>
        <v>0</v>
      </c>
      <c r="BZ61" s="48">
        <f t="shared" si="224"/>
        <v>0</v>
      </c>
      <c r="CA61" s="48">
        <f t="shared" si="224"/>
        <v>0</v>
      </c>
      <c r="CB61" s="48">
        <f t="shared" si="224"/>
        <v>0</v>
      </c>
      <c r="CC61" s="48">
        <f t="shared" si="224"/>
        <v>0</v>
      </c>
      <c r="CD61" s="48">
        <f t="shared" si="224"/>
        <v>0</v>
      </c>
      <c r="CE61" s="48">
        <f t="shared" si="224"/>
        <v>0</v>
      </c>
      <c r="CF61" s="48">
        <f t="shared" si="224"/>
        <v>0</v>
      </c>
      <c r="CG61" s="48">
        <f t="shared" si="224"/>
        <v>0</v>
      </c>
      <c r="CH61" s="48">
        <f t="shared" si="224"/>
        <v>0</v>
      </c>
      <c r="CI61" s="48">
        <f t="shared" si="224"/>
        <v>0</v>
      </c>
      <c r="CJ61" s="48">
        <f t="shared" si="224"/>
        <v>0</v>
      </c>
      <c r="CK61" s="48">
        <f t="shared" si="224"/>
        <v>0</v>
      </c>
      <c r="CL61" s="48">
        <f t="shared" si="224"/>
        <v>0</v>
      </c>
      <c r="CM61" s="48">
        <f t="shared" si="224"/>
        <v>0</v>
      </c>
      <c r="CN61" s="48">
        <f t="shared" si="224"/>
        <v>0</v>
      </c>
      <c r="CO61" s="48">
        <f t="shared" si="224"/>
        <v>0</v>
      </c>
      <c r="CP61" s="48">
        <f t="shared" si="224"/>
        <v>0</v>
      </c>
      <c r="CQ61" s="48">
        <f t="shared" si="224"/>
        <v>0</v>
      </c>
      <c r="CR61" s="48">
        <f t="shared" si="224"/>
        <v>0</v>
      </c>
      <c r="CS61" s="48">
        <f t="shared" si="224"/>
        <v>0</v>
      </c>
      <c r="CT61" s="48">
        <f t="shared" si="224"/>
        <v>0</v>
      </c>
      <c r="CU61" s="48">
        <f t="shared" si="224"/>
        <v>0</v>
      </c>
      <c r="CV61" s="48">
        <f t="shared" si="224"/>
        <v>0</v>
      </c>
      <c r="CW61" s="48">
        <f t="shared" si="224"/>
        <v>0</v>
      </c>
      <c r="CX61" s="48">
        <f t="shared" ref="CX61:EC61" si="225">CX$36*INDEX(Precio_O,16)*INDEX(IdxPrecio_O,1,MIN(10,CX$17))*(1+P_dPrecio)</f>
        <v>0</v>
      </c>
      <c r="CY61" s="48">
        <f t="shared" si="225"/>
        <v>0</v>
      </c>
      <c r="CZ61" s="48">
        <f t="shared" si="225"/>
        <v>0</v>
      </c>
      <c r="DA61" s="48">
        <f t="shared" si="225"/>
        <v>0</v>
      </c>
      <c r="DB61" s="48">
        <f t="shared" si="225"/>
        <v>0</v>
      </c>
      <c r="DC61" s="48">
        <f t="shared" si="225"/>
        <v>0</v>
      </c>
      <c r="DD61" s="48">
        <f t="shared" si="225"/>
        <v>0</v>
      </c>
      <c r="DE61" s="48">
        <f t="shared" si="225"/>
        <v>0</v>
      </c>
      <c r="DF61" s="48">
        <f t="shared" si="225"/>
        <v>0</v>
      </c>
      <c r="DG61" s="48">
        <f t="shared" si="225"/>
        <v>0</v>
      </c>
      <c r="DH61" s="48">
        <f t="shared" si="225"/>
        <v>0</v>
      </c>
      <c r="DI61" s="48">
        <f t="shared" si="225"/>
        <v>0</v>
      </c>
      <c r="DJ61" s="48">
        <f t="shared" si="225"/>
        <v>0</v>
      </c>
      <c r="DK61" s="48">
        <f t="shared" si="225"/>
        <v>0</v>
      </c>
      <c r="DL61" s="48">
        <f t="shared" si="225"/>
        <v>0</v>
      </c>
      <c r="DM61" s="48">
        <f t="shared" si="225"/>
        <v>0</v>
      </c>
      <c r="DN61" s="48">
        <f t="shared" si="225"/>
        <v>0</v>
      </c>
      <c r="DO61" s="48">
        <f t="shared" si="225"/>
        <v>0</v>
      </c>
      <c r="DP61" s="48">
        <f t="shared" si="225"/>
        <v>0</v>
      </c>
      <c r="DQ61" s="48">
        <f t="shared" si="225"/>
        <v>0</v>
      </c>
      <c r="DR61" s="48">
        <f t="shared" si="225"/>
        <v>0</v>
      </c>
      <c r="DS61" s="48">
        <f t="shared" si="225"/>
        <v>0</v>
      </c>
      <c r="DT61" s="48">
        <f t="shared" si="225"/>
        <v>0</v>
      </c>
      <c r="DU61" s="48">
        <f t="shared" si="225"/>
        <v>0</v>
      </c>
      <c r="DV61" s="48">
        <f t="shared" si="225"/>
        <v>0</v>
      </c>
      <c r="DW61" s="48">
        <f t="shared" si="225"/>
        <v>0</v>
      </c>
      <c r="DX61" s="48">
        <f t="shared" si="225"/>
        <v>0</v>
      </c>
      <c r="DY61" s="48">
        <f t="shared" si="225"/>
        <v>0</v>
      </c>
      <c r="DZ61" s="48">
        <f t="shared" si="225"/>
        <v>0</v>
      </c>
      <c r="EA61" s="48">
        <f t="shared" si="225"/>
        <v>0</v>
      </c>
      <c r="EB61" s="48">
        <f t="shared" si="225"/>
        <v>0</v>
      </c>
      <c r="EC61" s="48">
        <f t="shared" si="225"/>
        <v>0</v>
      </c>
      <c r="ED61" s="48">
        <f t="shared" ref="ED61:ES61" si="226">ED$36*INDEX(Precio_O,16)*INDEX(IdxPrecio_O,1,MIN(10,ED$17))*(1+P_dPrecio)</f>
        <v>0</v>
      </c>
      <c r="EE61" s="48">
        <f t="shared" si="226"/>
        <v>0</v>
      </c>
      <c r="EF61" s="48">
        <f t="shared" si="226"/>
        <v>0</v>
      </c>
      <c r="EG61" s="48">
        <f t="shared" si="226"/>
        <v>0</v>
      </c>
      <c r="EH61" s="48">
        <f t="shared" si="226"/>
        <v>0</v>
      </c>
      <c r="EI61" s="48">
        <f t="shared" si="226"/>
        <v>0</v>
      </c>
      <c r="EJ61" s="48">
        <f t="shared" si="226"/>
        <v>0</v>
      </c>
      <c r="EK61" s="48">
        <f t="shared" si="226"/>
        <v>0</v>
      </c>
      <c r="EL61" s="48">
        <f t="shared" si="226"/>
        <v>0</v>
      </c>
      <c r="EM61" s="48">
        <f t="shared" si="226"/>
        <v>0</v>
      </c>
      <c r="EN61" s="48">
        <f t="shared" si="226"/>
        <v>0</v>
      </c>
      <c r="EO61" s="48">
        <f t="shared" si="226"/>
        <v>0</v>
      </c>
      <c r="EP61" s="48">
        <f t="shared" si="226"/>
        <v>0</v>
      </c>
      <c r="EQ61" s="48">
        <f t="shared" si="226"/>
        <v>0</v>
      </c>
      <c r="ER61" s="48">
        <f t="shared" si="226"/>
        <v>0</v>
      </c>
      <c r="ES61" s="48">
        <f t="shared" si="226"/>
        <v>0</v>
      </c>
    </row>
    <row r="62" spans="1:149" x14ac:dyDescent="0.3">
      <c r="A62" s="14" t="s">
        <v>1039</v>
      </c>
      <c r="B62" s="53" t="str">
        <f>IF(INDEX(Prod_Nombre,17)="","Producto 17",INDEX(Prod_Nombre,17))&amp;" — ventas USD"</f>
        <v>Producto 17 — ventas USD</v>
      </c>
      <c r="C62" s="18" t="s">
        <v>439</v>
      </c>
      <c r="E62" s="54">
        <f t="shared" si="181"/>
        <v>0</v>
      </c>
      <c r="F62" s="48">
        <f t="shared" ref="F62:AK62" si="227">F$37*INDEX(Precio_O,17)*INDEX(IdxPrecio_O,1,MIN(10,F$17))*(1+P_dPrecio)</f>
        <v>0</v>
      </c>
      <c r="G62" s="48">
        <f t="shared" si="227"/>
        <v>0</v>
      </c>
      <c r="H62" s="48">
        <f t="shared" si="227"/>
        <v>0</v>
      </c>
      <c r="I62" s="48">
        <f t="shared" si="227"/>
        <v>0</v>
      </c>
      <c r="J62" s="48">
        <f t="shared" si="227"/>
        <v>0</v>
      </c>
      <c r="K62" s="48">
        <f t="shared" si="227"/>
        <v>0</v>
      </c>
      <c r="L62" s="48">
        <f t="shared" si="227"/>
        <v>0</v>
      </c>
      <c r="M62" s="48">
        <f t="shared" si="227"/>
        <v>0</v>
      </c>
      <c r="N62" s="48">
        <f t="shared" si="227"/>
        <v>0</v>
      </c>
      <c r="O62" s="48">
        <f t="shared" si="227"/>
        <v>0</v>
      </c>
      <c r="P62" s="48">
        <f t="shared" si="227"/>
        <v>0</v>
      </c>
      <c r="Q62" s="48">
        <f t="shared" si="227"/>
        <v>0</v>
      </c>
      <c r="R62" s="48">
        <f t="shared" si="227"/>
        <v>0</v>
      </c>
      <c r="S62" s="48">
        <f t="shared" si="227"/>
        <v>0</v>
      </c>
      <c r="T62" s="48">
        <f t="shared" si="227"/>
        <v>0</v>
      </c>
      <c r="U62" s="48">
        <f t="shared" si="227"/>
        <v>0</v>
      </c>
      <c r="V62" s="48">
        <f t="shared" si="227"/>
        <v>0</v>
      </c>
      <c r="W62" s="48">
        <f t="shared" si="227"/>
        <v>0</v>
      </c>
      <c r="X62" s="48">
        <f t="shared" si="227"/>
        <v>0</v>
      </c>
      <c r="Y62" s="48">
        <f t="shared" si="227"/>
        <v>0</v>
      </c>
      <c r="Z62" s="48">
        <f t="shared" si="227"/>
        <v>0</v>
      </c>
      <c r="AA62" s="48">
        <f t="shared" si="227"/>
        <v>0</v>
      </c>
      <c r="AB62" s="48">
        <f t="shared" si="227"/>
        <v>0</v>
      </c>
      <c r="AC62" s="48">
        <f t="shared" si="227"/>
        <v>0</v>
      </c>
      <c r="AD62" s="48">
        <f t="shared" si="227"/>
        <v>0</v>
      </c>
      <c r="AE62" s="48">
        <f t="shared" si="227"/>
        <v>0</v>
      </c>
      <c r="AF62" s="48">
        <f t="shared" si="227"/>
        <v>0</v>
      </c>
      <c r="AG62" s="48">
        <f t="shared" si="227"/>
        <v>0</v>
      </c>
      <c r="AH62" s="48">
        <f t="shared" si="227"/>
        <v>0</v>
      </c>
      <c r="AI62" s="48">
        <f t="shared" si="227"/>
        <v>0</v>
      </c>
      <c r="AJ62" s="48">
        <f t="shared" si="227"/>
        <v>0</v>
      </c>
      <c r="AK62" s="48">
        <f t="shared" si="227"/>
        <v>0</v>
      </c>
      <c r="AL62" s="48">
        <f t="shared" ref="AL62:BQ62" si="228">AL$37*INDEX(Precio_O,17)*INDEX(IdxPrecio_O,1,MIN(10,AL$17))*(1+P_dPrecio)</f>
        <v>0</v>
      </c>
      <c r="AM62" s="48">
        <f t="shared" si="228"/>
        <v>0</v>
      </c>
      <c r="AN62" s="48">
        <f t="shared" si="228"/>
        <v>0</v>
      </c>
      <c r="AO62" s="48">
        <f t="shared" si="228"/>
        <v>0</v>
      </c>
      <c r="AP62" s="48">
        <f t="shared" si="228"/>
        <v>0</v>
      </c>
      <c r="AQ62" s="48">
        <f t="shared" si="228"/>
        <v>0</v>
      </c>
      <c r="AR62" s="48">
        <f t="shared" si="228"/>
        <v>0</v>
      </c>
      <c r="AS62" s="48">
        <f t="shared" si="228"/>
        <v>0</v>
      </c>
      <c r="AT62" s="48">
        <f t="shared" si="228"/>
        <v>0</v>
      </c>
      <c r="AU62" s="48">
        <f t="shared" si="228"/>
        <v>0</v>
      </c>
      <c r="AV62" s="48">
        <f t="shared" si="228"/>
        <v>0</v>
      </c>
      <c r="AW62" s="48">
        <f t="shared" si="228"/>
        <v>0</v>
      </c>
      <c r="AX62" s="48">
        <f t="shared" si="228"/>
        <v>0</v>
      </c>
      <c r="AY62" s="48">
        <f t="shared" si="228"/>
        <v>0</v>
      </c>
      <c r="AZ62" s="48">
        <f t="shared" si="228"/>
        <v>0</v>
      </c>
      <c r="BA62" s="48">
        <f t="shared" si="228"/>
        <v>0</v>
      </c>
      <c r="BB62" s="48">
        <f t="shared" si="228"/>
        <v>0</v>
      </c>
      <c r="BC62" s="48">
        <f t="shared" si="228"/>
        <v>0</v>
      </c>
      <c r="BD62" s="48">
        <f t="shared" si="228"/>
        <v>0</v>
      </c>
      <c r="BE62" s="48">
        <f t="shared" si="228"/>
        <v>0</v>
      </c>
      <c r="BF62" s="48">
        <f t="shared" si="228"/>
        <v>0</v>
      </c>
      <c r="BG62" s="48">
        <f t="shared" si="228"/>
        <v>0</v>
      </c>
      <c r="BH62" s="48">
        <f t="shared" si="228"/>
        <v>0</v>
      </c>
      <c r="BI62" s="48">
        <f t="shared" si="228"/>
        <v>0</v>
      </c>
      <c r="BJ62" s="48">
        <f t="shared" si="228"/>
        <v>0</v>
      </c>
      <c r="BK62" s="48">
        <f t="shared" si="228"/>
        <v>0</v>
      </c>
      <c r="BL62" s="48">
        <f t="shared" si="228"/>
        <v>0</v>
      </c>
      <c r="BM62" s="48">
        <f t="shared" si="228"/>
        <v>0</v>
      </c>
      <c r="BN62" s="48">
        <f t="shared" si="228"/>
        <v>0</v>
      </c>
      <c r="BO62" s="48">
        <f t="shared" si="228"/>
        <v>0</v>
      </c>
      <c r="BP62" s="48">
        <f t="shared" si="228"/>
        <v>0</v>
      </c>
      <c r="BQ62" s="48">
        <f t="shared" si="228"/>
        <v>0</v>
      </c>
      <c r="BR62" s="48">
        <f t="shared" ref="BR62:CW62" si="229">BR$37*INDEX(Precio_O,17)*INDEX(IdxPrecio_O,1,MIN(10,BR$17))*(1+P_dPrecio)</f>
        <v>0</v>
      </c>
      <c r="BS62" s="48">
        <f t="shared" si="229"/>
        <v>0</v>
      </c>
      <c r="BT62" s="48">
        <f t="shared" si="229"/>
        <v>0</v>
      </c>
      <c r="BU62" s="48">
        <f t="shared" si="229"/>
        <v>0</v>
      </c>
      <c r="BV62" s="48">
        <f t="shared" si="229"/>
        <v>0</v>
      </c>
      <c r="BW62" s="48">
        <f t="shared" si="229"/>
        <v>0</v>
      </c>
      <c r="BX62" s="48">
        <f t="shared" si="229"/>
        <v>0</v>
      </c>
      <c r="BY62" s="48">
        <f t="shared" si="229"/>
        <v>0</v>
      </c>
      <c r="BZ62" s="48">
        <f t="shared" si="229"/>
        <v>0</v>
      </c>
      <c r="CA62" s="48">
        <f t="shared" si="229"/>
        <v>0</v>
      </c>
      <c r="CB62" s="48">
        <f t="shared" si="229"/>
        <v>0</v>
      </c>
      <c r="CC62" s="48">
        <f t="shared" si="229"/>
        <v>0</v>
      </c>
      <c r="CD62" s="48">
        <f t="shared" si="229"/>
        <v>0</v>
      </c>
      <c r="CE62" s="48">
        <f t="shared" si="229"/>
        <v>0</v>
      </c>
      <c r="CF62" s="48">
        <f t="shared" si="229"/>
        <v>0</v>
      </c>
      <c r="CG62" s="48">
        <f t="shared" si="229"/>
        <v>0</v>
      </c>
      <c r="CH62" s="48">
        <f t="shared" si="229"/>
        <v>0</v>
      </c>
      <c r="CI62" s="48">
        <f t="shared" si="229"/>
        <v>0</v>
      </c>
      <c r="CJ62" s="48">
        <f t="shared" si="229"/>
        <v>0</v>
      </c>
      <c r="CK62" s="48">
        <f t="shared" si="229"/>
        <v>0</v>
      </c>
      <c r="CL62" s="48">
        <f t="shared" si="229"/>
        <v>0</v>
      </c>
      <c r="CM62" s="48">
        <f t="shared" si="229"/>
        <v>0</v>
      </c>
      <c r="CN62" s="48">
        <f t="shared" si="229"/>
        <v>0</v>
      </c>
      <c r="CO62" s="48">
        <f t="shared" si="229"/>
        <v>0</v>
      </c>
      <c r="CP62" s="48">
        <f t="shared" si="229"/>
        <v>0</v>
      </c>
      <c r="CQ62" s="48">
        <f t="shared" si="229"/>
        <v>0</v>
      </c>
      <c r="CR62" s="48">
        <f t="shared" si="229"/>
        <v>0</v>
      </c>
      <c r="CS62" s="48">
        <f t="shared" si="229"/>
        <v>0</v>
      </c>
      <c r="CT62" s="48">
        <f t="shared" si="229"/>
        <v>0</v>
      </c>
      <c r="CU62" s="48">
        <f t="shared" si="229"/>
        <v>0</v>
      </c>
      <c r="CV62" s="48">
        <f t="shared" si="229"/>
        <v>0</v>
      </c>
      <c r="CW62" s="48">
        <f t="shared" si="229"/>
        <v>0</v>
      </c>
      <c r="CX62" s="48">
        <f t="shared" ref="CX62:EC62" si="230">CX$37*INDEX(Precio_O,17)*INDEX(IdxPrecio_O,1,MIN(10,CX$17))*(1+P_dPrecio)</f>
        <v>0</v>
      </c>
      <c r="CY62" s="48">
        <f t="shared" si="230"/>
        <v>0</v>
      </c>
      <c r="CZ62" s="48">
        <f t="shared" si="230"/>
        <v>0</v>
      </c>
      <c r="DA62" s="48">
        <f t="shared" si="230"/>
        <v>0</v>
      </c>
      <c r="DB62" s="48">
        <f t="shared" si="230"/>
        <v>0</v>
      </c>
      <c r="DC62" s="48">
        <f t="shared" si="230"/>
        <v>0</v>
      </c>
      <c r="DD62" s="48">
        <f t="shared" si="230"/>
        <v>0</v>
      </c>
      <c r="DE62" s="48">
        <f t="shared" si="230"/>
        <v>0</v>
      </c>
      <c r="DF62" s="48">
        <f t="shared" si="230"/>
        <v>0</v>
      </c>
      <c r="DG62" s="48">
        <f t="shared" si="230"/>
        <v>0</v>
      </c>
      <c r="DH62" s="48">
        <f t="shared" si="230"/>
        <v>0</v>
      </c>
      <c r="DI62" s="48">
        <f t="shared" si="230"/>
        <v>0</v>
      </c>
      <c r="DJ62" s="48">
        <f t="shared" si="230"/>
        <v>0</v>
      </c>
      <c r="DK62" s="48">
        <f t="shared" si="230"/>
        <v>0</v>
      </c>
      <c r="DL62" s="48">
        <f t="shared" si="230"/>
        <v>0</v>
      </c>
      <c r="DM62" s="48">
        <f t="shared" si="230"/>
        <v>0</v>
      </c>
      <c r="DN62" s="48">
        <f t="shared" si="230"/>
        <v>0</v>
      </c>
      <c r="DO62" s="48">
        <f t="shared" si="230"/>
        <v>0</v>
      </c>
      <c r="DP62" s="48">
        <f t="shared" si="230"/>
        <v>0</v>
      </c>
      <c r="DQ62" s="48">
        <f t="shared" si="230"/>
        <v>0</v>
      </c>
      <c r="DR62" s="48">
        <f t="shared" si="230"/>
        <v>0</v>
      </c>
      <c r="DS62" s="48">
        <f t="shared" si="230"/>
        <v>0</v>
      </c>
      <c r="DT62" s="48">
        <f t="shared" si="230"/>
        <v>0</v>
      </c>
      <c r="DU62" s="48">
        <f t="shared" si="230"/>
        <v>0</v>
      </c>
      <c r="DV62" s="48">
        <f t="shared" si="230"/>
        <v>0</v>
      </c>
      <c r="DW62" s="48">
        <f t="shared" si="230"/>
        <v>0</v>
      </c>
      <c r="DX62" s="48">
        <f t="shared" si="230"/>
        <v>0</v>
      </c>
      <c r="DY62" s="48">
        <f t="shared" si="230"/>
        <v>0</v>
      </c>
      <c r="DZ62" s="48">
        <f t="shared" si="230"/>
        <v>0</v>
      </c>
      <c r="EA62" s="48">
        <f t="shared" si="230"/>
        <v>0</v>
      </c>
      <c r="EB62" s="48">
        <f t="shared" si="230"/>
        <v>0</v>
      </c>
      <c r="EC62" s="48">
        <f t="shared" si="230"/>
        <v>0</v>
      </c>
      <c r="ED62" s="48">
        <f t="shared" ref="ED62:ES62" si="231">ED$37*INDEX(Precio_O,17)*INDEX(IdxPrecio_O,1,MIN(10,ED$17))*(1+P_dPrecio)</f>
        <v>0</v>
      </c>
      <c r="EE62" s="48">
        <f t="shared" si="231"/>
        <v>0</v>
      </c>
      <c r="EF62" s="48">
        <f t="shared" si="231"/>
        <v>0</v>
      </c>
      <c r="EG62" s="48">
        <f t="shared" si="231"/>
        <v>0</v>
      </c>
      <c r="EH62" s="48">
        <f t="shared" si="231"/>
        <v>0</v>
      </c>
      <c r="EI62" s="48">
        <f t="shared" si="231"/>
        <v>0</v>
      </c>
      <c r="EJ62" s="48">
        <f t="shared" si="231"/>
        <v>0</v>
      </c>
      <c r="EK62" s="48">
        <f t="shared" si="231"/>
        <v>0</v>
      </c>
      <c r="EL62" s="48">
        <f t="shared" si="231"/>
        <v>0</v>
      </c>
      <c r="EM62" s="48">
        <f t="shared" si="231"/>
        <v>0</v>
      </c>
      <c r="EN62" s="48">
        <f t="shared" si="231"/>
        <v>0</v>
      </c>
      <c r="EO62" s="48">
        <f t="shared" si="231"/>
        <v>0</v>
      </c>
      <c r="EP62" s="48">
        <f t="shared" si="231"/>
        <v>0</v>
      </c>
      <c r="EQ62" s="48">
        <f t="shared" si="231"/>
        <v>0</v>
      </c>
      <c r="ER62" s="48">
        <f t="shared" si="231"/>
        <v>0</v>
      </c>
      <c r="ES62" s="48">
        <f t="shared" si="231"/>
        <v>0</v>
      </c>
    </row>
    <row r="63" spans="1:149" x14ac:dyDescent="0.3">
      <c r="A63" s="14" t="s">
        <v>1040</v>
      </c>
      <c r="B63" s="53" t="str">
        <f>IF(INDEX(Prod_Nombre,18)="","Producto 18",INDEX(Prod_Nombre,18))&amp;" — ventas USD"</f>
        <v>Producto 18 — ventas USD</v>
      </c>
      <c r="C63" s="18" t="s">
        <v>439</v>
      </c>
      <c r="E63" s="54">
        <f t="shared" si="181"/>
        <v>0</v>
      </c>
      <c r="F63" s="48">
        <f t="shared" ref="F63:AK63" si="232">F$38*INDEX(Precio_O,18)*INDEX(IdxPrecio_O,1,MIN(10,F$17))*(1+P_dPrecio)</f>
        <v>0</v>
      </c>
      <c r="G63" s="48">
        <f t="shared" si="232"/>
        <v>0</v>
      </c>
      <c r="H63" s="48">
        <f t="shared" si="232"/>
        <v>0</v>
      </c>
      <c r="I63" s="48">
        <f t="shared" si="232"/>
        <v>0</v>
      </c>
      <c r="J63" s="48">
        <f t="shared" si="232"/>
        <v>0</v>
      </c>
      <c r="K63" s="48">
        <f t="shared" si="232"/>
        <v>0</v>
      </c>
      <c r="L63" s="48">
        <f t="shared" si="232"/>
        <v>0</v>
      </c>
      <c r="M63" s="48">
        <f t="shared" si="232"/>
        <v>0</v>
      </c>
      <c r="N63" s="48">
        <f t="shared" si="232"/>
        <v>0</v>
      </c>
      <c r="O63" s="48">
        <f t="shared" si="232"/>
        <v>0</v>
      </c>
      <c r="P63" s="48">
        <f t="shared" si="232"/>
        <v>0</v>
      </c>
      <c r="Q63" s="48">
        <f t="shared" si="232"/>
        <v>0</v>
      </c>
      <c r="R63" s="48">
        <f t="shared" si="232"/>
        <v>0</v>
      </c>
      <c r="S63" s="48">
        <f t="shared" si="232"/>
        <v>0</v>
      </c>
      <c r="T63" s="48">
        <f t="shared" si="232"/>
        <v>0</v>
      </c>
      <c r="U63" s="48">
        <f t="shared" si="232"/>
        <v>0</v>
      </c>
      <c r="V63" s="48">
        <f t="shared" si="232"/>
        <v>0</v>
      </c>
      <c r="W63" s="48">
        <f t="shared" si="232"/>
        <v>0</v>
      </c>
      <c r="X63" s="48">
        <f t="shared" si="232"/>
        <v>0</v>
      </c>
      <c r="Y63" s="48">
        <f t="shared" si="232"/>
        <v>0</v>
      </c>
      <c r="Z63" s="48">
        <f t="shared" si="232"/>
        <v>0</v>
      </c>
      <c r="AA63" s="48">
        <f t="shared" si="232"/>
        <v>0</v>
      </c>
      <c r="AB63" s="48">
        <f t="shared" si="232"/>
        <v>0</v>
      </c>
      <c r="AC63" s="48">
        <f t="shared" si="232"/>
        <v>0</v>
      </c>
      <c r="AD63" s="48">
        <f t="shared" si="232"/>
        <v>0</v>
      </c>
      <c r="AE63" s="48">
        <f t="shared" si="232"/>
        <v>0</v>
      </c>
      <c r="AF63" s="48">
        <f t="shared" si="232"/>
        <v>0</v>
      </c>
      <c r="AG63" s="48">
        <f t="shared" si="232"/>
        <v>0</v>
      </c>
      <c r="AH63" s="48">
        <f t="shared" si="232"/>
        <v>0</v>
      </c>
      <c r="AI63" s="48">
        <f t="shared" si="232"/>
        <v>0</v>
      </c>
      <c r="AJ63" s="48">
        <f t="shared" si="232"/>
        <v>0</v>
      </c>
      <c r="AK63" s="48">
        <f t="shared" si="232"/>
        <v>0</v>
      </c>
      <c r="AL63" s="48">
        <f t="shared" ref="AL63:BQ63" si="233">AL$38*INDEX(Precio_O,18)*INDEX(IdxPrecio_O,1,MIN(10,AL$17))*(1+P_dPrecio)</f>
        <v>0</v>
      </c>
      <c r="AM63" s="48">
        <f t="shared" si="233"/>
        <v>0</v>
      </c>
      <c r="AN63" s="48">
        <f t="shared" si="233"/>
        <v>0</v>
      </c>
      <c r="AO63" s="48">
        <f t="shared" si="233"/>
        <v>0</v>
      </c>
      <c r="AP63" s="48">
        <f t="shared" si="233"/>
        <v>0</v>
      </c>
      <c r="AQ63" s="48">
        <f t="shared" si="233"/>
        <v>0</v>
      </c>
      <c r="AR63" s="48">
        <f t="shared" si="233"/>
        <v>0</v>
      </c>
      <c r="AS63" s="48">
        <f t="shared" si="233"/>
        <v>0</v>
      </c>
      <c r="AT63" s="48">
        <f t="shared" si="233"/>
        <v>0</v>
      </c>
      <c r="AU63" s="48">
        <f t="shared" si="233"/>
        <v>0</v>
      </c>
      <c r="AV63" s="48">
        <f t="shared" si="233"/>
        <v>0</v>
      </c>
      <c r="AW63" s="48">
        <f t="shared" si="233"/>
        <v>0</v>
      </c>
      <c r="AX63" s="48">
        <f t="shared" si="233"/>
        <v>0</v>
      </c>
      <c r="AY63" s="48">
        <f t="shared" si="233"/>
        <v>0</v>
      </c>
      <c r="AZ63" s="48">
        <f t="shared" si="233"/>
        <v>0</v>
      </c>
      <c r="BA63" s="48">
        <f t="shared" si="233"/>
        <v>0</v>
      </c>
      <c r="BB63" s="48">
        <f t="shared" si="233"/>
        <v>0</v>
      </c>
      <c r="BC63" s="48">
        <f t="shared" si="233"/>
        <v>0</v>
      </c>
      <c r="BD63" s="48">
        <f t="shared" si="233"/>
        <v>0</v>
      </c>
      <c r="BE63" s="48">
        <f t="shared" si="233"/>
        <v>0</v>
      </c>
      <c r="BF63" s="48">
        <f t="shared" si="233"/>
        <v>0</v>
      </c>
      <c r="BG63" s="48">
        <f t="shared" si="233"/>
        <v>0</v>
      </c>
      <c r="BH63" s="48">
        <f t="shared" si="233"/>
        <v>0</v>
      </c>
      <c r="BI63" s="48">
        <f t="shared" si="233"/>
        <v>0</v>
      </c>
      <c r="BJ63" s="48">
        <f t="shared" si="233"/>
        <v>0</v>
      </c>
      <c r="BK63" s="48">
        <f t="shared" si="233"/>
        <v>0</v>
      </c>
      <c r="BL63" s="48">
        <f t="shared" si="233"/>
        <v>0</v>
      </c>
      <c r="BM63" s="48">
        <f t="shared" si="233"/>
        <v>0</v>
      </c>
      <c r="BN63" s="48">
        <f t="shared" si="233"/>
        <v>0</v>
      </c>
      <c r="BO63" s="48">
        <f t="shared" si="233"/>
        <v>0</v>
      </c>
      <c r="BP63" s="48">
        <f t="shared" si="233"/>
        <v>0</v>
      </c>
      <c r="BQ63" s="48">
        <f t="shared" si="233"/>
        <v>0</v>
      </c>
      <c r="BR63" s="48">
        <f t="shared" ref="BR63:CW63" si="234">BR$38*INDEX(Precio_O,18)*INDEX(IdxPrecio_O,1,MIN(10,BR$17))*(1+P_dPrecio)</f>
        <v>0</v>
      </c>
      <c r="BS63" s="48">
        <f t="shared" si="234"/>
        <v>0</v>
      </c>
      <c r="BT63" s="48">
        <f t="shared" si="234"/>
        <v>0</v>
      </c>
      <c r="BU63" s="48">
        <f t="shared" si="234"/>
        <v>0</v>
      </c>
      <c r="BV63" s="48">
        <f t="shared" si="234"/>
        <v>0</v>
      </c>
      <c r="BW63" s="48">
        <f t="shared" si="234"/>
        <v>0</v>
      </c>
      <c r="BX63" s="48">
        <f t="shared" si="234"/>
        <v>0</v>
      </c>
      <c r="BY63" s="48">
        <f t="shared" si="234"/>
        <v>0</v>
      </c>
      <c r="BZ63" s="48">
        <f t="shared" si="234"/>
        <v>0</v>
      </c>
      <c r="CA63" s="48">
        <f t="shared" si="234"/>
        <v>0</v>
      </c>
      <c r="CB63" s="48">
        <f t="shared" si="234"/>
        <v>0</v>
      </c>
      <c r="CC63" s="48">
        <f t="shared" si="234"/>
        <v>0</v>
      </c>
      <c r="CD63" s="48">
        <f t="shared" si="234"/>
        <v>0</v>
      </c>
      <c r="CE63" s="48">
        <f t="shared" si="234"/>
        <v>0</v>
      </c>
      <c r="CF63" s="48">
        <f t="shared" si="234"/>
        <v>0</v>
      </c>
      <c r="CG63" s="48">
        <f t="shared" si="234"/>
        <v>0</v>
      </c>
      <c r="CH63" s="48">
        <f t="shared" si="234"/>
        <v>0</v>
      </c>
      <c r="CI63" s="48">
        <f t="shared" si="234"/>
        <v>0</v>
      </c>
      <c r="CJ63" s="48">
        <f t="shared" si="234"/>
        <v>0</v>
      </c>
      <c r="CK63" s="48">
        <f t="shared" si="234"/>
        <v>0</v>
      </c>
      <c r="CL63" s="48">
        <f t="shared" si="234"/>
        <v>0</v>
      </c>
      <c r="CM63" s="48">
        <f t="shared" si="234"/>
        <v>0</v>
      </c>
      <c r="CN63" s="48">
        <f t="shared" si="234"/>
        <v>0</v>
      </c>
      <c r="CO63" s="48">
        <f t="shared" si="234"/>
        <v>0</v>
      </c>
      <c r="CP63" s="48">
        <f t="shared" si="234"/>
        <v>0</v>
      </c>
      <c r="CQ63" s="48">
        <f t="shared" si="234"/>
        <v>0</v>
      </c>
      <c r="CR63" s="48">
        <f t="shared" si="234"/>
        <v>0</v>
      </c>
      <c r="CS63" s="48">
        <f t="shared" si="234"/>
        <v>0</v>
      </c>
      <c r="CT63" s="48">
        <f t="shared" si="234"/>
        <v>0</v>
      </c>
      <c r="CU63" s="48">
        <f t="shared" si="234"/>
        <v>0</v>
      </c>
      <c r="CV63" s="48">
        <f t="shared" si="234"/>
        <v>0</v>
      </c>
      <c r="CW63" s="48">
        <f t="shared" si="234"/>
        <v>0</v>
      </c>
      <c r="CX63" s="48">
        <f t="shared" ref="CX63:EC63" si="235">CX$38*INDEX(Precio_O,18)*INDEX(IdxPrecio_O,1,MIN(10,CX$17))*(1+P_dPrecio)</f>
        <v>0</v>
      </c>
      <c r="CY63" s="48">
        <f t="shared" si="235"/>
        <v>0</v>
      </c>
      <c r="CZ63" s="48">
        <f t="shared" si="235"/>
        <v>0</v>
      </c>
      <c r="DA63" s="48">
        <f t="shared" si="235"/>
        <v>0</v>
      </c>
      <c r="DB63" s="48">
        <f t="shared" si="235"/>
        <v>0</v>
      </c>
      <c r="DC63" s="48">
        <f t="shared" si="235"/>
        <v>0</v>
      </c>
      <c r="DD63" s="48">
        <f t="shared" si="235"/>
        <v>0</v>
      </c>
      <c r="DE63" s="48">
        <f t="shared" si="235"/>
        <v>0</v>
      </c>
      <c r="DF63" s="48">
        <f t="shared" si="235"/>
        <v>0</v>
      </c>
      <c r="DG63" s="48">
        <f t="shared" si="235"/>
        <v>0</v>
      </c>
      <c r="DH63" s="48">
        <f t="shared" si="235"/>
        <v>0</v>
      </c>
      <c r="DI63" s="48">
        <f t="shared" si="235"/>
        <v>0</v>
      </c>
      <c r="DJ63" s="48">
        <f t="shared" si="235"/>
        <v>0</v>
      </c>
      <c r="DK63" s="48">
        <f t="shared" si="235"/>
        <v>0</v>
      </c>
      <c r="DL63" s="48">
        <f t="shared" si="235"/>
        <v>0</v>
      </c>
      <c r="DM63" s="48">
        <f t="shared" si="235"/>
        <v>0</v>
      </c>
      <c r="DN63" s="48">
        <f t="shared" si="235"/>
        <v>0</v>
      </c>
      <c r="DO63" s="48">
        <f t="shared" si="235"/>
        <v>0</v>
      </c>
      <c r="DP63" s="48">
        <f t="shared" si="235"/>
        <v>0</v>
      </c>
      <c r="DQ63" s="48">
        <f t="shared" si="235"/>
        <v>0</v>
      </c>
      <c r="DR63" s="48">
        <f t="shared" si="235"/>
        <v>0</v>
      </c>
      <c r="DS63" s="48">
        <f t="shared" si="235"/>
        <v>0</v>
      </c>
      <c r="DT63" s="48">
        <f t="shared" si="235"/>
        <v>0</v>
      </c>
      <c r="DU63" s="48">
        <f t="shared" si="235"/>
        <v>0</v>
      </c>
      <c r="DV63" s="48">
        <f t="shared" si="235"/>
        <v>0</v>
      </c>
      <c r="DW63" s="48">
        <f t="shared" si="235"/>
        <v>0</v>
      </c>
      <c r="DX63" s="48">
        <f t="shared" si="235"/>
        <v>0</v>
      </c>
      <c r="DY63" s="48">
        <f t="shared" si="235"/>
        <v>0</v>
      </c>
      <c r="DZ63" s="48">
        <f t="shared" si="235"/>
        <v>0</v>
      </c>
      <c r="EA63" s="48">
        <f t="shared" si="235"/>
        <v>0</v>
      </c>
      <c r="EB63" s="48">
        <f t="shared" si="235"/>
        <v>0</v>
      </c>
      <c r="EC63" s="48">
        <f t="shared" si="235"/>
        <v>0</v>
      </c>
      <c r="ED63" s="48">
        <f t="shared" ref="ED63:ES63" si="236">ED$38*INDEX(Precio_O,18)*INDEX(IdxPrecio_O,1,MIN(10,ED$17))*(1+P_dPrecio)</f>
        <v>0</v>
      </c>
      <c r="EE63" s="48">
        <f t="shared" si="236"/>
        <v>0</v>
      </c>
      <c r="EF63" s="48">
        <f t="shared" si="236"/>
        <v>0</v>
      </c>
      <c r="EG63" s="48">
        <f t="shared" si="236"/>
        <v>0</v>
      </c>
      <c r="EH63" s="48">
        <f t="shared" si="236"/>
        <v>0</v>
      </c>
      <c r="EI63" s="48">
        <f t="shared" si="236"/>
        <v>0</v>
      </c>
      <c r="EJ63" s="48">
        <f t="shared" si="236"/>
        <v>0</v>
      </c>
      <c r="EK63" s="48">
        <f t="shared" si="236"/>
        <v>0</v>
      </c>
      <c r="EL63" s="48">
        <f t="shared" si="236"/>
        <v>0</v>
      </c>
      <c r="EM63" s="48">
        <f t="shared" si="236"/>
        <v>0</v>
      </c>
      <c r="EN63" s="48">
        <f t="shared" si="236"/>
        <v>0</v>
      </c>
      <c r="EO63" s="48">
        <f t="shared" si="236"/>
        <v>0</v>
      </c>
      <c r="EP63" s="48">
        <f t="shared" si="236"/>
        <v>0</v>
      </c>
      <c r="EQ63" s="48">
        <f t="shared" si="236"/>
        <v>0</v>
      </c>
      <c r="ER63" s="48">
        <f t="shared" si="236"/>
        <v>0</v>
      </c>
      <c r="ES63" s="48">
        <f t="shared" si="236"/>
        <v>0</v>
      </c>
    </row>
    <row r="64" spans="1:149" x14ac:dyDescent="0.3">
      <c r="A64" s="14" t="s">
        <v>1041</v>
      </c>
      <c r="B64" s="53" t="str">
        <f>IF(INDEX(Prod_Nombre,19)="","Producto 19",INDEX(Prod_Nombre,19))&amp;" — ventas USD"</f>
        <v>Producto 19 — ventas USD</v>
      </c>
      <c r="C64" s="18" t="s">
        <v>439</v>
      </c>
      <c r="E64" s="54">
        <f t="shared" si="181"/>
        <v>0</v>
      </c>
      <c r="F64" s="48">
        <f t="shared" ref="F64:AK64" si="237">F$39*INDEX(Precio_O,19)*INDEX(IdxPrecio_O,1,MIN(10,F$17))*(1+P_dPrecio)</f>
        <v>0</v>
      </c>
      <c r="G64" s="48">
        <f t="shared" si="237"/>
        <v>0</v>
      </c>
      <c r="H64" s="48">
        <f t="shared" si="237"/>
        <v>0</v>
      </c>
      <c r="I64" s="48">
        <f t="shared" si="237"/>
        <v>0</v>
      </c>
      <c r="J64" s="48">
        <f t="shared" si="237"/>
        <v>0</v>
      </c>
      <c r="K64" s="48">
        <f t="shared" si="237"/>
        <v>0</v>
      </c>
      <c r="L64" s="48">
        <f t="shared" si="237"/>
        <v>0</v>
      </c>
      <c r="M64" s="48">
        <f t="shared" si="237"/>
        <v>0</v>
      </c>
      <c r="N64" s="48">
        <f t="shared" si="237"/>
        <v>0</v>
      </c>
      <c r="O64" s="48">
        <f t="shared" si="237"/>
        <v>0</v>
      </c>
      <c r="P64" s="48">
        <f t="shared" si="237"/>
        <v>0</v>
      </c>
      <c r="Q64" s="48">
        <f t="shared" si="237"/>
        <v>0</v>
      </c>
      <c r="R64" s="48">
        <f t="shared" si="237"/>
        <v>0</v>
      </c>
      <c r="S64" s="48">
        <f t="shared" si="237"/>
        <v>0</v>
      </c>
      <c r="T64" s="48">
        <f t="shared" si="237"/>
        <v>0</v>
      </c>
      <c r="U64" s="48">
        <f t="shared" si="237"/>
        <v>0</v>
      </c>
      <c r="V64" s="48">
        <f t="shared" si="237"/>
        <v>0</v>
      </c>
      <c r="W64" s="48">
        <f t="shared" si="237"/>
        <v>0</v>
      </c>
      <c r="X64" s="48">
        <f t="shared" si="237"/>
        <v>0</v>
      </c>
      <c r="Y64" s="48">
        <f t="shared" si="237"/>
        <v>0</v>
      </c>
      <c r="Z64" s="48">
        <f t="shared" si="237"/>
        <v>0</v>
      </c>
      <c r="AA64" s="48">
        <f t="shared" si="237"/>
        <v>0</v>
      </c>
      <c r="AB64" s="48">
        <f t="shared" si="237"/>
        <v>0</v>
      </c>
      <c r="AC64" s="48">
        <f t="shared" si="237"/>
        <v>0</v>
      </c>
      <c r="AD64" s="48">
        <f t="shared" si="237"/>
        <v>0</v>
      </c>
      <c r="AE64" s="48">
        <f t="shared" si="237"/>
        <v>0</v>
      </c>
      <c r="AF64" s="48">
        <f t="shared" si="237"/>
        <v>0</v>
      </c>
      <c r="AG64" s="48">
        <f t="shared" si="237"/>
        <v>0</v>
      </c>
      <c r="AH64" s="48">
        <f t="shared" si="237"/>
        <v>0</v>
      </c>
      <c r="AI64" s="48">
        <f t="shared" si="237"/>
        <v>0</v>
      </c>
      <c r="AJ64" s="48">
        <f t="shared" si="237"/>
        <v>0</v>
      </c>
      <c r="AK64" s="48">
        <f t="shared" si="237"/>
        <v>0</v>
      </c>
      <c r="AL64" s="48">
        <f t="shared" ref="AL64:BQ64" si="238">AL$39*INDEX(Precio_O,19)*INDEX(IdxPrecio_O,1,MIN(10,AL$17))*(1+P_dPrecio)</f>
        <v>0</v>
      </c>
      <c r="AM64" s="48">
        <f t="shared" si="238"/>
        <v>0</v>
      </c>
      <c r="AN64" s="48">
        <f t="shared" si="238"/>
        <v>0</v>
      </c>
      <c r="AO64" s="48">
        <f t="shared" si="238"/>
        <v>0</v>
      </c>
      <c r="AP64" s="48">
        <f t="shared" si="238"/>
        <v>0</v>
      </c>
      <c r="AQ64" s="48">
        <f t="shared" si="238"/>
        <v>0</v>
      </c>
      <c r="AR64" s="48">
        <f t="shared" si="238"/>
        <v>0</v>
      </c>
      <c r="AS64" s="48">
        <f t="shared" si="238"/>
        <v>0</v>
      </c>
      <c r="AT64" s="48">
        <f t="shared" si="238"/>
        <v>0</v>
      </c>
      <c r="AU64" s="48">
        <f t="shared" si="238"/>
        <v>0</v>
      </c>
      <c r="AV64" s="48">
        <f t="shared" si="238"/>
        <v>0</v>
      </c>
      <c r="AW64" s="48">
        <f t="shared" si="238"/>
        <v>0</v>
      </c>
      <c r="AX64" s="48">
        <f t="shared" si="238"/>
        <v>0</v>
      </c>
      <c r="AY64" s="48">
        <f t="shared" si="238"/>
        <v>0</v>
      </c>
      <c r="AZ64" s="48">
        <f t="shared" si="238"/>
        <v>0</v>
      </c>
      <c r="BA64" s="48">
        <f t="shared" si="238"/>
        <v>0</v>
      </c>
      <c r="BB64" s="48">
        <f t="shared" si="238"/>
        <v>0</v>
      </c>
      <c r="BC64" s="48">
        <f t="shared" si="238"/>
        <v>0</v>
      </c>
      <c r="BD64" s="48">
        <f t="shared" si="238"/>
        <v>0</v>
      </c>
      <c r="BE64" s="48">
        <f t="shared" si="238"/>
        <v>0</v>
      </c>
      <c r="BF64" s="48">
        <f t="shared" si="238"/>
        <v>0</v>
      </c>
      <c r="BG64" s="48">
        <f t="shared" si="238"/>
        <v>0</v>
      </c>
      <c r="BH64" s="48">
        <f t="shared" si="238"/>
        <v>0</v>
      </c>
      <c r="BI64" s="48">
        <f t="shared" si="238"/>
        <v>0</v>
      </c>
      <c r="BJ64" s="48">
        <f t="shared" si="238"/>
        <v>0</v>
      </c>
      <c r="BK64" s="48">
        <f t="shared" si="238"/>
        <v>0</v>
      </c>
      <c r="BL64" s="48">
        <f t="shared" si="238"/>
        <v>0</v>
      </c>
      <c r="BM64" s="48">
        <f t="shared" si="238"/>
        <v>0</v>
      </c>
      <c r="BN64" s="48">
        <f t="shared" si="238"/>
        <v>0</v>
      </c>
      <c r="BO64" s="48">
        <f t="shared" si="238"/>
        <v>0</v>
      </c>
      <c r="BP64" s="48">
        <f t="shared" si="238"/>
        <v>0</v>
      </c>
      <c r="BQ64" s="48">
        <f t="shared" si="238"/>
        <v>0</v>
      </c>
      <c r="BR64" s="48">
        <f t="shared" ref="BR64:CW64" si="239">BR$39*INDEX(Precio_O,19)*INDEX(IdxPrecio_O,1,MIN(10,BR$17))*(1+P_dPrecio)</f>
        <v>0</v>
      </c>
      <c r="BS64" s="48">
        <f t="shared" si="239"/>
        <v>0</v>
      </c>
      <c r="BT64" s="48">
        <f t="shared" si="239"/>
        <v>0</v>
      </c>
      <c r="BU64" s="48">
        <f t="shared" si="239"/>
        <v>0</v>
      </c>
      <c r="BV64" s="48">
        <f t="shared" si="239"/>
        <v>0</v>
      </c>
      <c r="BW64" s="48">
        <f t="shared" si="239"/>
        <v>0</v>
      </c>
      <c r="BX64" s="48">
        <f t="shared" si="239"/>
        <v>0</v>
      </c>
      <c r="BY64" s="48">
        <f t="shared" si="239"/>
        <v>0</v>
      </c>
      <c r="BZ64" s="48">
        <f t="shared" si="239"/>
        <v>0</v>
      </c>
      <c r="CA64" s="48">
        <f t="shared" si="239"/>
        <v>0</v>
      </c>
      <c r="CB64" s="48">
        <f t="shared" si="239"/>
        <v>0</v>
      </c>
      <c r="CC64" s="48">
        <f t="shared" si="239"/>
        <v>0</v>
      </c>
      <c r="CD64" s="48">
        <f t="shared" si="239"/>
        <v>0</v>
      </c>
      <c r="CE64" s="48">
        <f t="shared" si="239"/>
        <v>0</v>
      </c>
      <c r="CF64" s="48">
        <f t="shared" si="239"/>
        <v>0</v>
      </c>
      <c r="CG64" s="48">
        <f t="shared" si="239"/>
        <v>0</v>
      </c>
      <c r="CH64" s="48">
        <f t="shared" si="239"/>
        <v>0</v>
      </c>
      <c r="CI64" s="48">
        <f t="shared" si="239"/>
        <v>0</v>
      </c>
      <c r="CJ64" s="48">
        <f t="shared" si="239"/>
        <v>0</v>
      </c>
      <c r="CK64" s="48">
        <f t="shared" si="239"/>
        <v>0</v>
      </c>
      <c r="CL64" s="48">
        <f t="shared" si="239"/>
        <v>0</v>
      </c>
      <c r="CM64" s="48">
        <f t="shared" si="239"/>
        <v>0</v>
      </c>
      <c r="CN64" s="48">
        <f t="shared" si="239"/>
        <v>0</v>
      </c>
      <c r="CO64" s="48">
        <f t="shared" si="239"/>
        <v>0</v>
      </c>
      <c r="CP64" s="48">
        <f t="shared" si="239"/>
        <v>0</v>
      </c>
      <c r="CQ64" s="48">
        <f t="shared" si="239"/>
        <v>0</v>
      </c>
      <c r="CR64" s="48">
        <f t="shared" si="239"/>
        <v>0</v>
      </c>
      <c r="CS64" s="48">
        <f t="shared" si="239"/>
        <v>0</v>
      </c>
      <c r="CT64" s="48">
        <f t="shared" si="239"/>
        <v>0</v>
      </c>
      <c r="CU64" s="48">
        <f t="shared" si="239"/>
        <v>0</v>
      </c>
      <c r="CV64" s="48">
        <f t="shared" si="239"/>
        <v>0</v>
      </c>
      <c r="CW64" s="48">
        <f t="shared" si="239"/>
        <v>0</v>
      </c>
      <c r="CX64" s="48">
        <f t="shared" ref="CX64:EC64" si="240">CX$39*INDEX(Precio_O,19)*INDEX(IdxPrecio_O,1,MIN(10,CX$17))*(1+P_dPrecio)</f>
        <v>0</v>
      </c>
      <c r="CY64" s="48">
        <f t="shared" si="240"/>
        <v>0</v>
      </c>
      <c r="CZ64" s="48">
        <f t="shared" si="240"/>
        <v>0</v>
      </c>
      <c r="DA64" s="48">
        <f t="shared" si="240"/>
        <v>0</v>
      </c>
      <c r="DB64" s="48">
        <f t="shared" si="240"/>
        <v>0</v>
      </c>
      <c r="DC64" s="48">
        <f t="shared" si="240"/>
        <v>0</v>
      </c>
      <c r="DD64" s="48">
        <f t="shared" si="240"/>
        <v>0</v>
      </c>
      <c r="DE64" s="48">
        <f t="shared" si="240"/>
        <v>0</v>
      </c>
      <c r="DF64" s="48">
        <f t="shared" si="240"/>
        <v>0</v>
      </c>
      <c r="DG64" s="48">
        <f t="shared" si="240"/>
        <v>0</v>
      </c>
      <c r="DH64" s="48">
        <f t="shared" si="240"/>
        <v>0</v>
      </c>
      <c r="DI64" s="48">
        <f t="shared" si="240"/>
        <v>0</v>
      </c>
      <c r="DJ64" s="48">
        <f t="shared" si="240"/>
        <v>0</v>
      </c>
      <c r="DK64" s="48">
        <f t="shared" si="240"/>
        <v>0</v>
      </c>
      <c r="DL64" s="48">
        <f t="shared" si="240"/>
        <v>0</v>
      </c>
      <c r="DM64" s="48">
        <f t="shared" si="240"/>
        <v>0</v>
      </c>
      <c r="DN64" s="48">
        <f t="shared" si="240"/>
        <v>0</v>
      </c>
      <c r="DO64" s="48">
        <f t="shared" si="240"/>
        <v>0</v>
      </c>
      <c r="DP64" s="48">
        <f t="shared" si="240"/>
        <v>0</v>
      </c>
      <c r="DQ64" s="48">
        <f t="shared" si="240"/>
        <v>0</v>
      </c>
      <c r="DR64" s="48">
        <f t="shared" si="240"/>
        <v>0</v>
      </c>
      <c r="DS64" s="48">
        <f t="shared" si="240"/>
        <v>0</v>
      </c>
      <c r="DT64" s="48">
        <f t="shared" si="240"/>
        <v>0</v>
      </c>
      <c r="DU64" s="48">
        <f t="shared" si="240"/>
        <v>0</v>
      </c>
      <c r="DV64" s="48">
        <f t="shared" si="240"/>
        <v>0</v>
      </c>
      <c r="DW64" s="48">
        <f t="shared" si="240"/>
        <v>0</v>
      </c>
      <c r="DX64" s="48">
        <f t="shared" si="240"/>
        <v>0</v>
      </c>
      <c r="DY64" s="48">
        <f t="shared" si="240"/>
        <v>0</v>
      </c>
      <c r="DZ64" s="48">
        <f t="shared" si="240"/>
        <v>0</v>
      </c>
      <c r="EA64" s="48">
        <f t="shared" si="240"/>
        <v>0</v>
      </c>
      <c r="EB64" s="48">
        <f t="shared" si="240"/>
        <v>0</v>
      </c>
      <c r="EC64" s="48">
        <f t="shared" si="240"/>
        <v>0</v>
      </c>
      <c r="ED64" s="48">
        <f t="shared" ref="ED64:ES64" si="241">ED$39*INDEX(Precio_O,19)*INDEX(IdxPrecio_O,1,MIN(10,ED$17))*(1+P_dPrecio)</f>
        <v>0</v>
      </c>
      <c r="EE64" s="48">
        <f t="shared" si="241"/>
        <v>0</v>
      </c>
      <c r="EF64" s="48">
        <f t="shared" si="241"/>
        <v>0</v>
      </c>
      <c r="EG64" s="48">
        <f t="shared" si="241"/>
        <v>0</v>
      </c>
      <c r="EH64" s="48">
        <f t="shared" si="241"/>
        <v>0</v>
      </c>
      <c r="EI64" s="48">
        <f t="shared" si="241"/>
        <v>0</v>
      </c>
      <c r="EJ64" s="48">
        <f t="shared" si="241"/>
        <v>0</v>
      </c>
      <c r="EK64" s="48">
        <f t="shared" si="241"/>
        <v>0</v>
      </c>
      <c r="EL64" s="48">
        <f t="shared" si="241"/>
        <v>0</v>
      </c>
      <c r="EM64" s="48">
        <f t="shared" si="241"/>
        <v>0</v>
      </c>
      <c r="EN64" s="48">
        <f t="shared" si="241"/>
        <v>0</v>
      </c>
      <c r="EO64" s="48">
        <f t="shared" si="241"/>
        <v>0</v>
      </c>
      <c r="EP64" s="48">
        <f t="shared" si="241"/>
        <v>0</v>
      </c>
      <c r="EQ64" s="48">
        <f t="shared" si="241"/>
        <v>0</v>
      </c>
      <c r="ER64" s="48">
        <f t="shared" si="241"/>
        <v>0</v>
      </c>
      <c r="ES64" s="48">
        <f t="shared" si="241"/>
        <v>0</v>
      </c>
    </row>
    <row r="65" spans="1:149" x14ac:dyDescent="0.3">
      <c r="A65" s="14" t="s">
        <v>1042</v>
      </c>
      <c r="B65" s="53" t="str">
        <f>IF(INDEX(Prod_Nombre,20)="","Producto 20",INDEX(Prod_Nombre,20))&amp;" — ventas USD"</f>
        <v>Producto 20 — ventas USD</v>
      </c>
      <c r="C65" s="18" t="s">
        <v>439</v>
      </c>
      <c r="E65" s="54">
        <f t="shared" si="181"/>
        <v>0</v>
      </c>
      <c r="F65" s="48">
        <f t="shared" ref="F65:AK65" si="242">F$40*INDEX(Precio_O,20)*INDEX(IdxPrecio_O,1,MIN(10,F$17))*(1+P_dPrecio)</f>
        <v>0</v>
      </c>
      <c r="G65" s="48">
        <f t="shared" si="242"/>
        <v>0</v>
      </c>
      <c r="H65" s="48">
        <f t="shared" si="242"/>
        <v>0</v>
      </c>
      <c r="I65" s="48">
        <f t="shared" si="242"/>
        <v>0</v>
      </c>
      <c r="J65" s="48">
        <f t="shared" si="242"/>
        <v>0</v>
      </c>
      <c r="K65" s="48">
        <f t="shared" si="242"/>
        <v>0</v>
      </c>
      <c r="L65" s="48">
        <f t="shared" si="242"/>
        <v>0</v>
      </c>
      <c r="M65" s="48">
        <f t="shared" si="242"/>
        <v>0</v>
      </c>
      <c r="N65" s="48">
        <f t="shared" si="242"/>
        <v>0</v>
      </c>
      <c r="O65" s="48">
        <f t="shared" si="242"/>
        <v>0</v>
      </c>
      <c r="P65" s="48">
        <f t="shared" si="242"/>
        <v>0</v>
      </c>
      <c r="Q65" s="48">
        <f t="shared" si="242"/>
        <v>0</v>
      </c>
      <c r="R65" s="48">
        <f t="shared" si="242"/>
        <v>0</v>
      </c>
      <c r="S65" s="48">
        <f t="shared" si="242"/>
        <v>0</v>
      </c>
      <c r="T65" s="48">
        <f t="shared" si="242"/>
        <v>0</v>
      </c>
      <c r="U65" s="48">
        <f t="shared" si="242"/>
        <v>0</v>
      </c>
      <c r="V65" s="48">
        <f t="shared" si="242"/>
        <v>0</v>
      </c>
      <c r="W65" s="48">
        <f t="shared" si="242"/>
        <v>0</v>
      </c>
      <c r="X65" s="48">
        <f t="shared" si="242"/>
        <v>0</v>
      </c>
      <c r="Y65" s="48">
        <f t="shared" si="242"/>
        <v>0</v>
      </c>
      <c r="Z65" s="48">
        <f t="shared" si="242"/>
        <v>0</v>
      </c>
      <c r="AA65" s="48">
        <f t="shared" si="242"/>
        <v>0</v>
      </c>
      <c r="AB65" s="48">
        <f t="shared" si="242"/>
        <v>0</v>
      </c>
      <c r="AC65" s="48">
        <f t="shared" si="242"/>
        <v>0</v>
      </c>
      <c r="AD65" s="48">
        <f t="shared" si="242"/>
        <v>0</v>
      </c>
      <c r="AE65" s="48">
        <f t="shared" si="242"/>
        <v>0</v>
      </c>
      <c r="AF65" s="48">
        <f t="shared" si="242"/>
        <v>0</v>
      </c>
      <c r="AG65" s="48">
        <f t="shared" si="242"/>
        <v>0</v>
      </c>
      <c r="AH65" s="48">
        <f t="shared" si="242"/>
        <v>0</v>
      </c>
      <c r="AI65" s="48">
        <f t="shared" si="242"/>
        <v>0</v>
      </c>
      <c r="AJ65" s="48">
        <f t="shared" si="242"/>
        <v>0</v>
      </c>
      <c r="AK65" s="48">
        <f t="shared" si="242"/>
        <v>0</v>
      </c>
      <c r="AL65" s="48">
        <f t="shared" ref="AL65:BQ65" si="243">AL$40*INDEX(Precio_O,20)*INDEX(IdxPrecio_O,1,MIN(10,AL$17))*(1+P_dPrecio)</f>
        <v>0</v>
      </c>
      <c r="AM65" s="48">
        <f t="shared" si="243"/>
        <v>0</v>
      </c>
      <c r="AN65" s="48">
        <f t="shared" si="243"/>
        <v>0</v>
      </c>
      <c r="AO65" s="48">
        <f t="shared" si="243"/>
        <v>0</v>
      </c>
      <c r="AP65" s="48">
        <f t="shared" si="243"/>
        <v>0</v>
      </c>
      <c r="AQ65" s="48">
        <f t="shared" si="243"/>
        <v>0</v>
      </c>
      <c r="AR65" s="48">
        <f t="shared" si="243"/>
        <v>0</v>
      </c>
      <c r="AS65" s="48">
        <f t="shared" si="243"/>
        <v>0</v>
      </c>
      <c r="AT65" s="48">
        <f t="shared" si="243"/>
        <v>0</v>
      </c>
      <c r="AU65" s="48">
        <f t="shared" si="243"/>
        <v>0</v>
      </c>
      <c r="AV65" s="48">
        <f t="shared" si="243"/>
        <v>0</v>
      </c>
      <c r="AW65" s="48">
        <f t="shared" si="243"/>
        <v>0</v>
      </c>
      <c r="AX65" s="48">
        <f t="shared" si="243"/>
        <v>0</v>
      </c>
      <c r="AY65" s="48">
        <f t="shared" si="243"/>
        <v>0</v>
      </c>
      <c r="AZ65" s="48">
        <f t="shared" si="243"/>
        <v>0</v>
      </c>
      <c r="BA65" s="48">
        <f t="shared" si="243"/>
        <v>0</v>
      </c>
      <c r="BB65" s="48">
        <f t="shared" si="243"/>
        <v>0</v>
      </c>
      <c r="BC65" s="48">
        <f t="shared" si="243"/>
        <v>0</v>
      </c>
      <c r="BD65" s="48">
        <f t="shared" si="243"/>
        <v>0</v>
      </c>
      <c r="BE65" s="48">
        <f t="shared" si="243"/>
        <v>0</v>
      </c>
      <c r="BF65" s="48">
        <f t="shared" si="243"/>
        <v>0</v>
      </c>
      <c r="BG65" s="48">
        <f t="shared" si="243"/>
        <v>0</v>
      </c>
      <c r="BH65" s="48">
        <f t="shared" si="243"/>
        <v>0</v>
      </c>
      <c r="BI65" s="48">
        <f t="shared" si="243"/>
        <v>0</v>
      </c>
      <c r="BJ65" s="48">
        <f t="shared" si="243"/>
        <v>0</v>
      </c>
      <c r="BK65" s="48">
        <f t="shared" si="243"/>
        <v>0</v>
      </c>
      <c r="BL65" s="48">
        <f t="shared" si="243"/>
        <v>0</v>
      </c>
      <c r="BM65" s="48">
        <f t="shared" si="243"/>
        <v>0</v>
      </c>
      <c r="BN65" s="48">
        <f t="shared" si="243"/>
        <v>0</v>
      </c>
      <c r="BO65" s="48">
        <f t="shared" si="243"/>
        <v>0</v>
      </c>
      <c r="BP65" s="48">
        <f t="shared" si="243"/>
        <v>0</v>
      </c>
      <c r="BQ65" s="48">
        <f t="shared" si="243"/>
        <v>0</v>
      </c>
      <c r="BR65" s="48">
        <f t="shared" ref="BR65:CW65" si="244">BR$40*INDEX(Precio_O,20)*INDEX(IdxPrecio_O,1,MIN(10,BR$17))*(1+P_dPrecio)</f>
        <v>0</v>
      </c>
      <c r="BS65" s="48">
        <f t="shared" si="244"/>
        <v>0</v>
      </c>
      <c r="BT65" s="48">
        <f t="shared" si="244"/>
        <v>0</v>
      </c>
      <c r="BU65" s="48">
        <f t="shared" si="244"/>
        <v>0</v>
      </c>
      <c r="BV65" s="48">
        <f t="shared" si="244"/>
        <v>0</v>
      </c>
      <c r="BW65" s="48">
        <f t="shared" si="244"/>
        <v>0</v>
      </c>
      <c r="BX65" s="48">
        <f t="shared" si="244"/>
        <v>0</v>
      </c>
      <c r="BY65" s="48">
        <f t="shared" si="244"/>
        <v>0</v>
      </c>
      <c r="BZ65" s="48">
        <f t="shared" si="244"/>
        <v>0</v>
      </c>
      <c r="CA65" s="48">
        <f t="shared" si="244"/>
        <v>0</v>
      </c>
      <c r="CB65" s="48">
        <f t="shared" si="244"/>
        <v>0</v>
      </c>
      <c r="CC65" s="48">
        <f t="shared" si="244"/>
        <v>0</v>
      </c>
      <c r="CD65" s="48">
        <f t="shared" si="244"/>
        <v>0</v>
      </c>
      <c r="CE65" s="48">
        <f t="shared" si="244"/>
        <v>0</v>
      </c>
      <c r="CF65" s="48">
        <f t="shared" si="244"/>
        <v>0</v>
      </c>
      <c r="CG65" s="48">
        <f t="shared" si="244"/>
        <v>0</v>
      </c>
      <c r="CH65" s="48">
        <f t="shared" si="244"/>
        <v>0</v>
      </c>
      <c r="CI65" s="48">
        <f t="shared" si="244"/>
        <v>0</v>
      </c>
      <c r="CJ65" s="48">
        <f t="shared" si="244"/>
        <v>0</v>
      </c>
      <c r="CK65" s="48">
        <f t="shared" si="244"/>
        <v>0</v>
      </c>
      <c r="CL65" s="48">
        <f t="shared" si="244"/>
        <v>0</v>
      </c>
      <c r="CM65" s="48">
        <f t="shared" si="244"/>
        <v>0</v>
      </c>
      <c r="CN65" s="48">
        <f t="shared" si="244"/>
        <v>0</v>
      </c>
      <c r="CO65" s="48">
        <f t="shared" si="244"/>
        <v>0</v>
      </c>
      <c r="CP65" s="48">
        <f t="shared" si="244"/>
        <v>0</v>
      </c>
      <c r="CQ65" s="48">
        <f t="shared" si="244"/>
        <v>0</v>
      </c>
      <c r="CR65" s="48">
        <f t="shared" si="244"/>
        <v>0</v>
      </c>
      <c r="CS65" s="48">
        <f t="shared" si="244"/>
        <v>0</v>
      </c>
      <c r="CT65" s="48">
        <f t="shared" si="244"/>
        <v>0</v>
      </c>
      <c r="CU65" s="48">
        <f t="shared" si="244"/>
        <v>0</v>
      </c>
      <c r="CV65" s="48">
        <f t="shared" si="244"/>
        <v>0</v>
      </c>
      <c r="CW65" s="48">
        <f t="shared" si="244"/>
        <v>0</v>
      </c>
      <c r="CX65" s="48">
        <f t="shared" ref="CX65:EC65" si="245">CX$40*INDEX(Precio_O,20)*INDEX(IdxPrecio_O,1,MIN(10,CX$17))*(1+P_dPrecio)</f>
        <v>0</v>
      </c>
      <c r="CY65" s="48">
        <f t="shared" si="245"/>
        <v>0</v>
      </c>
      <c r="CZ65" s="48">
        <f t="shared" si="245"/>
        <v>0</v>
      </c>
      <c r="DA65" s="48">
        <f t="shared" si="245"/>
        <v>0</v>
      </c>
      <c r="DB65" s="48">
        <f t="shared" si="245"/>
        <v>0</v>
      </c>
      <c r="DC65" s="48">
        <f t="shared" si="245"/>
        <v>0</v>
      </c>
      <c r="DD65" s="48">
        <f t="shared" si="245"/>
        <v>0</v>
      </c>
      <c r="DE65" s="48">
        <f t="shared" si="245"/>
        <v>0</v>
      </c>
      <c r="DF65" s="48">
        <f t="shared" si="245"/>
        <v>0</v>
      </c>
      <c r="DG65" s="48">
        <f t="shared" si="245"/>
        <v>0</v>
      </c>
      <c r="DH65" s="48">
        <f t="shared" si="245"/>
        <v>0</v>
      </c>
      <c r="DI65" s="48">
        <f t="shared" si="245"/>
        <v>0</v>
      </c>
      <c r="DJ65" s="48">
        <f t="shared" si="245"/>
        <v>0</v>
      </c>
      <c r="DK65" s="48">
        <f t="shared" si="245"/>
        <v>0</v>
      </c>
      <c r="DL65" s="48">
        <f t="shared" si="245"/>
        <v>0</v>
      </c>
      <c r="DM65" s="48">
        <f t="shared" si="245"/>
        <v>0</v>
      </c>
      <c r="DN65" s="48">
        <f t="shared" si="245"/>
        <v>0</v>
      </c>
      <c r="DO65" s="48">
        <f t="shared" si="245"/>
        <v>0</v>
      </c>
      <c r="DP65" s="48">
        <f t="shared" si="245"/>
        <v>0</v>
      </c>
      <c r="DQ65" s="48">
        <f t="shared" si="245"/>
        <v>0</v>
      </c>
      <c r="DR65" s="48">
        <f t="shared" si="245"/>
        <v>0</v>
      </c>
      <c r="DS65" s="48">
        <f t="shared" si="245"/>
        <v>0</v>
      </c>
      <c r="DT65" s="48">
        <f t="shared" si="245"/>
        <v>0</v>
      </c>
      <c r="DU65" s="48">
        <f t="shared" si="245"/>
        <v>0</v>
      </c>
      <c r="DV65" s="48">
        <f t="shared" si="245"/>
        <v>0</v>
      </c>
      <c r="DW65" s="48">
        <f t="shared" si="245"/>
        <v>0</v>
      </c>
      <c r="DX65" s="48">
        <f t="shared" si="245"/>
        <v>0</v>
      </c>
      <c r="DY65" s="48">
        <f t="shared" si="245"/>
        <v>0</v>
      </c>
      <c r="DZ65" s="48">
        <f t="shared" si="245"/>
        <v>0</v>
      </c>
      <c r="EA65" s="48">
        <f t="shared" si="245"/>
        <v>0</v>
      </c>
      <c r="EB65" s="48">
        <f t="shared" si="245"/>
        <v>0</v>
      </c>
      <c r="EC65" s="48">
        <f t="shared" si="245"/>
        <v>0</v>
      </c>
      <c r="ED65" s="48">
        <f t="shared" ref="ED65:ES65" si="246">ED$40*INDEX(Precio_O,20)*INDEX(IdxPrecio_O,1,MIN(10,ED$17))*(1+P_dPrecio)</f>
        <v>0</v>
      </c>
      <c r="EE65" s="48">
        <f t="shared" si="246"/>
        <v>0</v>
      </c>
      <c r="EF65" s="48">
        <f t="shared" si="246"/>
        <v>0</v>
      </c>
      <c r="EG65" s="48">
        <f t="shared" si="246"/>
        <v>0</v>
      </c>
      <c r="EH65" s="48">
        <f t="shared" si="246"/>
        <v>0</v>
      </c>
      <c r="EI65" s="48">
        <f t="shared" si="246"/>
        <v>0</v>
      </c>
      <c r="EJ65" s="48">
        <f t="shared" si="246"/>
        <v>0</v>
      </c>
      <c r="EK65" s="48">
        <f t="shared" si="246"/>
        <v>0</v>
      </c>
      <c r="EL65" s="48">
        <f t="shared" si="246"/>
        <v>0</v>
      </c>
      <c r="EM65" s="48">
        <f t="shared" si="246"/>
        <v>0</v>
      </c>
      <c r="EN65" s="48">
        <f t="shared" si="246"/>
        <v>0</v>
      </c>
      <c r="EO65" s="48">
        <f t="shared" si="246"/>
        <v>0</v>
      </c>
      <c r="EP65" s="48">
        <f t="shared" si="246"/>
        <v>0</v>
      </c>
      <c r="EQ65" s="48">
        <f t="shared" si="246"/>
        <v>0</v>
      </c>
      <c r="ER65" s="48">
        <f t="shared" si="246"/>
        <v>0</v>
      </c>
      <c r="ES65" s="48">
        <f t="shared" si="246"/>
        <v>0</v>
      </c>
    </row>
    <row r="66" spans="1:149" x14ac:dyDescent="0.3">
      <c r="A66" s="14" t="s">
        <v>1043</v>
      </c>
      <c r="B66" s="53" t="str">
        <f>IF(INDEX(Prod_Nombre,21)="","Producto 21",INDEX(Prod_Nombre,21))&amp;" — ventas USD"</f>
        <v>Producto 21 — ventas USD</v>
      </c>
      <c r="C66" s="18" t="s">
        <v>439</v>
      </c>
      <c r="E66" s="54">
        <f t="shared" si="181"/>
        <v>0</v>
      </c>
      <c r="F66" s="48">
        <f t="shared" ref="F66:AK66" si="247">F$41*INDEX(Precio_O,21)*INDEX(IdxPrecio_O,1,MIN(10,F$17))*(1+P_dPrecio)</f>
        <v>0</v>
      </c>
      <c r="G66" s="48">
        <f t="shared" si="247"/>
        <v>0</v>
      </c>
      <c r="H66" s="48">
        <f t="shared" si="247"/>
        <v>0</v>
      </c>
      <c r="I66" s="48">
        <f t="shared" si="247"/>
        <v>0</v>
      </c>
      <c r="J66" s="48">
        <f t="shared" si="247"/>
        <v>0</v>
      </c>
      <c r="K66" s="48">
        <f t="shared" si="247"/>
        <v>0</v>
      </c>
      <c r="L66" s="48">
        <f t="shared" si="247"/>
        <v>0</v>
      </c>
      <c r="M66" s="48">
        <f t="shared" si="247"/>
        <v>0</v>
      </c>
      <c r="N66" s="48">
        <f t="shared" si="247"/>
        <v>0</v>
      </c>
      <c r="O66" s="48">
        <f t="shared" si="247"/>
        <v>0</v>
      </c>
      <c r="P66" s="48">
        <f t="shared" si="247"/>
        <v>0</v>
      </c>
      <c r="Q66" s="48">
        <f t="shared" si="247"/>
        <v>0</v>
      </c>
      <c r="R66" s="48">
        <f t="shared" si="247"/>
        <v>0</v>
      </c>
      <c r="S66" s="48">
        <f t="shared" si="247"/>
        <v>0</v>
      </c>
      <c r="T66" s="48">
        <f t="shared" si="247"/>
        <v>0</v>
      </c>
      <c r="U66" s="48">
        <f t="shared" si="247"/>
        <v>0</v>
      </c>
      <c r="V66" s="48">
        <f t="shared" si="247"/>
        <v>0</v>
      </c>
      <c r="W66" s="48">
        <f t="shared" si="247"/>
        <v>0</v>
      </c>
      <c r="X66" s="48">
        <f t="shared" si="247"/>
        <v>0</v>
      </c>
      <c r="Y66" s="48">
        <f t="shared" si="247"/>
        <v>0</v>
      </c>
      <c r="Z66" s="48">
        <f t="shared" si="247"/>
        <v>0</v>
      </c>
      <c r="AA66" s="48">
        <f t="shared" si="247"/>
        <v>0</v>
      </c>
      <c r="AB66" s="48">
        <f t="shared" si="247"/>
        <v>0</v>
      </c>
      <c r="AC66" s="48">
        <f t="shared" si="247"/>
        <v>0</v>
      </c>
      <c r="AD66" s="48">
        <f t="shared" si="247"/>
        <v>0</v>
      </c>
      <c r="AE66" s="48">
        <f t="shared" si="247"/>
        <v>0</v>
      </c>
      <c r="AF66" s="48">
        <f t="shared" si="247"/>
        <v>0</v>
      </c>
      <c r="AG66" s="48">
        <f t="shared" si="247"/>
        <v>0</v>
      </c>
      <c r="AH66" s="48">
        <f t="shared" si="247"/>
        <v>0</v>
      </c>
      <c r="AI66" s="48">
        <f t="shared" si="247"/>
        <v>0</v>
      </c>
      <c r="AJ66" s="48">
        <f t="shared" si="247"/>
        <v>0</v>
      </c>
      <c r="AK66" s="48">
        <f t="shared" si="247"/>
        <v>0</v>
      </c>
      <c r="AL66" s="48">
        <f t="shared" ref="AL66:BQ66" si="248">AL$41*INDEX(Precio_O,21)*INDEX(IdxPrecio_O,1,MIN(10,AL$17))*(1+P_dPrecio)</f>
        <v>0</v>
      </c>
      <c r="AM66" s="48">
        <f t="shared" si="248"/>
        <v>0</v>
      </c>
      <c r="AN66" s="48">
        <f t="shared" si="248"/>
        <v>0</v>
      </c>
      <c r="AO66" s="48">
        <f t="shared" si="248"/>
        <v>0</v>
      </c>
      <c r="AP66" s="48">
        <f t="shared" si="248"/>
        <v>0</v>
      </c>
      <c r="AQ66" s="48">
        <f t="shared" si="248"/>
        <v>0</v>
      </c>
      <c r="AR66" s="48">
        <f t="shared" si="248"/>
        <v>0</v>
      </c>
      <c r="AS66" s="48">
        <f t="shared" si="248"/>
        <v>0</v>
      </c>
      <c r="AT66" s="48">
        <f t="shared" si="248"/>
        <v>0</v>
      </c>
      <c r="AU66" s="48">
        <f t="shared" si="248"/>
        <v>0</v>
      </c>
      <c r="AV66" s="48">
        <f t="shared" si="248"/>
        <v>0</v>
      </c>
      <c r="AW66" s="48">
        <f t="shared" si="248"/>
        <v>0</v>
      </c>
      <c r="AX66" s="48">
        <f t="shared" si="248"/>
        <v>0</v>
      </c>
      <c r="AY66" s="48">
        <f t="shared" si="248"/>
        <v>0</v>
      </c>
      <c r="AZ66" s="48">
        <f t="shared" si="248"/>
        <v>0</v>
      </c>
      <c r="BA66" s="48">
        <f t="shared" si="248"/>
        <v>0</v>
      </c>
      <c r="BB66" s="48">
        <f t="shared" si="248"/>
        <v>0</v>
      </c>
      <c r="BC66" s="48">
        <f t="shared" si="248"/>
        <v>0</v>
      </c>
      <c r="BD66" s="48">
        <f t="shared" si="248"/>
        <v>0</v>
      </c>
      <c r="BE66" s="48">
        <f t="shared" si="248"/>
        <v>0</v>
      </c>
      <c r="BF66" s="48">
        <f t="shared" si="248"/>
        <v>0</v>
      </c>
      <c r="BG66" s="48">
        <f t="shared" si="248"/>
        <v>0</v>
      </c>
      <c r="BH66" s="48">
        <f t="shared" si="248"/>
        <v>0</v>
      </c>
      <c r="BI66" s="48">
        <f t="shared" si="248"/>
        <v>0</v>
      </c>
      <c r="BJ66" s="48">
        <f t="shared" si="248"/>
        <v>0</v>
      </c>
      <c r="BK66" s="48">
        <f t="shared" si="248"/>
        <v>0</v>
      </c>
      <c r="BL66" s="48">
        <f t="shared" si="248"/>
        <v>0</v>
      </c>
      <c r="BM66" s="48">
        <f t="shared" si="248"/>
        <v>0</v>
      </c>
      <c r="BN66" s="48">
        <f t="shared" si="248"/>
        <v>0</v>
      </c>
      <c r="BO66" s="48">
        <f t="shared" si="248"/>
        <v>0</v>
      </c>
      <c r="BP66" s="48">
        <f t="shared" si="248"/>
        <v>0</v>
      </c>
      <c r="BQ66" s="48">
        <f t="shared" si="248"/>
        <v>0</v>
      </c>
      <c r="BR66" s="48">
        <f t="shared" ref="BR66:CW66" si="249">BR$41*INDEX(Precio_O,21)*INDEX(IdxPrecio_O,1,MIN(10,BR$17))*(1+P_dPrecio)</f>
        <v>0</v>
      </c>
      <c r="BS66" s="48">
        <f t="shared" si="249"/>
        <v>0</v>
      </c>
      <c r="BT66" s="48">
        <f t="shared" si="249"/>
        <v>0</v>
      </c>
      <c r="BU66" s="48">
        <f t="shared" si="249"/>
        <v>0</v>
      </c>
      <c r="BV66" s="48">
        <f t="shared" si="249"/>
        <v>0</v>
      </c>
      <c r="BW66" s="48">
        <f t="shared" si="249"/>
        <v>0</v>
      </c>
      <c r="BX66" s="48">
        <f t="shared" si="249"/>
        <v>0</v>
      </c>
      <c r="BY66" s="48">
        <f t="shared" si="249"/>
        <v>0</v>
      </c>
      <c r="BZ66" s="48">
        <f t="shared" si="249"/>
        <v>0</v>
      </c>
      <c r="CA66" s="48">
        <f t="shared" si="249"/>
        <v>0</v>
      </c>
      <c r="CB66" s="48">
        <f t="shared" si="249"/>
        <v>0</v>
      </c>
      <c r="CC66" s="48">
        <f t="shared" si="249"/>
        <v>0</v>
      </c>
      <c r="CD66" s="48">
        <f t="shared" si="249"/>
        <v>0</v>
      </c>
      <c r="CE66" s="48">
        <f t="shared" si="249"/>
        <v>0</v>
      </c>
      <c r="CF66" s="48">
        <f t="shared" si="249"/>
        <v>0</v>
      </c>
      <c r="CG66" s="48">
        <f t="shared" si="249"/>
        <v>0</v>
      </c>
      <c r="CH66" s="48">
        <f t="shared" si="249"/>
        <v>0</v>
      </c>
      <c r="CI66" s="48">
        <f t="shared" si="249"/>
        <v>0</v>
      </c>
      <c r="CJ66" s="48">
        <f t="shared" si="249"/>
        <v>0</v>
      </c>
      <c r="CK66" s="48">
        <f t="shared" si="249"/>
        <v>0</v>
      </c>
      <c r="CL66" s="48">
        <f t="shared" si="249"/>
        <v>0</v>
      </c>
      <c r="CM66" s="48">
        <f t="shared" si="249"/>
        <v>0</v>
      </c>
      <c r="CN66" s="48">
        <f t="shared" si="249"/>
        <v>0</v>
      </c>
      <c r="CO66" s="48">
        <f t="shared" si="249"/>
        <v>0</v>
      </c>
      <c r="CP66" s="48">
        <f t="shared" si="249"/>
        <v>0</v>
      </c>
      <c r="CQ66" s="48">
        <f t="shared" si="249"/>
        <v>0</v>
      </c>
      <c r="CR66" s="48">
        <f t="shared" si="249"/>
        <v>0</v>
      </c>
      <c r="CS66" s="48">
        <f t="shared" si="249"/>
        <v>0</v>
      </c>
      <c r="CT66" s="48">
        <f t="shared" si="249"/>
        <v>0</v>
      </c>
      <c r="CU66" s="48">
        <f t="shared" si="249"/>
        <v>0</v>
      </c>
      <c r="CV66" s="48">
        <f t="shared" si="249"/>
        <v>0</v>
      </c>
      <c r="CW66" s="48">
        <f t="shared" si="249"/>
        <v>0</v>
      </c>
      <c r="CX66" s="48">
        <f t="shared" ref="CX66:EC66" si="250">CX$41*INDEX(Precio_O,21)*INDEX(IdxPrecio_O,1,MIN(10,CX$17))*(1+P_dPrecio)</f>
        <v>0</v>
      </c>
      <c r="CY66" s="48">
        <f t="shared" si="250"/>
        <v>0</v>
      </c>
      <c r="CZ66" s="48">
        <f t="shared" si="250"/>
        <v>0</v>
      </c>
      <c r="DA66" s="48">
        <f t="shared" si="250"/>
        <v>0</v>
      </c>
      <c r="DB66" s="48">
        <f t="shared" si="250"/>
        <v>0</v>
      </c>
      <c r="DC66" s="48">
        <f t="shared" si="250"/>
        <v>0</v>
      </c>
      <c r="DD66" s="48">
        <f t="shared" si="250"/>
        <v>0</v>
      </c>
      <c r="DE66" s="48">
        <f t="shared" si="250"/>
        <v>0</v>
      </c>
      <c r="DF66" s="48">
        <f t="shared" si="250"/>
        <v>0</v>
      </c>
      <c r="DG66" s="48">
        <f t="shared" si="250"/>
        <v>0</v>
      </c>
      <c r="DH66" s="48">
        <f t="shared" si="250"/>
        <v>0</v>
      </c>
      <c r="DI66" s="48">
        <f t="shared" si="250"/>
        <v>0</v>
      </c>
      <c r="DJ66" s="48">
        <f t="shared" si="250"/>
        <v>0</v>
      </c>
      <c r="DK66" s="48">
        <f t="shared" si="250"/>
        <v>0</v>
      </c>
      <c r="DL66" s="48">
        <f t="shared" si="250"/>
        <v>0</v>
      </c>
      <c r="DM66" s="48">
        <f t="shared" si="250"/>
        <v>0</v>
      </c>
      <c r="DN66" s="48">
        <f t="shared" si="250"/>
        <v>0</v>
      </c>
      <c r="DO66" s="48">
        <f t="shared" si="250"/>
        <v>0</v>
      </c>
      <c r="DP66" s="48">
        <f t="shared" si="250"/>
        <v>0</v>
      </c>
      <c r="DQ66" s="48">
        <f t="shared" si="250"/>
        <v>0</v>
      </c>
      <c r="DR66" s="48">
        <f t="shared" si="250"/>
        <v>0</v>
      </c>
      <c r="DS66" s="48">
        <f t="shared" si="250"/>
        <v>0</v>
      </c>
      <c r="DT66" s="48">
        <f t="shared" si="250"/>
        <v>0</v>
      </c>
      <c r="DU66" s="48">
        <f t="shared" si="250"/>
        <v>0</v>
      </c>
      <c r="DV66" s="48">
        <f t="shared" si="250"/>
        <v>0</v>
      </c>
      <c r="DW66" s="48">
        <f t="shared" si="250"/>
        <v>0</v>
      </c>
      <c r="DX66" s="48">
        <f t="shared" si="250"/>
        <v>0</v>
      </c>
      <c r="DY66" s="48">
        <f t="shared" si="250"/>
        <v>0</v>
      </c>
      <c r="DZ66" s="48">
        <f t="shared" si="250"/>
        <v>0</v>
      </c>
      <c r="EA66" s="48">
        <f t="shared" si="250"/>
        <v>0</v>
      </c>
      <c r="EB66" s="48">
        <f t="shared" si="250"/>
        <v>0</v>
      </c>
      <c r="EC66" s="48">
        <f t="shared" si="250"/>
        <v>0</v>
      </c>
      <c r="ED66" s="48">
        <f t="shared" ref="ED66:ES66" si="251">ED$41*INDEX(Precio_O,21)*INDEX(IdxPrecio_O,1,MIN(10,ED$17))*(1+P_dPrecio)</f>
        <v>0</v>
      </c>
      <c r="EE66" s="48">
        <f t="shared" si="251"/>
        <v>0</v>
      </c>
      <c r="EF66" s="48">
        <f t="shared" si="251"/>
        <v>0</v>
      </c>
      <c r="EG66" s="48">
        <f t="shared" si="251"/>
        <v>0</v>
      </c>
      <c r="EH66" s="48">
        <f t="shared" si="251"/>
        <v>0</v>
      </c>
      <c r="EI66" s="48">
        <f t="shared" si="251"/>
        <v>0</v>
      </c>
      <c r="EJ66" s="48">
        <f t="shared" si="251"/>
        <v>0</v>
      </c>
      <c r="EK66" s="48">
        <f t="shared" si="251"/>
        <v>0</v>
      </c>
      <c r="EL66" s="48">
        <f t="shared" si="251"/>
        <v>0</v>
      </c>
      <c r="EM66" s="48">
        <f t="shared" si="251"/>
        <v>0</v>
      </c>
      <c r="EN66" s="48">
        <f t="shared" si="251"/>
        <v>0</v>
      </c>
      <c r="EO66" s="48">
        <f t="shared" si="251"/>
        <v>0</v>
      </c>
      <c r="EP66" s="48">
        <f t="shared" si="251"/>
        <v>0</v>
      </c>
      <c r="EQ66" s="48">
        <f t="shared" si="251"/>
        <v>0</v>
      </c>
      <c r="ER66" s="48">
        <f t="shared" si="251"/>
        <v>0</v>
      </c>
      <c r="ES66" s="48">
        <f t="shared" si="251"/>
        <v>0</v>
      </c>
    </row>
    <row r="67" spans="1:149" x14ac:dyDescent="0.3">
      <c r="A67" s="14" t="s">
        <v>1044</v>
      </c>
      <c r="B67" s="53" t="str">
        <f>IF(INDEX(Prod_Nombre,22)="","Producto 22",INDEX(Prod_Nombre,22))&amp;" — ventas USD"</f>
        <v>Producto 22 — ventas USD</v>
      </c>
      <c r="C67" s="18" t="s">
        <v>439</v>
      </c>
      <c r="E67" s="54">
        <f t="shared" si="181"/>
        <v>0</v>
      </c>
      <c r="F67" s="48">
        <f t="shared" ref="F67:AK67" si="252">F$42*INDEX(Precio_O,22)*INDEX(IdxPrecio_O,1,MIN(10,F$17))*(1+P_dPrecio)</f>
        <v>0</v>
      </c>
      <c r="G67" s="48">
        <f t="shared" si="252"/>
        <v>0</v>
      </c>
      <c r="H67" s="48">
        <f t="shared" si="252"/>
        <v>0</v>
      </c>
      <c r="I67" s="48">
        <f t="shared" si="252"/>
        <v>0</v>
      </c>
      <c r="J67" s="48">
        <f t="shared" si="252"/>
        <v>0</v>
      </c>
      <c r="K67" s="48">
        <f t="shared" si="252"/>
        <v>0</v>
      </c>
      <c r="L67" s="48">
        <f t="shared" si="252"/>
        <v>0</v>
      </c>
      <c r="M67" s="48">
        <f t="shared" si="252"/>
        <v>0</v>
      </c>
      <c r="N67" s="48">
        <f t="shared" si="252"/>
        <v>0</v>
      </c>
      <c r="O67" s="48">
        <f t="shared" si="252"/>
        <v>0</v>
      </c>
      <c r="P67" s="48">
        <f t="shared" si="252"/>
        <v>0</v>
      </c>
      <c r="Q67" s="48">
        <f t="shared" si="252"/>
        <v>0</v>
      </c>
      <c r="R67" s="48">
        <f t="shared" si="252"/>
        <v>0</v>
      </c>
      <c r="S67" s="48">
        <f t="shared" si="252"/>
        <v>0</v>
      </c>
      <c r="T67" s="48">
        <f t="shared" si="252"/>
        <v>0</v>
      </c>
      <c r="U67" s="48">
        <f t="shared" si="252"/>
        <v>0</v>
      </c>
      <c r="V67" s="48">
        <f t="shared" si="252"/>
        <v>0</v>
      </c>
      <c r="W67" s="48">
        <f t="shared" si="252"/>
        <v>0</v>
      </c>
      <c r="X67" s="48">
        <f t="shared" si="252"/>
        <v>0</v>
      </c>
      <c r="Y67" s="48">
        <f t="shared" si="252"/>
        <v>0</v>
      </c>
      <c r="Z67" s="48">
        <f t="shared" si="252"/>
        <v>0</v>
      </c>
      <c r="AA67" s="48">
        <f t="shared" si="252"/>
        <v>0</v>
      </c>
      <c r="AB67" s="48">
        <f t="shared" si="252"/>
        <v>0</v>
      </c>
      <c r="AC67" s="48">
        <f t="shared" si="252"/>
        <v>0</v>
      </c>
      <c r="AD67" s="48">
        <f t="shared" si="252"/>
        <v>0</v>
      </c>
      <c r="AE67" s="48">
        <f t="shared" si="252"/>
        <v>0</v>
      </c>
      <c r="AF67" s="48">
        <f t="shared" si="252"/>
        <v>0</v>
      </c>
      <c r="AG67" s="48">
        <f t="shared" si="252"/>
        <v>0</v>
      </c>
      <c r="AH67" s="48">
        <f t="shared" si="252"/>
        <v>0</v>
      </c>
      <c r="AI67" s="48">
        <f t="shared" si="252"/>
        <v>0</v>
      </c>
      <c r="AJ67" s="48">
        <f t="shared" si="252"/>
        <v>0</v>
      </c>
      <c r="AK67" s="48">
        <f t="shared" si="252"/>
        <v>0</v>
      </c>
      <c r="AL67" s="48">
        <f t="shared" ref="AL67:BQ67" si="253">AL$42*INDEX(Precio_O,22)*INDEX(IdxPrecio_O,1,MIN(10,AL$17))*(1+P_dPrecio)</f>
        <v>0</v>
      </c>
      <c r="AM67" s="48">
        <f t="shared" si="253"/>
        <v>0</v>
      </c>
      <c r="AN67" s="48">
        <f t="shared" si="253"/>
        <v>0</v>
      </c>
      <c r="AO67" s="48">
        <f t="shared" si="253"/>
        <v>0</v>
      </c>
      <c r="AP67" s="48">
        <f t="shared" si="253"/>
        <v>0</v>
      </c>
      <c r="AQ67" s="48">
        <f t="shared" si="253"/>
        <v>0</v>
      </c>
      <c r="AR67" s="48">
        <f t="shared" si="253"/>
        <v>0</v>
      </c>
      <c r="AS67" s="48">
        <f t="shared" si="253"/>
        <v>0</v>
      </c>
      <c r="AT67" s="48">
        <f t="shared" si="253"/>
        <v>0</v>
      </c>
      <c r="AU67" s="48">
        <f t="shared" si="253"/>
        <v>0</v>
      </c>
      <c r="AV67" s="48">
        <f t="shared" si="253"/>
        <v>0</v>
      </c>
      <c r="AW67" s="48">
        <f t="shared" si="253"/>
        <v>0</v>
      </c>
      <c r="AX67" s="48">
        <f t="shared" si="253"/>
        <v>0</v>
      </c>
      <c r="AY67" s="48">
        <f t="shared" si="253"/>
        <v>0</v>
      </c>
      <c r="AZ67" s="48">
        <f t="shared" si="253"/>
        <v>0</v>
      </c>
      <c r="BA67" s="48">
        <f t="shared" si="253"/>
        <v>0</v>
      </c>
      <c r="BB67" s="48">
        <f t="shared" si="253"/>
        <v>0</v>
      </c>
      <c r="BC67" s="48">
        <f t="shared" si="253"/>
        <v>0</v>
      </c>
      <c r="BD67" s="48">
        <f t="shared" si="253"/>
        <v>0</v>
      </c>
      <c r="BE67" s="48">
        <f t="shared" si="253"/>
        <v>0</v>
      </c>
      <c r="BF67" s="48">
        <f t="shared" si="253"/>
        <v>0</v>
      </c>
      <c r="BG67" s="48">
        <f t="shared" si="253"/>
        <v>0</v>
      </c>
      <c r="BH67" s="48">
        <f t="shared" si="253"/>
        <v>0</v>
      </c>
      <c r="BI67" s="48">
        <f t="shared" si="253"/>
        <v>0</v>
      </c>
      <c r="BJ67" s="48">
        <f t="shared" si="253"/>
        <v>0</v>
      </c>
      <c r="BK67" s="48">
        <f t="shared" si="253"/>
        <v>0</v>
      </c>
      <c r="BL67" s="48">
        <f t="shared" si="253"/>
        <v>0</v>
      </c>
      <c r="BM67" s="48">
        <f t="shared" si="253"/>
        <v>0</v>
      </c>
      <c r="BN67" s="48">
        <f t="shared" si="253"/>
        <v>0</v>
      </c>
      <c r="BO67" s="48">
        <f t="shared" si="253"/>
        <v>0</v>
      </c>
      <c r="BP67" s="48">
        <f t="shared" si="253"/>
        <v>0</v>
      </c>
      <c r="BQ67" s="48">
        <f t="shared" si="253"/>
        <v>0</v>
      </c>
      <c r="BR67" s="48">
        <f t="shared" ref="BR67:CW67" si="254">BR$42*INDEX(Precio_O,22)*INDEX(IdxPrecio_O,1,MIN(10,BR$17))*(1+P_dPrecio)</f>
        <v>0</v>
      </c>
      <c r="BS67" s="48">
        <f t="shared" si="254"/>
        <v>0</v>
      </c>
      <c r="BT67" s="48">
        <f t="shared" si="254"/>
        <v>0</v>
      </c>
      <c r="BU67" s="48">
        <f t="shared" si="254"/>
        <v>0</v>
      </c>
      <c r="BV67" s="48">
        <f t="shared" si="254"/>
        <v>0</v>
      </c>
      <c r="BW67" s="48">
        <f t="shared" si="254"/>
        <v>0</v>
      </c>
      <c r="BX67" s="48">
        <f t="shared" si="254"/>
        <v>0</v>
      </c>
      <c r="BY67" s="48">
        <f t="shared" si="254"/>
        <v>0</v>
      </c>
      <c r="BZ67" s="48">
        <f t="shared" si="254"/>
        <v>0</v>
      </c>
      <c r="CA67" s="48">
        <f t="shared" si="254"/>
        <v>0</v>
      </c>
      <c r="CB67" s="48">
        <f t="shared" si="254"/>
        <v>0</v>
      </c>
      <c r="CC67" s="48">
        <f t="shared" si="254"/>
        <v>0</v>
      </c>
      <c r="CD67" s="48">
        <f t="shared" si="254"/>
        <v>0</v>
      </c>
      <c r="CE67" s="48">
        <f t="shared" si="254"/>
        <v>0</v>
      </c>
      <c r="CF67" s="48">
        <f t="shared" si="254"/>
        <v>0</v>
      </c>
      <c r="CG67" s="48">
        <f t="shared" si="254"/>
        <v>0</v>
      </c>
      <c r="CH67" s="48">
        <f t="shared" si="254"/>
        <v>0</v>
      </c>
      <c r="CI67" s="48">
        <f t="shared" si="254"/>
        <v>0</v>
      </c>
      <c r="CJ67" s="48">
        <f t="shared" si="254"/>
        <v>0</v>
      </c>
      <c r="CK67" s="48">
        <f t="shared" si="254"/>
        <v>0</v>
      </c>
      <c r="CL67" s="48">
        <f t="shared" si="254"/>
        <v>0</v>
      </c>
      <c r="CM67" s="48">
        <f t="shared" si="254"/>
        <v>0</v>
      </c>
      <c r="CN67" s="48">
        <f t="shared" si="254"/>
        <v>0</v>
      </c>
      <c r="CO67" s="48">
        <f t="shared" si="254"/>
        <v>0</v>
      </c>
      <c r="CP67" s="48">
        <f t="shared" si="254"/>
        <v>0</v>
      </c>
      <c r="CQ67" s="48">
        <f t="shared" si="254"/>
        <v>0</v>
      </c>
      <c r="CR67" s="48">
        <f t="shared" si="254"/>
        <v>0</v>
      </c>
      <c r="CS67" s="48">
        <f t="shared" si="254"/>
        <v>0</v>
      </c>
      <c r="CT67" s="48">
        <f t="shared" si="254"/>
        <v>0</v>
      </c>
      <c r="CU67" s="48">
        <f t="shared" si="254"/>
        <v>0</v>
      </c>
      <c r="CV67" s="48">
        <f t="shared" si="254"/>
        <v>0</v>
      </c>
      <c r="CW67" s="48">
        <f t="shared" si="254"/>
        <v>0</v>
      </c>
      <c r="CX67" s="48">
        <f t="shared" ref="CX67:EC67" si="255">CX$42*INDEX(Precio_O,22)*INDEX(IdxPrecio_O,1,MIN(10,CX$17))*(1+P_dPrecio)</f>
        <v>0</v>
      </c>
      <c r="CY67" s="48">
        <f t="shared" si="255"/>
        <v>0</v>
      </c>
      <c r="CZ67" s="48">
        <f t="shared" si="255"/>
        <v>0</v>
      </c>
      <c r="DA67" s="48">
        <f t="shared" si="255"/>
        <v>0</v>
      </c>
      <c r="DB67" s="48">
        <f t="shared" si="255"/>
        <v>0</v>
      </c>
      <c r="DC67" s="48">
        <f t="shared" si="255"/>
        <v>0</v>
      </c>
      <c r="DD67" s="48">
        <f t="shared" si="255"/>
        <v>0</v>
      </c>
      <c r="DE67" s="48">
        <f t="shared" si="255"/>
        <v>0</v>
      </c>
      <c r="DF67" s="48">
        <f t="shared" si="255"/>
        <v>0</v>
      </c>
      <c r="DG67" s="48">
        <f t="shared" si="255"/>
        <v>0</v>
      </c>
      <c r="DH67" s="48">
        <f t="shared" si="255"/>
        <v>0</v>
      </c>
      <c r="DI67" s="48">
        <f t="shared" si="255"/>
        <v>0</v>
      </c>
      <c r="DJ67" s="48">
        <f t="shared" si="255"/>
        <v>0</v>
      </c>
      <c r="DK67" s="48">
        <f t="shared" si="255"/>
        <v>0</v>
      </c>
      <c r="DL67" s="48">
        <f t="shared" si="255"/>
        <v>0</v>
      </c>
      <c r="DM67" s="48">
        <f t="shared" si="255"/>
        <v>0</v>
      </c>
      <c r="DN67" s="48">
        <f t="shared" si="255"/>
        <v>0</v>
      </c>
      <c r="DO67" s="48">
        <f t="shared" si="255"/>
        <v>0</v>
      </c>
      <c r="DP67" s="48">
        <f t="shared" si="255"/>
        <v>0</v>
      </c>
      <c r="DQ67" s="48">
        <f t="shared" si="255"/>
        <v>0</v>
      </c>
      <c r="DR67" s="48">
        <f t="shared" si="255"/>
        <v>0</v>
      </c>
      <c r="DS67" s="48">
        <f t="shared" si="255"/>
        <v>0</v>
      </c>
      <c r="DT67" s="48">
        <f t="shared" si="255"/>
        <v>0</v>
      </c>
      <c r="DU67" s="48">
        <f t="shared" si="255"/>
        <v>0</v>
      </c>
      <c r="DV67" s="48">
        <f t="shared" si="255"/>
        <v>0</v>
      </c>
      <c r="DW67" s="48">
        <f t="shared" si="255"/>
        <v>0</v>
      </c>
      <c r="DX67" s="48">
        <f t="shared" si="255"/>
        <v>0</v>
      </c>
      <c r="DY67" s="48">
        <f t="shared" si="255"/>
        <v>0</v>
      </c>
      <c r="DZ67" s="48">
        <f t="shared" si="255"/>
        <v>0</v>
      </c>
      <c r="EA67" s="48">
        <f t="shared" si="255"/>
        <v>0</v>
      </c>
      <c r="EB67" s="48">
        <f t="shared" si="255"/>
        <v>0</v>
      </c>
      <c r="EC67" s="48">
        <f t="shared" si="255"/>
        <v>0</v>
      </c>
      <c r="ED67" s="48">
        <f t="shared" ref="ED67:ES67" si="256">ED$42*INDEX(Precio_O,22)*INDEX(IdxPrecio_O,1,MIN(10,ED$17))*(1+P_dPrecio)</f>
        <v>0</v>
      </c>
      <c r="EE67" s="48">
        <f t="shared" si="256"/>
        <v>0</v>
      </c>
      <c r="EF67" s="48">
        <f t="shared" si="256"/>
        <v>0</v>
      </c>
      <c r="EG67" s="48">
        <f t="shared" si="256"/>
        <v>0</v>
      </c>
      <c r="EH67" s="48">
        <f t="shared" si="256"/>
        <v>0</v>
      </c>
      <c r="EI67" s="48">
        <f t="shared" si="256"/>
        <v>0</v>
      </c>
      <c r="EJ67" s="48">
        <f t="shared" si="256"/>
        <v>0</v>
      </c>
      <c r="EK67" s="48">
        <f t="shared" si="256"/>
        <v>0</v>
      </c>
      <c r="EL67" s="48">
        <f t="shared" si="256"/>
        <v>0</v>
      </c>
      <c r="EM67" s="48">
        <f t="shared" si="256"/>
        <v>0</v>
      </c>
      <c r="EN67" s="48">
        <f t="shared" si="256"/>
        <v>0</v>
      </c>
      <c r="EO67" s="48">
        <f t="shared" si="256"/>
        <v>0</v>
      </c>
      <c r="EP67" s="48">
        <f t="shared" si="256"/>
        <v>0</v>
      </c>
      <c r="EQ67" s="48">
        <f t="shared" si="256"/>
        <v>0</v>
      </c>
      <c r="ER67" s="48">
        <f t="shared" si="256"/>
        <v>0</v>
      </c>
      <c r="ES67" s="48">
        <f t="shared" si="256"/>
        <v>0</v>
      </c>
    </row>
    <row r="68" spans="1:149" x14ac:dyDescent="0.3">
      <c r="A68" s="14" t="s">
        <v>1045</v>
      </c>
      <c r="B68" s="53" t="str">
        <f>IF(INDEX(Prod_Nombre,23)="","Producto 23",INDEX(Prod_Nombre,23))&amp;" — ventas USD"</f>
        <v>Producto 23 — ventas USD</v>
      </c>
      <c r="C68" s="18" t="s">
        <v>439</v>
      </c>
      <c r="E68" s="54">
        <f t="shared" si="181"/>
        <v>0</v>
      </c>
      <c r="F68" s="48">
        <f t="shared" ref="F68:AK68" si="257">F$43*INDEX(Precio_O,23)*INDEX(IdxPrecio_O,1,MIN(10,F$17))*(1+P_dPrecio)</f>
        <v>0</v>
      </c>
      <c r="G68" s="48">
        <f t="shared" si="257"/>
        <v>0</v>
      </c>
      <c r="H68" s="48">
        <f t="shared" si="257"/>
        <v>0</v>
      </c>
      <c r="I68" s="48">
        <f t="shared" si="257"/>
        <v>0</v>
      </c>
      <c r="J68" s="48">
        <f t="shared" si="257"/>
        <v>0</v>
      </c>
      <c r="K68" s="48">
        <f t="shared" si="257"/>
        <v>0</v>
      </c>
      <c r="L68" s="48">
        <f t="shared" si="257"/>
        <v>0</v>
      </c>
      <c r="M68" s="48">
        <f t="shared" si="257"/>
        <v>0</v>
      </c>
      <c r="N68" s="48">
        <f t="shared" si="257"/>
        <v>0</v>
      </c>
      <c r="O68" s="48">
        <f t="shared" si="257"/>
        <v>0</v>
      </c>
      <c r="P68" s="48">
        <f t="shared" si="257"/>
        <v>0</v>
      </c>
      <c r="Q68" s="48">
        <f t="shared" si="257"/>
        <v>0</v>
      </c>
      <c r="R68" s="48">
        <f t="shared" si="257"/>
        <v>0</v>
      </c>
      <c r="S68" s="48">
        <f t="shared" si="257"/>
        <v>0</v>
      </c>
      <c r="T68" s="48">
        <f t="shared" si="257"/>
        <v>0</v>
      </c>
      <c r="U68" s="48">
        <f t="shared" si="257"/>
        <v>0</v>
      </c>
      <c r="V68" s="48">
        <f t="shared" si="257"/>
        <v>0</v>
      </c>
      <c r="W68" s="48">
        <f t="shared" si="257"/>
        <v>0</v>
      </c>
      <c r="X68" s="48">
        <f t="shared" si="257"/>
        <v>0</v>
      </c>
      <c r="Y68" s="48">
        <f t="shared" si="257"/>
        <v>0</v>
      </c>
      <c r="Z68" s="48">
        <f t="shared" si="257"/>
        <v>0</v>
      </c>
      <c r="AA68" s="48">
        <f t="shared" si="257"/>
        <v>0</v>
      </c>
      <c r="AB68" s="48">
        <f t="shared" si="257"/>
        <v>0</v>
      </c>
      <c r="AC68" s="48">
        <f t="shared" si="257"/>
        <v>0</v>
      </c>
      <c r="AD68" s="48">
        <f t="shared" si="257"/>
        <v>0</v>
      </c>
      <c r="AE68" s="48">
        <f t="shared" si="257"/>
        <v>0</v>
      </c>
      <c r="AF68" s="48">
        <f t="shared" si="257"/>
        <v>0</v>
      </c>
      <c r="AG68" s="48">
        <f t="shared" si="257"/>
        <v>0</v>
      </c>
      <c r="AH68" s="48">
        <f t="shared" si="257"/>
        <v>0</v>
      </c>
      <c r="AI68" s="48">
        <f t="shared" si="257"/>
        <v>0</v>
      </c>
      <c r="AJ68" s="48">
        <f t="shared" si="257"/>
        <v>0</v>
      </c>
      <c r="AK68" s="48">
        <f t="shared" si="257"/>
        <v>0</v>
      </c>
      <c r="AL68" s="48">
        <f t="shared" ref="AL68:BQ68" si="258">AL$43*INDEX(Precio_O,23)*INDEX(IdxPrecio_O,1,MIN(10,AL$17))*(1+P_dPrecio)</f>
        <v>0</v>
      </c>
      <c r="AM68" s="48">
        <f t="shared" si="258"/>
        <v>0</v>
      </c>
      <c r="AN68" s="48">
        <f t="shared" si="258"/>
        <v>0</v>
      </c>
      <c r="AO68" s="48">
        <f t="shared" si="258"/>
        <v>0</v>
      </c>
      <c r="AP68" s="48">
        <f t="shared" si="258"/>
        <v>0</v>
      </c>
      <c r="AQ68" s="48">
        <f t="shared" si="258"/>
        <v>0</v>
      </c>
      <c r="AR68" s="48">
        <f t="shared" si="258"/>
        <v>0</v>
      </c>
      <c r="AS68" s="48">
        <f t="shared" si="258"/>
        <v>0</v>
      </c>
      <c r="AT68" s="48">
        <f t="shared" si="258"/>
        <v>0</v>
      </c>
      <c r="AU68" s="48">
        <f t="shared" si="258"/>
        <v>0</v>
      </c>
      <c r="AV68" s="48">
        <f t="shared" si="258"/>
        <v>0</v>
      </c>
      <c r="AW68" s="48">
        <f t="shared" si="258"/>
        <v>0</v>
      </c>
      <c r="AX68" s="48">
        <f t="shared" si="258"/>
        <v>0</v>
      </c>
      <c r="AY68" s="48">
        <f t="shared" si="258"/>
        <v>0</v>
      </c>
      <c r="AZ68" s="48">
        <f t="shared" si="258"/>
        <v>0</v>
      </c>
      <c r="BA68" s="48">
        <f t="shared" si="258"/>
        <v>0</v>
      </c>
      <c r="BB68" s="48">
        <f t="shared" si="258"/>
        <v>0</v>
      </c>
      <c r="BC68" s="48">
        <f t="shared" si="258"/>
        <v>0</v>
      </c>
      <c r="BD68" s="48">
        <f t="shared" si="258"/>
        <v>0</v>
      </c>
      <c r="BE68" s="48">
        <f t="shared" si="258"/>
        <v>0</v>
      </c>
      <c r="BF68" s="48">
        <f t="shared" si="258"/>
        <v>0</v>
      </c>
      <c r="BG68" s="48">
        <f t="shared" si="258"/>
        <v>0</v>
      </c>
      <c r="BH68" s="48">
        <f t="shared" si="258"/>
        <v>0</v>
      </c>
      <c r="BI68" s="48">
        <f t="shared" si="258"/>
        <v>0</v>
      </c>
      <c r="BJ68" s="48">
        <f t="shared" si="258"/>
        <v>0</v>
      </c>
      <c r="BK68" s="48">
        <f t="shared" si="258"/>
        <v>0</v>
      </c>
      <c r="BL68" s="48">
        <f t="shared" si="258"/>
        <v>0</v>
      </c>
      <c r="BM68" s="48">
        <f t="shared" si="258"/>
        <v>0</v>
      </c>
      <c r="BN68" s="48">
        <f t="shared" si="258"/>
        <v>0</v>
      </c>
      <c r="BO68" s="48">
        <f t="shared" si="258"/>
        <v>0</v>
      </c>
      <c r="BP68" s="48">
        <f t="shared" si="258"/>
        <v>0</v>
      </c>
      <c r="BQ68" s="48">
        <f t="shared" si="258"/>
        <v>0</v>
      </c>
      <c r="BR68" s="48">
        <f t="shared" ref="BR68:CW68" si="259">BR$43*INDEX(Precio_O,23)*INDEX(IdxPrecio_O,1,MIN(10,BR$17))*(1+P_dPrecio)</f>
        <v>0</v>
      </c>
      <c r="BS68" s="48">
        <f t="shared" si="259"/>
        <v>0</v>
      </c>
      <c r="BT68" s="48">
        <f t="shared" si="259"/>
        <v>0</v>
      </c>
      <c r="BU68" s="48">
        <f t="shared" si="259"/>
        <v>0</v>
      </c>
      <c r="BV68" s="48">
        <f t="shared" si="259"/>
        <v>0</v>
      </c>
      <c r="BW68" s="48">
        <f t="shared" si="259"/>
        <v>0</v>
      </c>
      <c r="BX68" s="48">
        <f t="shared" si="259"/>
        <v>0</v>
      </c>
      <c r="BY68" s="48">
        <f t="shared" si="259"/>
        <v>0</v>
      </c>
      <c r="BZ68" s="48">
        <f t="shared" si="259"/>
        <v>0</v>
      </c>
      <c r="CA68" s="48">
        <f t="shared" si="259"/>
        <v>0</v>
      </c>
      <c r="CB68" s="48">
        <f t="shared" si="259"/>
        <v>0</v>
      </c>
      <c r="CC68" s="48">
        <f t="shared" si="259"/>
        <v>0</v>
      </c>
      <c r="CD68" s="48">
        <f t="shared" si="259"/>
        <v>0</v>
      </c>
      <c r="CE68" s="48">
        <f t="shared" si="259"/>
        <v>0</v>
      </c>
      <c r="CF68" s="48">
        <f t="shared" si="259"/>
        <v>0</v>
      </c>
      <c r="CG68" s="48">
        <f t="shared" si="259"/>
        <v>0</v>
      </c>
      <c r="CH68" s="48">
        <f t="shared" si="259"/>
        <v>0</v>
      </c>
      <c r="CI68" s="48">
        <f t="shared" si="259"/>
        <v>0</v>
      </c>
      <c r="CJ68" s="48">
        <f t="shared" si="259"/>
        <v>0</v>
      </c>
      <c r="CK68" s="48">
        <f t="shared" si="259"/>
        <v>0</v>
      </c>
      <c r="CL68" s="48">
        <f t="shared" si="259"/>
        <v>0</v>
      </c>
      <c r="CM68" s="48">
        <f t="shared" si="259"/>
        <v>0</v>
      </c>
      <c r="CN68" s="48">
        <f t="shared" si="259"/>
        <v>0</v>
      </c>
      <c r="CO68" s="48">
        <f t="shared" si="259"/>
        <v>0</v>
      </c>
      <c r="CP68" s="48">
        <f t="shared" si="259"/>
        <v>0</v>
      </c>
      <c r="CQ68" s="48">
        <f t="shared" si="259"/>
        <v>0</v>
      </c>
      <c r="CR68" s="48">
        <f t="shared" si="259"/>
        <v>0</v>
      </c>
      <c r="CS68" s="48">
        <f t="shared" si="259"/>
        <v>0</v>
      </c>
      <c r="CT68" s="48">
        <f t="shared" si="259"/>
        <v>0</v>
      </c>
      <c r="CU68" s="48">
        <f t="shared" si="259"/>
        <v>0</v>
      </c>
      <c r="CV68" s="48">
        <f t="shared" si="259"/>
        <v>0</v>
      </c>
      <c r="CW68" s="48">
        <f t="shared" si="259"/>
        <v>0</v>
      </c>
      <c r="CX68" s="48">
        <f t="shared" ref="CX68:EC68" si="260">CX$43*INDEX(Precio_O,23)*INDEX(IdxPrecio_O,1,MIN(10,CX$17))*(1+P_dPrecio)</f>
        <v>0</v>
      </c>
      <c r="CY68" s="48">
        <f t="shared" si="260"/>
        <v>0</v>
      </c>
      <c r="CZ68" s="48">
        <f t="shared" si="260"/>
        <v>0</v>
      </c>
      <c r="DA68" s="48">
        <f t="shared" si="260"/>
        <v>0</v>
      </c>
      <c r="DB68" s="48">
        <f t="shared" si="260"/>
        <v>0</v>
      </c>
      <c r="DC68" s="48">
        <f t="shared" si="260"/>
        <v>0</v>
      </c>
      <c r="DD68" s="48">
        <f t="shared" si="260"/>
        <v>0</v>
      </c>
      <c r="DE68" s="48">
        <f t="shared" si="260"/>
        <v>0</v>
      </c>
      <c r="DF68" s="48">
        <f t="shared" si="260"/>
        <v>0</v>
      </c>
      <c r="DG68" s="48">
        <f t="shared" si="260"/>
        <v>0</v>
      </c>
      <c r="DH68" s="48">
        <f t="shared" si="260"/>
        <v>0</v>
      </c>
      <c r="DI68" s="48">
        <f t="shared" si="260"/>
        <v>0</v>
      </c>
      <c r="DJ68" s="48">
        <f t="shared" si="260"/>
        <v>0</v>
      </c>
      <c r="DK68" s="48">
        <f t="shared" si="260"/>
        <v>0</v>
      </c>
      <c r="DL68" s="48">
        <f t="shared" si="260"/>
        <v>0</v>
      </c>
      <c r="DM68" s="48">
        <f t="shared" si="260"/>
        <v>0</v>
      </c>
      <c r="DN68" s="48">
        <f t="shared" si="260"/>
        <v>0</v>
      </c>
      <c r="DO68" s="48">
        <f t="shared" si="260"/>
        <v>0</v>
      </c>
      <c r="DP68" s="48">
        <f t="shared" si="260"/>
        <v>0</v>
      </c>
      <c r="DQ68" s="48">
        <f t="shared" si="260"/>
        <v>0</v>
      </c>
      <c r="DR68" s="48">
        <f t="shared" si="260"/>
        <v>0</v>
      </c>
      <c r="DS68" s="48">
        <f t="shared" si="260"/>
        <v>0</v>
      </c>
      <c r="DT68" s="48">
        <f t="shared" si="260"/>
        <v>0</v>
      </c>
      <c r="DU68" s="48">
        <f t="shared" si="260"/>
        <v>0</v>
      </c>
      <c r="DV68" s="48">
        <f t="shared" si="260"/>
        <v>0</v>
      </c>
      <c r="DW68" s="48">
        <f t="shared" si="260"/>
        <v>0</v>
      </c>
      <c r="DX68" s="48">
        <f t="shared" si="260"/>
        <v>0</v>
      </c>
      <c r="DY68" s="48">
        <f t="shared" si="260"/>
        <v>0</v>
      </c>
      <c r="DZ68" s="48">
        <f t="shared" si="260"/>
        <v>0</v>
      </c>
      <c r="EA68" s="48">
        <f t="shared" si="260"/>
        <v>0</v>
      </c>
      <c r="EB68" s="48">
        <f t="shared" si="260"/>
        <v>0</v>
      </c>
      <c r="EC68" s="48">
        <f t="shared" si="260"/>
        <v>0</v>
      </c>
      <c r="ED68" s="48">
        <f t="shared" ref="ED68:ES68" si="261">ED$43*INDEX(Precio_O,23)*INDEX(IdxPrecio_O,1,MIN(10,ED$17))*(1+P_dPrecio)</f>
        <v>0</v>
      </c>
      <c r="EE68" s="48">
        <f t="shared" si="261"/>
        <v>0</v>
      </c>
      <c r="EF68" s="48">
        <f t="shared" si="261"/>
        <v>0</v>
      </c>
      <c r="EG68" s="48">
        <f t="shared" si="261"/>
        <v>0</v>
      </c>
      <c r="EH68" s="48">
        <f t="shared" si="261"/>
        <v>0</v>
      </c>
      <c r="EI68" s="48">
        <f t="shared" si="261"/>
        <v>0</v>
      </c>
      <c r="EJ68" s="48">
        <f t="shared" si="261"/>
        <v>0</v>
      </c>
      <c r="EK68" s="48">
        <f t="shared" si="261"/>
        <v>0</v>
      </c>
      <c r="EL68" s="48">
        <f t="shared" si="261"/>
        <v>0</v>
      </c>
      <c r="EM68" s="48">
        <f t="shared" si="261"/>
        <v>0</v>
      </c>
      <c r="EN68" s="48">
        <f t="shared" si="261"/>
        <v>0</v>
      </c>
      <c r="EO68" s="48">
        <f t="shared" si="261"/>
        <v>0</v>
      </c>
      <c r="EP68" s="48">
        <f t="shared" si="261"/>
        <v>0</v>
      </c>
      <c r="EQ68" s="48">
        <f t="shared" si="261"/>
        <v>0</v>
      </c>
      <c r="ER68" s="48">
        <f t="shared" si="261"/>
        <v>0</v>
      </c>
      <c r="ES68" s="48">
        <f t="shared" si="261"/>
        <v>0</v>
      </c>
    </row>
    <row r="69" spans="1:149" x14ac:dyDescent="0.3">
      <c r="A69" s="14" t="s">
        <v>1046</v>
      </c>
      <c r="B69" s="53" t="str">
        <f>IF(INDEX(Prod_Nombre,24)="","Producto 24",INDEX(Prod_Nombre,24))&amp;" — ventas USD"</f>
        <v>Producto 24 — ventas USD</v>
      </c>
      <c r="C69" s="18" t="s">
        <v>439</v>
      </c>
      <c r="E69" s="54">
        <f t="shared" si="181"/>
        <v>0</v>
      </c>
      <c r="F69" s="48">
        <f t="shared" ref="F69:AK69" si="262">F$44*INDEX(Precio_O,24)*INDEX(IdxPrecio_O,1,MIN(10,F$17))*(1+P_dPrecio)</f>
        <v>0</v>
      </c>
      <c r="G69" s="48">
        <f t="shared" si="262"/>
        <v>0</v>
      </c>
      <c r="H69" s="48">
        <f t="shared" si="262"/>
        <v>0</v>
      </c>
      <c r="I69" s="48">
        <f t="shared" si="262"/>
        <v>0</v>
      </c>
      <c r="J69" s="48">
        <f t="shared" si="262"/>
        <v>0</v>
      </c>
      <c r="K69" s="48">
        <f t="shared" si="262"/>
        <v>0</v>
      </c>
      <c r="L69" s="48">
        <f t="shared" si="262"/>
        <v>0</v>
      </c>
      <c r="M69" s="48">
        <f t="shared" si="262"/>
        <v>0</v>
      </c>
      <c r="N69" s="48">
        <f t="shared" si="262"/>
        <v>0</v>
      </c>
      <c r="O69" s="48">
        <f t="shared" si="262"/>
        <v>0</v>
      </c>
      <c r="P69" s="48">
        <f t="shared" si="262"/>
        <v>0</v>
      </c>
      <c r="Q69" s="48">
        <f t="shared" si="262"/>
        <v>0</v>
      </c>
      <c r="R69" s="48">
        <f t="shared" si="262"/>
        <v>0</v>
      </c>
      <c r="S69" s="48">
        <f t="shared" si="262"/>
        <v>0</v>
      </c>
      <c r="T69" s="48">
        <f t="shared" si="262"/>
        <v>0</v>
      </c>
      <c r="U69" s="48">
        <f t="shared" si="262"/>
        <v>0</v>
      </c>
      <c r="V69" s="48">
        <f t="shared" si="262"/>
        <v>0</v>
      </c>
      <c r="W69" s="48">
        <f t="shared" si="262"/>
        <v>0</v>
      </c>
      <c r="X69" s="48">
        <f t="shared" si="262"/>
        <v>0</v>
      </c>
      <c r="Y69" s="48">
        <f t="shared" si="262"/>
        <v>0</v>
      </c>
      <c r="Z69" s="48">
        <f t="shared" si="262"/>
        <v>0</v>
      </c>
      <c r="AA69" s="48">
        <f t="shared" si="262"/>
        <v>0</v>
      </c>
      <c r="AB69" s="48">
        <f t="shared" si="262"/>
        <v>0</v>
      </c>
      <c r="AC69" s="48">
        <f t="shared" si="262"/>
        <v>0</v>
      </c>
      <c r="AD69" s="48">
        <f t="shared" si="262"/>
        <v>0</v>
      </c>
      <c r="AE69" s="48">
        <f t="shared" si="262"/>
        <v>0</v>
      </c>
      <c r="AF69" s="48">
        <f t="shared" si="262"/>
        <v>0</v>
      </c>
      <c r="AG69" s="48">
        <f t="shared" si="262"/>
        <v>0</v>
      </c>
      <c r="AH69" s="48">
        <f t="shared" si="262"/>
        <v>0</v>
      </c>
      <c r="AI69" s="48">
        <f t="shared" si="262"/>
        <v>0</v>
      </c>
      <c r="AJ69" s="48">
        <f t="shared" si="262"/>
        <v>0</v>
      </c>
      <c r="AK69" s="48">
        <f t="shared" si="262"/>
        <v>0</v>
      </c>
      <c r="AL69" s="48">
        <f t="shared" ref="AL69:BQ69" si="263">AL$44*INDEX(Precio_O,24)*INDEX(IdxPrecio_O,1,MIN(10,AL$17))*(1+P_dPrecio)</f>
        <v>0</v>
      </c>
      <c r="AM69" s="48">
        <f t="shared" si="263"/>
        <v>0</v>
      </c>
      <c r="AN69" s="48">
        <f t="shared" si="263"/>
        <v>0</v>
      </c>
      <c r="AO69" s="48">
        <f t="shared" si="263"/>
        <v>0</v>
      </c>
      <c r="AP69" s="48">
        <f t="shared" si="263"/>
        <v>0</v>
      </c>
      <c r="AQ69" s="48">
        <f t="shared" si="263"/>
        <v>0</v>
      </c>
      <c r="AR69" s="48">
        <f t="shared" si="263"/>
        <v>0</v>
      </c>
      <c r="AS69" s="48">
        <f t="shared" si="263"/>
        <v>0</v>
      </c>
      <c r="AT69" s="48">
        <f t="shared" si="263"/>
        <v>0</v>
      </c>
      <c r="AU69" s="48">
        <f t="shared" si="263"/>
        <v>0</v>
      </c>
      <c r="AV69" s="48">
        <f t="shared" si="263"/>
        <v>0</v>
      </c>
      <c r="AW69" s="48">
        <f t="shared" si="263"/>
        <v>0</v>
      </c>
      <c r="AX69" s="48">
        <f t="shared" si="263"/>
        <v>0</v>
      </c>
      <c r="AY69" s="48">
        <f t="shared" si="263"/>
        <v>0</v>
      </c>
      <c r="AZ69" s="48">
        <f t="shared" si="263"/>
        <v>0</v>
      </c>
      <c r="BA69" s="48">
        <f t="shared" si="263"/>
        <v>0</v>
      </c>
      <c r="BB69" s="48">
        <f t="shared" si="263"/>
        <v>0</v>
      </c>
      <c r="BC69" s="48">
        <f t="shared" si="263"/>
        <v>0</v>
      </c>
      <c r="BD69" s="48">
        <f t="shared" si="263"/>
        <v>0</v>
      </c>
      <c r="BE69" s="48">
        <f t="shared" si="263"/>
        <v>0</v>
      </c>
      <c r="BF69" s="48">
        <f t="shared" si="263"/>
        <v>0</v>
      </c>
      <c r="BG69" s="48">
        <f t="shared" si="263"/>
        <v>0</v>
      </c>
      <c r="BH69" s="48">
        <f t="shared" si="263"/>
        <v>0</v>
      </c>
      <c r="BI69" s="48">
        <f t="shared" si="263"/>
        <v>0</v>
      </c>
      <c r="BJ69" s="48">
        <f t="shared" si="263"/>
        <v>0</v>
      </c>
      <c r="BK69" s="48">
        <f t="shared" si="263"/>
        <v>0</v>
      </c>
      <c r="BL69" s="48">
        <f t="shared" si="263"/>
        <v>0</v>
      </c>
      <c r="BM69" s="48">
        <f t="shared" si="263"/>
        <v>0</v>
      </c>
      <c r="BN69" s="48">
        <f t="shared" si="263"/>
        <v>0</v>
      </c>
      <c r="BO69" s="48">
        <f t="shared" si="263"/>
        <v>0</v>
      </c>
      <c r="BP69" s="48">
        <f t="shared" si="263"/>
        <v>0</v>
      </c>
      <c r="BQ69" s="48">
        <f t="shared" si="263"/>
        <v>0</v>
      </c>
      <c r="BR69" s="48">
        <f t="shared" ref="BR69:CW69" si="264">BR$44*INDEX(Precio_O,24)*INDEX(IdxPrecio_O,1,MIN(10,BR$17))*(1+P_dPrecio)</f>
        <v>0</v>
      </c>
      <c r="BS69" s="48">
        <f t="shared" si="264"/>
        <v>0</v>
      </c>
      <c r="BT69" s="48">
        <f t="shared" si="264"/>
        <v>0</v>
      </c>
      <c r="BU69" s="48">
        <f t="shared" si="264"/>
        <v>0</v>
      </c>
      <c r="BV69" s="48">
        <f t="shared" si="264"/>
        <v>0</v>
      </c>
      <c r="BW69" s="48">
        <f t="shared" si="264"/>
        <v>0</v>
      </c>
      <c r="BX69" s="48">
        <f t="shared" si="264"/>
        <v>0</v>
      </c>
      <c r="BY69" s="48">
        <f t="shared" si="264"/>
        <v>0</v>
      </c>
      <c r="BZ69" s="48">
        <f t="shared" si="264"/>
        <v>0</v>
      </c>
      <c r="CA69" s="48">
        <f t="shared" si="264"/>
        <v>0</v>
      </c>
      <c r="CB69" s="48">
        <f t="shared" si="264"/>
        <v>0</v>
      </c>
      <c r="CC69" s="48">
        <f t="shared" si="264"/>
        <v>0</v>
      </c>
      <c r="CD69" s="48">
        <f t="shared" si="264"/>
        <v>0</v>
      </c>
      <c r="CE69" s="48">
        <f t="shared" si="264"/>
        <v>0</v>
      </c>
      <c r="CF69" s="48">
        <f t="shared" si="264"/>
        <v>0</v>
      </c>
      <c r="CG69" s="48">
        <f t="shared" si="264"/>
        <v>0</v>
      </c>
      <c r="CH69" s="48">
        <f t="shared" si="264"/>
        <v>0</v>
      </c>
      <c r="CI69" s="48">
        <f t="shared" si="264"/>
        <v>0</v>
      </c>
      <c r="CJ69" s="48">
        <f t="shared" si="264"/>
        <v>0</v>
      </c>
      <c r="CK69" s="48">
        <f t="shared" si="264"/>
        <v>0</v>
      </c>
      <c r="CL69" s="48">
        <f t="shared" si="264"/>
        <v>0</v>
      </c>
      <c r="CM69" s="48">
        <f t="shared" si="264"/>
        <v>0</v>
      </c>
      <c r="CN69" s="48">
        <f t="shared" si="264"/>
        <v>0</v>
      </c>
      <c r="CO69" s="48">
        <f t="shared" si="264"/>
        <v>0</v>
      </c>
      <c r="CP69" s="48">
        <f t="shared" si="264"/>
        <v>0</v>
      </c>
      <c r="CQ69" s="48">
        <f t="shared" si="264"/>
        <v>0</v>
      </c>
      <c r="CR69" s="48">
        <f t="shared" si="264"/>
        <v>0</v>
      </c>
      <c r="CS69" s="48">
        <f t="shared" si="264"/>
        <v>0</v>
      </c>
      <c r="CT69" s="48">
        <f t="shared" si="264"/>
        <v>0</v>
      </c>
      <c r="CU69" s="48">
        <f t="shared" si="264"/>
        <v>0</v>
      </c>
      <c r="CV69" s="48">
        <f t="shared" si="264"/>
        <v>0</v>
      </c>
      <c r="CW69" s="48">
        <f t="shared" si="264"/>
        <v>0</v>
      </c>
      <c r="CX69" s="48">
        <f t="shared" ref="CX69:EC69" si="265">CX$44*INDEX(Precio_O,24)*INDEX(IdxPrecio_O,1,MIN(10,CX$17))*(1+P_dPrecio)</f>
        <v>0</v>
      </c>
      <c r="CY69" s="48">
        <f t="shared" si="265"/>
        <v>0</v>
      </c>
      <c r="CZ69" s="48">
        <f t="shared" si="265"/>
        <v>0</v>
      </c>
      <c r="DA69" s="48">
        <f t="shared" si="265"/>
        <v>0</v>
      </c>
      <c r="DB69" s="48">
        <f t="shared" si="265"/>
        <v>0</v>
      </c>
      <c r="DC69" s="48">
        <f t="shared" si="265"/>
        <v>0</v>
      </c>
      <c r="DD69" s="48">
        <f t="shared" si="265"/>
        <v>0</v>
      </c>
      <c r="DE69" s="48">
        <f t="shared" si="265"/>
        <v>0</v>
      </c>
      <c r="DF69" s="48">
        <f t="shared" si="265"/>
        <v>0</v>
      </c>
      <c r="DG69" s="48">
        <f t="shared" si="265"/>
        <v>0</v>
      </c>
      <c r="DH69" s="48">
        <f t="shared" si="265"/>
        <v>0</v>
      </c>
      <c r="DI69" s="48">
        <f t="shared" si="265"/>
        <v>0</v>
      </c>
      <c r="DJ69" s="48">
        <f t="shared" si="265"/>
        <v>0</v>
      </c>
      <c r="DK69" s="48">
        <f t="shared" si="265"/>
        <v>0</v>
      </c>
      <c r="DL69" s="48">
        <f t="shared" si="265"/>
        <v>0</v>
      </c>
      <c r="DM69" s="48">
        <f t="shared" si="265"/>
        <v>0</v>
      </c>
      <c r="DN69" s="48">
        <f t="shared" si="265"/>
        <v>0</v>
      </c>
      <c r="DO69" s="48">
        <f t="shared" si="265"/>
        <v>0</v>
      </c>
      <c r="DP69" s="48">
        <f t="shared" si="265"/>
        <v>0</v>
      </c>
      <c r="DQ69" s="48">
        <f t="shared" si="265"/>
        <v>0</v>
      </c>
      <c r="DR69" s="48">
        <f t="shared" si="265"/>
        <v>0</v>
      </c>
      <c r="DS69" s="48">
        <f t="shared" si="265"/>
        <v>0</v>
      </c>
      <c r="DT69" s="48">
        <f t="shared" si="265"/>
        <v>0</v>
      </c>
      <c r="DU69" s="48">
        <f t="shared" si="265"/>
        <v>0</v>
      </c>
      <c r="DV69" s="48">
        <f t="shared" si="265"/>
        <v>0</v>
      </c>
      <c r="DW69" s="48">
        <f t="shared" si="265"/>
        <v>0</v>
      </c>
      <c r="DX69" s="48">
        <f t="shared" si="265"/>
        <v>0</v>
      </c>
      <c r="DY69" s="48">
        <f t="shared" si="265"/>
        <v>0</v>
      </c>
      <c r="DZ69" s="48">
        <f t="shared" si="265"/>
        <v>0</v>
      </c>
      <c r="EA69" s="48">
        <f t="shared" si="265"/>
        <v>0</v>
      </c>
      <c r="EB69" s="48">
        <f t="shared" si="265"/>
        <v>0</v>
      </c>
      <c r="EC69" s="48">
        <f t="shared" si="265"/>
        <v>0</v>
      </c>
      <c r="ED69" s="48">
        <f t="shared" ref="ED69:ES69" si="266">ED$44*INDEX(Precio_O,24)*INDEX(IdxPrecio_O,1,MIN(10,ED$17))*(1+P_dPrecio)</f>
        <v>0</v>
      </c>
      <c r="EE69" s="48">
        <f t="shared" si="266"/>
        <v>0</v>
      </c>
      <c r="EF69" s="48">
        <f t="shared" si="266"/>
        <v>0</v>
      </c>
      <c r="EG69" s="48">
        <f t="shared" si="266"/>
        <v>0</v>
      </c>
      <c r="EH69" s="48">
        <f t="shared" si="266"/>
        <v>0</v>
      </c>
      <c r="EI69" s="48">
        <f t="shared" si="266"/>
        <v>0</v>
      </c>
      <c r="EJ69" s="48">
        <f t="shared" si="266"/>
        <v>0</v>
      </c>
      <c r="EK69" s="48">
        <f t="shared" si="266"/>
        <v>0</v>
      </c>
      <c r="EL69" s="48">
        <f t="shared" si="266"/>
        <v>0</v>
      </c>
      <c r="EM69" s="48">
        <f t="shared" si="266"/>
        <v>0</v>
      </c>
      <c r="EN69" s="48">
        <f t="shared" si="266"/>
        <v>0</v>
      </c>
      <c r="EO69" s="48">
        <f t="shared" si="266"/>
        <v>0</v>
      </c>
      <c r="EP69" s="48">
        <f t="shared" si="266"/>
        <v>0</v>
      </c>
      <c r="EQ69" s="48">
        <f t="shared" si="266"/>
        <v>0</v>
      </c>
      <c r="ER69" s="48">
        <f t="shared" si="266"/>
        <v>0</v>
      </c>
      <c r="ES69" s="48">
        <f t="shared" si="266"/>
        <v>0</v>
      </c>
    </row>
    <row r="70" spans="1:149" x14ac:dyDescent="0.3">
      <c r="A70" s="14" t="s">
        <v>1047</v>
      </c>
      <c r="B70" s="53" t="str">
        <f>IF(INDEX(Prod_Nombre,25)="","Producto 25",INDEX(Prod_Nombre,25))&amp;" — ventas USD"</f>
        <v>Producto 25 — ventas USD</v>
      </c>
      <c r="C70" s="18" t="s">
        <v>439</v>
      </c>
      <c r="E70" s="54">
        <f t="shared" si="181"/>
        <v>0</v>
      </c>
      <c r="F70" s="48">
        <f t="shared" ref="F70:AK70" si="267">F$45*INDEX(Precio_O,25)*INDEX(IdxPrecio_O,1,MIN(10,F$17))*(1+P_dPrecio)</f>
        <v>0</v>
      </c>
      <c r="G70" s="48">
        <f t="shared" si="267"/>
        <v>0</v>
      </c>
      <c r="H70" s="48">
        <f t="shared" si="267"/>
        <v>0</v>
      </c>
      <c r="I70" s="48">
        <f t="shared" si="267"/>
        <v>0</v>
      </c>
      <c r="J70" s="48">
        <f t="shared" si="267"/>
        <v>0</v>
      </c>
      <c r="K70" s="48">
        <f t="shared" si="267"/>
        <v>0</v>
      </c>
      <c r="L70" s="48">
        <f t="shared" si="267"/>
        <v>0</v>
      </c>
      <c r="M70" s="48">
        <f t="shared" si="267"/>
        <v>0</v>
      </c>
      <c r="N70" s="48">
        <f t="shared" si="267"/>
        <v>0</v>
      </c>
      <c r="O70" s="48">
        <f t="shared" si="267"/>
        <v>0</v>
      </c>
      <c r="P70" s="48">
        <f t="shared" si="267"/>
        <v>0</v>
      </c>
      <c r="Q70" s="48">
        <f t="shared" si="267"/>
        <v>0</v>
      </c>
      <c r="R70" s="48">
        <f t="shared" si="267"/>
        <v>0</v>
      </c>
      <c r="S70" s="48">
        <f t="shared" si="267"/>
        <v>0</v>
      </c>
      <c r="T70" s="48">
        <f t="shared" si="267"/>
        <v>0</v>
      </c>
      <c r="U70" s="48">
        <f t="shared" si="267"/>
        <v>0</v>
      </c>
      <c r="V70" s="48">
        <f t="shared" si="267"/>
        <v>0</v>
      </c>
      <c r="W70" s="48">
        <f t="shared" si="267"/>
        <v>0</v>
      </c>
      <c r="X70" s="48">
        <f t="shared" si="267"/>
        <v>0</v>
      </c>
      <c r="Y70" s="48">
        <f t="shared" si="267"/>
        <v>0</v>
      </c>
      <c r="Z70" s="48">
        <f t="shared" si="267"/>
        <v>0</v>
      </c>
      <c r="AA70" s="48">
        <f t="shared" si="267"/>
        <v>0</v>
      </c>
      <c r="AB70" s="48">
        <f t="shared" si="267"/>
        <v>0</v>
      </c>
      <c r="AC70" s="48">
        <f t="shared" si="267"/>
        <v>0</v>
      </c>
      <c r="AD70" s="48">
        <f t="shared" si="267"/>
        <v>0</v>
      </c>
      <c r="AE70" s="48">
        <f t="shared" si="267"/>
        <v>0</v>
      </c>
      <c r="AF70" s="48">
        <f t="shared" si="267"/>
        <v>0</v>
      </c>
      <c r="AG70" s="48">
        <f t="shared" si="267"/>
        <v>0</v>
      </c>
      <c r="AH70" s="48">
        <f t="shared" si="267"/>
        <v>0</v>
      </c>
      <c r="AI70" s="48">
        <f t="shared" si="267"/>
        <v>0</v>
      </c>
      <c r="AJ70" s="48">
        <f t="shared" si="267"/>
        <v>0</v>
      </c>
      <c r="AK70" s="48">
        <f t="shared" si="267"/>
        <v>0</v>
      </c>
      <c r="AL70" s="48">
        <f t="shared" ref="AL70:BQ70" si="268">AL$45*INDEX(Precio_O,25)*INDEX(IdxPrecio_O,1,MIN(10,AL$17))*(1+P_dPrecio)</f>
        <v>0</v>
      </c>
      <c r="AM70" s="48">
        <f t="shared" si="268"/>
        <v>0</v>
      </c>
      <c r="AN70" s="48">
        <f t="shared" si="268"/>
        <v>0</v>
      </c>
      <c r="AO70" s="48">
        <f t="shared" si="268"/>
        <v>0</v>
      </c>
      <c r="AP70" s="48">
        <f t="shared" si="268"/>
        <v>0</v>
      </c>
      <c r="AQ70" s="48">
        <f t="shared" si="268"/>
        <v>0</v>
      </c>
      <c r="AR70" s="48">
        <f t="shared" si="268"/>
        <v>0</v>
      </c>
      <c r="AS70" s="48">
        <f t="shared" si="268"/>
        <v>0</v>
      </c>
      <c r="AT70" s="48">
        <f t="shared" si="268"/>
        <v>0</v>
      </c>
      <c r="AU70" s="48">
        <f t="shared" si="268"/>
        <v>0</v>
      </c>
      <c r="AV70" s="48">
        <f t="shared" si="268"/>
        <v>0</v>
      </c>
      <c r="AW70" s="48">
        <f t="shared" si="268"/>
        <v>0</v>
      </c>
      <c r="AX70" s="48">
        <f t="shared" si="268"/>
        <v>0</v>
      </c>
      <c r="AY70" s="48">
        <f t="shared" si="268"/>
        <v>0</v>
      </c>
      <c r="AZ70" s="48">
        <f t="shared" si="268"/>
        <v>0</v>
      </c>
      <c r="BA70" s="48">
        <f t="shared" si="268"/>
        <v>0</v>
      </c>
      <c r="BB70" s="48">
        <f t="shared" si="268"/>
        <v>0</v>
      </c>
      <c r="BC70" s="48">
        <f t="shared" si="268"/>
        <v>0</v>
      </c>
      <c r="BD70" s="48">
        <f t="shared" si="268"/>
        <v>0</v>
      </c>
      <c r="BE70" s="48">
        <f t="shared" si="268"/>
        <v>0</v>
      </c>
      <c r="BF70" s="48">
        <f t="shared" si="268"/>
        <v>0</v>
      </c>
      <c r="BG70" s="48">
        <f t="shared" si="268"/>
        <v>0</v>
      </c>
      <c r="BH70" s="48">
        <f t="shared" si="268"/>
        <v>0</v>
      </c>
      <c r="BI70" s="48">
        <f t="shared" si="268"/>
        <v>0</v>
      </c>
      <c r="BJ70" s="48">
        <f t="shared" si="268"/>
        <v>0</v>
      </c>
      <c r="BK70" s="48">
        <f t="shared" si="268"/>
        <v>0</v>
      </c>
      <c r="BL70" s="48">
        <f t="shared" si="268"/>
        <v>0</v>
      </c>
      <c r="BM70" s="48">
        <f t="shared" si="268"/>
        <v>0</v>
      </c>
      <c r="BN70" s="48">
        <f t="shared" si="268"/>
        <v>0</v>
      </c>
      <c r="BO70" s="48">
        <f t="shared" si="268"/>
        <v>0</v>
      </c>
      <c r="BP70" s="48">
        <f t="shared" si="268"/>
        <v>0</v>
      </c>
      <c r="BQ70" s="48">
        <f t="shared" si="268"/>
        <v>0</v>
      </c>
      <c r="BR70" s="48">
        <f t="shared" ref="BR70:CW70" si="269">BR$45*INDEX(Precio_O,25)*INDEX(IdxPrecio_O,1,MIN(10,BR$17))*(1+P_dPrecio)</f>
        <v>0</v>
      </c>
      <c r="BS70" s="48">
        <f t="shared" si="269"/>
        <v>0</v>
      </c>
      <c r="BT70" s="48">
        <f t="shared" si="269"/>
        <v>0</v>
      </c>
      <c r="BU70" s="48">
        <f t="shared" si="269"/>
        <v>0</v>
      </c>
      <c r="BV70" s="48">
        <f t="shared" si="269"/>
        <v>0</v>
      </c>
      <c r="BW70" s="48">
        <f t="shared" si="269"/>
        <v>0</v>
      </c>
      <c r="BX70" s="48">
        <f t="shared" si="269"/>
        <v>0</v>
      </c>
      <c r="BY70" s="48">
        <f t="shared" si="269"/>
        <v>0</v>
      </c>
      <c r="BZ70" s="48">
        <f t="shared" si="269"/>
        <v>0</v>
      </c>
      <c r="CA70" s="48">
        <f t="shared" si="269"/>
        <v>0</v>
      </c>
      <c r="CB70" s="48">
        <f t="shared" si="269"/>
        <v>0</v>
      </c>
      <c r="CC70" s="48">
        <f t="shared" si="269"/>
        <v>0</v>
      </c>
      <c r="CD70" s="48">
        <f t="shared" si="269"/>
        <v>0</v>
      </c>
      <c r="CE70" s="48">
        <f t="shared" si="269"/>
        <v>0</v>
      </c>
      <c r="CF70" s="48">
        <f t="shared" si="269"/>
        <v>0</v>
      </c>
      <c r="CG70" s="48">
        <f t="shared" si="269"/>
        <v>0</v>
      </c>
      <c r="CH70" s="48">
        <f t="shared" si="269"/>
        <v>0</v>
      </c>
      <c r="CI70" s="48">
        <f t="shared" si="269"/>
        <v>0</v>
      </c>
      <c r="CJ70" s="48">
        <f t="shared" si="269"/>
        <v>0</v>
      </c>
      <c r="CK70" s="48">
        <f t="shared" si="269"/>
        <v>0</v>
      </c>
      <c r="CL70" s="48">
        <f t="shared" si="269"/>
        <v>0</v>
      </c>
      <c r="CM70" s="48">
        <f t="shared" si="269"/>
        <v>0</v>
      </c>
      <c r="CN70" s="48">
        <f t="shared" si="269"/>
        <v>0</v>
      </c>
      <c r="CO70" s="48">
        <f t="shared" si="269"/>
        <v>0</v>
      </c>
      <c r="CP70" s="48">
        <f t="shared" si="269"/>
        <v>0</v>
      </c>
      <c r="CQ70" s="48">
        <f t="shared" si="269"/>
        <v>0</v>
      </c>
      <c r="CR70" s="48">
        <f t="shared" si="269"/>
        <v>0</v>
      </c>
      <c r="CS70" s="48">
        <f t="shared" si="269"/>
        <v>0</v>
      </c>
      <c r="CT70" s="48">
        <f t="shared" si="269"/>
        <v>0</v>
      </c>
      <c r="CU70" s="48">
        <f t="shared" si="269"/>
        <v>0</v>
      </c>
      <c r="CV70" s="48">
        <f t="shared" si="269"/>
        <v>0</v>
      </c>
      <c r="CW70" s="48">
        <f t="shared" si="269"/>
        <v>0</v>
      </c>
      <c r="CX70" s="48">
        <f t="shared" ref="CX70:EC70" si="270">CX$45*INDEX(Precio_O,25)*INDEX(IdxPrecio_O,1,MIN(10,CX$17))*(1+P_dPrecio)</f>
        <v>0</v>
      </c>
      <c r="CY70" s="48">
        <f t="shared" si="270"/>
        <v>0</v>
      </c>
      <c r="CZ70" s="48">
        <f t="shared" si="270"/>
        <v>0</v>
      </c>
      <c r="DA70" s="48">
        <f t="shared" si="270"/>
        <v>0</v>
      </c>
      <c r="DB70" s="48">
        <f t="shared" si="270"/>
        <v>0</v>
      </c>
      <c r="DC70" s="48">
        <f t="shared" si="270"/>
        <v>0</v>
      </c>
      <c r="DD70" s="48">
        <f t="shared" si="270"/>
        <v>0</v>
      </c>
      <c r="DE70" s="48">
        <f t="shared" si="270"/>
        <v>0</v>
      </c>
      <c r="DF70" s="48">
        <f t="shared" si="270"/>
        <v>0</v>
      </c>
      <c r="DG70" s="48">
        <f t="shared" si="270"/>
        <v>0</v>
      </c>
      <c r="DH70" s="48">
        <f t="shared" si="270"/>
        <v>0</v>
      </c>
      <c r="DI70" s="48">
        <f t="shared" si="270"/>
        <v>0</v>
      </c>
      <c r="DJ70" s="48">
        <f t="shared" si="270"/>
        <v>0</v>
      </c>
      <c r="DK70" s="48">
        <f t="shared" si="270"/>
        <v>0</v>
      </c>
      <c r="DL70" s="48">
        <f t="shared" si="270"/>
        <v>0</v>
      </c>
      <c r="DM70" s="48">
        <f t="shared" si="270"/>
        <v>0</v>
      </c>
      <c r="DN70" s="48">
        <f t="shared" si="270"/>
        <v>0</v>
      </c>
      <c r="DO70" s="48">
        <f t="shared" si="270"/>
        <v>0</v>
      </c>
      <c r="DP70" s="48">
        <f t="shared" si="270"/>
        <v>0</v>
      </c>
      <c r="DQ70" s="48">
        <f t="shared" si="270"/>
        <v>0</v>
      </c>
      <c r="DR70" s="48">
        <f t="shared" si="270"/>
        <v>0</v>
      </c>
      <c r="DS70" s="48">
        <f t="shared" si="270"/>
        <v>0</v>
      </c>
      <c r="DT70" s="48">
        <f t="shared" si="270"/>
        <v>0</v>
      </c>
      <c r="DU70" s="48">
        <f t="shared" si="270"/>
        <v>0</v>
      </c>
      <c r="DV70" s="48">
        <f t="shared" si="270"/>
        <v>0</v>
      </c>
      <c r="DW70" s="48">
        <f t="shared" si="270"/>
        <v>0</v>
      </c>
      <c r="DX70" s="48">
        <f t="shared" si="270"/>
        <v>0</v>
      </c>
      <c r="DY70" s="48">
        <f t="shared" si="270"/>
        <v>0</v>
      </c>
      <c r="DZ70" s="48">
        <f t="shared" si="270"/>
        <v>0</v>
      </c>
      <c r="EA70" s="48">
        <f t="shared" si="270"/>
        <v>0</v>
      </c>
      <c r="EB70" s="48">
        <f t="shared" si="270"/>
        <v>0</v>
      </c>
      <c r="EC70" s="48">
        <f t="shared" si="270"/>
        <v>0</v>
      </c>
      <c r="ED70" s="48">
        <f t="shared" ref="ED70:ES70" si="271">ED$45*INDEX(Precio_O,25)*INDEX(IdxPrecio_O,1,MIN(10,ED$17))*(1+P_dPrecio)</f>
        <v>0</v>
      </c>
      <c r="EE70" s="48">
        <f t="shared" si="271"/>
        <v>0</v>
      </c>
      <c r="EF70" s="48">
        <f t="shared" si="271"/>
        <v>0</v>
      </c>
      <c r="EG70" s="48">
        <f t="shared" si="271"/>
        <v>0</v>
      </c>
      <c r="EH70" s="48">
        <f t="shared" si="271"/>
        <v>0</v>
      </c>
      <c r="EI70" s="48">
        <f t="shared" si="271"/>
        <v>0</v>
      </c>
      <c r="EJ70" s="48">
        <f t="shared" si="271"/>
        <v>0</v>
      </c>
      <c r="EK70" s="48">
        <f t="shared" si="271"/>
        <v>0</v>
      </c>
      <c r="EL70" s="48">
        <f t="shared" si="271"/>
        <v>0</v>
      </c>
      <c r="EM70" s="48">
        <f t="shared" si="271"/>
        <v>0</v>
      </c>
      <c r="EN70" s="48">
        <f t="shared" si="271"/>
        <v>0</v>
      </c>
      <c r="EO70" s="48">
        <f t="shared" si="271"/>
        <v>0</v>
      </c>
      <c r="EP70" s="48">
        <f t="shared" si="271"/>
        <v>0</v>
      </c>
      <c r="EQ70" s="48">
        <f t="shared" si="271"/>
        <v>0</v>
      </c>
      <c r="ER70" s="48">
        <f t="shared" si="271"/>
        <v>0</v>
      </c>
      <c r="ES70" s="48">
        <f t="shared" si="271"/>
        <v>0</v>
      </c>
    </row>
    <row r="71" spans="1:149" x14ac:dyDescent="0.3">
      <c r="A71" s="14" t="s">
        <v>1048</v>
      </c>
      <c r="B71" s="68" t="s">
        <v>1049</v>
      </c>
      <c r="C71" s="18" t="s">
        <v>439</v>
      </c>
      <c r="E71" s="54">
        <f t="shared" si="181"/>
        <v>81222447.721645534</v>
      </c>
      <c r="F71" s="22">
        <f t="shared" ref="F71:AK71" si="272">SUM(F$46:F$70)</f>
        <v>404166.66666666663</v>
      </c>
      <c r="G71" s="22">
        <f t="shared" si="272"/>
        <v>404166.66666666663</v>
      </c>
      <c r="H71" s="22">
        <f t="shared" si="272"/>
        <v>404166.66666666663</v>
      </c>
      <c r="I71" s="22">
        <f t="shared" si="272"/>
        <v>404166.66666666663</v>
      </c>
      <c r="J71" s="22">
        <f t="shared" si="272"/>
        <v>404166.66666666663</v>
      </c>
      <c r="K71" s="22">
        <f t="shared" si="272"/>
        <v>404166.66666666663</v>
      </c>
      <c r="L71" s="22">
        <f t="shared" si="272"/>
        <v>404166.66666666663</v>
      </c>
      <c r="M71" s="22">
        <f t="shared" si="272"/>
        <v>404166.66666666663</v>
      </c>
      <c r="N71" s="22">
        <f t="shared" si="272"/>
        <v>404166.66666666663</v>
      </c>
      <c r="O71" s="22">
        <f t="shared" si="272"/>
        <v>404166.66666666663</v>
      </c>
      <c r="P71" s="22">
        <f t="shared" si="272"/>
        <v>404166.66666666663</v>
      </c>
      <c r="Q71" s="22">
        <f t="shared" si="272"/>
        <v>404166.66666666663</v>
      </c>
      <c r="R71" s="22">
        <f t="shared" si="272"/>
        <v>515100</v>
      </c>
      <c r="S71" s="22">
        <f t="shared" si="272"/>
        <v>515100</v>
      </c>
      <c r="T71" s="22">
        <f t="shared" si="272"/>
        <v>515100</v>
      </c>
      <c r="U71" s="22">
        <f t="shared" si="272"/>
        <v>515100</v>
      </c>
      <c r="V71" s="22">
        <f t="shared" si="272"/>
        <v>515100</v>
      </c>
      <c r="W71" s="22">
        <f t="shared" si="272"/>
        <v>515100</v>
      </c>
      <c r="X71" s="22">
        <f t="shared" si="272"/>
        <v>515100</v>
      </c>
      <c r="Y71" s="22">
        <f t="shared" si="272"/>
        <v>515100</v>
      </c>
      <c r="Z71" s="22">
        <f t="shared" si="272"/>
        <v>515100</v>
      </c>
      <c r="AA71" s="22">
        <f t="shared" si="272"/>
        <v>515100</v>
      </c>
      <c r="AB71" s="22">
        <f t="shared" si="272"/>
        <v>515100</v>
      </c>
      <c r="AC71" s="22">
        <f t="shared" si="272"/>
        <v>515100</v>
      </c>
      <c r="AD71" s="22">
        <f t="shared" si="272"/>
        <v>628211.58333333326</v>
      </c>
      <c r="AE71" s="22">
        <f t="shared" si="272"/>
        <v>628211.58333333326</v>
      </c>
      <c r="AF71" s="22">
        <f t="shared" si="272"/>
        <v>628211.58333333326</v>
      </c>
      <c r="AG71" s="22">
        <f t="shared" si="272"/>
        <v>628211.58333333326</v>
      </c>
      <c r="AH71" s="22">
        <f t="shared" si="272"/>
        <v>628211.58333333326</v>
      </c>
      <c r="AI71" s="22">
        <f t="shared" si="272"/>
        <v>628211.58333333326</v>
      </c>
      <c r="AJ71" s="22">
        <f t="shared" si="272"/>
        <v>628211.58333333326</v>
      </c>
      <c r="AK71" s="22">
        <f t="shared" si="272"/>
        <v>628211.58333333326</v>
      </c>
      <c r="AL71" s="22">
        <f t="shared" ref="AL71:BQ71" si="273">SUM(AL$46:AL$70)</f>
        <v>628211.58333333326</v>
      </c>
      <c r="AM71" s="22">
        <f t="shared" si="273"/>
        <v>628211.58333333326</v>
      </c>
      <c r="AN71" s="22">
        <f t="shared" si="273"/>
        <v>628211.58333333326</v>
      </c>
      <c r="AO71" s="22">
        <f t="shared" si="273"/>
        <v>628211.58333333326</v>
      </c>
      <c r="AP71" s="22">
        <f t="shared" si="273"/>
        <v>723786.4524999999</v>
      </c>
      <c r="AQ71" s="22">
        <f t="shared" si="273"/>
        <v>723786.4524999999</v>
      </c>
      <c r="AR71" s="22">
        <f t="shared" si="273"/>
        <v>723786.4524999999</v>
      </c>
      <c r="AS71" s="22">
        <f t="shared" si="273"/>
        <v>723786.4524999999</v>
      </c>
      <c r="AT71" s="22">
        <f t="shared" si="273"/>
        <v>723786.4524999999</v>
      </c>
      <c r="AU71" s="22">
        <f t="shared" si="273"/>
        <v>723786.4524999999</v>
      </c>
      <c r="AV71" s="22">
        <f t="shared" si="273"/>
        <v>723786.4524999999</v>
      </c>
      <c r="AW71" s="22">
        <f t="shared" si="273"/>
        <v>723786.4524999999</v>
      </c>
      <c r="AX71" s="22">
        <f t="shared" si="273"/>
        <v>723786.4524999999</v>
      </c>
      <c r="AY71" s="22">
        <f t="shared" si="273"/>
        <v>723786.4524999999</v>
      </c>
      <c r="AZ71" s="22">
        <f t="shared" si="273"/>
        <v>723786.4524999999</v>
      </c>
      <c r="BA71" s="22">
        <f t="shared" si="273"/>
        <v>723786.4524999999</v>
      </c>
      <c r="BB71" s="22">
        <f t="shared" si="273"/>
        <v>731024.317025</v>
      </c>
      <c r="BC71" s="22">
        <f t="shared" si="273"/>
        <v>731024.317025</v>
      </c>
      <c r="BD71" s="22">
        <f t="shared" si="273"/>
        <v>731024.317025</v>
      </c>
      <c r="BE71" s="22">
        <f t="shared" si="273"/>
        <v>731024.317025</v>
      </c>
      <c r="BF71" s="22">
        <f t="shared" si="273"/>
        <v>731024.317025</v>
      </c>
      <c r="BG71" s="22">
        <f t="shared" si="273"/>
        <v>731024.317025</v>
      </c>
      <c r="BH71" s="22">
        <f t="shared" si="273"/>
        <v>731024.317025</v>
      </c>
      <c r="BI71" s="22">
        <f t="shared" si="273"/>
        <v>731024.317025</v>
      </c>
      <c r="BJ71" s="22">
        <f t="shared" si="273"/>
        <v>731024.317025</v>
      </c>
      <c r="BK71" s="22">
        <f t="shared" si="273"/>
        <v>731024.317025</v>
      </c>
      <c r="BL71" s="22">
        <f t="shared" si="273"/>
        <v>731024.317025</v>
      </c>
      <c r="BM71" s="22">
        <f t="shared" si="273"/>
        <v>731024.317025</v>
      </c>
      <c r="BN71" s="22">
        <f t="shared" si="273"/>
        <v>738334.56019524997</v>
      </c>
      <c r="BO71" s="22">
        <f t="shared" si="273"/>
        <v>738334.56019524997</v>
      </c>
      <c r="BP71" s="22">
        <f t="shared" si="273"/>
        <v>738334.56019524997</v>
      </c>
      <c r="BQ71" s="22">
        <f t="shared" si="273"/>
        <v>738334.56019524997</v>
      </c>
      <c r="BR71" s="22">
        <f t="shared" ref="BR71:CW71" si="274">SUM(BR$46:BR$70)</f>
        <v>738334.56019524997</v>
      </c>
      <c r="BS71" s="22">
        <f t="shared" si="274"/>
        <v>738334.56019524997</v>
      </c>
      <c r="BT71" s="22">
        <f t="shared" si="274"/>
        <v>738334.56019524997</v>
      </c>
      <c r="BU71" s="22">
        <f t="shared" si="274"/>
        <v>738334.56019524997</v>
      </c>
      <c r="BV71" s="22">
        <f t="shared" si="274"/>
        <v>738334.56019524997</v>
      </c>
      <c r="BW71" s="22">
        <f t="shared" si="274"/>
        <v>738334.56019524997</v>
      </c>
      <c r="BX71" s="22">
        <f t="shared" si="274"/>
        <v>738334.56019524997</v>
      </c>
      <c r="BY71" s="22">
        <f t="shared" si="274"/>
        <v>738334.56019524997</v>
      </c>
      <c r="BZ71" s="22">
        <f t="shared" si="274"/>
        <v>745717.90579720237</v>
      </c>
      <c r="CA71" s="22">
        <f t="shared" si="274"/>
        <v>745717.90579720237</v>
      </c>
      <c r="CB71" s="22">
        <f t="shared" si="274"/>
        <v>745717.90579720237</v>
      </c>
      <c r="CC71" s="22">
        <f t="shared" si="274"/>
        <v>745717.90579720237</v>
      </c>
      <c r="CD71" s="22">
        <f t="shared" si="274"/>
        <v>745717.90579720237</v>
      </c>
      <c r="CE71" s="22">
        <f t="shared" si="274"/>
        <v>745717.90579720237</v>
      </c>
      <c r="CF71" s="22">
        <f t="shared" si="274"/>
        <v>745717.90579720237</v>
      </c>
      <c r="CG71" s="22">
        <f t="shared" si="274"/>
        <v>745717.90579720237</v>
      </c>
      <c r="CH71" s="22">
        <f t="shared" si="274"/>
        <v>745717.90579720237</v>
      </c>
      <c r="CI71" s="22">
        <f t="shared" si="274"/>
        <v>745717.90579720237</v>
      </c>
      <c r="CJ71" s="22">
        <f t="shared" si="274"/>
        <v>745717.90579720237</v>
      </c>
      <c r="CK71" s="22">
        <f t="shared" si="274"/>
        <v>745717.90579720237</v>
      </c>
      <c r="CL71" s="22">
        <f t="shared" si="274"/>
        <v>753175.08485517441</v>
      </c>
      <c r="CM71" s="22">
        <f t="shared" si="274"/>
        <v>753175.08485517441</v>
      </c>
      <c r="CN71" s="22">
        <f t="shared" si="274"/>
        <v>753175.08485517441</v>
      </c>
      <c r="CO71" s="22">
        <f t="shared" si="274"/>
        <v>753175.08485517441</v>
      </c>
      <c r="CP71" s="22">
        <f t="shared" si="274"/>
        <v>753175.08485517441</v>
      </c>
      <c r="CQ71" s="22">
        <f t="shared" si="274"/>
        <v>753175.08485517441</v>
      </c>
      <c r="CR71" s="22">
        <f t="shared" si="274"/>
        <v>753175.08485517441</v>
      </c>
      <c r="CS71" s="22">
        <f t="shared" si="274"/>
        <v>753175.08485517441</v>
      </c>
      <c r="CT71" s="22">
        <f t="shared" si="274"/>
        <v>753175.08485517441</v>
      </c>
      <c r="CU71" s="22">
        <f t="shared" si="274"/>
        <v>753175.08485517441</v>
      </c>
      <c r="CV71" s="22">
        <f t="shared" si="274"/>
        <v>753175.08485517441</v>
      </c>
      <c r="CW71" s="22">
        <f t="shared" si="274"/>
        <v>753175.08485517441</v>
      </c>
      <c r="CX71" s="22">
        <f t="shared" ref="CX71:EC71" si="275">SUM(CX$46:CX$70)</f>
        <v>760706.83570372616</v>
      </c>
      <c r="CY71" s="22">
        <f t="shared" si="275"/>
        <v>760706.83570372616</v>
      </c>
      <c r="CZ71" s="22">
        <f t="shared" si="275"/>
        <v>760706.83570372616</v>
      </c>
      <c r="DA71" s="22">
        <f t="shared" si="275"/>
        <v>760706.83570372616</v>
      </c>
      <c r="DB71" s="22">
        <f t="shared" si="275"/>
        <v>760706.83570372616</v>
      </c>
      <c r="DC71" s="22">
        <f t="shared" si="275"/>
        <v>760706.83570372616</v>
      </c>
      <c r="DD71" s="22">
        <f t="shared" si="275"/>
        <v>760706.83570372616</v>
      </c>
      <c r="DE71" s="22">
        <f t="shared" si="275"/>
        <v>760706.83570372616</v>
      </c>
      <c r="DF71" s="22">
        <f t="shared" si="275"/>
        <v>760706.83570372616</v>
      </c>
      <c r="DG71" s="22">
        <f t="shared" si="275"/>
        <v>760706.83570372616</v>
      </c>
      <c r="DH71" s="22">
        <f t="shared" si="275"/>
        <v>760706.83570372616</v>
      </c>
      <c r="DI71" s="22">
        <f t="shared" si="275"/>
        <v>760706.83570372616</v>
      </c>
      <c r="DJ71" s="22">
        <f t="shared" si="275"/>
        <v>768313.90406076354</v>
      </c>
      <c r="DK71" s="22">
        <f t="shared" si="275"/>
        <v>768313.90406076354</v>
      </c>
      <c r="DL71" s="22">
        <f t="shared" si="275"/>
        <v>768313.90406076354</v>
      </c>
      <c r="DM71" s="22">
        <f t="shared" si="275"/>
        <v>768313.90406076354</v>
      </c>
      <c r="DN71" s="22">
        <f t="shared" si="275"/>
        <v>768313.90406076354</v>
      </c>
      <c r="DO71" s="22">
        <f t="shared" si="275"/>
        <v>768313.90406076354</v>
      </c>
      <c r="DP71" s="22">
        <f t="shared" si="275"/>
        <v>768313.90406076354</v>
      </c>
      <c r="DQ71" s="22">
        <f t="shared" si="275"/>
        <v>768313.90406076354</v>
      </c>
      <c r="DR71" s="22">
        <f t="shared" si="275"/>
        <v>768313.90406076354</v>
      </c>
      <c r="DS71" s="22">
        <f t="shared" si="275"/>
        <v>768313.90406076354</v>
      </c>
      <c r="DT71" s="22">
        <f t="shared" si="275"/>
        <v>768313.90406076354</v>
      </c>
      <c r="DU71" s="22">
        <f t="shared" si="275"/>
        <v>768313.90406076354</v>
      </c>
      <c r="DV71" s="22">
        <f t="shared" si="275"/>
        <v>0</v>
      </c>
      <c r="DW71" s="22">
        <f t="shared" si="275"/>
        <v>0</v>
      </c>
      <c r="DX71" s="22">
        <f t="shared" si="275"/>
        <v>0</v>
      </c>
      <c r="DY71" s="22">
        <f t="shared" si="275"/>
        <v>0</v>
      </c>
      <c r="DZ71" s="22">
        <f t="shared" si="275"/>
        <v>0</v>
      </c>
      <c r="EA71" s="22">
        <f t="shared" si="275"/>
        <v>0</v>
      </c>
      <c r="EB71" s="22">
        <f t="shared" si="275"/>
        <v>0</v>
      </c>
      <c r="EC71" s="22">
        <f t="shared" si="275"/>
        <v>0</v>
      </c>
      <c r="ED71" s="22">
        <f t="shared" ref="ED71:ES71" si="276">SUM(ED$46:ED$70)</f>
        <v>0</v>
      </c>
      <c r="EE71" s="22">
        <f t="shared" si="276"/>
        <v>0</v>
      </c>
      <c r="EF71" s="22">
        <f t="shared" si="276"/>
        <v>0</v>
      </c>
      <c r="EG71" s="22">
        <f t="shared" si="276"/>
        <v>0</v>
      </c>
      <c r="EH71" s="22">
        <f t="shared" si="276"/>
        <v>0</v>
      </c>
      <c r="EI71" s="22">
        <f t="shared" si="276"/>
        <v>0</v>
      </c>
      <c r="EJ71" s="22">
        <f t="shared" si="276"/>
        <v>0</v>
      </c>
      <c r="EK71" s="22">
        <f t="shared" si="276"/>
        <v>0</v>
      </c>
      <c r="EL71" s="22">
        <f t="shared" si="276"/>
        <v>0</v>
      </c>
      <c r="EM71" s="22">
        <f t="shared" si="276"/>
        <v>0</v>
      </c>
      <c r="EN71" s="22">
        <f t="shared" si="276"/>
        <v>0</v>
      </c>
      <c r="EO71" s="22">
        <f t="shared" si="276"/>
        <v>0</v>
      </c>
      <c r="EP71" s="22">
        <f t="shared" si="276"/>
        <v>0</v>
      </c>
      <c r="EQ71" s="22">
        <f t="shared" si="276"/>
        <v>0</v>
      </c>
      <c r="ER71" s="22">
        <f t="shared" si="276"/>
        <v>0</v>
      </c>
      <c r="ES71" s="22">
        <f t="shared" si="276"/>
        <v>0</v>
      </c>
    </row>
    <row r="72" spans="1:149" x14ac:dyDescent="0.3">
      <c r="A72" s="16"/>
      <c r="B72" s="15" t="s">
        <v>1050</v>
      </c>
      <c r="C72" s="16"/>
      <c r="D72" s="16"/>
      <c r="E72" s="16"/>
    </row>
    <row r="73" spans="1:149" x14ac:dyDescent="0.3">
      <c r="A73" s="14" t="s">
        <v>1051</v>
      </c>
      <c r="B73" s="18" t="s">
        <v>1052</v>
      </c>
      <c r="C73" s="18" t="s">
        <v>439</v>
      </c>
      <c r="E73" s="54">
        <f>SUM(F73:ES73)</f>
        <v>25293483.383560013</v>
      </c>
      <c r="F73" s="48">
        <f t="shared" ref="F73:AK73" si="277">SUMPRODUCT(F21:F45,MP_O)*INDEX(IdxMP_O,1,MIN(10,F$17))*(1+P_dMat)/(1-P_Merma)</f>
        <v>125875</v>
      </c>
      <c r="G73" s="48">
        <f t="shared" si="277"/>
        <v>125875</v>
      </c>
      <c r="H73" s="48">
        <f t="shared" si="277"/>
        <v>125875</v>
      </c>
      <c r="I73" s="48">
        <f t="shared" si="277"/>
        <v>125875</v>
      </c>
      <c r="J73" s="48">
        <f t="shared" si="277"/>
        <v>125875</v>
      </c>
      <c r="K73" s="48">
        <f t="shared" si="277"/>
        <v>125875</v>
      </c>
      <c r="L73" s="48">
        <f t="shared" si="277"/>
        <v>125875</v>
      </c>
      <c r="M73" s="48">
        <f t="shared" si="277"/>
        <v>125875</v>
      </c>
      <c r="N73" s="48">
        <f t="shared" si="277"/>
        <v>125875</v>
      </c>
      <c r="O73" s="48">
        <f t="shared" si="277"/>
        <v>125875</v>
      </c>
      <c r="P73" s="48">
        <f t="shared" si="277"/>
        <v>125875</v>
      </c>
      <c r="Q73" s="48">
        <f t="shared" si="277"/>
        <v>125875</v>
      </c>
      <c r="R73" s="48">
        <f t="shared" si="277"/>
        <v>160476.375</v>
      </c>
      <c r="S73" s="48">
        <f t="shared" si="277"/>
        <v>160476.375</v>
      </c>
      <c r="T73" s="48">
        <f t="shared" si="277"/>
        <v>160476.375</v>
      </c>
      <c r="U73" s="48">
        <f t="shared" si="277"/>
        <v>160476.375</v>
      </c>
      <c r="V73" s="48">
        <f t="shared" si="277"/>
        <v>160476.375</v>
      </c>
      <c r="W73" s="48">
        <f t="shared" si="277"/>
        <v>160476.375</v>
      </c>
      <c r="X73" s="48">
        <f t="shared" si="277"/>
        <v>160476.375</v>
      </c>
      <c r="Y73" s="48">
        <f t="shared" si="277"/>
        <v>160476.375</v>
      </c>
      <c r="Z73" s="48">
        <f t="shared" si="277"/>
        <v>160476.375</v>
      </c>
      <c r="AA73" s="48">
        <f t="shared" si="277"/>
        <v>160476.375</v>
      </c>
      <c r="AB73" s="48">
        <f t="shared" si="277"/>
        <v>160476.375</v>
      </c>
      <c r="AC73" s="48">
        <f t="shared" si="277"/>
        <v>160476.375</v>
      </c>
      <c r="AD73" s="48">
        <f t="shared" si="277"/>
        <v>195757.19</v>
      </c>
      <c r="AE73" s="48">
        <f t="shared" si="277"/>
        <v>195757.19</v>
      </c>
      <c r="AF73" s="48">
        <f t="shared" si="277"/>
        <v>195757.19</v>
      </c>
      <c r="AG73" s="48">
        <f t="shared" si="277"/>
        <v>195757.19</v>
      </c>
      <c r="AH73" s="48">
        <f t="shared" si="277"/>
        <v>195757.19</v>
      </c>
      <c r="AI73" s="48">
        <f t="shared" si="277"/>
        <v>195757.19</v>
      </c>
      <c r="AJ73" s="48">
        <f t="shared" si="277"/>
        <v>195757.19</v>
      </c>
      <c r="AK73" s="48">
        <f t="shared" si="277"/>
        <v>195757.19</v>
      </c>
      <c r="AL73" s="48">
        <f t="shared" ref="AL73:BQ73" si="278">SUMPRODUCT(AL21:AL45,MP_O)*INDEX(IdxMP_O,1,MIN(10,AL$17))*(1+P_dMat)/(1-P_Merma)</f>
        <v>195757.19</v>
      </c>
      <c r="AM73" s="48">
        <f t="shared" si="278"/>
        <v>195757.19</v>
      </c>
      <c r="AN73" s="48">
        <f t="shared" si="278"/>
        <v>195757.19</v>
      </c>
      <c r="AO73" s="48">
        <f t="shared" si="278"/>
        <v>195757.19</v>
      </c>
      <c r="AP73" s="48">
        <f t="shared" si="278"/>
        <v>225365.46498749999</v>
      </c>
      <c r="AQ73" s="48">
        <f t="shared" si="278"/>
        <v>225365.46498749999</v>
      </c>
      <c r="AR73" s="48">
        <f t="shared" si="278"/>
        <v>225365.46498749999</v>
      </c>
      <c r="AS73" s="48">
        <f t="shared" si="278"/>
        <v>225365.46498749999</v>
      </c>
      <c r="AT73" s="48">
        <f t="shared" si="278"/>
        <v>225365.46498749999</v>
      </c>
      <c r="AU73" s="48">
        <f t="shared" si="278"/>
        <v>225365.46498749999</v>
      </c>
      <c r="AV73" s="48">
        <f t="shared" si="278"/>
        <v>225365.46498749999</v>
      </c>
      <c r="AW73" s="48">
        <f t="shared" si="278"/>
        <v>225365.46498749999</v>
      </c>
      <c r="AX73" s="48">
        <f t="shared" si="278"/>
        <v>225365.46498749999</v>
      </c>
      <c r="AY73" s="48">
        <f t="shared" si="278"/>
        <v>225365.46498749999</v>
      </c>
      <c r="AZ73" s="48">
        <f t="shared" si="278"/>
        <v>225365.46498749999</v>
      </c>
      <c r="BA73" s="48">
        <f t="shared" si="278"/>
        <v>225365.46498749999</v>
      </c>
      <c r="BB73" s="48">
        <f t="shared" si="278"/>
        <v>227619.119637375</v>
      </c>
      <c r="BC73" s="48">
        <f t="shared" si="278"/>
        <v>227619.119637375</v>
      </c>
      <c r="BD73" s="48">
        <f t="shared" si="278"/>
        <v>227619.119637375</v>
      </c>
      <c r="BE73" s="48">
        <f t="shared" si="278"/>
        <v>227619.119637375</v>
      </c>
      <c r="BF73" s="48">
        <f t="shared" si="278"/>
        <v>227619.119637375</v>
      </c>
      <c r="BG73" s="48">
        <f t="shared" si="278"/>
        <v>227619.119637375</v>
      </c>
      <c r="BH73" s="48">
        <f t="shared" si="278"/>
        <v>227619.119637375</v>
      </c>
      <c r="BI73" s="48">
        <f t="shared" si="278"/>
        <v>227619.119637375</v>
      </c>
      <c r="BJ73" s="48">
        <f t="shared" si="278"/>
        <v>227619.119637375</v>
      </c>
      <c r="BK73" s="48">
        <f t="shared" si="278"/>
        <v>227619.119637375</v>
      </c>
      <c r="BL73" s="48">
        <f t="shared" si="278"/>
        <v>227619.119637375</v>
      </c>
      <c r="BM73" s="48">
        <f t="shared" si="278"/>
        <v>227619.119637375</v>
      </c>
      <c r="BN73" s="48">
        <f t="shared" si="278"/>
        <v>229895.31083374872</v>
      </c>
      <c r="BO73" s="48">
        <f t="shared" si="278"/>
        <v>229895.31083374872</v>
      </c>
      <c r="BP73" s="48">
        <f t="shared" si="278"/>
        <v>229895.31083374872</v>
      </c>
      <c r="BQ73" s="48">
        <f t="shared" si="278"/>
        <v>229895.31083374872</v>
      </c>
      <c r="BR73" s="48">
        <f t="shared" ref="BR73:CW73" si="279">SUMPRODUCT(BR21:BR45,MP_O)*INDEX(IdxMP_O,1,MIN(10,BR$17))*(1+P_dMat)/(1-P_Merma)</f>
        <v>229895.31083374872</v>
      </c>
      <c r="BS73" s="48">
        <f t="shared" si="279"/>
        <v>229895.31083374872</v>
      </c>
      <c r="BT73" s="48">
        <f t="shared" si="279"/>
        <v>229895.31083374872</v>
      </c>
      <c r="BU73" s="48">
        <f t="shared" si="279"/>
        <v>229895.31083374872</v>
      </c>
      <c r="BV73" s="48">
        <f t="shared" si="279"/>
        <v>229895.31083374872</v>
      </c>
      <c r="BW73" s="48">
        <f t="shared" si="279"/>
        <v>229895.31083374872</v>
      </c>
      <c r="BX73" s="48">
        <f t="shared" si="279"/>
        <v>229895.31083374872</v>
      </c>
      <c r="BY73" s="48">
        <f t="shared" si="279"/>
        <v>229895.31083374872</v>
      </c>
      <c r="BZ73" s="48">
        <f t="shared" si="279"/>
        <v>232194.26394208623</v>
      </c>
      <c r="CA73" s="48">
        <f t="shared" si="279"/>
        <v>232194.26394208623</v>
      </c>
      <c r="CB73" s="48">
        <f t="shared" si="279"/>
        <v>232194.26394208623</v>
      </c>
      <c r="CC73" s="48">
        <f t="shared" si="279"/>
        <v>232194.26394208623</v>
      </c>
      <c r="CD73" s="48">
        <f t="shared" si="279"/>
        <v>232194.26394208623</v>
      </c>
      <c r="CE73" s="48">
        <f t="shared" si="279"/>
        <v>232194.26394208623</v>
      </c>
      <c r="CF73" s="48">
        <f t="shared" si="279"/>
        <v>232194.26394208623</v>
      </c>
      <c r="CG73" s="48">
        <f t="shared" si="279"/>
        <v>232194.26394208623</v>
      </c>
      <c r="CH73" s="48">
        <f t="shared" si="279"/>
        <v>232194.26394208623</v>
      </c>
      <c r="CI73" s="48">
        <f t="shared" si="279"/>
        <v>232194.26394208623</v>
      </c>
      <c r="CJ73" s="48">
        <f t="shared" si="279"/>
        <v>232194.26394208623</v>
      </c>
      <c r="CK73" s="48">
        <f t="shared" si="279"/>
        <v>232194.26394208623</v>
      </c>
      <c r="CL73" s="48">
        <f t="shared" si="279"/>
        <v>234516.20658150705</v>
      </c>
      <c r="CM73" s="48">
        <f t="shared" si="279"/>
        <v>234516.20658150705</v>
      </c>
      <c r="CN73" s="48">
        <f t="shared" si="279"/>
        <v>234516.20658150705</v>
      </c>
      <c r="CO73" s="48">
        <f t="shared" si="279"/>
        <v>234516.20658150705</v>
      </c>
      <c r="CP73" s="48">
        <f t="shared" si="279"/>
        <v>234516.20658150705</v>
      </c>
      <c r="CQ73" s="48">
        <f t="shared" si="279"/>
        <v>234516.20658150705</v>
      </c>
      <c r="CR73" s="48">
        <f t="shared" si="279"/>
        <v>234516.20658150705</v>
      </c>
      <c r="CS73" s="48">
        <f t="shared" si="279"/>
        <v>234516.20658150705</v>
      </c>
      <c r="CT73" s="48">
        <f t="shared" si="279"/>
        <v>234516.20658150705</v>
      </c>
      <c r="CU73" s="48">
        <f t="shared" si="279"/>
        <v>234516.20658150705</v>
      </c>
      <c r="CV73" s="48">
        <f t="shared" si="279"/>
        <v>234516.20658150705</v>
      </c>
      <c r="CW73" s="48">
        <f t="shared" si="279"/>
        <v>234516.20658150705</v>
      </c>
      <c r="CX73" s="48">
        <f t="shared" ref="CX73:EC73" si="280">SUMPRODUCT(CX21:CX45,MP_O)*INDEX(IdxMP_O,1,MIN(10,CX$17))*(1+P_dMat)/(1-P_Merma)</f>
        <v>236861.36864732215</v>
      </c>
      <c r="CY73" s="48">
        <f t="shared" si="280"/>
        <v>236861.36864732215</v>
      </c>
      <c r="CZ73" s="48">
        <f t="shared" si="280"/>
        <v>236861.36864732215</v>
      </c>
      <c r="DA73" s="48">
        <f t="shared" si="280"/>
        <v>236861.36864732215</v>
      </c>
      <c r="DB73" s="48">
        <f t="shared" si="280"/>
        <v>236861.36864732215</v>
      </c>
      <c r="DC73" s="48">
        <f t="shared" si="280"/>
        <v>236861.36864732215</v>
      </c>
      <c r="DD73" s="48">
        <f t="shared" si="280"/>
        <v>236861.36864732215</v>
      </c>
      <c r="DE73" s="48">
        <f t="shared" si="280"/>
        <v>236861.36864732215</v>
      </c>
      <c r="DF73" s="48">
        <f t="shared" si="280"/>
        <v>236861.36864732215</v>
      </c>
      <c r="DG73" s="48">
        <f t="shared" si="280"/>
        <v>236861.36864732215</v>
      </c>
      <c r="DH73" s="48">
        <f t="shared" si="280"/>
        <v>236861.36864732215</v>
      </c>
      <c r="DI73" s="48">
        <f t="shared" si="280"/>
        <v>236861.36864732215</v>
      </c>
      <c r="DJ73" s="48">
        <f t="shared" si="280"/>
        <v>239229.9823337954</v>
      </c>
      <c r="DK73" s="48">
        <f t="shared" si="280"/>
        <v>239229.9823337954</v>
      </c>
      <c r="DL73" s="48">
        <f t="shared" si="280"/>
        <v>239229.9823337954</v>
      </c>
      <c r="DM73" s="48">
        <f t="shared" si="280"/>
        <v>239229.9823337954</v>
      </c>
      <c r="DN73" s="48">
        <f t="shared" si="280"/>
        <v>239229.9823337954</v>
      </c>
      <c r="DO73" s="48">
        <f t="shared" si="280"/>
        <v>239229.9823337954</v>
      </c>
      <c r="DP73" s="48">
        <f t="shared" si="280"/>
        <v>239229.9823337954</v>
      </c>
      <c r="DQ73" s="48">
        <f t="shared" si="280"/>
        <v>239229.9823337954</v>
      </c>
      <c r="DR73" s="48">
        <f t="shared" si="280"/>
        <v>239229.9823337954</v>
      </c>
      <c r="DS73" s="48">
        <f t="shared" si="280"/>
        <v>239229.9823337954</v>
      </c>
      <c r="DT73" s="48">
        <f t="shared" si="280"/>
        <v>239229.9823337954</v>
      </c>
      <c r="DU73" s="48">
        <f t="shared" si="280"/>
        <v>239229.9823337954</v>
      </c>
      <c r="DV73" s="48">
        <f t="shared" si="280"/>
        <v>0</v>
      </c>
      <c r="DW73" s="48">
        <f t="shared" si="280"/>
        <v>0</v>
      </c>
      <c r="DX73" s="48">
        <f t="shared" si="280"/>
        <v>0</v>
      </c>
      <c r="DY73" s="48">
        <f t="shared" si="280"/>
        <v>0</v>
      </c>
      <c r="DZ73" s="48">
        <f t="shared" si="280"/>
        <v>0</v>
      </c>
      <c r="EA73" s="48">
        <f t="shared" si="280"/>
        <v>0</v>
      </c>
      <c r="EB73" s="48">
        <f t="shared" si="280"/>
        <v>0</v>
      </c>
      <c r="EC73" s="48">
        <f t="shared" si="280"/>
        <v>0</v>
      </c>
      <c r="ED73" s="48">
        <f t="shared" ref="ED73:ES73" si="281">SUMPRODUCT(ED21:ED45,MP_O)*INDEX(IdxMP_O,1,MIN(10,ED$17))*(1+P_dMat)/(1-P_Merma)</f>
        <v>0</v>
      </c>
      <c r="EE73" s="48">
        <f t="shared" si="281"/>
        <v>0</v>
      </c>
      <c r="EF73" s="48">
        <f t="shared" si="281"/>
        <v>0</v>
      </c>
      <c r="EG73" s="48">
        <f t="shared" si="281"/>
        <v>0</v>
      </c>
      <c r="EH73" s="48">
        <f t="shared" si="281"/>
        <v>0</v>
      </c>
      <c r="EI73" s="48">
        <f t="shared" si="281"/>
        <v>0</v>
      </c>
      <c r="EJ73" s="48">
        <f t="shared" si="281"/>
        <v>0</v>
      </c>
      <c r="EK73" s="48">
        <f t="shared" si="281"/>
        <v>0</v>
      </c>
      <c r="EL73" s="48">
        <f t="shared" si="281"/>
        <v>0</v>
      </c>
      <c r="EM73" s="48">
        <f t="shared" si="281"/>
        <v>0</v>
      </c>
      <c r="EN73" s="48">
        <f t="shared" si="281"/>
        <v>0</v>
      </c>
      <c r="EO73" s="48">
        <f t="shared" si="281"/>
        <v>0</v>
      </c>
      <c r="EP73" s="48">
        <f t="shared" si="281"/>
        <v>0</v>
      </c>
      <c r="EQ73" s="48">
        <f t="shared" si="281"/>
        <v>0</v>
      </c>
      <c r="ER73" s="48">
        <f t="shared" si="281"/>
        <v>0</v>
      </c>
      <c r="ES73" s="48">
        <f t="shared" si="281"/>
        <v>0</v>
      </c>
    </row>
    <row r="74" spans="1:149" x14ac:dyDescent="0.3">
      <c r="A74" s="14" t="s">
        <v>1053</v>
      </c>
      <c r="B74" s="18" t="s">
        <v>1054</v>
      </c>
      <c r="C74" s="18" t="s">
        <v>439</v>
      </c>
      <c r="E74" s="54">
        <f>SUM(F74:ES74)</f>
        <v>14024610</v>
      </c>
      <c r="F74" s="48">
        <f t="shared" ref="F74:AK74" si="282">SUMPRODUCT(F21:F45,INS_O)*INDEX(IdxOV_O,1,MIN(10,F$17))*(1+P_dMat)/(1-P_Merma)</f>
        <v>73297.5</v>
      </c>
      <c r="G74" s="48">
        <f t="shared" si="282"/>
        <v>73297.5</v>
      </c>
      <c r="H74" s="48">
        <f t="shared" si="282"/>
        <v>73297.5</v>
      </c>
      <c r="I74" s="48">
        <f t="shared" si="282"/>
        <v>73297.5</v>
      </c>
      <c r="J74" s="48">
        <f t="shared" si="282"/>
        <v>73297.5</v>
      </c>
      <c r="K74" s="48">
        <f t="shared" si="282"/>
        <v>73297.5</v>
      </c>
      <c r="L74" s="48">
        <f t="shared" si="282"/>
        <v>73297.5</v>
      </c>
      <c r="M74" s="48">
        <f t="shared" si="282"/>
        <v>73297.5</v>
      </c>
      <c r="N74" s="48">
        <f t="shared" si="282"/>
        <v>73297.5</v>
      </c>
      <c r="O74" s="48">
        <f t="shared" si="282"/>
        <v>73297.5</v>
      </c>
      <c r="P74" s="48">
        <f t="shared" si="282"/>
        <v>73297.5</v>
      </c>
      <c r="Q74" s="48">
        <f t="shared" si="282"/>
        <v>73297.5</v>
      </c>
      <c r="R74" s="48">
        <f t="shared" si="282"/>
        <v>92632.5</v>
      </c>
      <c r="S74" s="48">
        <f t="shared" si="282"/>
        <v>92632.5</v>
      </c>
      <c r="T74" s="48">
        <f t="shared" si="282"/>
        <v>92632.5</v>
      </c>
      <c r="U74" s="48">
        <f t="shared" si="282"/>
        <v>92632.5</v>
      </c>
      <c r="V74" s="48">
        <f t="shared" si="282"/>
        <v>92632.5</v>
      </c>
      <c r="W74" s="48">
        <f t="shared" si="282"/>
        <v>92632.5</v>
      </c>
      <c r="X74" s="48">
        <f t="shared" si="282"/>
        <v>92632.5</v>
      </c>
      <c r="Y74" s="48">
        <f t="shared" si="282"/>
        <v>92632.5</v>
      </c>
      <c r="Z74" s="48">
        <f t="shared" si="282"/>
        <v>92632.5</v>
      </c>
      <c r="AA74" s="48">
        <f t="shared" si="282"/>
        <v>92632.5</v>
      </c>
      <c r="AB74" s="48">
        <f t="shared" si="282"/>
        <v>92632.5</v>
      </c>
      <c r="AC74" s="48">
        <f t="shared" si="282"/>
        <v>92632.5</v>
      </c>
      <c r="AD74" s="48">
        <f t="shared" si="282"/>
        <v>111967.5</v>
      </c>
      <c r="AE74" s="48">
        <f t="shared" si="282"/>
        <v>111967.5</v>
      </c>
      <c r="AF74" s="48">
        <f t="shared" si="282"/>
        <v>111967.5</v>
      </c>
      <c r="AG74" s="48">
        <f t="shared" si="282"/>
        <v>111967.5</v>
      </c>
      <c r="AH74" s="48">
        <f t="shared" si="282"/>
        <v>111967.5</v>
      </c>
      <c r="AI74" s="48">
        <f t="shared" si="282"/>
        <v>111967.5</v>
      </c>
      <c r="AJ74" s="48">
        <f t="shared" si="282"/>
        <v>111967.5</v>
      </c>
      <c r="AK74" s="48">
        <f t="shared" si="282"/>
        <v>111967.5</v>
      </c>
      <c r="AL74" s="48">
        <f t="shared" ref="AL74:BQ74" si="283">SUMPRODUCT(AL21:AL45,INS_O)*INDEX(IdxOV_O,1,MIN(10,AL$17))*(1+P_dMat)/(1-P_Merma)</f>
        <v>111967.5</v>
      </c>
      <c r="AM74" s="48">
        <f t="shared" si="283"/>
        <v>111967.5</v>
      </c>
      <c r="AN74" s="48">
        <f t="shared" si="283"/>
        <v>111967.5</v>
      </c>
      <c r="AO74" s="48">
        <f t="shared" si="283"/>
        <v>111967.5</v>
      </c>
      <c r="AP74" s="48">
        <f t="shared" si="283"/>
        <v>127260</v>
      </c>
      <c r="AQ74" s="48">
        <f t="shared" si="283"/>
        <v>127260</v>
      </c>
      <c r="AR74" s="48">
        <f t="shared" si="283"/>
        <v>127260</v>
      </c>
      <c r="AS74" s="48">
        <f t="shared" si="283"/>
        <v>127260</v>
      </c>
      <c r="AT74" s="48">
        <f t="shared" si="283"/>
        <v>127260</v>
      </c>
      <c r="AU74" s="48">
        <f t="shared" si="283"/>
        <v>127260</v>
      </c>
      <c r="AV74" s="48">
        <f t="shared" si="283"/>
        <v>127260</v>
      </c>
      <c r="AW74" s="48">
        <f t="shared" si="283"/>
        <v>127260</v>
      </c>
      <c r="AX74" s="48">
        <f t="shared" si="283"/>
        <v>127260</v>
      </c>
      <c r="AY74" s="48">
        <f t="shared" si="283"/>
        <v>127260</v>
      </c>
      <c r="AZ74" s="48">
        <f t="shared" si="283"/>
        <v>127260</v>
      </c>
      <c r="BA74" s="48">
        <f t="shared" si="283"/>
        <v>127260</v>
      </c>
      <c r="BB74" s="48">
        <f t="shared" si="283"/>
        <v>127260</v>
      </c>
      <c r="BC74" s="48">
        <f t="shared" si="283"/>
        <v>127260</v>
      </c>
      <c r="BD74" s="48">
        <f t="shared" si="283"/>
        <v>127260</v>
      </c>
      <c r="BE74" s="48">
        <f t="shared" si="283"/>
        <v>127260</v>
      </c>
      <c r="BF74" s="48">
        <f t="shared" si="283"/>
        <v>127260</v>
      </c>
      <c r="BG74" s="48">
        <f t="shared" si="283"/>
        <v>127260</v>
      </c>
      <c r="BH74" s="48">
        <f t="shared" si="283"/>
        <v>127260</v>
      </c>
      <c r="BI74" s="48">
        <f t="shared" si="283"/>
        <v>127260</v>
      </c>
      <c r="BJ74" s="48">
        <f t="shared" si="283"/>
        <v>127260</v>
      </c>
      <c r="BK74" s="48">
        <f t="shared" si="283"/>
        <v>127260</v>
      </c>
      <c r="BL74" s="48">
        <f t="shared" si="283"/>
        <v>127260</v>
      </c>
      <c r="BM74" s="48">
        <f t="shared" si="283"/>
        <v>127260</v>
      </c>
      <c r="BN74" s="48">
        <f t="shared" si="283"/>
        <v>127260</v>
      </c>
      <c r="BO74" s="48">
        <f t="shared" si="283"/>
        <v>127260</v>
      </c>
      <c r="BP74" s="48">
        <f t="shared" si="283"/>
        <v>127260</v>
      </c>
      <c r="BQ74" s="48">
        <f t="shared" si="283"/>
        <v>127260</v>
      </c>
      <c r="BR74" s="48">
        <f t="shared" ref="BR74:CW74" si="284">SUMPRODUCT(BR21:BR45,INS_O)*INDEX(IdxOV_O,1,MIN(10,BR$17))*(1+P_dMat)/(1-P_Merma)</f>
        <v>127260</v>
      </c>
      <c r="BS74" s="48">
        <f t="shared" si="284"/>
        <v>127260</v>
      </c>
      <c r="BT74" s="48">
        <f t="shared" si="284"/>
        <v>127260</v>
      </c>
      <c r="BU74" s="48">
        <f t="shared" si="284"/>
        <v>127260</v>
      </c>
      <c r="BV74" s="48">
        <f t="shared" si="284"/>
        <v>127260</v>
      </c>
      <c r="BW74" s="48">
        <f t="shared" si="284"/>
        <v>127260</v>
      </c>
      <c r="BX74" s="48">
        <f t="shared" si="284"/>
        <v>127260</v>
      </c>
      <c r="BY74" s="48">
        <f t="shared" si="284"/>
        <v>127260</v>
      </c>
      <c r="BZ74" s="48">
        <f t="shared" si="284"/>
        <v>127260</v>
      </c>
      <c r="CA74" s="48">
        <f t="shared" si="284"/>
        <v>127260</v>
      </c>
      <c r="CB74" s="48">
        <f t="shared" si="284"/>
        <v>127260</v>
      </c>
      <c r="CC74" s="48">
        <f t="shared" si="284"/>
        <v>127260</v>
      </c>
      <c r="CD74" s="48">
        <f t="shared" si="284"/>
        <v>127260</v>
      </c>
      <c r="CE74" s="48">
        <f t="shared" si="284"/>
        <v>127260</v>
      </c>
      <c r="CF74" s="48">
        <f t="shared" si="284"/>
        <v>127260</v>
      </c>
      <c r="CG74" s="48">
        <f t="shared" si="284"/>
        <v>127260</v>
      </c>
      <c r="CH74" s="48">
        <f t="shared" si="284"/>
        <v>127260</v>
      </c>
      <c r="CI74" s="48">
        <f t="shared" si="284"/>
        <v>127260</v>
      </c>
      <c r="CJ74" s="48">
        <f t="shared" si="284"/>
        <v>127260</v>
      </c>
      <c r="CK74" s="48">
        <f t="shared" si="284"/>
        <v>127260</v>
      </c>
      <c r="CL74" s="48">
        <f t="shared" si="284"/>
        <v>127260</v>
      </c>
      <c r="CM74" s="48">
        <f t="shared" si="284"/>
        <v>127260</v>
      </c>
      <c r="CN74" s="48">
        <f t="shared" si="284"/>
        <v>127260</v>
      </c>
      <c r="CO74" s="48">
        <f t="shared" si="284"/>
        <v>127260</v>
      </c>
      <c r="CP74" s="48">
        <f t="shared" si="284"/>
        <v>127260</v>
      </c>
      <c r="CQ74" s="48">
        <f t="shared" si="284"/>
        <v>127260</v>
      </c>
      <c r="CR74" s="48">
        <f t="shared" si="284"/>
        <v>127260</v>
      </c>
      <c r="CS74" s="48">
        <f t="shared" si="284"/>
        <v>127260</v>
      </c>
      <c r="CT74" s="48">
        <f t="shared" si="284"/>
        <v>127260</v>
      </c>
      <c r="CU74" s="48">
        <f t="shared" si="284"/>
        <v>127260</v>
      </c>
      <c r="CV74" s="48">
        <f t="shared" si="284"/>
        <v>127260</v>
      </c>
      <c r="CW74" s="48">
        <f t="shared" si="284"/>
        <v>127260</v>
      </c>
      <c r="CX74" s="48">
        <f t="shared" ref="CX74:EC74" si="285">SUMPRODUCT(CX21:CX45,INS_O)*INDEX(IdxOV_O,1,MIN(10,CX$17))*(1+P_dMat)/(1-P_Merma)</f>
        <v>127260</v>
      </c>
      <c r="CY74" s="48">
        <f t="shared" si="285"/>
        <v>127260</v>
      </c>
      <c r="CZ74" s="48">
        <f t="shared" si="285"/>
        <v>127260</v>
      </c>
      <c r="DA74" s="48">
        <f t="shared" si="285"/>
        <v>127260</v>
      </c>
      <c r="DB74" s="48">
        <f t="shared" si="285"/>
        <v>127260</v>
      </c>
      <c r="DC74" s="48">
        <f t="shared" si="285"/>
        <v>127260</v>
      </c>
      <c r="DD74" s="48">
        <f t="shared" si="285"/>
        <v>127260</v>
      </c>
      <c r="DE74" s="48">
        <f t="shared" si="285"/>
        <v>127260</v>
      </c>
      <c r="DF74" s="48">
        <f t="shared" si="285"/>
        <v>127260</v>
      </c>
      <c r="DG74" s="48">
        <f t="shared" si="285"/>
        <v>127260</v>
      </c>
      <c r="DH74" s="48">
        <f t="shared" si="285"/>
        <v>127260</v>
      </c>
      <c r="DI74" s="48">
        <f t="shared" si="285"/>
        <v>127260</v>
      </c>
      <c r="DJ74" s="48">
        <f t="shared" si="285"/>
        <v>127260</v>
      </c>
      <c r="DK74" s="48">
        <f t="shared" si="285"/>
        <v>127260</v>
      </c>
      <c r="DL74" s="48">
        <f t="shared" si="285"/>
        <v>127260</v>
      </c>
      <c r="DM74" s="48">
        <f t="shared" si="285"/>
        <v>127260</v>
      </c>
      <c r="DN74" s="48">
        <f t="shared" si="285"/>
        <v>127260</v>
      </c>
      <c r="DO74" s="48">
        <f t="shared" si="285"/>
        <v>127260</v>
      </c>
      <c r="DP74" s="48">
        <f t="shared" si="285"/>
        <v>127260</v>
      </c>
      <c r="DQ74" s="48">
        <f t="shared" si="285"/>
        <v>127260</v>
      </c>
      <c r="DR74" s="48">
        <f t="shared" si="285"/>
        <v>127260</v>
      </c>
      <c r="DS74" s="48">
        <f t="shared" si="285"/>
        <v>127260</v>
      </c>
      <c r="DT74" s="48">
        <f t="shared" si="285"/>
        <v>127260</v>
      </c>
      <c r="DU74" s="48">
        <f t="shared" si="285"/>
        <v>127260</v>
      </c>
      <c r="DV74" s="48">
        <f t="shared" si="285"/>
        <v>0</v>
      </c>
      <c r="DW74" s="48">
        <f t="shared" si="285"/>
        <v>0</v>
      </c>
      <c r="DX74" s="48">
        <f t="shared" si="285"/>
        <v>0</v>
      </c>
      <c r="DY74" s="48">
        <f t="shared" si="285"/>
        <v>0</v>
      </c>
      <c r="DZ74" s="48">
        <f t="shared" si="285"/>
        <v>0</v>
      </c>
      <c r="EA74" s="48">
        <f t="shared" si="285"/>
        <v>0</v>
      </c>
      <c r="EB74" s="48">
        <f t="shared" si="285"/>
        <v>0</v>
      </c>
      <c r="EC74" s="48">
        <f t="shared" si="285"/>
        <v>0</v>
      </c>
      <c r="ED74" s="48">
        <f t="shared" ref="ED74:ES74" si="286">SUMPRODUCT(ED21:ED45,INS_O)*INDEX(IdxOV_O,1,MIN(10,ED$17))*(1+P_dMat)/(1-P_Merma)</f>
        <v>0</v>
      </c>
      <c r="EE74" s="48">
        <f t="shared" si="286"/>
        <v>0</v>
      </c>
      <c r="EF74" s="48">
        <f t="shared" si="286"/>
        <v>0</v>
      </c>
      <c r="EG74" s="48">
        <f t="shared" si="286"/>
        <v>0</v>
      </c>
      <c r="EH74" s="48">
        <f t="shared" si="286"/>
        <v>0</v>
      </c>
      <c r="EI74" s="48">
        <f t="shared" si="286"/>
        <v>0</v>
      </c>
      <c r="EJ74" s="48">
        <f t="shared" si="286"/>
        <v>0</v>
      </c>
      <c r="EK74" s="48">
        <f t="shared" si="286"/>
        <v>0</v>
      </c>
      <c r="EL74" s="48">
        <f t="shared" si="286"/>
        <v>0</v>
      </c>
      <c r="EM74" s="48">
        <f t="shared" si="286"/>
        <v>0</v>
      </c>
      <c r="EN74" s="48">
        <f t="shared" si="286"/>
        <v>0</v>
      </c>
      <c r="EO74" s="48">
        <f t="shared" si="286"/>
        <v>0</v>
      </c>
      <c r="EP74" s="48">
        <f t="shared" si="286"/>
        <v>0</v>
      </c>
      <c r="EQ74" s="48">
        <f t="shared" si="286"/>
        <v>0</v>
      </c>
      <c r="ER74" s="48">
        <f t="shared" si="286"/>
        <v>0</v>
      </c>
      <c r="ES74" s="48">
        <f t="shared" si="286"/>
        <v>0</v>
      </c>
    </row>
    <row r="75" spans="1:149" x14ac:dyDescent="0.3">
      <c r="A75" s="14" t="s">
        <v>1055</v>
      </c>
      <c r="B75" s="18" t="s">
        <v>1056</v>
      </c>
      <c r="C75" s="18" t="s">
        <v>439</v>
      </c>
      <c r="E75" s="54">
        <f>SUM(F75:ES75)</f>
        <v>8388891.9360000025</v>
      </c>
      <c r="F75" s="48">
        <f t="shared" ref="F75:AK75" si="287">SUMPRODUCT(F21:F45,OV_O)*INDEX(IdxOV_O,1,MIN(10,F$17))*(1+P_dMat)/(1-P_Merma)</f>
        <v>43834.332999999999</v>
      </c>
      <c r="G75" s="48">
        <f t="shared" si="287"/>
        <v>43834.332999999999</v>
      </c>
      <c r="H75" s="48">
        <f t="shared" si="287"/>
        <v>43834.332999999999</v>
      </c>
      <c r="I75" s="48">
        <f t="shared" si="287"/>
        <v>43834.332999999999</v>
      </c>
      <c r="J75" s="48">
        <f t="shared" si="287"/>
        <v>43834.332999999999</v>
      </c>
      <c r="K75" s="48">
        <f t="shared" si="287"/>
        <v>43834.332999999999</v>
      </c>
      <c r="L75" s="48">
        <f t="shared" si="287"/>
        <v>43834.332999999999</v>
      </c>
      <c r="M75" s="48">
        <f t="shared" si="287"/>
        <v>43834.332999999999</v>
      </c>
      <c r="N75" s="48">
        <f t="shared" si="287"/>
        <v>43834.332999999999</v>
      </c>
      <c r="O75" s="48">
        <f t="shared" si="287"/>
        <v>43834.332999999999</v>
      </c>
      <c r="P75" s="48">
        <f t="shared" si="287"/>
        <v>43834.332999999999</v>
      </c>
      <c r="Q75" s="48">
        <f t="shared" si="287"/>
        <v>43834.332999999999</v>
      </c>
      <c r="R75" s="48">
        <f t="shared" si="287"/>
        <v>55361.666250000002</v>
      </c>
      <c r="S75" s="48">
        <f t="shared" si="287"/>
        <v>55361.666250000002</v>
      </c>
      <c r="T75" s="48">
        <f t="shared" si="287"/>
        <v>55361.666250000002</v>
      </c>
      <c r="U75" s="48">
        <f t="shared" si="287"/>
        <v>55361.666250000002</v>
      </c>
      <c r="V75" s="48">
        <f t="shared" si="287"/>
        <v>55361.666250000002</v>
      </c>
      <c r="W75" s="48">
        <f t="shared" si="287"/>
        <v>55361.666250000002</v>
      </c>
      <c r="X75" s="48">
        <f t="shared" si="287"/>
        <v>55361.666250000002</v>
      </c>
      <c r="Y75" s="48">
        <f t="shared" si="287"/>
        <v>55361.666250000002</v>
      </c>
      <c r="Z75" s="48">
        <f t="shared" si="287"/>
        <v>55361.666250000002</v>
      </c>
      <c r="AA75" s="48">
        <f t="shared" si="287"/>
        <v>55361.666250000002</v>
      </c>
      <c r="AB75" s="48">
        <f t="shared" si="287"/>
        <v>55361.666250000002</v>
      </c>
      <c r="AC75" s="48">
        <f t="shared" si="287"/>
        <v>55361.666250000002</v>
      </c>
      <c r="AD75" s="48">
        <f t="shared" si="287"/>
        <v>66888.999500000005</v>
      </c>
      <c r="AE75" s="48">
        <f t="shared" si="287"/>
        <v>66888.999500000005</v>
      </c>
      <c r="AF75" s="48">
        <f t="shared" si="287"/>
        <v>66888.999500000005</v>
      </c>
      <c r="AG75" s="48">
        <f t="shared" si="287"/>
        <v>66888.999500000005</v>
      </c>
      <c r="AH75" s="48">
        <f t="shared" si="287"/>
        <v>66888.999500000005</v>
      </c>
      <c r="AI75" s="48">
        <f t="shared" si="287"/>
        <v>66888.999500000005</v>
      </c>
      <c r="AJ75" s="48">
        <f t="shared" si="287"/>
        <v>66888.999500000005</v>
      </c>
      <c r="AK75" s="48">
        <f t="shared" si="287"/>
        <v>66888.999500000005</v>
      </c>
      <c r="AL75" s="48">
        <f t="shared" ref="AL75:BQ75" si="288">SUMPRODUCT(AL21:AL45,OV_O)*INDEX(IdxOV_O,1,MIN(10,AL$17))*(1+P_dMat)/(1-P_Merma)</f>
        <v>66888.999500000005</v>
      </c>
      <c r="AM75" s="48">
        <f t="shared" si="288"/>
        <v>66888.999500000005</v>
      </c>
      <c r="AN75" s="48">
        <f t="shared" si="288"/>
        <v>66888.999500000005</v>
      </c>
      <c r="AO75" s="48">
        <f t="shared" si="288"/>
        <v>66888.999500000005</v>
      </c>
      <c r="AP75" s="48">
        <f t="shared" si="288"/>
        <v>76141.332750000001</v>
      </c>
      <c r="AQ75" s="48">
        <f t="shared" si="288"/>
        <v>76141.332750000001</v>
      </c>
      <c r="AR75" s="48">
        <f t="shared" si="288"/>
        <v>76141.332750000001</v>
      </c>
      <c r="AS75" s="48">
        <f t="shared" si="288"/>
        <v>76141.332750000001</v>
      </c>
      <c r="AT75" s="48">
        <f t="shared" si="288"/>
        <v>76141.332750000001</v>
      </c>
      <c r="AU75" s="48">
        <f t="shared" si="288"/>
        <v>76141.332750000001</v>
      </c>
      <c r="AV75" s="48">
        <f t="shared" si="288"/>
        <v>76141.332750000001</v>
      </c>
      <c r="AW75" s="48">
        <f t="shared" si="288"/>
        <v>76141.332750000001</v>
      </c>
      <c r="AX75" s="48">
        <f t="shared" si="288"/>
        <v>76141.332750000001</v>
      </c>
      <c r="AY75" s="48">
        <f t="shared" si="288"/>
        <v>76141.332750000001</v>
      </c>
      <c r="AZ75" s="48">
        <f t="shared" si="288"/>
        <v>76141.332750000001</v>
      </c>
      <c r="BA75" s="48">
        <f t="shared" si="288"/>
        <v>76141.332750000001</v>
      </c>
      <c r="BB75" s="48">
        <f t="shared" si="288"/>
        <v>76141.332750000001</v>
      </c>
      <c r="BC75" s="48">
        <f t="shared" si="288"/>
        <v>76141.332750000001</v>
      </c>
      <c r="BD75" s="48">
        <f t="shared" si="288"/>
        <v>76141.332750000001</v>
      </c>
      <c r="BE75" s="48">
        <f t="shared" si="288"/>
        <v>76141.332750000001</v>
      </c>
      <c r="BF75" s="48">
        <f t="shared" si="288"/>
        <v>76141.332750000001</v>
      </c>
      <c r="BG75" s="48">
        <f t="shared" si="288"/>
        <v>76141.332750000001</v>
      </c>
      <c r="BH75" s="48">
        <f t="shared" si="288"/>
        <v>76141.332750000001</v>
      </c>
      <c r="BI75" s="48">
        <f t="shared" si="288"/>
        <v>76141.332750000001</v>
      </c>
      <c r="BJ75" s="48">
        <f t="shared" si="288"/>
        <v>76141.332750000001</v>
      </c>
      <c r="BK75" s="48">
        <f t="shared" si="288"/>
        <v>76141.332750000001</v>
      </c>
      <c r="BL75" s="48">
        <f t="shared" si="288"/>
        <v>76141.332750000001</v>
      </c>
      <c r="BM75" s="48">
        <f t="shared" si="288"/>
        <v>76141.332750000001</v>
      </c>
      <c r="BN75" s="48">
        <f t="shared" si="288"/>
        <v>76141.332750000001</v>
      </c>
      <c r="BO75" s="48">
        <f t="shared" si="288"/>
        <v>76141.332750000001</v>
      </c>
      <c r="BP75" s="48">
        <f t="shared" si="288"/>
        <v>76141.332750000001</v>
      </c>
      <c r="BQ75" s="48">
        <f t="shared" si="288"/>
        <v>76141.332750000001</v>
      </c>
      <c r="BR75" s="48">
        <f t="shared" ref="BR75:CW75" si="289">SUMPRODUCT(BR21:BR45,OV_O)*INDEX(IdxOV_O,1,MIN(10,BR$17))*(1+P_dMat)/(1-P_Merma)</f>
        <v>76141.332750000001</v>
      </c>
      <c r="BS75" s="48">
        <f t="shared" si="289"/>
        <v>76141.332750000001</v>
      </c>
      <c r="BT75" s="48">
        <f t="shared" si="289"/>
        <v>76141.332750000001</v>
      </c>
      <c r="BU75" s="48">
        <f t="shared" si="289"/>
        <v>76141.332750000001</v>
      </c>
      <c r="BV75" s="48">
        <f t="shared" si="289"/>
        <v>76141.332750000001</v>
      </c>
      <c r="BW75" s="48">
        <f t="shared" si="289"/>
        <v>76141.332750000001</v>
      </c>
      <c r="BX75" s="48">
        <f t="shared" si="289"/>
        <v>76141.332750000001</v>
      </c>
      <c r="BY75" s="48">
        <f t="shared" si="289"/>
        <v>76141.332750000001</v>
      </c>
      <c r="BZ75" s="48">
        <f t="shared" si="289"/>
        <v>76141.332750000001</v>
      </c>
      <c r="CA75" s="48">
        <f t="shared" si="289"/>
        <v>76141.332750000001</v>
      </c>
      <c r="CB75" s="48">
        <f t="shared" si="289"/>
        <v>76141.332750000001</v>
      </c>
      <c r="CC75" s="48">
        <f t="shared" si="289"/>
        <v>76141.332750000001</v>
      </c>
      <c r="CD75" s="48">
        <f t="shared" si="289"/>
        <v>76141.332750000001</v>
      </c>
      <c r="CE75" s="48">
        <f t="shared" si="289"/>
        <v>76141.332750000001</v>
      </c>
      <c r="CF75" s="48">
        <f t="shared" si="289"/>
        <v>76141.332750000001</v>
      </c>
      <c r="CG75" s="48">
        <f t="shared" si="289"/>
        <v>76141.332750000001</v>
      </c>
      <c r="CH75" s="48">
        <f t="shared" si="289"/>
        <v>76141.332750000001</v>
      </c>
      <c r="CI75" s="48">
        <f t="shared" si="289"/>
        <v>76141.332750000001</v>
      </c>
      <c r="CJ75" s="48">
        <f t="shared" si="289"/>
        <v>76141.332750000001</v>
      </c>
      <c r="CK75" s="48">
        <f t="shared" si="289"/>
        <v>76141.332750000001</v>
      </c>
      <c r="CL75" s="48">
        <f t="shared" si="289"/>
        <v>76141.332750000001</v>
      </c>
      <c r="CM75" s="48">
        <f t="shared" si="289"/>
        <v>76141.332750000001</v>
      </c>
      <c r="CN75" s="48">
        <f t="shared" si="289"/>
        <v>76141.332750000001</v>
      </c>
      <c r="CO75" s="48">
        <f t="shared" si="289"/>
        <v>76141.332750000001</v>
      </c>
      <c r="CP75" s="48">
        <f t="shared" si="289"/>
        <v>76141.332750000001</v>
      </c>
      <c r="CQ75" s="48">
        <f t="shared" si="289"/>
        <v>76141.332750000001</v>
      </c>
      <c r="CR75" s="48">
        <f t="shared" si="289"/>
        <v>76141.332750000001</v>
      </c>
      <c r="CS75" s="48">
        <f t="shared" si="289"/>
        <v>76141.332750000001</v>
      </c>
      <c r="CT75" s="48">
        <f t="shared" si="289"/>
        <v>76141.332750000001</v>
      </c>
      <c r="CU75" s="48">
        <f t="shared" si="289"/>
        <v>76141.332750000001</v>
      </c>
      <c r="CV75" s="48">
        <f t="shared" si="289"/>
        <v>76141.332750000001</v>
      </c>
      <c r="CW75" s="48">
        <f t="shared" si="289"/>
        <v>76141.332750000001</v>
      </c>
      <c r="CX75" s="48">
        <f t="shared" ref="CX75:EC75" si="290">SUMPRODUCT(CX21:CX45,OV_O)*INDEX(IdxOV_O,1,MIN(10,CX$17))*(1+P_dMat)/(1-P_Merma)</f>
        <v>76141.332750000001</v>
      </c>
      <c r="CY75" s="48">
        <f t="shared" si="290"/>
        <v>76141.332750000001</v>
      </c>
      <c r="CZ75" s="48">
        <f t="shared" si="290"/>
        <v>76141.332750000001</v>
      </c>
      <c r="DA75" s="48">
        <f t="shared" si="290"/>
        <v>76141.332750000001</v>
      </c>
      <c r="DB75" s="48">
        <f t="shared" si="290"/>
        <v>76141.332750000001</v>
      </c>
      <c r="DC75" s="48">
        <f t="shared" si="290"/>
        <v>76141.332750000001</v>
      </c>
      <c r="DD75" s="48">
        <f t="shared" si="290"/>
        <v>76141.332750000001</v>
      </c>
      <c r="DE75" s="48">
        <f t="shared" si="290"/>
        <v>76141.332750000001</v>
      </c>
      <c r="DF75" s="48">
        <f t="shared" si="290"/>
        <v>76141.332750000001</v>
      </c>
      <c r="DG75" s="48">
        <f t="shared" si="290"/>
        <v>76141.332750000001</v>
      </c>
      <c r="DH75" s="48">
        <f t="shared" si="290"/>
        <v>76141.332750000001</v>
      </c>
      <c r="DI75" s="48">
        <f t="shared" si="290"/>
        <v>76141.332750000001</v>
      </c>
      <c r="DJ75" s="48">
        <f t="shared" si="290"/>
        <v>76141.332750000001</v>
      </c>
      <c r="DK75" s="48">
        <f t="shared" si="290"/>
        <v>76141.332750000001</v>
      </c>
      <c r="DL75" s="48">
        <f t="shared" si="290"/>
        <v>76141.332750000001</v>
      </c>
      <c r="DM75" s="48">
        <f t="shared" si="290"/>
        <v>76141.332750000001</v>
      </c>
      <c r="DN75" s="48">
        <f t="shared" si="290"/>
        <v>76141.332750000001</v>
      </c>
      <c r="DO75" s="48">
        <f t="shared" si="290"/>
        <v>76141.332750000001</v>
      </c>
      <c r="DP75" s="48">
        <f t="shared" si="290"/>
        <v>76141.332750000001</v>
      </c>
      <c r="DQ75" s="48">
        <f t="shared" si="290"/>
        <v>76141.332750000001</v>
      </c>
      <c r="DR75" s="48">
        <f t="shared" si="290"/>
        <v>76141.332750000001</v>
      </c>
      <c r="DS75" s="48">
        <f t="shared" si="290"/>
        <v>76141.332750000001</v>
      </c>
      <c r="DT75" s="48">
        <f t="shared" si="290"/>
        <v>76141.332750000001</v>
      </c>
      <c r="DU75" s="48">
        <f t="shared" si="290"/>
        <v>76141.332750000001</v>
      </c>
      <c r="DV75" s="48">
        <f t="shared" si="290"/>
        <v>0</v>
      </c>
      <c r="DW75" s="48">
        <f t="shared" si="290"/>
        <v>0</v>
      </c>
      <c r="DX75" s="48">
        <f t="shared" si="290"/>
        <v>0</v>
      </c>
      <c r="DY75" s="48">
        <f t="shared" si="290"/>
        <v>0</v>
      </c>
      <c r="DZ75" s="48">
        <f t="shared" si="290"/>
        <v>0</v>
      </c>
      <c r="EA75" s="48">
        <f t="shared" si="290"/>
        <v>0</v>
      </c>
      <c r="EB75" s="48">
        <f t="shared" si="290"/>
        <v>0</v>
      </c>
      <c r="EC75" s="48">
        <f t="shared" si="290"/>
        <v>0</v>
      </c>
      <c r="ED75" s="48">
        <f t="shared" ref="ED75:ES75" si="291">SUMPRODUCT(ED21:ED45,OV_O)*INDEX(IdxOV_O,1,MIN(10,ED$17))*(1+P_dMat)/(1-P_Merma)</f>
        <v>0</v>
      </c>
      <c r="EE75" s="48">
        <f t="shared" si="291"/>
        <v>0</v>
      </c>
      <c r="EF75" s="48">
        <f t="shared" si="291"/>
        <v>0</v>
      </c>
      <c r="EG75" s="48">
        <f t="shared" si="291"/>
        <v>0</v>
      </c>
      <c r="EH75" s="48">
        <f t="shared" si="291"/>
        <v>0</v>
      </c>
      <c r="EI75" s="48">
        <f t="shared" si="291"/>
        <v>0</v>
      </c>
      <c r="EJ75" s="48">
        <f t="shared" si="291"/>
        <v>0</v>
      </c>
      <c r="EK75" s="48">
        <f t="shared" si="291"/>
        <v>0</v>
      </c>
      <c r="EL75" s="48">
        <f t="shared" si="291"/>
        <v>0</v>
      </c>
      <c r="EM75" s="48">
        <f t="shared" si="291"/>
        <v>0</v>
      </c>
      <c r="EN75" s="48">
        <f t="shared" si="291"/>
        <v>0</v>
      </c>
      <c r="EO75" s="48">
        <f t="shared" si="291"/>
        <v>0</v>
      </c>
      <c r="EP75" s="48">
        <f t="shared" si="291"/>
        <v>0</v>
      </c>
      <c r="EQ75" s="48">
        <f t="shared" si="291"/>
        <v>0</v>
      </c>
      <c r="ER75" s="48">
        <f t="shared" si="291"/>
        <v>0</v>
      </c>
      <c r="ES75" s="48">
        <f t="shared" si="291"/>
        <v>0</v>
      </c>
    </row>
    <row r="76" spans="1:149" x14ac:dyDescent="0.3">
      <c r="A76" s="14" t="s">
        <v>1057</v>
      </c>
      <c r="B76" s="18" t="s">
        <v>1058</v>
      </c>
      <c r="C76" s="18" t="s">
        <v>439</v>
      </c>
      <c r="E76" s="54">
        <f>SUM(F76:ES76)</f>
        <v>1179542.8015068008</v>
      </c>
      <c r="F76" s="48">
        <f t="shared" ref="F76:AK76" si="292">P_Desp*(F$73+F$74)</f>
        <v>5975.1750000000002</v>
      </c>
      <c r="G76" s="48">
        <f t="shared" si="292"/>
        <v>5975.1750000000002</v>
      </c>
      <c r="H76" s="48">
        <f t="shared" si="292"/>
        <v>5975.1750000000002</v>
      </c>
      <c r="I76" s="48">
        <f t="shared" si="292"/>
        <v>5975.1750000000002</v>
      </c>
      <c r="J76" s="48">
        <f t="shared" si="292"/>
        <v>5975.1750000000002</v>
      </c>
      <c r="K76" s="48">
        <f t="shared" si="292"/>
        <v>5975.1750000000002</v>
      </c>
      <c r="L76" s="48">
        <f t="shared" si="292"/>
        <v>5975.1750000000002</v>
      </c>
      <c r="M76" s="48">
        <f t="shared" si="292"/>
        <v>5975.1750000000002</v>
      </c>
      <c r="N76" s="48">
        <f t="shared" si="292"/>
        <v>5975.1750000000002</v>
      </c>
      <c r="O76" s="48">
        <f t="shared" si="292"/>
        <v>5975.1750000000002</v>
      </c>
      <c r="P76" s="48">
        <f t="shared" si="292"/>
        <v>5975.1750000000002</v>
      </c>
      <c r="Q76" s="48">
        <f t="shared" si="292"/>
        <v>5975.1750000000002</v>
      </c>
      <c r="R76" s="48">
        <f t="shared" si="292"/>
        <v>7593.2662499999997</v>
      </c>
      <c r="S76" s="48">
        <f t="shared" si="292"/>
        <v>7593.2662499999997</v>
      </c>
      <c r="T76" s="48">
        <f t="shared" si="292"/>
        <v>7593.2662499999997</v>
      </c>
      <c r="U76" s="48">
        <f t="shared" si="292"/>
        <v>7593.2662499999997</v>
      </c>
      <c r="V76" s="48">
        <f t="shared" si="292"/>
        <v>7593.2662499999997</v>
      </c>
      <c r="W76" s="48">
        <f t="shared" si="292"/>
        <v>7593.2662499999997</v>
      </c>
      <c r="X76" s="48">
        <f t="shared" si="292"/>
        <v>7593.2662499999997</v>
      </c>
      <c r="Y76" s="48">
        <f t="shared" si="292"/>
        <v>7593.2662499999997</v>
      </c>
      <c r="Z76" s="48">
        <f t="shared" si="292"/>
        <v>7593.2662499999997</v>
      </c>
      <c r="AA76" s="48">
        <f t="shared" si="292"/>
        <v>7593.2662499999997</v>
      </c>
      <c r="AB76" s="48">
        <f t="shared" si="292"/>
        <v>7593.2662499999997</v>
      </c>
      <c r="AC76" s="48">
        <f t="shared" si="292"/>
        <v>7593.2662499999997</v>
      </c>
      <c r="AD76" s="48">
        <f t="shared" si="292"/>
        <v>9231.7407000000003</v>
      </c>
      <c r="AE76" s="48">
        <f t="shared" si="292"/>
        <v>9231.7407000000003</v>
      </c>
      <c r="AF76" s="48">
        <f t="shared" si="292"/>
        <v>9231.7407000000003</v>
      </c>
      <c r="AG76" s="48">
        <f t="shared" si="292"/>
        <v>9231.7407000000003</v>
      </c>
      <c r="AH76" s="48">
        <f t="shared" si="292"/>
        <v>9231.7407000000003</v>
      </c>
      <c r="AI76" s="48">
        <f t="shared" si="292"/>
        <v>9231.7407000000003</v>
      </c>
      <c r="AJ76" s="48">
        <f t="shared" si="292"/>
        <v>9231.7407000000003</v>
      </c>
      <c r="AK76" s="48">
        <f t="shared" si="292"/>
        <v>9231.7407000000003</v>
      </c>
      <c r="AL76" s="48">
        <f t="shared" ref="AL76:BQ76" si="293">P_Desp*(AL$73+AL$74)</f>
        <v>9231.7407000000003</v>
      </c>
      <c r="AM76" s="48">
        <f t="shared" si="293"/>
        <v>9231.7407000000003</v>
      </c>
      <c r="AN76" s="48">
        <f t="shared" si="293"/>
        <v>9231.7407000000003</v>
      </c>
      <c r="AO76" s="48">
        <f t="shared" si="293"/>
        <v>9231.7407000000003</v>
      </c>
      <c r="AP76" s="48">
        <f t="shared" si="293"/>
        <v>10578.763949624999</v>
      </c>
      <c r="AQ76" s="48">
        <f t="shared" si="293"/>
        <v>10578.763949624999</v>
      </c>
      <c r="AR76" s="48">
        <f t="shared" si="293"/>
        <v>10578.763949624999</v>
      </c>
      <c r="AS76" s="48">
        <f t="shared" si="293"/>
        <v>10578.763949624999</v>
      </c>
      <c r="AT76" s="48">
        <f t="shared" si="293"/>
        <v>10578.763949624999</v>
      </c>
      <c r="AU76" s="48">
        <f t="shared" si="293"/>
        <v>10578.763949624999</v>
      </c>
      <c r="AV76" s="48">
        <f t="shared" si="293"/>
        <v>10578.763949624999</v>
      </c>
      <c r="AW76" s="48">
        <f t="shared" si="293"/>
        <v>10578.763949624999</v>
      </c>
      <c r="AX76" s="48">
        <f t="shared" si="293"/>
        <v>10578.763949624999</v>
      </c>
      <c r="AY76" s="48">
        <f t="shared" si="293"/>
        <v>10578.763949624999</v>
      </c>
      <c r="AZ76" s="48">
        <f t="shared" si="293"/>
        <v>10578.763949624999</v>
      </c>
      <c r="BA76" s="48">
        <f t="shared" si="293"/>
        <v>10578.763949624999</v>
      </c>
      <c r="BB76" s="48">
        <f t="shared" si="293"/>
        <v>10646.373589121249</v>
      </c>
      <c r="BC76" s="48">
        <f t="shared" si="293"/>
        <v>10646.373589121249</v>
      </c>
      <c r="BD76" s="48">
        <f t="shared" si="293"/>
        <v>10646.373589121249</v>
      </c>
      <c r="BE76" s="48">
        <f t="shared" si="293"/>
        <v>10646.373589121249</v>
      </c>
      <c r="BF76" s="48">
        <f t="shared" si="293"/>
        <v>10646.373589121249</v>
      </c>
      <c r="BG76" s="48">
        <f t="shared" si="293"/>
        <v>10646.373589121249</v>
      </c>
      <c r="BH76" s="48">
        <f t="shared" si="293"/>
        <v>10646.373589121249</v>
      </c>
      <c r="BI76" s="48">
        <f t="shared" si="293"/>
        <v>10646.373589121249</v>
      </c>
      <c r="BJ76" s="48">
        <f t="shared" si="293"/>
        <v>10646.373589121249</v>
      </c>
      <c r="BK76" s="48">
        <f t="shared" si="293"/>
        <v>10646.373589121249</v>
      </c>
      <c r="BL76" s="48">
        <f t="shared" si="293"/>
        <v>10646.373589121249</v>
      </c>
      <c r="BM76" s="48">
        <f t="shared" si="293"/>
        <v>10646.373589121249</v>
      </c>
      <c r="BN76" s="48">
        <f t="shared" si="293"/>
        <v>10714.659325012461</v>
      </c>
      <c r="BO76" s="48">
        <f t="shared" si="293"/>
        <v>10714.659325012461</v>
      </c>
      <c r="BP76" s="48">
        <f t="shared" si="293"/>
        <v>10714.659325012461</v>
      </c>
      <c r="BQ76" s="48">
        <f t="shared" si="293"/>
        <v>10714.659325012461</v>
      </c>
      <c r="BR76" s="48">
        <f t="shared" ref="BR76:CW76" si="294">P_Desp*(BR$73+BR$74)</f>
        <v>10714.659325012461</v>
      </c>
      <c r="BS76" s="48">
        <f t="shared" si="294"/>
        <v>10714.659325012461</v>
      </c>
      <c r="BT76" s="48">
        <f t="shared" si="294"/>
        <v>10714.659325012461</v>
      </c>
      <c r="BU76" s="48">
        <f t="shared" si="294"/>
        <v>10714.659325012461</v>
      </c>
      <c r="BV76" s="48">
        <f t="shared" si="294"/>
        <v>10714.659325012461</v>
      </c>
      <c r="BW76" s="48">
        <f t="shared" si="294"/>
        <v>10714.659325012461</v>
      </c>
      <c r="BX76" s="48">
        <f t="shared" si="294"/>
        <v>10714.659325012461</v>
      </c>
      <c r="BY76" s="48">
        <f t="shared" si="294"/>
        <v>10714.659325012461</v>
      </c>
      <c r="BZ76" s="48">
        <f t="shared" si="294"/>
        <v>10783.627918262588</v>
      </c>
      <c r="CA76" s="48">
        <f t="shared" si="294"/>
        <v>10783.627918262588</v>
      </c>
      <c r="CB76" s="48">
        <f t="shared" si="294"/>
        <v>10783.627918262588</v>
      </c>
      <c r="CC76" s="48">
        <f t="shared" si="294"/>
        <v>10783.627918262588</v>
      </c>
      <c r="CD76" s="48">
        <f t="shared" si="294"/>
        <v>10783.627918262588</v>
      </c>
      <c r="CE76" s="48">
        <f t="shared" si="294"/>
        <v>10783.627918262588</v>
      </c>
      <c r="CF76" s="48">
        <f t="shared" si="294"/>
        <v>10783.627918262588</v>
      </c>
      <c r="CG76" s="48">
        <f t="shared" si="294"/>
        <v>10783.627918262588</v>
      </c>
      <c r="CH76" s="48">
        <f t="shared" si="294"/>
        <v>10783.627918262588</v>
      </c>
      <c r="CI76" s="48">
        <f t="shared" si="294"/>
        <v>10783.627918262588</v>
      </c>
      <c r="CJ76" s="48">
        <f t="shared" si="294"/>
        <v>10783.627918262588</v>
      </c>
      <c r="CK76" s="48">
        <f t="shared" si="294"/>
        <v>10783.627918262588</v>
      </c>
      <c r="CL76" s="48">
        <f t="shared" si="294"/>
        <v>10853.286197445212</v>
      </c>
      <c r="CM76" s="48">
        <f t="shared" si="294"/>
        <v>10853.286197445212</v>
      </c>
      <c r="CN76" s="48">
        <f t="shared" si="294"/>
        <v>10853.286197445212</v>
      </c>
      <c r="CO76" s="48">
        <f t="shared" si="294"/>
        <v>10853.286197445212</v>
      </c>
      <c r="CP76" s="48">
        <f t="shared" si="294"/>
        <v>10853.286197445212</v>
      </c>
      <c r="CQ76" s="48">
        <f t="shared" si="294"/>
        <v>10853.286197445212</v>
      </c>
      <c r="CR76" s="48">
        <f t="shared" si="294"/>
        <v>10853.286197445212</v>
      </c>
      <c r="CS76" s="48">
        <f t="shared" si="294"/>
        <v>10853.286197445212</v>
      </c>
      <c r="CT76" s="48">
        <f t="shared" si="294"/>
        <v>10853.286197445212</v>
      </c>
      <c r="CU76" s="48">
        <f t="shared" si="294"/>
        <v>10853.286197445212</v>
      </c>
      <c r="CV76" s="48">
        <f t="shared" si="294"/>
        <v>10853.286197445212</v>
      </c>
      <c r="CW76" s="48">
        <f t="shared" si="294"/>
        <v>10853.286197445212</v>
      </c>
      <c r="CX76" s="48">
        <f t="shared" ref="CX76:EC76" si="295">P_Desp*(CX$73+CX$74)</f>
        <v>10923.641059419664</v>
      </c>
      <c r="CY76" s="48">
        <f t="shared" si="295"/>
        <v>10923.641059419664</v>
      </c>
      <c r="CZ76" s="48">
        <f t="shared" si="295"/>
        <v>10923.641059419664</v>
      </c>
      <c r="DA76" s="48">
        <f t="shared" si="295"/>
        <v>10923.641059419664</v>
      </c>
      <c r="DB76" s="48">
        <f t="shared" si="295"/>
        <v>10923.641059419664</v>
      </c>
      <c r="DC76" s="48">
        <f t="shared" si="295"/>
        <v>10923.641059419664</v>
      </c>
      <c r="DD76" s="48">
        <f t="shared" si="295"/>
        <v>10923.641059419664</v>
      </c>
      <c r="DE76" s="48">
        <f t="shared" si="295"/>
        <v>10923.641059419664</v>
      </c>
      <c r="DF76" s="48">
        <f t="shared" si="295"/>
        <v>10923.641059419664</v>
      </c>
      <c r="DG76" s="48">
        <f t="shared" si="295"/>
        <v>10923.641059419664</v>
      </c>
      <c r="DH76" s="48">
        <f t="shared" si="295"/>
        <v>10923.641059419664</v>
      </c>
      <c r="DI76" s="48">
        <f t="shared" si="295"/>
        <v>10923.641059419664</v>
      </c>
      <c r="DJ76" s="48">
        <f t="shared" si="295"/>
        <v>10994.699470013862</v>
      </c>
      <c r="DK76" s="48">
        <f t="shared" si="295"/>
        <v>10994.699470013862</v>
      </c>
      <c r="DL76" s="48">
        <f t="shared" si="295"/>
        <v>10994.699470013862</v>
      </c>
      <c r="DM76" s="48">
        <f t="shared" si="295"/>
        <v>10994.699470013862</v>
      </c>
      <c r="DN76" s="48">
        <f t="shared" si="295"/>
        <v>10994.699470013862</v>
      </c>
      <c r="DO76" s="48">
        <f t="shared" si="295"/>
        <v>10994.699470013862</v>
      </c>
      <c r="DP76" s="48">
        <f t="shared" si="295"/>
        <v>10994.699470013862</v>
      </c>
      <c r="DQ76" s="48">
        <f t="shared" si="295"/>
        <v>10994.699470013862</v>
      </c>
      <c r="DR76" s="48">
        <f t="shared" si="295"/>
        <v>10994.699470013862</v>
      </c>
      <c r="DS76" s="48">
        <f t="shared" si="295"/>
        <v>10994.699470013862</v>
      </c>
      <c r="DT76" s="48">
        <f t="shared" si="295"/>
        <v>10994.699470013862</v>
      </c>
      <c r="DU76" s="48">
        <f t="shared" si="295"/>
        <v>10994.699470013862</v>
      </c>
      <c r="DV76" s="48">
        <f t="shared" si="295"/>
        <v>0</v>
      </c>
      <c r="DW76" s="48">
        <f t="shared" si="295"/>
        <v>0</v>
      </c>
      <c r="DX76" s="48">
        <f t="shared" si="295"/>
        <v>0</v>
      </c>
      <c r="DY76" s="48">
        <f t="shared" si="295"/>
        <v>0</v>
      </c>
      <c r="DZ76" s="48">
        <f t="shared" si="295"/>
        <v>0</v>
      </c>
      <c r="EA76" s="48">
        <f t="shared" si="295"/>
        <v>0</v>
      </c>
      <c r="EB76" s="48">
        <f t="shared" si="295"/>
        <v>0</v>
      </c>
      <c r="EC76" s="48">
        <f t="shared" si="295"/>
        <v>0</v>
      </c>
      <c r="ED76" s="48">
        <f t="shared" ref="ED76:ES76" si="296">P_Desp*(ED$73+ED$74)</f>
        <v>0</v>
      </c>
      <c r="EE76" s="48">
        <f t="shared" si="296"/>
        <v>0</v>
      </c>
      <c r="EF76" s="48">
        <f t="shared" si="296"/>
        <v>0</v>
      </c>
      <c r="EG76" s="48">
        <f t="shared" si="296"/>
        <v>0</v>
      </c>
      <c r="EH76" s="48">
        <f t="shared" si="296"/>
        <v>0</v>
      </c>
      <c r="EI76" s="48">
        <f t="shared" si="296"/>
        <v>0</v>
      </c>
      <c r="EJ76" s="48">
        <f t="shared" si="296"/>
        <v>0</v>
      </c>
      <c r="EK76" s="48">
        <f t="shared" si="296"/>
        <v>0</v>
      </c>
      <c r="EL76" s="48">
        <f t="shared" si="296"/>
        <v>0</v>
      </c>
      <c r="EM76" s="48">
        <f t="shared" si="296"/>
        <v>0</v>
      </c>
      <c r="EN76" s="48">
        <f t="shared" si="296"/>
        <v>0</v>
      </c>
      <c r="EO76" s="48">
        <f t="shared" si="296"/>
        <v>0</v>
      </c>
      <c r="EP76" s="48">
        <f t="shared" si="296"/>
        <v>0</v>
      </c>
      <c r="EQ76" s="48">
        <f t="shared" si="296"/>
        <v>0</v>
      </c>
      <c r="ER76" s="48">
        <f t="shared" si="296"/>
        <v>0</v>
      </c>
      <c r="ES76" s="48">
        <f t="shared" si="296"/>
        <v>0</v>
      </c>
    </row>
    <row r="77" spans="1:149" x14ac:dyDescent="0.3">
      <c r="A77" s="14" t="s">
        <v>1059</v>
      </c>
      <c r="B77" s="18" t="s">
        <v>1060</v>
      </c>
      <c r="C77" s="18" t="s">
        <v>785</v>
      </c>
      <c r="F77" s="50">
        <f t="shared" ref="F77:AK77" si="297">SUMPRODUCT((Per_Clase="Directo")*INDEX(Dot_O,0,MIN(10,F$17)))*(F$15+F$16*P_PreDir)</f>
        <v>43</v>
      </c>
      <c r="G77" s="50">
        <f t="shared" si="297"/>
        <v>43</v>
      </c>
      <c r="H77" s="50">
        <f t="shared" si="297"/>
        <v>43</v>
      </c>
      <c r="I77" s="50">
        <f t="shared" si="297"/>
        <v>43</v>
      </c>
      <c r="J77" s="50">
        <f t="shared" si="297"/>
        <v>43</v>
      </c>
      <c r="K77" s="50">
        <f t="shared" si="297"/>
        <v>43</v>
      </c>
      <c r="L77" s="50">
        <f t="shared" si="297"/>
        <v>43</v>
      </c>
      <c r="M77" s="50">
        <f t="shared" si="297"/>
        <v>43</v>
      </c>
      <c r="N77" s="50">
        <f t="shared" si="297"/>
        <v>43</v>
      </c>
      <c r="O77" s="50">
        <f t="shared" si="297"/>
        <v>43</v>
      </c>
      <c r="P77" s="50">
        <f t="shared" si="297"/>
        <v>43</v>
      </c>
      <c r="Q77" s="50">
        <f t="shared" si="297"/>
        <v>43</v>
      </c>
      <c r="R77" s="50">
        <f t="shared" si="297"/>
        <v>43</v>
      </c>
      <c r="S77" s="50">
        <f t="shared" si="297"/>
        <v>43</v>
      </c>
      <c r="T77" s="50">
        <f t="shared" si="297"/>
        <v>43</v>
      </c>
      <c r="U77" s="50">
        <f t="shared" si="297"/>
        <v>43</v>
      </c>
      <c r="V77" s="50">
        <f t="shared" si="297"/>
        <v>43</v>
      </c>
      <c r="W77" s="50">
        <f t="shared" si="297"/>
        <v>43</v>
      </c>
      <c r="X77" s="50">
        <f t="shared" si="297"/>
        <v>43</v>
      </c>
      <c r="Y77" s="50">
        <f t="shared" si="297"/>
        <v>43</v>
      </c>
      <c r="Z77" s="50">
        <f t="shared" si="297"/>
        <v>43</v>
      </c>
      <c r="AA77" s="50">
        <f t="shared" si="297"/>
        <v>43</v>
      </c>
      <c r="AB77" s="50">
        <f t="shared" si="297"/>
        <v>43</v>
      </c>
      <c r="AC77" s="50">
        <f t="shared" si="297"/>
        <v>43</v>
      </c>
      <c r="AD77" s="50">
        <f t="shared" si="297"/>
        <v>46</v>
      </c>
      <c r="AE77" s="50">
        <f t="shared" si="297"/>
        <v>46</v>
      </c>
      <c r="AF77" s="50">
        <f t="shared" si="297"/>
        <v>46</v>
      </c>
      <c r="AG77" s="50">
        <f t="shared" si="297"/>
        <v>46</v>
      </c>
      <c r="AH77" s="50">
        <f t="shared" si="297"/>
        <v>46</v>
      </c>
      <c r="AI77" s="50">
        <f t="shared" si="297"/>
        <v>46</v>
      </c>
      <c r="AJ77" s="50">
        <f t="shared" si="297"/>
        <v>46</v>
      </c>
      <c r="AK77" s="50">
        <f t="shared" si="297"/>
        <v>46</v>
      </c>
      <c r="AL77" s="50">
        <f t="shared" ref="AL77:BQ77" si="298">SUMPRODUCT((Per_Clase="Directo")*INDEX(Dot_O,0,MIN(10,AL$17)))*(AL$15+AL$16*P_PreDir)</f>
        <v>46</v>
      </c>
      <c r="AM77" s="50">
        <f t="shared" si="298"/>
        <v>46</v>
      </c>
      <c r="AN77" s="50">
        <f t="shared" si="298"/>
        <v>46</v>
      </c>
      <c r="AO77" s="50">
        <f t="shared" si="298"/>
        <v>46</v>
      </c>
      <c r="AP77" s="50">
        <f t="shared" si="298"/>
        <v>49</v>
      </c>
      <c r="AQ77" s="50">
        <f t="shared" si="298"/>
        <v>49</v>
      </c>
      <c r="AR77" s="50">
        <f t="shared" si="298"/>
        <v>49</v>
      </c>
      <c r="AS77" s="50">
        <f t="shared" si="298"/>
        <v>49</v>
      </c>
      <c r="AT77" s="50">
        <f t="shared" si="298"/>
        <v>49</v>
      </c>
      <c r="AU77" s="50">
        <f t="shared" si="298"/>
        <v>49</v>
      </c>
      <c r="AV77" s="50">
        <f t="shared" si="298"/>
        <v>49</v>
      </c>
      <c r="AW77" s="50">
        <f t="shared" si="298"/>
        <v>49</v>
      </c>
      <c r="AX77" s="50">
        <f t="shared" si="298"/>
        <v>49</v>
      </c>
      <c r="AY77" s="50">
        <f t="shared" si="298"/>
        <v>49</v>
      </c>
      <c r="AZ77" s="50">
        <f t="shared" si="298"/>
        <v>49</v>
      </c>
      <c r="BA77" s="50">
        <f t="shared" si="298"/>
        <v>49</v>
      </c>
      <c r="BB77" s="50">
        <f t="shared" si="298"/>
        <v>52</v>
      </c>
      <c r="BC77" s="50">
        <f t="shared" si="298"/>
        <v>52</v>
      </c>
      <c r="BD77" s="50">
        <f t="shared" si="298"/>
        <v>52</v>
      </c>
      <c r="BE77" s="50">
        <f t="shared" si="298"/>
        <v>52</v>
      </c>
      <c r="BF77" s="50">
        <f t="shared" si="298"/>
        <v>52</v>
      </c>
      <c r="BG77" s="50">
        <f t="shared" si="298"/>
        <v>52</v>
      </c>
      <c r="BH77" s="50">
        <f t="shared" si="298"/>
        <v>52</v>
      </c>
      <c r="BI77" s="50">
        <f t="shared" si="298"/>
        <v>52</v>
      </c>
      <c r="BJ77" s="50">
        <f t="shared" si="298"/>
        <v>52</v>
      </c>
      <c r="BK77" s="50">
        <f t="shared" si="298"/>
        <v>52</v>
      </c>
      <c r="BL77" s="50">
        <f t="shared" si="298"/>
        <v>52</v>
      </c>
      <c r="BM77" s="50">
        <f t="shared" si="298"/>
        <v>52</v>
      </c>
      <c r="BN77" s="50">
        <f t="shared" si="298"/>
        <v>52</v>
      </c>
      <c r="BO77" s="50">
        <f t="shared" si="298"/>
        <v>52</v>
      </c>
      <c r="BP77" s="50">
        <f t="shared" si="298"/>
        <v>52</v>
      </c>
      <c r="BQ77" s="50">
        <f t="shared" si="298"/>
        <v>52</v>
      </c>
      <c r="BR77" s="50">
        <f t="shared" ref="BR77:CW77" si="299">SUMPRODUCT((Per_Clase="Directo")*INDEX(Dot_O,0,MIN(10,BR$17)))*(BR$15+BR$16*P_PreDir)</f>
        <v>52</v>
      </c>
      <c r="BS77" s="50">
        <f t="shared" si="299"/>
        <v>52</v>
      </c>
      <c r="BT77" s="50">
        <f t="shared" si="299"/>
        <v>52</v>
      </c>
      <c r="BU77" s="50">
        <f t="shared" si="299"/>
        <v>52</v>
      </c>
      <c r="BV77" s="50">
        <f t="shared" si="299"/>
        <v>52</v>
      </c>
      <c r="BW77" s="50">
        <f t="shared" si="299"/>
        <v>52</v>
      </c>
      <c r="BX77" s="50">
        <f t="shared" si="299"/>
        <v>52</v>
      </c>
      <c r="BY77" s="50">
        <f t="shared" si="299"/>
        <v>52</v>
      </c>
      <c r="BZ77" s="50">
        <f t="shared" si="299"/>
        <v>52</v>
      </c>
      <c r="CA77" s="50">
        <f t="shared" si="299"/>
        <v>52</v>
      </c>
      <c r="CB77" s="50">
        <f t="shared" si="299"/>
        <v>52</v>
      </c>
      <c r="CC77" s="50">
        <f t="shared" si="299"/>
        <v>52</v>
      </c>
      <c r="CD77" s="50">
        <f t="shared" si="299"/>
        <v>52</v>
      </c>
      <c r="CE77" s="50">
        <f t="shared" si="299"/>
        <v>52</v>
      </c>
      <c r="CF77" s="50">
        <f t="shared" si="299"/>
        <v>52</v>
      </c>
      <c r="CG77" s="50">
        <f t="shared" si="299"/>
        <v>52</v>
      </c>
      <c r="CH77" s="50">
        <f t="shared" si="299"/>
        <v>52</v>
      </c>
      <c r="CI77" s="50">
        <f t="shared" si="299"/>
        <v>52</v>
      </c>
      <c r="CJ77" s="50">
        <f t="shared" si="299"/>
        <v>52</v>
      </c>
      <c r="CK77" s="50">
        <f t="shared" si="299"/>
        <v>52</v>
      </c>
      <c r="CL77" s="50">
        <f t="shared" si="299"/>
        <v>52</v>
      </c>
      <c r="CM77" s="50">
        <f t="shared" si="299"/>
        <v>52</v>
      </c>
      <c r="CN77" s="50">
        <f t="shared" si="299"/>
        <v>52</v>
      </c>
      <c r="CO77" s="50">
        <f t="shared" si="299"/>
        <v>52</v>
      </c>
      <c r="CP77" s="50">
        <f t="shared" si="299"/>
        <v>52</v>
      </c>
      <c r="CQ77" s="50">
        <f t="shared" si="299"/>
        <v>52</v>
      </c>
      <c r="CR77" s="50">
        <f t="shared" si="299"/>
        <v>52</v>
      </c>
      <c r="CS77" s="50">
        <f t="shared" si="299"/>
        <v>52</v>
      </c>
      <c r="CT77" s="50">
        <f t="shared" si="299"/>
        <v>52</v>
      </c>
      <c r="CU77" s="50">
        <f t="shared" si="299"/>
        <v>52</v>
      </c>
      <c r="CV77" s="50">
        <f t="shared" si="299"/>
        <v>52</v>
      </c>
      <c r="CW77" s="50">
        <f t="shared" si="299"/>
        <v>52</v>
      </c>
      <c r="CX77" s="50">
        <f t="shared" ref="CX77:EC77" si="300">SUMPRODUCT((Per_Clase="Directo")*INDEX(Dot_O,0,MIN(10,CX$17)))*(CX$15+CX$16*P_PreDir)</f>
        <v>52</v>
      </c>
      <c r="CY77" s="50">
        <f t="shared" si="300"/>
        <v>52</v>
      </c>
      <c r="CZ77" s="50">
        <f t="shared" si="300"/>
        <v>52</v>
      </c>
      <c r="DA77" s="50">
        <f t="shared" si="300"/>
        <v>52</v>
      </c>
      <c r="DB77" s="50">
        <f t="shared" si="300"/>
        <v>52</v>
      </c>
      <c r="DC77" s="50">
        <f t="shared" si="300"/>
        <v>52</v>
      </c>
      <c r="DD77" s="50">
        <f t="shared" si="300"/>
        <v>52</v>
      </c>
      <c r="DE77" s="50">
        <f t="shared" si="300"/>
        <v>52</v>
      </c>
      <c r="DF77" s="50">
        <f t="shared" si="300"/>
        <v>52</v>
      </c>
      <c r="DG77" s="50">
        <f t="shared" si="300"/>
        <v>52</v>
      </c>
      <c r="DH77" s="50">
        <f t="shared" si="300"/>
        <v>52</v>
      </c>
      <c r="DI77" s="50">
        <f t="shared" si="300"/>
        <v>52</v>
      </c>
      <c r="DJ77" s="50">
        <f t="shared" si="300"/>
        <v>52</v>
      </c>
      <c r="DK77" s="50">
        <f t="shared" si="300"/>
        <v>52</v>
      </c>
      <c r="DL77" s="50">
        <f t="shared" si="300"/>
        <v>52</v>
      </c>
      <c r="DM77" s="50">
        <f t="shared" si="300"/>
        <v>52</v>
      </c>
      <c r="DN77" s="50">
        <f t="shared" si="300"/>
        <v>52</v>
      </c>
      <c r="DO77" s="50">
        <f t="shared" si="300"/>
        <v>52</v>
      </c>
      <c r="DP77" s="50">
        <f t="shared" si="300"/>
        <v>52</v>
      </c>
      <c r="DQ77" s="50">
        <f t="shared" si="300"/>
        <v>52</v>
      </c>
      <c r="DR77" s="50">
        <f t="shared" si="300"/>
        <v>52</v>
      </c>
      <c r="DS77" s="50">
        <f t="shared" si="300"/>
        <v>52</v>
      </c>
      <c r="DT77" s="50">
        <f t="shared" si="300"/>
        <v>52</v>
      </c>
      <c r="DU77" s="50">
        <f t="shared" si="300"/>
        <v>52</v>
      </c>
      <c r="DV77" s="50">
        <f t="shared" si="300"/>
        <v>0</v>
      </c>
      <c r="DW77" s="50">
        <f t="shared" si="300"/>
        <v>0</v>
      </c>
      <c r="DX77" s="50">
        <f t="shared" si="300"/>
        <v>0</v>
      </c>
      <c r="DY77" s="50">
        <f t="shared" si="300"/>
        <v>0</v>
      </c>
      <c r="DZ77" s="50">
        <f t="shared" si="300"/>
        <v>0</v>
      </c>
      <c r="EA77" s="50">
        <f t="shared" si="300"/>
        <v>0</v>
      </c>
      <c r="EB77" s="50">
        <f t="shared" si="300"/>
        <v>0</v>
      </c>
      <c r="EC77" s="50">
        <f t="shared" si="300"/>
        <v>0</v>
      </c>
      <c r="ED77" s="50">
        <f t="shared" ref="ED77:ES77" si="301">SUMPRODUCT((Per_Clase="Directo")*INDEX(Dot_O,0,MIN(10,ED$17)))*(ED$15+ED$16*P_PreDir)</f>
        <v>0</v>
      </c>
      <c r="EE77" s="50">
        <f t="shared" si="301"/>
        <v>0</v>
      </c>
      <c r="EF77" s="50">
        <f t="shared" si="301"/>
        <v>0</v>
      </c>
      <c r="EG77" s="50">
        <f t="shared" si="301"/>
        <v>0</v>
      </c>
      <c r="EH77" s="50">
        <f t="shared" si="301"/>
        <v>0</v>
      </c>
      <c r="EI77" s="50">
        <f t="shared" si="301"/>
        <v>0</v>
      </c>
      <c r="EJ77" s="50">
        <f t="shared" si="301"/>
        <v>0</v>
      </c>
      <c r="EK77" s="50">
        <f t="shared" si="301"/>
        <v>0</v>
      </c>
      <c r="EL77" s="50">
        <f t="shared" si="301"/>
        <v>0</v>
      </c>
      <c r="EM77" s="50">
        <f t="shared" si="301"/>
        <v>0</v>
      </c>
      <c r="EN77" s="50">
        <f t="shared" si="301"/>
        <v>0</v>
      </c>
      <c r="EO77" s="50">
        <f t="shared" si="301"/>
        <v>0</v>
      </c>
      <c r="EP77" s="50">
        <f t="shared" si="301"/>
        <v>0</v>
      </c>
      <c r="EQ77" s="50">
        <f t="shared" si="301"/>
        <v>0</v>
      </c>
      <c r="ER77" s="50">
        <f t="shared" si="301"/>
        <v>0</v>
      </c>
      <c r="ES77" s="50">
        <f t="shared" si="301"/>
        <v>0</v>
      </c>
    </row>
    <row r="78" spans="1:149" x14ac:dyDescent="0.3">
      <c r="A78" s="14" t="s">
        <v>1061</v>
      </c>
      <c r="B78" s="18" t="s">
        <v>1062</v>
      </c>
      <c r="C78" s="18" t="s">
        <v>439</v>
      </c>
      <c r="E78" s="54">
        <f>SUM(F78:ES78)</f>
        <v>4532548.9150515627</v>
      </c>
      <c r="F78" s="48">
        <f t="shared" ref="F78:AK78" si="302">SUMPRODUCT((Per_Clase="Directo")*Sal_O*INDEX(Dot_O,0,MIN(10,F$17))*((Per_Mon="PYG")*F$19+(Per_Mon&lt;&gt;"PYG")))*(F$15+F$16*P_PreDir)*INDEX(IdxSal_O,1,MIN(10,F$17))*(1+P_Cargas)+F$77*P_Alim*F$19</f>
        <v>32622.225797123283</v>
      </c>
      <c r="G78" s="48">
        <f t="shared" si="302"/>
        <v>32622.225797123283</v>
      </c>
      <c r="H78" s="48">
        <f t="shared" si="302"/>
        <v>32622.225797123283</v>
      </c>
      <c r="I78" s="48">
        <f t="shared" si="302"/>
        <v>32622.225797123283</v>
      </c>
      <c r="J78" s="48">
        <f t="shared" si="302"/>
        <v>32622.225797123283</v>
      </c>
      <c r="K78" s="48">
        <f t="shared" si="302"/>
        <v>32622.225797123283</v>
      </c>
      <c r="L78" s="48">
        <f t="shared" si="302"/>
        <v>32622.225797123283</v>
      </c>
      <c r="M78" s="48">
        <f t="shared" si="302"/>
        <v>32622.225797123283</v>
      </c>
      <c r="N78" s="48">
        <f t="shared" si="302"/>
        <v>32622.225797123283</v>
      </c>
      <c r="O78" s="48">
        <f t="shared" si="302"/>
        <v>32622.225797123283</v>
      </c>
      <c r="P78" s="48">
        <f t="shared" si="302"/>
        <v>32622.225797123283</v>
      </c>
      <c r="Q78" s="48">
        <f t="shared" si="302"/>
        <v>32622.225797123283</v>
      </c>
      <c r="R78" s="48">
        <f t="shared" si="302"/>
        <v>32622.225797123283</v>
      </c>
      <c r="S78" s="48">
        <f t="shared" si="302"/>
        <v>32622.225797123283</v>
      </c>
      <c r="T78" s="48">
        <f t="shared" si="302"/>
        <v>32622.225797123283</v>
      </c>
      <c r="U78" s="48">
        <f t="shared" si="302"/>
        <v>32622.225797123283</v>
      </c>
      <c r="V78" s="48">
        <f t="shared" si="302"/>
        <v>32622.225797123283</v>
      </c>
      <c r="W78" s="48">
        <f t="shared" si="302"/>
        <v>32622.225797123283</v>
      </c>
      <c r="X78" s="48">
        <f t="shared" si="302"/>
        <v>32622.225797123283</v>
      </c>
      <c r="Y78" s="48">
        <f t="shared" si="302"/>
        <v>32622.225797123283</v>
      </c>
      <c r="Z78" s="48">
        <f t="shared" si="302"/>
        <v>32622.225797123283</v>
      </c>
      <c r="AA78" s="48">
        <f t="shared" si="302"/>
        <v>32622.225797123283</v>
      </c>
      <c r="AB78" s="48">
        <f t="shared" si="302"/>
        <v>32622.225797123283</v>
      </c>
      <c r="AC78" s="48">
        <f t="shared" si="302"/>
        <v>32622.225797123283</v>
      </c>
      <c r="AD78" s="48">
        <f t="shared" si="302"/>
        <v>35267.643640890412</v>
      </c>
      <c r="AE78" s="48">
        <f t="shared" si="302"/>
        <v>35267.643640890412</v>
      </c>
      <c r="AF78" s="48">
        <f t="shared" si="302"/>
        <v>35267.643640890412</v>
      </c>
      <c r="AG78" s="48">
        <f t="shared" si="302"/>
        <v>35267.643640890412</v>
      </c>
      <c r="AH78" s="48">
        <f t="shared" si="302"/>
        <v>35267.643640890412</v>
      </c>
      <c r="AI78" s="48">
        <f t="shared" si="302"/>
        <v>35267.643640890412</v>
      </c>
      <c r="AJ78" s="48">
        <f t="shared" si="302"/>
        <v>35267.643640890412</v>
      </c>
      <c r="AK78" s="48">
        <f t="shared" si="302"/>
        <v>35267.643640890412</v>
      </c>
      <c r="AL78" s="48">
        <f t="shared" ref="AL78:BQ78" si="303">SUMPRODUCT((Per_Clase="Directo")*Sal_O*INDEX(Dot_O,0,MIN(10,AL$17))*((Per_Mon="PYG")*AL$19+(Per_Mon&lt;&gt;"PYG")))*(AL$15+AL$16*P_PreDir)*INDEX(IdxSal_O,1,MIN(10,AL$17))*(1+P_Cargas)+AL$77*P_Alim*AL$19</f>
        <v>35267.643640890412</v>
      </c>
      <c r="AM78" s="48">
        <f t="shared" si="303"/>
        <v>35267.643640890412</v>
      </c>
      <c r="AN78" s="48">
        <f t="shared" si="303"/>
        <v>35267.643640890412</v>
      </c>
      <c r="AO78" s="48">
        <f t="shared" si="303"/>
        <v>35267.643640890412</v>
      </c>
      <c r="AP78" s="48">
        <f t="shared" si="303"/>
        <v>37386.012795287672</v>
      </c>
      <c r="AQ78" s="48">
        <f t="shared" si="303"/>
        <v>37386.012795287672</v>
      </c>
      <c r="AR78" s="48">
        <f t="shared" si="303"/>
        <v>37386.012795287672</v>
      </c>
      <c r="AS78" s="48">
        <f t="shared" si="303"/>
        <v>37386.012795287672</v>
      </c>
      <c r="AT78" s="48">
        <f t="shared" si="303"/>
        <v>37386.012795287672</v>
      </c>
      <c r="AU78" s="48">
        <f t="shared" si="303"/>
        <v>37386.012795287672</v>
      </c>
      <c r="AV78" s="48">
        <f t="shared" si="303"/>
        <v>37386.012795287672</v>
      </c>
      <c r="AW78" s="48">
        <f t="shared" si="303"/>
        <v>37386.012795287672</v>
      </c>
      <c r="AX78" s="48">
        <f t="shared" si="303"/>
        <v>37386.012795287672</v>
      </c>
      <c r="AY78" s="48">
        <f t="shared" si="303"/>
        <v>37386.012795287672</v>
      </c>
      <c r="AZ78" s="48">
        <f t="shared" si="303"/>
        <v>37386.012795287672</v>
      </c>
      <c r="BA78" s="48">
        <f t="shared" si="303"/>
        <v>37386.012795287672</v>
      </c>
      <c r="BB78" s="48">
        <f t="shared" si="303"/>
        <v>39969.050259534248</v>
      </c>
      <c r="BC78" s="48">
        <f t="shared" si="303"/>
        <v>39969.050259534248</v>
      </c>
      <c r="BD78" s="48">
        <f t="shared" si="303"/>
        <v>39969.050259534248</v>
      </c>
      <c r="BE78" s="48">
        <f t="shared" si="303"/>
        <v>39969.050259534248</v>
      </c>
      <c r="BF78" s="48">
        <f t="shared" si="303"/>
        <v>39969.050259534248</v>
      </c>
      <c r="BG78" s="48">
        <f t="shared" si="303"/>
        <v>39969.050259534248</v>
      </c>
      <c r="BH78" s="48">
        <f t="shared" si="303"/>
        <v>39969.050259534248</v>
      </c>
      <c r="BI78" s="48">
        <f t="shared" si="303"/>
        <v>39969.050259534248</v>
      </c>
      <c r="BJ78" s="48">
        <f t="shared" si="303"/>
        <v>39969.050259534248</v>
      </c>
      <c r="BK78" s="48">
        <f t="shared" si="303"/>
        <v>39969.050259534248</v>
      </c>
      <c r="BL78" s="48">
        <f t="shared" si="303"/>
        <v>39969.050259534248</v>
      </c>
      <c r="BM78" s="48">
        <f t="shared" si="303"/>
        <v>39969.050259534248</v>
      </c>
      <c r="BN78" s="48">
        <f t="shared" si="303"/>
        <v>39969.050259534248</v>
      </c>
      <c r="BO78" s="48">
        <f t="shared" si="303"/>
        <v>39969.050259534248</v>
      </c>
      <c r="BP78" s="48">
        <f t="shared" si="303"/>
        <v>39969.050259534248</v>
      </c>
      <c r="BQ78" s="48">
        <f t="shared" si="303"/>
        <v>39969.050259534248</v>
      </c>
      <c r="BR78" s="48">
        <f t="shared" ref="BR78:CW78" si="304">SUMPRODUCT((Per_Clase="Directo")*Sal_O*INDEX(Dot_O,0,MIN(10,BR$17))*((Per_Mon="PYG")*BR$19+(Per_Mon&lt;&gt;"PYG")))*(BR$15+BR$16*P_PreDir)*INDEX(IdxSal_O,1,MIN(10,BR$17))*(1+P_Cargas)+BR$77*P_Alim*BR$19</f>
        <v>39969.050259534248</v>
      </c>
      <c r="BS78" s="48">
        <f t="shared" si="304"/>
        <v>39969.050259534248</v>
      </c>
      <c r="BT78" s="48">
        <f t="shared" si="304"/>
        <v>39969.050259534248</v>
      </c>
      <c r="BU78" s="48">
        <f t="shared" si="304"/>
        <v>39969.050259534248</v>
      </c>
      <c r="BV78" s="48">
        <f t="shared" si="304"/>
        <v>39969.050259534248</v>
      </c>
      <c r="BW78" s="48">
        <f t="shared" si="304"/>
        <v>39969.050259534248</v>
      </c>
      <c r="BX78" s="48">
        <f t="shared" si="304"/>
        <v>39969.050259534248</v>
      </c>
      <c r="BY78" s="48">
        <f t="shared" si="304"/>
        <v>39969.050259534248</v>
      </c>
      <c r="BZ78" s="48">
        <f t="shared" si="304"/>
        <v>39969.050259534248</v>
      </c>
      <c r="CA78" s="48">
        <f t="shared" si="304"/>
        <v>39969.050259534248</v>
      </c>
      <c r="CB78" s="48">
        <f t="shared" si="304"/>
        <v>39969.050259534248</v>
      </c>
      <c r="CC78" s="48">
        <f t="shared" si="304"/>
        <v>39969.050259534248</v>
      </c>
      <c r="CD78" s="48">
        <f t="shared" si="304"/>
        <v>39969.050259534248</v>
      </c>
      <c r="CE78" s="48">
        <f t="shared" si="304"/>
        <v>39969.050259534248</v>
      </c>
      <c r="CF78" s="48">
        <f t="shared" si="304"/>
        <v>39969.050259534248</v>
      </c>
      <c r="CG78" s="48">
        <f t="shared" si="304"/>
        <v>39969.050259534248</v>
      </c>
      <c r="CH78" s="48">
        <f t="shared" si="304"/>
        <v>39969.050259534248</v>
      </c>
      <c r="CI78" s="48">
        <f t="shared" si="304"/>
        <v>39969.050259534248</v>
      </c>
      <c r="CJ78" s="48">
        <f t="shared" si="304"/>
        <v>39969.050259534248</v>
      </c>
      <c r="CK78" s="48">
        <f t="shared" si="304"/>
        <v>39969.050259534248</v>
      </c>
      <c r="CL78" s="48">
        <f t="shared" si="304"/>
        <v>39969.050259534248</v>
      </c>
      <c r="CM78" s="48">
        <f t="shared" si="304"/>
        <v>39969.050259534248</v>
      </c>
      <c r="CN78" s="48">
        <f t="shared" si="304"/>
        <v>39969.050259534248</v>
      </c>
      <c r="CO78" s="48">
        <f t="shared" si="304"/>
        <v>39969.050259534248</v>
      </c>
      <c r="CP78" s="48">
        <f t="shared" si="304"/>
        <v>39969.050259534248</v>
      </c>
      <c r="CQ78" s="48">
        <f t="shared" si="304"/>
        <v>39969.050259534248</v>
      </c>
      <c r="CR78" s="48">
        <f t="shared" si="304"/>
        <v>39969.050259534248</v>
      </c>
      <c r="CS78" s="48">
        <f t="shared" si="304"/>
        <v>39969.050259534248</v>
      </c>
      <c r="CT78" s="48">
        <f t="shared" si="304"/>
        <v>39969.050259534248</v>
      </c>
      <c r="CU78" s="48">
        <f t="shared" si="304"/>
        <v>39969.050259534248</v>
      </c>
      <c r="CV78" s="48">
        <f t="shared" si="304"/>
        <v>39969.050259534248</v>
      </c>
      <c r="CW78" s="48">
        <f t="shared" si="304"/>
        <v>39969.050259534248</v>
      </c>
      <c r="CX78" s="48">
        <f t="shared" ref="CX78:EC78" si="305">SUMPRODUCT((Per_Clase="Directo")*Sal_O*INDEX(Dot_O,0,MIN(10,CX$17))*((Per_Mon="PYG")*CX$19+(Per_Mon&lt;&gt;"PYG")))*(CX$15+CX$16*P_PreDir)*INDEX(IdxSal_O,1,MIN(10,CX$17))*(1+P_Cargas)+CX$77*P_Alim*CX$19</f>
        <v>39969.050259534248</v>
      </c>
      <c r="CY78" s="48">
        <f t="shared" si="305"/>
        <v>39969.050259534248</v>
      </c>
      <c r="CZ78" s="48">
        <f t="shared" si="305"/>
        <v>39969.050259534248</v>
      </c>
      <c r="DA78" s="48">
        <f t="shared" si="305"/>
        <v>39969.050259534248</v>
      </c>
      <c r="DB78" s="48">
        <f t="shared" si="305"/>
        <v>39969.050259534248</v>
      </c>
      <c r="DC78" s="48">
        <f t="shared" si="305"/>
        <v>39969.050259534248</v>
      </c>
      <c r="DD78" s="48">
        <f t="shared" si="305"/>
        <v>39969.050259534248</v>
      </c>
      <c r="DE78" s="48">
        <f t="shared" si="305"/>
        <v>39969.050259534248</v>
      </c>
      <c r="DF78" s="48">
        <f t="shared" si="305"/>
        <v>39969.050259534248</v>
      </c>
      <c r="DG78" s="48">
        <f t="shared" si="305"/>
        <v>39969.050259534248</v>
      </c>
      <c r="DH78" s="48">
        <f t="shared" si="305"/>
        <v>39969.050259534248</v>
      </c>
      <c r="DI78" s="48">
        <f t="shared" si="305"/>
        <v>39969.050259534248</v>
      </c>
      <c r="DJ78" s="48">
        <f t="shared" si="305"/>
        <v>39969.050259534248</v>
      </c>
      <c r="DK78" s="48">
        <f t="shared" si="305"/>
        <v>39969.050259534248</v>
      </c>
      <c r="DL78" s="48">
        <f t="shared" si="305"/>
        <v>39969.050259534248</v>
      </c>
      <c r="DM78" s="48">
        <f t="shared" si="305"/>
        <v>39969.050259534248</v>
      </c>
      <c r="DN78" s="48">
        <f t="shared" si="305"/>
        <v>39969.050259534248</v>
      </c>
      <c r="DO78" s="48">
        <f t="shared" si="305"/>
        <v>39969.050259534248</v>
      </c>
      <c r="DP78" s="48">
        <f t="shared" si="305"/>
        <v>39969.050259534248</v>
      </c>
      <c r="DQ78" s="48">
        <f t="shared" si="305"/>
        <v>39969.050259534248</v>
      </c>
      <c r="DR78" s="48">
        <f t="shared" si="305"/>
        <v>39969.050259534248</v>
      </c>
      <c r="DS78" s="48">
        <f t="shared" si="305"/>
        <v>39969.050259534248</v>
      </c>
      <c r="DT78" s="48">
        <f t="shared" si="305"/>
        <v>39969.050259534248</v>
      </c>
      <c r="DU78" s="48">
        <f t="shared" si="305"/>
        <v>39969.050259534248</v>
      </c>
      <c r="DV78" s="48">
        <f t="shared" si="305"/>
        <v>0</v>
      </c>
      <c r="DW78" s="48">
        <f t="shared" si="305"/>
        <v>0</v>
      </c>
      <c r="DX78" s="48">
        <f t="shared" si="305"/>
        <v>0</v>
      </c>
      <c r="DY78" s="48">
        <f t="shared" si="305"/>
        <v>0</v>
      </c>
      <c r="DZ78" s="48">
        <f t="shared" si="305"/>
        <v>0</v>
      </c>
      <c r="EA78" s="48">
        <f t="shared" si="305"/>
        <v>0</v>
      </c>
      <c r="EB78" s="48">
        <f t="shared" si="305"/>
        <v>0</v>
      </c>
      <c r="EC78" s="48">
        <f t="shared" si="305"/>
        <v>0</v>
      </c>
      <c r="ED78" s="48">
        <f t="shared" ref="ED78:ES78" si="306">SUMPRODUCT((Per_Clase="Directo")*Sal_O*INDEX(Dot_O,0,MIN(10,ED$17))*((Per_Mon="PYG")*ED$19+(Per_Mon&lt;&gt;"PYG")))*(ED$15+ED$16*P_PreDir)*INDEX(IdxSal_O,1,MIN(10,ED$17))*(1+P_Cargas)+ED$77*P_Alim*ED$19</f>
        <v>0</v>
      </c>
      <c r="EE78" s="48">
        <f t="shared" si="306"/>
        <v>0</v>
      </c>
      <c r="EF78" s="48">
        <f t="shared" si="306"/>
        <v>0</v>
      </c>
      <c r="EG78" s="48">
        <f t="shared" si="306"/>
        <v>0</v>
      </c>
      <c r="EH78" s="48">
        <f t="shared" si="306"/>
        <v>0</v>
      </c>
      <c r="EI78" s="48">
        <f t="shared" si="306"/>
        <v>0</v>
      </c>
      <c r="EJ78" s="48">
        <f t="shared" si="306"/>
        <v>0</v>
      </c>
      <c r="EK78" s="48">
        <f t="shared" si="306"/>
        <v>0</v>
      </c>
      <c r="EL78" s="48">
        <f t="shared" si="306"/>
        <v>0</v>
      </c>
      <c r="EM78" s="48">
        <f t="shared" si="306"/>
        <v>0</v>
      </c>
      <c r="EN78" s="48">
        <f t="shared" si="306"/>
        <v>0</v>
      </c>
      <c r="EO78" s="48">
        <f t="shared" si="306"/>
        <v>0</v>
      </c>
      <c r="EP78" s="48">
        <f t="shared" si="306"/>
        <v>0</v>
      </c>
      <c r="EQ78" s="48">
        <f t="shared" si="306"/>
        <v>0</v>
      </c>
      <c r="ER78" s="48">
        <f t="shared" si="306"/>
        <v>0</v>
      </c>
      <c r="ES78" s="48">
        <f t="shared" si="306"/>
        <v>0</v>
      </c>
    </row>
    <row r="79" spans="1:149" x14ac:dyDescent="0.3">
      <c r="A79" s="14" t="s">
        <v>1063</v>
      </c>
      <c r="B79" s="18" t="s">
        <v>1064</v>
      </c>
      <c r="C79" s="18" t="s">
        <v>785</v>
      </c>
      <c r="F79" s="50">
        <f t="shared" ref="F79:AK79" si="307">SUMPRODUCT((Per_Clase="Indirecto")*INDEX(Dot_O,0,MIN(10,F$17)))*(F$15+F$16*P_PreInd)</f>
        <v>17</v>
      </c>
      <c r="G79" s="50">
        <f t="shared" si="307"/>
        <v>17</v>
      </c>
      <c r="H79" s="50">
        <f t="shared" si="307"/>
        <v>17</v>
      </c>
      <c r="I79" s="50">
        <f t="shared" si="307"/>
        <v>17</v>
      </c>
      <c r="J79" s="50">
        <f t="shared" si="307"/>
        <v>17</v>
      </c>
      <c r="K79" s="50">
        <f t="shared" si="307"/>
        <v>17</v>
      </c>
      <c r="L79" s="50">
        <f t="shared" si="307"/>
        <v>17</v>
      </c>
      <c r="M79" s="50">
        <f t="shared" si="307"/>
        <v>17</v>
      </c>
      <c r="N79" s="50">
        <f t="shared" si="307"/>
        <v>17</v>
      </c>
      <c r="O79" s="50">
        <f t="shared" si="307"/>
        <v>17</v>
      </c>
      <c r="P79" s="50">
        <f t="shared" si="307"/>
        <v>17</v>
      </c>
      <c r="Q79" s="50">
        <f t="shared" si="307"/>
        <v>17</v>
      </c>
      <c r="R79" s="50">
        <f t="shared" si="307"/>
        <v>17</v>
      </c>
      <c r="S79" s="50">
        <f t="shared" si="307"/>
        <v>17</v>
      </c>
      <c r="T79" s="50">
        <f t="shared" si="307"/>
        <v>17</v>
      </c>
      <c r="U79" s="50">
        <f t="shared" si="307"/>
        <v>17</v>
      </c>
      <c r="V79" s="50">
        <f t="shared" si="307"/>
        <v>17</v>
      </c>
      <c r="W79" s="50">
        <f t="shared" si="307"/>
        <v>17</v>
      </c>
      <c r="X79" s="50">
        <f t="shared" si="307"/>
        <v>17</v>
      </c>
      <c r="Y79" s="50">
        <f t="shared" si="307"/>
        <v>17</v>
      </c>
      <c r="Z79" s="50">
        <f t="shared" si="307"/>
        <v>17</v>
      </c>
      <c r="AA79" s="50">
        <f t="shared" si="307"/>
        <v>17</v>
      </c>
      <c r="AB79" s="50">
        <f t="shared" si="307"/>
        <v>17</v>
      </c>
      <c r="AC79" s="50">
        <f t="shared" si="307"/>
        <v>17</v>
      </c>
      <c r="AD79" s="50">
        <f t="shared" si="307"/>
        <v>17</v>
      </c>
      <c r="AE79" s="50">
        <f t="shared" si="307"/>
        <v>17</v>
      </c>
      <c r="AF79" s="50">
        <f t="shared" si="307"/>
        <v>17</v>
      </c>
      <c r="AG79" s="50">
        <f t="shared" si="307"/>
        <v>17</v>
      </c>
      <c r="AH79" s="50">
        <f t="shared" si="307"/>
        <v>17</v>
      </c>
      <c r="AI79" s="50">
        <f t="shared" si="307"/>
        <v>17</v>
      </c>
      <c r="AJ79" s="50">
        <f t="shared" si="307"/>
        <v>17</v>
      </c>
      <c r="AK79" s="50">
        <f t="shared" si="307"/>
        <v>17</v>
      </c>
      <c r="AL79" s="50">
        <f t="shared" ref="AL79:BQ79" si="308">SUMPRODUCT((Per_Clase="Indirecto")*INDEX(Dot_O,0,MIN(10,AL$17)))*(AL$15+AL$16*P_PreInd)</f>
        <v>17</v>
      </c>
      <c r="AM79" s="50">
        <f t="shared" si="308"/>
        <v>17</v>
      </c>
      <c r="AN79" s="50">
        <f t="shared" si="308"/>
        <v>17</v>
      </c>
      <c r="AO79" s="50">
        <f t="shared" si="308"/>
        <v>17</v>
      </c>
      <c r="AP79" s="50">
        <f t="shared" si="308"/>
        <v>17</v>
      </c>
      <c r="AQ79" s="50">
        <f t="shared" si="308"/>
        <v>17</v>
      </c>
      <c r="AR79" s="50">
        <f t="shared" si="308"/>
        <v>17</v>
      </c>
      <c r="AS79" s="50">
        <f t="shared" si="308"/>
        <v>17</v>
      </c>
      <c r="AT79" s="50">
        <f t="shared" si="308"/>
        <v>17</v>
      </c>
      <c r="AU79" s="50">
        <f t="shared" si="308"/>
        <v>17</v>
      </c>
      <c r="AV79" s="50">
        <f t="shared" si="308"/>
        <v>17</v>
      </c>
      <c r="AW79" s="50">
        <f t="shared" si="308"/>
        <v>17</v>
      </c>
      <c r="AX79" s="50">
        <f t="shared" si="308"/>
        <v>17</v>
      </c>
      <c r="AY79" s="50">
        <f t="shared" si="308"/>
        <v>17</v>
      </c>
      <c r="AZ79" s="50">
        <f t="shared" si="308"/>
        <v>17</v>
      </c>
      <c r="BA79" s="50">
        <f t="shared" si="308"/>
        <v>17</v>
      </c>
      <c r="BB79" s="50">
        <f t="shared" si="308"/>
        <v>17</v>
      </c>
      <c r="BC79" s="50">
        <f t="shared" si="308"/>
        <v>17</v>
      </c>
      <c r="BD79" s="50">
        <f t="shared" si="308"/>
        <v>17</v>
      </c>
      <c r="BE79" s="50">
        <f t="shared" si="308"/>
        <v>17</v>
      </c>
      <c r="BF79" s="50">
        <f t="shared" si="308"/>
        <v>17</v>
      </c>
      <c r="BG79" s="50">
        <f t="shared" si="308"/>
        <v>17</v>
      </c>
      <c r="BH79" s="50">
        <f t="shared" si="308"/>
        <v>17</v>
      </c>
      <c r="BI79" s="50">
        <f t="shared" si="308"/>
        <v>17</v>
      </c>
      <c r="BJ79" s="50">
        <f t="shared" si="308"/>
        <v>17</v>
      </c>
      <c r="BK79" s="50">
        <f t="shared" si="308"/>
        <v>17</v>
      </c>
      <c r="BL79" s="50">
        <f t="shared" si="308"/>
        <v>17</v>
      </c>
      <c r="BM79" s="50">
        <f t="shared" si="308"/>
        <v>17</v>
      </c>
      <c r="BN79" s="50">
        <f t="shared" si="308"/>
        <v>17</v>
      </c>
      <c r="BO79" s="50">
        <f t="shared" si="308"/>
        <v>17</v>
      </c>
      <c r="BP79" s="50">
        <f t="shared" si="308"/>
        <v>17</v>
      </c>
      <c r="BQ79" s="50">
        <f t="shared" si="308"/>
        <v>17</v>
      </c>
      <c r="BR79" s="50">
        <f t="shared" ref="BR79:CW79" si="309">SUMPRODUCT((Per_Clase="Indirecto")*INDEX(Dot_O,0,MIN(10,BR$17)))*(BR$15+BR$16*P_PreInd)</f>
        <v>17</v>
      </c>
      <c r="BS79" s="50">
        <f t="shared" si="309"/>
        <v>17</v>
      </c>
      <c r="BT79" s="50">
        <f t="shared" si="309"/>
        <v>17</v>
      </c>
      <c r="BU79" s="50">
        <f t="shared" si="309"/>
        <v>17</v>
      </c>
      <c r="BV79" s="50">
        <f t="shared" si="309"/>
        <v>17</v>
      </c>
      <c r="BW79" s="50">
        <f t="shared" si="309"/>
        <v>17</v>
      </c>
      <c r="BX79" s="50">
        <f t="shared" si="309"/>
        <v>17</v>
      </c>
      <c r="BY79" s="50">
        <f t="shared" si="309"/>
        <v>17</v>
      </c>
      <c r="BZ79" s="50">
        <f t="shared" si="309"/>
        <v>17</v>
      </c>
      <c r="CA79" s="50">
        <f t="shared" si="309"/>
        <v>17</v>
      </c>
      <c r="CB79" s="50">
        <f t="shared" si="309"/>
        <v>17</v>
      </c>
      <c r="CC79" s="50">
        <f t="shared" si="309"/>
        <v>17</v>
      </c>
      <c r="CD79" s="50">
        <f t="shared" si="309"/>
        <v>17</v>
      </c>
      <c r="CE79" s="50">
        <f t="shared" si="309"/>
        <v>17</v>
      </c>
      <c r="CF79" s="50">
        <f t="shared" si="309"/>
        <v>17</v>
      </c>
      <c r="CG79" s="50">
        <f t="shared" si="309"/>
        <v>17</v>
      </c>
      <c r="CH79" s="50">
        <f t="shared" si="309"/>
        <v>17</v>
      </c>
      <c r="CI79" s="50">
        <f t="shared" si="309"/>
        <v>17</v>
      </c>
      <c r="CJ79" s="50">
        <f t="shared" si="309"/>
        <v>17</v>
      </c>
      <c r="CK79" s="50">
        <f t="shared" si="309"/>
        <v>17</v>
      </c>
      <c r="CL79" s="50">
        <f t="shared" si="309"/>
        <v>17</v>
      </c>
      <c r="CM79" s="50">
        <f t="shared" si="309"/>
        <v>17</v>
      </c>
      <c r="CN79" s="50">
        <f t="shared" si="309"/>
        <v>17</v>
      </c>
      <c r="CO79" s="50">
        <f t="shared" si="309"/>
        <v>17</v>
      </c>
      <c r="CP79" s="50">
        <f t="shared" si="309"/>
        <v>17</v>
      </c>
      <c r="CQ79" s="50">
        <f t="shared" si="309"/>
        <v>17</v>
      </c>
      <c r="CR79" s="50">
        <f t="shared" si="309"/>
        <v>17</v>
      </c>
      <c r="CS79" s="50">
        <f t="shared" si="309"/>
        <v>17</v>
      </c>
      <c r="CT79" s="50">
        <f t="shared" si="309"/>
        <v>17</v>
      </c>
      <c r="CU79" s="50">
        <f t="shared" si="309"/>
        <v>17</v>
      </c>
      <c r="CV79" s="50">
        <f t="shared" si="309"/>
        <v>17</v>
      </c>
      <c r="CW79" s="50">
        <f t="shared" si="309"/>
        <v>17</v>
      </c>
      <c r="CX79" s="50">
        <f t="shared" ref="CX79:EC79" si="310">SUMPRODUCT((Per_Clase="Indirecto")*INDEX(Dot_O,0,MIN(10,CX$17)))*(CX$15+CX$16*P_PreInd)</f>
        <v>17</v>
      </c>
      <c r="CY79" s="50">
        <f t="shared" si="310"/>
        <v>17</v>
      </c>
      <c r="CZ79" s="50">
        <f t="shared" si="310"/>
        <v>17</v>
      </c>
      <c r="DA79" s="50">
        <f t="shared" si="310"/>
        <v>17</v>
      </c>
      <c r="DB79" s="50">
        <f t="shared" si="310"/>
        <v>17</v>
      </c>
      <c r="DC79" s="50">
        <f t="shared" si="310"/>
        <v>17</v>
      </c>
      <c r="DD79" s="50">
        <f t="shared" si="310"/>
        <v>17</v>
      </c>
      <c r="DE79" s="50">
        <f t="shared" si="310"/>
        <v>17</v>
      </c>
      <c r="DF79" s="50">
        <f t="shared" si="310"/>
        <v>17</v>
      </c>
      <c r="DG79" s="50">
        <f t="shared" si="310"/>
        <v>17</v>
      </c>
      <c r="DH79" s="50">
        <f t="shared" si="310"/>
        <v>17</v>
      </c>
      <c r="DI79" s="50">
        <f t="shared" si="310"/>
        <v>17</v>
      </c>
      <c r="DJ79" s="50">
        <f t="shared" si="310"/>
        <v>17</v>
      </c>
      <c r="DK79" s="50">
        <f t="shared" si="310"/>
        <v>17</v>
      </c>
      <c r="DL79" s="50">
        <f t="shared" si="310"/>
        <v>17</v>
      </c>
      <c r="DM79" s="50">
        <f t="shared" si="310"/>
        <v>17</v>
      </c>
      <c r="DN79" s="50">
        <f t="shared" si="310"/>
        <v>17</v>
      </c>
      <c r="DO79" s="50">
        <f t="shared" si="310"/>
        <v>17</v>
      </c>
      <c r="DP79" s="50">
        <f t="shared" si="310"/>
        <v>17</v>
      </c>
      <c r="DQ79" s="50">
        <f t="shared" si="310"/>
        <v>17</v>
      </c>
      <c r="DR79" s="50">
        <f t="shared" si="310"/>
        <v>17</v>
      </c>
      <c r="DS79" s="50">
        <f t="shared" si="310"/>
        <v>17</v>
      </c>
      <c r="DT79" s="50">
        <f t="shared" si="310"/>
        <v>17</v>
      </c>
      <c r="DU79" s="50">
        <f t="shared" si="310"/>
        <v>17</v>
      </c>
      <c r="DV79" s="50">
        <f t="shared" si="310"/>
        <v>0</v>
      </c>
      <c r="DW79" s="50">
        <f t="shared" si="310"/>
        <v>0</v>
      </c>
      <c r="DX79" s="50">
        <f t="shared" si="310"/>
        <v>0</v>
      </c>
      <c r="DY79" s="50">
        <f t="shared" si="310"/>
        <v>0</v>
      </c>
      <c r="DZ79" s="50">
        <f t="shared" si="310"/>
        <v>0</v>
      </c>
      <c r="EA79" s="50">
        <f t="shared" si="310"/>
        <v>0</v>
      </c>
      <c r="EB79" s="50">
        <f t="shared" si="310"/>
        <v>0</v>
      </c>
      <c r="EC79" s="50">
        <f t="shared" si="310"/>
        <v>0</v>
      </c>
      <c r="ED79" s="50">
        <f t="shared" ref="ED79:ES79" si="311">SUMPRODUCT((Per_Clase="Indirecto")*INDEX(Dot_O,0,MIN(10,ED$17)))*(ED$15+ED$16*P_PreInd)</f>
        <v>0</v>
      </c>
      <c r="EE79" s="50">
        <f t="shared" si="311"/>
        <v>0</v>
      </c>
      <c r="EF79" s="50">
        <f t="shared" si="311"/>
        <v>0</v>
      </c>
      <c r="EG79" s="50">
        <f t="shared" si="311"/>
        <v>0</v>
      </c>
      <c r="EH79" s="50">
        <f t="shared" si="311"/>
        <v>0</v>
      </c>
      <c r="EI79" s="50">
        <f t="shared" si="311"/>
        <v>0</v>
      </c>
      <c r="EJ79" s="50">
        <f t="shared" si="311"/>
        <v>0</v>
      </c>
      <c r="EK79" s="50">
        <f t="shared" si="311"/>
        <v>0</v>
      </c>
      <c r="EL79" s="50">
        <f t="shared" si="311"/>
        <v>0</v>
      </c>
      <c r="EM79" s="50">
        <f t="shared" si="311"/>
        <v>0</v>
      </c>
      <c r="EN79" s="50">
        <f t="shared" si="311"/>
        <v>0</v>
      </c>
      <c r="EO79" s="50">
        <f t="shared" si="311"/>
        <v>0</v>
      </c>
      <c r="EP79" s="50">
        <f t="shared" si="311"/>
        <v>0</v>
      </c>
      <c r="EQ79" s="50">
        <f t="shared" si="311"/>
        <v>0</v>
      </c>
      <c r="ER79" s="50">
        <f t="shared" si="311"/>
        <v>0</v>
      </c>
      <c r="ES79" s="50">
        <f t="shared" si="311"/>
        <v>0</v>
      </c>
    </row>
    <row r="80" spans="1:149" x14ac:dyDescent="0.3">
      <c r="A80" s="14" t="s">
        <v>1065</v>
      </c>
      <c r="B80" s="18" t="s">
        <v>1066</v>
      </c>
      <c r="C80" s="18" t="s">
        <v>439</v>
      </c>
      <c r="E80" s="54">
        <f>SUM(F80:ES80)</f>
        <v>2451899.3878816445</v>
      </c>
      <c r="F80" s="48">
        <f t="shared" ref="F80:AK80" si="312">SUMPRODUCT((Per_Clase="Indirecto")*Sal_O*INDEX(Dot_O,0,MIN(10,F$17))*((Per_Mon="PYG")*F$19+(Per_Mon&lt;&gt;"PYG")))*(F$15+F$16*P_PreInd)*INDEX(IdxSal_O,1,MIN(10,F$17))*(1+P_Cargas)+F$79*P_Alim*F$19</f>
        <v>20432.494899013698</v>
      </c>
      <c r="G80" s="48">
        <f t="shared" si="312"/>
        <v>20432.494899013698</v>
      </c>
      <c r="H80" s="48">
        <f t="shared" si="312"/>
        <v>20432.494899013698</v>
      </c>
      <c r="I80" s="48">
        <f t="shared" si="312"/>
        <v>20432.494899013698</v>
      </c>
      <c r="J80" s="48">
        <f t="shared" si="312"/>
        <v>20432.494899013698</v>
      </c>
      <c r="K80" s="48">
        <f t="shared" si="312"/>
        <v>20432.494899013698</v>
      </c>
      <c r="L80" s="48">
        <f t="shared" si="312"/>
        <v>20432.494899013698</v>
      </c>
      <c r="M80" s="48">
        <f t="shared" si="312"/>
        <v>20432.494899013698</v>
      </c>
      <c r="N80" s="48">
        <f t="shared" si="312"/>
        <v>20432.494899013698</v>
      </c>
      <c r="O80" s="48">
        <f t="shared" si="312"/>
        <v>20432.494899013698</v>
      </c>
      <c r="P80" s="48">
        <f t="shared" si="312"/>
        <v>20432.494899013698</v>
      </c>
      <c r="Q80" s="48">
        <f t="shared" si="312"/>
        <v>20432.494899013698</v>
      </c>
      <c r="R80" s="48">
        <f t="shared" si="312"/>
        <v>20432.494899013698</v>
      </c>
      <c r="S80" s="48">
        <f t="shared" si="312"/>
        <v>20432.494899013698</v>
      </c>
      <c r="T80" s="48">
        <f t="shared" si="312"/>
        <v>20432.494899013698</v>
      </c>
      <c r="U80" s="48">
        <f t="shared" si="312"/>
        <v>20432.494899013698</v>
      </c>
      <c r="V80" s="48">
        <f t="shared" si="312"/>
        <v>20432.494899013698</v>
      </c>
      <c r="W80" s="48">
        <f t="shared" si="312"/>
        <v>20432.494899013698</v>
      </c>
      <c r="X80" s="48">
        <f t="shared" si="312"/>
        <v>20432.494899013698</v>
      </c>
      <c r="Y80" s="48">
        <f t="shared" si="312"/>
        <v>20432.494899013698</v>
      </c>
      <c r="Z80" s="48">
        <f t="shared" si="312"/>
        <v>20432.494899013698</v>
      </c>
      <c r="AA80" s="48">
        <f t="shared" si="312"/>
        <v>20432.494899013698</v>
      </c>
      <c r="AB80" s="48">
        <f t="shared" si="312"/>
        <v>20432.494899013698</v>
      </c>
      <c r="AC80" s="48">
        <f t="shared" si="312"/>
        <v>20432.494899013698</v>
      </c>
      <c r="AD80" s="48">
        <f t="shared" si="312"/>
        <v>20432.494899013698</v>
      </c>
      <c r="AE80" s="48">
        <f t="shared" si="312"/>
        <v>20432.494899013698</v>
      </c>
      <c r="AF80" s="48">
        <f t="shared" si="312"/>
        <v>20432.494899013698</v>
      </c>
      <c r="AG80" s="48">
        <f t="shared" si="312"/>
        <v>20432.494899013698</v>
      </c>
      <c r="AH80" s="48">
        <f t="shared" si="312"/>
        <v>20432.494899013698</v>
      </c>
      <c r="AI80" s="48">
        <f t="shared" si="312"/>
        <v>20432.494899013698</v>
      </c>
      <c r="AJ80" s="48">
        <f t="shared" si="312"/>
        <v>20432.494899013698</v>
      </c>
      <c r="AK80" s="48">
        <f t="shared" si="312"/>
        <v>20432.494899013698</v>
      </c>
      <c r="AL80" s="48">
        <f t="shared" ref="AL80:BQ80" si="313">SUMPRODUCT((Per_Clase="Indirecto")*Sal_O*INDEX(Dot_O,0,MIN(10,AL$17))*((Per_Mon="PYG")*AL$19+(Per_Mon&lt;&gt;"PYG")))*(AL$15+AL$16*P_PreInd)*INDEX(IdxSal_O,1,MIN(10,AL$17))*(1+P_Cargas)+AL$79*P_Alim*AL$19</f>
        <v>20432.494899013698</v>
      </c>
      <c r="AM80" s="48">
        <f t="shared" si="313"/>
        <v>20432.494899013698</v>
      </c>
      <c r="AN80" s="48">
        <f t="shared" si="313"/>
        <v>20432.494899013698</v>
      </c>
      <c r="AO80" s="48">
        <f t="shared" si="313"/>
        <v>20432.494899013698</v>
      </c>
      <c r="AP80" s="48">
        <f t="shared" si="313"/>
        <v>20432.494899013698</v>
      </c>
      <c r="AQ80" s="48">
        <f t="shared" si="313"/>
        <v>20432.494899013698</v>
      </c>
      <c r="AR80" s="48">
        <f t="shared" si="313"/>
        <v>20432.494899013698</v>
      </c>
      <c r="AS80" s="48">
        <f t="shared" si="313"/>
        <v>20432.494899013698</v>
      </c>
      <c r="AT80" s="48">
        <f t="shared" si="313"/>
        <v>20432.494899013698</v>
      </c>
      <c r="AU80" s="48">
        <f t="shared" si="313"/>
        <v>20432.494899013698</v>
      </c>
      <c r="AV80" s="48">
        <f t="shared" si="313"/>
        <v>20432.494899013698</v>
      </c>
      <c r="AW80" s="48">
        <f t="shared" si="313"/>
        <v>20432.494899013698</v>
      </c>
      <c r="AX80" s="48">
        <f t="shared" si="313"/>
        <v>20432.494899013698</v>
      </c>
      <c r="AY80" s="48">
        <f t="shared" si="313"/>
        <v>20432.494899013698</v>
      </c>
      <c r="AZ80" s="48">
        <f t="shared" si="313"/>
        <v>20432.494899013698</v>
      </c>
      <c r="BA80" s="48">
        <f t="shared" si="313"/>
        <v>20432.494899013698</v>
      </c>
      <c r="BB80" s="48">
        <f t="shared" si="313"/>
        <v>20432.494899013698</v>
      </c>
      <c r="BC80" s="48">
        <f t="shared" si="313"/>
        <v>20432.494899013698</v>
      </c>
      <c r="BD80" s="48">
        <f t="shared" si="313"/>
        <v>20432.494899013698</v>
      </c>
      <c r="BE80" s="48">
        <f t="shared" si="313"/>
        <v>20432.494899013698</v>
      </c>
      <c r="BF80" s="48">
        <f t="shared" si="313"/>
        <v>20432.494899013698</v>
      </c>
      <c r="BG80" s="48">
        <f t="shared" si="313"/>
        <v>20432.494899013698</v>
      </c>
      <c r="BH80" s="48">
        <f t="shared" si="313"/>
        <v>20432.494899013698</v>
      </c>
      <c r="BI80" s="48">
        <f t="shared" si="313"/>
        <v>20432.494899013698</v>
      </c>
      <c r="BJ80" s="48">
        <f t="shared" si="313"/>
        <v>20432.494899013698</v>
      </c>
      <c r="BK80" s="48">
        <f t="shared" si="313"/>
        <v>20432.494899013698</v>
      </c>
      <c r="BL80" s="48">
        <f t="shared" si="313"/>
        <v>20432.494899013698</v>
      </c>
      <c r="BM80" s="48">
        <f t="shared" si="313"/>
        <v>20432.494899013698</v>
      </c>
      <c r="BN80" s="48">
        <f t="shared" si="313"/>
        <v>20432.494899013698</v>
      </c>
      <c r="BO80" s="48">
        <f t="shared" si="313"/>
        <v>20432.494899013698</v>
      </c>
      <c r="BP80" s="48">
        <f t="shared" si="313"/>
        <v>20432.494899013698</v>
      </c>
      <c r="BQ80" s="48">
        <f t="shared" si="313"/>
        <v>20432.494899013698</v>
      </c>
      <c r="BR80" s="48">
        <f t="shared" ref="BR80:CW80" si="314">SUMPRODUCT((Per_Clase="Indirecto")*Sal_O*INDEX(Dot_O,0,MIN(10,BR$17))*((Per_Mon="PYG")*BR$19+(Per_Mon&lt;&gt;"PYG")))*(BR$15+BR$16*P_PreInd)*INDEX(IdxSal_O,1,MIN(10,BR$17))*(1+P_Cargas)+BR$79*P_Alim*BR$19</f>
        <v>20432.494899013698</v>
      </c>
      <c r="BS80" s="48">
        <f t="shared" si="314"/>
        <v>20432.494899013698</v>
      </c>
      <c r="BT80" s="48">
        <f t="shared" si="314"/>
        <v>20432.494899013698</v>
      </c>
      <c r="BU80" s="48">
        <f t="shared" si="314"/>
        <v>20432.494899013698</v>
      </c>
      <c r="BV80" s="48">
        <f t="shared" si="314"/>
        <v>20432.494899013698</v>
      </c>
      <c r="BW80" s="48">
        <f t="shared" si="314"/>
        <v>20432.494899013698</v>
      </c>
      <c r="BX80" s="48">
        <f t="shared" si="314"/>
        <v>20432.494899013698</v>
      </c>
      <c r="BY80" s="48">
        <f t="shared" si="314"/>
        <v>20432.494899013698</v>
      </c>
      <c r="BZ80" s="48">
        <f t="shared" si="314"/>
        <v>20432.494899013698</v>
      </c>
      <c r="CA80" s="48">
        <f t="shared" si="314"/>
        <v>20432.494899013698</v>
      </c>
      <c r="CB80" s="48">
        <f t="shared" si="314"/>
        <v>20432.494899013698</v>
      </c>
      <c r="CC80" s="48">
        <f t="shared" si="314"/>
        <v>20432.494899013698</v>
      </c>
      <c r="CD80" s="48">
        <f t="shared" si="314"/>
        <v>20432.494899013698</v>
      </c>
      <c r="CE80" s="48">
        <f t="shared" si="314"/>
        <v>20432.494899013698</v>
      </c>
      <c r="CF80" s="48">
        <f t="shared" si="314"/>
        <v>20432.494899013698</v>
      </c>
      <c r="CG80" s="48">
        <f t="shared" si="314"/>
        <v>20432.494899013698</v>
      </c>
      <c r="CH80" s="48">
        <f t="shared" si="314"/>
        <v>20432.494899013698</v>
      </c>
      <c r="CI80" s="48">
        <f t="shared" si="314"/>
        <v>20432.494899013698</v>
      </c>
      <c r="CJ80" s="48">
        <f t="shared" si="314"/>
        <v>20432.494899013698</v>
      </c>
      <c r="CK80" s="48">
        <f t="shared" si="314"/>
        <v>20432.494899013698</v>
      </c>
      <c r="CL80" s="48">
        <f t="shared" si="314"/>
        <v>20432.494899013698</v>
      </c>
      <c r="CM80" s="48">
        <f t="shared" si="314"/>
        <v>20432.494899013698</v>
      </c>
      <c r="CN80" s="48">
        <f t="shared" si="314"/>
        <v>20432.494899013698</v>
      </c>
      <c r="CO80" s="48">
        <f t="shared" si="314"/>
        <v>20432.494899013698</v>
      </c>
      <c r="CP80" s="48">
        <f t="shared" si="314"/>
        <v>20432.494899013698</v>
      </c>
      <c r="CQ80" s="48">
        <f t="shared" si="314"/>
        <v>20432.494899013698</v>
      </c>
      <c r="CR80" s="48">
        <f t="shared" si="314"/>
        <v>20432.494899013698</v>
      </c>
      <c r="CS80" s="48">
        <f t="shared" si="314"/>
        <v>20432.494899013698</v>
      </c>
      <c r="CT80" s="48">
        <f t="shared" si="314"/>
        <v>20432.494899013698</v>
      </c>
      <c r="CU80" s="48">
        <f t="shared" si="314"/>
        <v>20432.494899013698</v>
      </c>
      <c r="CV80" s="48">
        <f t="shared" si="314"/>
        <v>20432.494899013698</v>
      </c>
      <c r="CW80" s="48">
        <f t="shared" si="314"/>
        <v>20432.494899013698</v>
      </c>
      <c r="CX80" s="48">
        <f t="shared" ref="CX80:EC80" si="315">SUMPRODUCT((Per_Clase="Indirecto")*Sal_O*INDEX(Dot_O,0,MIN(10,CX$17))*((Per_Mon="PYG")*CX$19+(Per_Mon&lt;&gt;"PYG")))*(CX$15+CX$16*P_PreInd)*INDEX(IdxSal_O,1,MIN(10,CX$17))*(1+P_Cargas)+CX$79*P_Alim*CX$19</f>
        <v>20432.494899013698</v>
      </c>
      <c r="CY80" s="48">
        <f t="shared" si="315"/>
        <v>20432.494899013698</v>
      </c>
      <c r="CZ80" s="48">
        <f t="shared" si="315"/>
        <v>20432.494899013698</v>
      </c>
      <c r="DA80" s="48">
        <f t="shared" si="315"/>
        <v>20432.494899013698</v>
      </c>
      <c r="DB80" s="48">
        <f t="shared" si="315"/>
        <v>20432.494899013698</v>
      </c>
      <c r="DC80" s="48">
        <f t="shared" si="315"/>
        <v>20432.494899013698</v>
      </c>
      <c r="DD80" s="48">
        <f t="shared" si="315"/>
        <v>20432.494899013698</v>
      </c>
      <c r="DE80" s="48">
        <f t="shared" si="315"/>
        <v>20432.494899013698</v>
      </c>
      <c r="DF80" s="48">
        <f t="shared" si="315"/>
        <v>20432.494899013698</v>
      </c>
      <c r="DG80" s="48">
        <f t="shared" si="315"/>
        <v>20432.494899013698</v>
      </c>
      <c r="DH80" s="48">
        <f t="shared" si="315"/>
        <v>20432.494899013698</v>
      </c>
      <c r="DI80" s="48">
        <f t="shared" si="315"/>
        <v>20432.494899013698</v>
      </c>
      <c r="DJ80" s="48">
        <f t="shared" si="315"/>
        <v>20432.494899013698</v>
      </c>
      <c r="DK80" s="48">
        <f t="shared" si="315"/>
        <v>20432.494899013698</v>
      </c>
      <c r="DL80" s="48">
        <f t="shared" si="315"/>
        <v>20432.494899013698</v>
      </c>
      <c r="DM80" s="48">
        <f t="shared" si="315"/>
        <v>20432.494899013698</v>
      </c>
      <c r="DN80" s="48">
        <f t="shared" si="315"/>
        <v>20432.494899013698</v>
      </c>
      <c r="DO80" s="48">
        <f t="shared" si="315"/>
        <v>20432.494899013698</v>
      </c>
      <c r="DP80" s="48">
        <f t="shared" si="315"/>
        <v>20432.494899013698</v>
      </c>
      <c r="DQ80" s="48">
        <f t="shared" si="315"/>
        <v>20432.494899013698</v>
      </c>
      <c r="DR80" s="48">
        <f t="shared" si="315"/>
        <v>20432.494899013698</v>
      </c>
      <c r="DS80" s="48">
        <f t="shared" si="315"/>
        <v>20432.494899013698</v>
      </c>
      <c r="DT80" s="48">
        <f t="shared" si="315"/>
        <v>20432.494899013698</v>
      </c>
      <c r="DU80" s="48">
        <f t="shared" si="315"/>
        <v>20432.494899013698</v>
      </c>
      <c r="DV80" s="48">
        <f t="shared" si="315"/>
        <v>0</v>
      </c>
      <c r="DW80" s="48">
        <f t="shared" si="315"/>
        <v>0</v>
      </c>
      <c r="DX80" s="48">
        <f t="shared" si="315"/>
        <v>0</v>
      </c>
      <c r="DY80" s="48">
        <f t="shared" si="315"/>
        <v>0</v>
      </c>
      <c r="DZ80" s="48">
        <f t="shared" si="315"/>
        <v>0</v>
      </c>
      <c r="EA80" s="48">
        <f t="shared" si="315"/>
        <v>0</v>
      </c>
      <c r="EB80" s="48">
        <f t="shared" si="315"/>
        <v>0</v>
      </c>
      <c r="EC80" s="48">
        <f t="shared" si="315"/>
        <v>0</v>
      </c>
      <c r="ED80" s="48">
        <f t="shared" ref="ED80:ES80" si="316">SUMPRODUCT((Per_Clase="Indirecto")*Sal_O*INDEX(Dot_O,0,MIN(10,ED$17))*((Per_Mon="PYG")*ED$19+(Per_Mon&lt;&gt;"PYG")))*(ED$15+ED$16*P_PreInd)*INDEX(IdxSal_O,1,MIN(10,ED$17))*(1+P_Cargas)+ED$79*P_Alim*ED$19</f>
        <v>0</v>
      </c>
      <c r="EE80" s="48">
        <f t="shared" si="316"/>
        <v>0</v>
      </c>
      <c r="EF80" s="48">
        <f t="shared" si="316"/>
        <v>0</v>
      </c>
      <c r="EG80" s="48">
        <f t="shared" si="316"/>
        <v>0</v>
      </c>
      <c r="EH80" s="48">
        <f t="shared" si="316"/>
        <v>0</v>
      </c>
      <c r="EI80" s="48">
        <f t="shared" si="316"/>
        <v>0</v>
      </c>
      <c r="EJ80" s="48">
        <f t="shared" si="316"/>
        <v>0</v>
      </c>
      <c r="EK80" s="48">
        <f t="shared" si="316"/>
        <v>0</v>
      </c>
      <c r="EL80" s="48">
        <f t="shared" si="316"/>
        <v>0</v>
      </c>
      <c r="EM80" s="48">
        <f t="shared" si="316"/>
        <v>0</v>
      </c>
      <c r="EN80" s="48">
        <f t="shared" si="316"/>
        <v>0</v>
      </c>
      <c r="EO80" s="48">
        <f t="shared" si="316"/>
        <v>0</v>
      </c>
      <c r="EP80" s="48">
        <f t="shared" si="316"/>
        <v>0</v>
      </c>
      <c r="EQ80" s="48">
        <f t="shared" si="316"/>
        <v>0</v>
      </c>
      <c r="ER80" s="48">
        <f t="shared" si="316"/>
        <v>0</v>
      </c>
      <c r="ES80" s="48">
        <f t="shared" si="316"/>
        <v>0</v>
      </c>
    </row>
    <row r="81" spans="1:149" x14ac:dyDescent="0.3">
      <c r="A81" s="14" t="s">
        <v>1067</v>
      </c>
      <c r="B81" s="18" t="s">
        <v>1068</v>
      </c>
      <c r="C81" s="18" t="s">
        <v>785</v>
      </c>
      <c r="F81" s="50">
        <f t="shared" ref="F81:AK81" si="317">SUMPRODUCT((Per_Clase="Administración")*INDEX(Dot_O,0,MIN(10,F$17)))*(F$15+F$16*P_PreInd)</f>
        <v>5</v>
      </c>
      <c r="G81" s="50">
        <f t="shared" si="317"/>
        <v>5</v>
      </c>
      <c r="H81" s="50">
        <f t="shared" si="317"/>
        <v>5</v>
      </c>
      <c r="I81" s="50">
        <f t="shared" si="317"/>
        <v>5</v>
      </c>
      <c r="J81" s="50">
        <f t="shared" si="317"/>
        <v>5</v>
      </c>
      <c r="K81" s="50">
        <f t="shared" si="317"/>
        <v>5</v>
      </c>
      <c r="L81" s="50">
        <f t="shared" si="317"/>
        <v>5</v>
      </c>
      <c r="M81" s="50">
        <f t="shared" si="317"/>
        <v>5</v>
      </c>
      <c r="N81" s="50">
        <f t="shared" si="317"/>
        <v>5</v>
      </c>
      <c r="O81" s="50">
        <f t="shared" si="317"/>
        <v>5</v>
      </c>
      <c r="P81" s="50">
        <f t="shared" si="317"/>
        <v>5</v>
      </c>
      <c r="Q81" s="50">
        <f t="shared" si="317"/>
        <v>5</v>
      </c>
      <c r="R81" s="50">
        <f t="shared" si="317"/>
        <v>5</v>
      </c>
      <c r="S81" s="50">
        <f t="shared" si="317"/>
        <v>5</v>
      </c>
      <c r="T81" s="50">
        <f t="shared" si="317"/>
        <v>5</v>
      </c>
      <c r="U81" s="50">
        <f t="shared" si="317"/>
        <v>5</v>
      </c>
      <c r="V81" s="50">
        <f t="shared" si="317"/>
        <v>5</v>
      </c>
      <c r="W81" s="50">
        <f t="shared" si="317"/>
        <v>5</v>
      </c>
      <c r="X81" s="50">
        <f t="shared" si="317"/>
        <v>5</v>
      </c>
      <c r="Y81" s="50">
        <f t="shared" si="317"/>
        <v>5</v>
      </c>
      <c r="Z81" s="50">
        <f t="shared" si="317"/>
        <v>5</v>
      </c>
      <c r="AA81" s="50">
        <f t="shared" si="317"/>
        <v>5</v>
      </c>
      <c r="AB81" s="50">
        <f t="shared" si="317"/>
        <v>5</v>
      </c>
      <c r="AC81" s="50">
        <f t="shared" si="317"/>
        <v>5</v>
      </c>
      <c r="AD81" s="50">
        <f t="shared" si="317"/>
        <v>5</v>
      </c>
      <c r="AE81" s="50">
        <f t="shared" si="317"/>
        <v>5</v>
      </c>
      <c r="AF81" s="50">
        <f t="shared" si="317"/>
        <v>5</v>
      </c>
      <c r="AG81" s="50">
        <f t="shared" si="317"/>
        <v>5</v>
      </c>
      <c r="AH81" s="50">
        <f t="shared" si="317"/>
        <v>5</v>
      </c>
      <c r="AI81" s="50">
        <f t="shared" si="317"/>
        <v>5</v>
      </c>
      <c r="AJ81" s="50">
        <f t="shared" si="317"/>
        <v>5</v>
      </c>
      <c r="AK81" s="50">
        <f t="shared" si="317"/>
        <v>5</v>
      </c>
      <c r="AL81" s="50">
        <f t="shared" ref="AL81:BQ81" si="318">SUMPRODUCT((Per_Clase="Administración")*INDEX(Dot_O,0,MIN(10,AL$17)))*(AL$15+AL$16*P_PreInd)</f>
        <v>5</v>
      </c>
      <c r="AM81" s="50">
        <f t="shared" si="318"/>
        <v>5</v>
      </c>
      <c r="AN81" s="50">
        <f t="shared" si="318"/>
        <v>5</v>
      </c>
      <c r="AO81" s="50">
        <f t="shared" si="318"/>
        <v>5</v>
      </c>
      <c r="AP81" s="50">
        <f t="shared" si="318"/>
        <v>5</v>
      </c>
      <c r="AQ81" s="50">
        <f t="shared" si="318"/>
        <v>5</v>
      </c>
      <c r="AR81" s="50">
        <f t="shared" si="318"/>
        <v>5</v>
      </c>
      <c r="AS81" s="50">
        <f t="shared" si="318"/>
        <v>5</v>
      </c>
      <c r="AT81" s="50">
        <f t="shared" si="318"/>
        <v>5</v>
      </c>
      <c r="AU81" s="50">
        <f t="shared" si="318"/>
        <v>5</v>
      </c>
      <c r="AV81" s="50">
        <f t="shared" si="318"/>
        <v>5</v>
      </c>
      <c r="AW81" s="50">
        <f t="shared" si="318"/>
        <v>5</v>
      </c>
      <c r="AX81" s="50">
        <f t="shared" si="318"/>
        <v>5</v>
      </c>
      <c r="AY81" s="50">
        <f t="shared" si="318"/>
        <v>5</v>
      </c>
      <c r="AZ81" s="50">
        <f t="shared" si="318"/>
        <v>5</v>
      </c>
      <c r="BA81" s="50">
        <f t="shared" si="318"/>
        <v>5</v>
      </c>
      <c r="BB81" s="50">
        <f t="shared" si="318"/>
        <v>5</v>
      </c>
      <c r="BC81" s="50">
        <f t="shared" si="318"/>
        <v>5</v>
      </c>
      <c r="BD81" s="50">
        <f t="shared" si="318"/>
        <v>5</v>
      </c>
      <c r="BE81" s="50">
        <f t="shared" si="318"/>
        <v>5</v>
      </c>
      <c r="BF81" s="50">
        <f t="shared" si="318"/>
        <v>5</v>
      </c>
      <c r="BG81" s="50">
        <f t="shared" si="318"/>
        <v>5</v>
      </c>
      <c r="BH81" s="50">
        <f t="shared" si="318"/>
        <v>5</v>
      </c>
      <c r="BI81" s="50">
        <f t="shared" si="318"/>
        <v>5</v>
      </c>
      <c r="BJ81" s="50">
        <f t="shared" si="318"/>
        <v>5</v>
      </c>
      <c r="BK81" s="50">
        <f t="shared" si="318"/>
        <v>5</v>
      </c>
      <c r="BL81" s="50">
        <f t="shared" si="318"/>
        <v>5</v>
      </c>
      <c r="BM81" s="50">
        <f t="shared" si="318"/>
        <v>5</v>
      </c>
      <c r="BN81" s="50">
        <f t="shared" si="318"/>
        <v>5</v>
      </c>
      <c r="BO81" s="50">
        <f t="shared" si="318"/>
        <v>5</v>
      </c>
      <c r="BP81" s="50">
        <f t="shared" si="318"/>
        <v>5</v>
      </c>
      <c r="BQ81" s="50">
        <f t="shared" si="318"/>
        <v>5</v>
      </c>
      <c r="BR81" s="50">
        <f t="shared" ref="BR81:CW81" si="319">SUMPRODUCT((Per_Clase="Administración")*INDEX(Dot_O,0,MIN(10,BR$17)))*(BR$15+BR$16*P_PreInd)</f>
        <v>5</v>
      </c>
      <c r="BS81" s="50">
        <f t="shared" si="319"/>
        <v>5</v>
      </c>
      <c r="BT81" s="50">
        <f t="shared" si="319"/>
        <v>5</v>
      </c>
      <c r="BU81" s="50">
        <f t="shared" si="319"/>
        <v>5</v>
      </c>
      <c r="BV81" s="50">
        <f t="shared" si="319"/>
        <v>5</v>
      </c>
      <c r="BW81" s="50">
        <f t="shared" si="319"/>
        <v>5</v>
      </c>
      <c r="BX81" s="50">
        <f t="shared" si="319"/>
        <v>5</v>
      </c>
      <c r="BY81" s="50">
        <f t="shared" si="319"/>
        <v>5</v>
      </c>
      <c r="BZ81" s="50">
        <f t="shared" si="319"/>
        <v>5</v>
      </c>
      <c r="CA81" s="50">
        <f t="shared" si="319"/>
        <v>5</v>
      </c>
      <c r="CB81" s="50">
        <f t="shared" si="319"/>
        <v>5</v>
      </c>
      <c r="CC81" s="50">
        <f t="shared" si="319"/>
        <v>5</v>
      </c>
      <c r="CD81" s="50">
        <f t="shared" si="319"/>
        <v>5</v>
      </c>
      <c r="CE81" s="50">
        <f t="shared" si="319"/>
        <v>5</v>
      </c>
      <c r="CF81" s="50">
        <f t="shared" si="319"/>
        <v>5</v>
      </c>
      <c r="CG81" s="50">
        <f t="shared" si="319"/>
        <v>5</v>
      </c>
      <c r="CH81" s="50">
        <f t="shared" si="319"/>
        <v>5</v>
      </c>
      <c r="CI81" s="50">
        <f t="shared" si="319"/>
        <v>5</v>
      </c>
      <c r="CJ81" s="50">
        <f t="shared" si="319"/>
        <v>5</v>
      </c>
      <c r="CK81" s="50">
        <f t="shared" si="319"/>
        <v>5</v>
      </c>
      <c r="CL81" s="50">
        <f t="shared" si="319"/>
        <v>5</v>
      </c>
      <c r="CM81" s="50">
        <f t="shared" si="319"/>
        <v>5</v>
      </c>
      <c r="CN81" s="50">
        <f t="shared" si="319"/>
        <v>5</v>
      </c>
      <c r="CO81" s="50">
        <f t="shared" si="319"/>
        <v>5</v>
      </c>
      <c r="CP81" s="50">
        <f t="shared" si="319"/>
        <v>5</v>
      </c>
      <c r="CQ81" s="50">
        <f t="shared" si="319"/>
        <v>5</v>
      </c>
      <c r="CR81" s="50">
        <f t="shared" si="319"/>
        <v>5</v>
      </c>
      <c r="CS81" s="50">
        <f t="shared" si="319"/>
        <v>5</v>
      </c>
      <c r="CT81" s="50">
        <f t="shared" si="319"/>
        <v>5</v>
      </c>
      <c r="CU81" s="50">
        <f t="shared" si="319"/>
        <v>5</v>
      </c>
      <c r="CV81" s="50">
        <f t="shared" si="319"/>
        <v>5</v>
      </c>
      <c r="CW81" s="50">
        <f t="shared" si="319"/>
        <v>5</v>
      </c>
      <c r="CX81" s="50">
        <f t="shared" ref="CX81:EC81" si="320">SUMPRODUCT((Per_Clase="Administración")*INDEX(Dot_O,0,MIN(10,CX$17)))*(CX$15+CX$16*P_PreInd)</f>
        <v>5</v>
      </c>
      <c r="CY81" s="50">
        <f t="shared" si="320"/>
        <v>5</v>
      </c>
      <c r="CZ81" s="50">
        <f t="shared" si="320"/>
        <v>5</v>
      </c>
      <c r="DA81" s="50">
        <f t="shared" si="320"/>
        <v>5</v>
      </c>
      <c r="DB81" s="50">
        <f t="shared" si="320"/>
        <v>5</v>
      </c>
      <c r="DC81" s="50">
        <f t="shared" si="320"/>
        <v>5</v>
      </c>
      <c r="DD81" s="50">
        <f t="shared" si="320"/>
        <v>5</v>
      </c>
      <c r="DE81" s="50">
        <f t="shared" si="320"/>
        <v>5</v>
      </c>
      <c r="DF81" s="50">
        <f t="shared" si="320"/>
        <v>5</v>
      </c>
      <c r="DG81" s="50">
        <f t="shared" si="320"/>
        <v>5</v>
      </c>
      <c r="DH81" s="50">
        <f t="shared" si="320"/>
        <v>5</v>
      </c>
      <c r="DI81" s="50">
        <f t="shared" si="320"/>
        <v>5</v>
      </c>
      <c r="DJ81" s="50">
        <f t="shared" si="320"/>
        <v>5</v>
      </c>
      <c r="DK81" s="50">
        <f t="shared" si="320"/>
        <v>5</v>
      </c>
      <c r="DL81" s="50">
        <f t="shared" si="320"/>
        <v>5</v>
      </c>
      <c r="DM81" s="50">
        <f t="shared" si="320"/>
        <v>5</v>
      </c>
      <c r="DN81" s="50">
        <f t="shared" si="320"/>
        <v>5</v>
      </c>
      <c r="DO81" s="50">
        <f t="shared" si="320"/>
        <v>5</v>
      </c>
      <c r="DP81" s="50">
        <f t="shared" si="320"/>
        <v>5</v>
      </c>
      <c r="DQ81" s="50">
        <f t="shared" si="320"/>
        <v>5</v>
      </c>
      <c r="DR81" s="50">
        <f t="shared" si="320"/>
        <v>5</v>
      </c>
      <c r="DS81" s="50">
        <f t="shared" si="320"/>
        <v>5</v>
      </c>
      <c r="DT81" s="50">
        <f t="shared" si="320"/>
        <v>5</v>
      </c>
      <c r="DU81" s="50">
        <f t="shared" si="320"/>
        <v>5</v>
      </c>
      <c r="DV81" s="50">
        <f t="shared" si="320"/>
        <v>0</v>
      </c>
      <c r="DW81" s="50">
        <f t="shared" si="320"/>
        <v>0</v>
      </c>
      <c r="DX81" s="50">
        <f t="shared" si="320"/>
        <v>0</v>
      </c>
      <c r="DY81" s="50">
        <f t="shared" si="320"/>
        <v>0</v>
      </c>
      <c r="DZ81" s="50">
        <f t="shared" si="320"/>
        <v>0</v>
      </c>
      <c r="EA81" s="50">
        <f t="shared" si="320"/>
        <v>0</v>
      </c>
      <c r="EB81" s="50">
        <f t="shared" si="320"/>
        <v>0</v>
      </c>
      <c r="EC81" s="50">
        <f t="shared" si="320"/>
        <v>0</v>
      </c>
      <c r="ED81" s="50">
        <f t="shared" ref="ED81:ES81" si="321">SUMPRODUCT((Per_Clase="Administración")*INDEX(Dot_O,0,MIN(10,ED$17)))*(ED$15+ED$16*P_PreInd)</f>
        <v>0</v>
      </c>
      <c r="EE81" s="50">
        <f t="shared" si="321"/>
        <v>0</v>
      </c>
      <c r="EF81" s="50">
        <f t="shared" si="321"/>
        <v>0</v>
      </c>
      <c r="EG81" s="50">
        <f t="shared" si="321"/>
        <v>0</v>
      </c>
      <c r="EH81" s="50">
        <f t="shared" si="321"/>
        <v>0</v>
      </c>
      <c r="EI81" s="50">
        <f t="shared" si="321"/>
        <v>0</v>
      </c>
      <c r="EJ81" s="50">
        <f t="shared" si="321"/>
        <v>0</v>
      </c>
      <c r="EK81" s="50">
        <f t="shared" si="321"/>
        <v>0</v>
      </c>
      <c r="EL81" s="50">
        <f t="shared" si="321"/>
        <v>0</v>
      </c>
      <c r="EM81" s="50">
        <f t="shared" si="321"/>
        <v>0</v>
      </c>
      <c r="EN81" s="50">
        <f t="shared" si="321"/>
        <v>0</v>
      </c>
      <c r="EO81" s="50">
        <f t="shared" si="321"/>
        <v>0</v>
      </c>
      <c r="EP81" s="50">
        <f t="shared" si="321"/>
        <v>0</v>
      </c>
      <c r="EQ81" s="50">
        <f t="shared" si="321"/>
        <v>0</v>
      </c>
      <c r="ER81" s="50">
        <f t="shared" si="321"/>
        <v>0</v>
      </c>
      <c r="ES81" s="50">
        <f t="shared" si="321"/>
        <v>0</v>
      </c>
    </row>
    <row r="82" spans="1:149" x14ac:dyDescent="0.3">
      <c r="A82" s="14" t="s">
        <v>1069</v>
      </c>
      <c r="B82" s="18" t="s">
        <v>1070</v>
      </c>
      <c r="C82" s="18" t="s">
        <v>439</v>
      </c>
      <c r="E82" s="54">
        <f t="shared" ref="E82:E91" si="322">SUM(F82:ES82)</f>
        <v>1075198.5262701346</v>
      </c>
      <c r="F82" s="48">
        <f t="shared" ref="F82:AK82" si="323">SUMPRODUCT((Per_Clase="Administración")*Sal_O*INDEX(Dot_O,0,MIN(10,F$17))*((Per_Mon="PYG")*F$19+(Per_Mon&lt;&gt;"PYG")))*(F$15+F$16*P_PreInd)*INDEX(IdxSal_O,1,MIN(10,F$17))*(1+P_Cargas)+F$81*P_Alim*F$19</f>
        <v>8959.9877189178078</v>
      </c>
      <c r="G82" s="48">
        <f t="shared" si="323"/>
        <v>8959.9877189178078</v>
      </c>
      <c r="H82" s="48">
        <f t="shared" si="323"/>
        <v>8959.9877189178078</v>
      </c>
      <c r="I82" s="48">
        <f t="shared" si="323"/>
        <v>8959.9877189178078</v>
      </c>
      <c r="J82" s="48">
        <f t="shared" si="323"/>
        <v>8959.9877189178078</v>
      </c>
      <c r="K82" s="48">
        <f t="shared" si="323"/>
        <v>8959.9877189178078</v>
      </c>
      <c r="L82" s="48">
        <f t="shared" si="323"/>
        <v>8959.9877189178078</v>
      </c>
      <c r="M82" s="48">
        <f t="shared" si="323"/>
        <v>8959.9877189178078</v>
      </c>
      <c r="N82" s="48">
        <f t="shared" si="323"/>
        <v>8959.9877189178078</v>
      </c>
      <c r="O82" s="48">
        <f t="shared" si="323"/>
        <v>8959.9877189178078</v>
      </c>
      <c r="P82" s="48">
        <f t="shared" si="323"/>
        <v>8959.9877189178078</v>
      </c>
      <c r="Q82" s="48">
        <f t="shared" si="323"/>
        <v>8959.9877189178078</v>
      </c>
      <c r="R82" s="48">
        <f t="shared" si="323"/>
        <v>8959.9877189178078</v>
      </c>
      <c r="S82" s="48">
        <f t="shared" si="323"/>
        <v>8959.9877189178078</v>
      </c>
      <c r="T82" s="48">
        <f t="shared" si="323"/>
        <v>8959.9877189178078</v>
      </c>
      <c r="U82" s="48">
        <f t="shared" si="323"/>
        <v>8959.9877189178078</v>
      </c>
      <c r="V82" s="48">
        <f t="shared" si="323"/>
        <v>8959.9877189178078</v>
      </c>
      <c r="W82" s="48">
        <f t="shared" si="323"/>
        <v>8959.9877189178078</v>
      </c>
      <c r="X82" s="48">
        <f t="shared" si="323"/>
        <v>8959.9877189178078</v>
      </c>
      <c r="Y82" s="48">
        <f t="shared" si="323"/>
        <v>8959.9877189178078</v>
      </c>
      <c r="Z82" s="48">
        <f t="shared" si="323"/>
        <v>8959.9877189178078</v>
      </c>
      <c r="AA82" s="48">
        <f t="shared" si="323"/>
        <v>8959.9877189178078</v>
      </c>
      <c r="AB82" s="48">
        <f t="shared" si="323"/>
        <v>8959.9877189178078</v>
      </c>
      <c r="AC82" s="48">
        <f t="shared" si="323"/>
        <v>8959.9877189178078</v>
      </c>
      <c r="AD82" s="48">
        <f t="shared" si="323"/>
        <v>8959.9877189178078</v>
      </c>
      <c r="AE82" s="48">
        <f t="shared" si="323"/>
        <v>8959.9877189178078</v>
      </c>
      <c r="AF82" s="48">
        <f t="shared" si="323"/>
        <v>8959.9877189178078</v>
      </c>
      <c r="AG82" s="48">
        <f t="shared" si="323"/>
        <v>8959.9877189178078</v>
      </c>
      <c r="AH82" s="48">
        <f t="shared" si="323"/>
        <v>8959.9877189178078</v>
      </c>
      <c r="AI82" s="48">
        <f t="shared" si="323"/>
        <v>8959.9877189178078</v>
      </c>
      <c r="AJ82" s="48">
        <f t="shared" si="323"/>
        <v>8959.9877189178078</v>
      </c>
      <c r="AK82" s="48">
        <f t="shared" si="323"/>
        <v>8959.9877189178078</v>
      </c>
      <c r="AL82" s="48">
        <f t="shared" ref="AL82:BQ82" si="324">SUMPRODUCT((Per_Clase="Administración")*Sal_O*INDEX(Dot_O,0,MIN(10,AL$17))*((Per_Mon="PYG")*AL$19+(Per_Mon&lt;&gt;"PYG")))*(AL$15+AL$16*P_PreInd)*INDEX(IdxSal_O,1,MIN(10,AL$17))*(1+P_Cargas)+AL$81*P_Alim*AL$19</f>
        <v>8959.9877189178078</v>
      </c>
      <c r="AM82" s="48">
        <f t="shared" si="324"/>
        <v>8959.9877189178078</v>
      </c>
      <c r="AN82" s="48">
        <f t="shared" si="324"/>
        <v>8959.9877189178078</v>
      </c>
      <c r="AO82" s="48">
        <f t="shared" si="324"/>
        <v>8959.9877189178078</v>
      </c>
      <c r="AP82" s="48">
        <f t="shared" si="324"/>
        <v>8959.9877189178078</v>
      </c>
      <c r="AQ82" s="48">
        <f t="shared" si="324"/>
        <v>8959.9877189178078</v>
      </c>
      <c r="AR82" s="48">
        <f t="shared" si="324"/>
        <v>8959.9877189178078</v>
      </c>
      <c r="AS82" s="48">
        <f t="shared" si="324"/>
        <v>8959.9877189178078</v>
      </c>
      <c r="AT82" s="48">
        <f t="shared" si="324"/>
        <v>8959.9877189178078</v>
      </c>
      <c r="AU82" s="48">
        <f t="shared" si="324"/>
        <v>8959.9877189178078</v>
      </c>
      <c r="AV82" s="48">
        <f t="shared" si="324"/>
        <v>8959.9877189178078</v>
      </c>
      <c r="AW82" s="48">
        <f t="shared" si="324"/>
        <v>8959.9877189178078</v>
      </c>
      <c r="AX82" s="48">
        <f t="shared" si="324"/>
        <v>8959.9877189178078</v>
      </c>
      <c r="AY82" s="48">
        <f t="shared" si="324"/>
        <v>8959.9877189178078</v>
      </c>
      <c r="AZ82" s="48">
        <f t="shared" si="324"/>
        <v>8959.9877189178078</v>
      </c>
      <c r="BA82" s="48">
        <f t="shared" si="324"/>
        <v>8959.9877189178078</v>
      </c>
      <c r="BB82" s="48">
        <f t="shared" si="324"/>
        <v>8959.9877189178078</v>
      </c>
      <c r="BC82" s="48">
        <f t="shared" si="324"/>
        <v>8959.9877189178078</v>
      </c>
      <c r="BD82" s="48">
        <f t="shared" si="324"/>
        <v>8959.9877189178078</v>
      </c>
      <c r="BE82" s="48">
        <f t="shared" si="324"/>
        <v>8959.9877189178078</v>
      </c>
      <c r="BF82" s="48">
        <f t="shared" si="324"/>
        <v>8959.9877189178078</v>
      </c>
      <c r="BG82" s="48">
        <f t="shared" si="324"/>
        <v>8959.9877189178078</v>
      </c>
      <c r="BH82" s="48">
        <f t="shared" si="324"/>
        <v>8959.9877189178078</v>
      </c>
      <c r="BI82" s="48">
        <f t="shared" si="324"/>
        <v>8959.9877189178078</v>
      </c>
      <c r="BJ82" s="48">
        <f t="shared" si="324"/>
        <v>8959.9877189178078</v>
      </c>
      <c r="BK82" s="48">
        <f t="shared" si="324"/>
        <v>8959.9877189178078</v>
      </c>
      <c r="BL82" s="48">
        <f t="shared" si="324"/>
        <v>8959.9877189178078</v>
      </c>
      <c r="BM82" s="48">
        <f t="shared" si="324"/>
        <v>8959.9877189178078</v>
      </c>
      <c r="BN82" s="48">
        <f t="shared" si="324"/>
        <v>8959.9877189178078</v>
      </c>
      <c r="BO82" s="48">
        <f t="shared" si="324"/>
        <v>8959.9877189178078</v>
      </c>
      <c r="BP82" s="48">
        <f t="shared" si="324"/>
        <v>8959.9877189178078</v>
      </c>
      <c r="BQ82" s="48">
        <f t="shared" si="324"/>
        <v>8959.9877189178078</v>
      </c>
      <c r="BR82" s="48">
        <f t="shared" ref="BR82:CW82" si="325">SUMPRODUCT((Per_Clase="Administración")*Sal_O*INDEX(Dot_O,0,MIN(10,BR$17))*((Per_Mon="PYG")*BR$19+(Per_Mon&lt;&gt;"PYG")))*(BR$15+BR$16*P_PreInd)*INDEX(IdxSal_O,1,MIN(10,BR$17))*(1+P_Cargas)+BR$81*P_Alim*BR$19</f>
        <v>8959.9877189178078</v>
      </c>
      <c r="BS82" s="48">
        <f t="shared" si="325"/>
        <v>8959.9877189178078</v>
      </c>
      <c r="BT82" s="48">
        <f t="shared" si="325"/>
        <v>8959.9877189178078</v>
      </c>
      <c r="BU82" s="48">
        <f t="shared" si="325"/>
        <v>8959.9877189178078</v>
      </c>
      <c r="BV82" s="48">
        <f t="shared" si="325"/>
        <v>8959.9877189178078</v>
      </c>
      <c r="BW82" s="48">
        <f t="shared" si="325"/>
        <v>8959.9877189178078</v>
      </c>
      <c r="BX82" s="48">
        <f t="shared" si="325"/>
        <v>8959.9877189178078</v>
      </c>
      <c r="BY82" s="48">
        <f t="shared" si="325"/>
        <v>8959.9877189178078</v>
      </c>
      <c r="BZ82" s="48">
        <f t="shared" si="325"/>
        <v>8959.9877189178078</v>
      </c>
      <c r="CA82" s="48">
        <f t="shared" si="325"/>
        <v>8959.9877189178078</v>
      </c>
      <c r="CB82" s="48">
        <f t="shared" si="325"/>
        <v>8959.9877189178078</v>
      </c>
      <c r="CC82" s="48">
        <f t="shared" si="325"/>
        <v>8959.9877189178078</v>
      </c>
      <c r="CD82" s="48">
        <f t="shared" si="325"/>
        <v>8959.9877189178078</v>
      </c>
      <c r="CE82" s="48">
        <f t="shared" si="325"/>
        <v>8959.9877189178078</v>
      </c>
      <c r="CF82" s="48">
        <f t="shared" si="325"/>
        <v>8959.9877189178078</v>
      </c>
      <c r="CG82" s="48">
        <f t="shared" si="325"/>
        <v>8959.9877189178078</v>
      </c>
      <c r="CH82" s="48">
        <f t="shared" si="325"/>
        <v>8959.9877189178078</v>
      </c>
      <c r="CI82" s="48">
        <f t="shared" si="325"/>
        <v>8959.9877189178078</v>
      </c>
      <c r="CJ82" s="48">
        <f t="shared" si="325"/>
        <v>8959.9877189178078</v>
      </c>
      <c r="CK82" s="48">
        <f t="shared" si="325"/>
        <v>8959.9877189178078</v>
      </c>
      <c r="CL82" s="48">
        <f t="shared" si="325"/>
        <v>8959.9877189178078</v>
      </c>
      <c r="CM82" s="48">
        <f t="shared" si="325"/>
        <v>8959.9877189178078</v>
      </c>
      <c r="CN82" s="48">
        <f t="shared" si="325"/>
        <v>8959.9877189178078</v>
      </c>
      <c r="CO82" s="48">
        <f t="shared" si="325"/>
        <v>8959.9877189178078</v>
      </c>
      <c r="CP82" s="48">
        <f t="shared" si="325"/>
        <v>8959.9877189178078</v>
      </c>
      <c r="CQ82" s="48">
        <f t="shared" si="325"/>
        <v>8959.9877189178078</v>
      </c>
      <c r="CR82" s="48">
        <f t="shared" si="325"/>
        <v>8959.9877189178078</v>
      </c>
      <c r="CS82" s="48">
        <f t="shared" si="325"/>
        <v>8959.9877189178078</v>
      </c>
      <c r="CT82" s="48">
        <f t="shared" si="325"/>
        <v>8959.9877189178078</v>
      </c>
      <c r="CU82" s="48">
        <f t="shared" si="325"/>
        <v>8959.9877189178078</v>
      </c>
      <c r="CV82" s="48">
        <f t="shared" si="325"/>
        <v>8959.9877189178078</v>
      </c>
      <c r="CW82" s="48">
        <f t="shared" si="325"/>
        <v>8959.9877189178078</v>
      </c>
      <c r="CX82" s="48">
        <f t="shared" ref="CX82:EC82" si="326">SUMPRODUCT((Per_Clase="Administración")*Sal_O*INDEX(Dot_O,0,MIN(10,CX$17))*((Per_Mon="PYG")*CX$19+(Per_Mon&lt;&gt;"PYG")))*(CX$15+CX$16*P_PreInd)*INDEX(IdxSal_O,1,MIN(10,CX$17))*(1+P_Cargas)+CX$81*P_Alim*CX$19</f>
        <v>8959.9877189178078</v>
      </c>
      <c r="CY82" s="48">
        <f t="shared" si="326"/>
        <v>8959.9877189178078</v>
      </c>
      <c r="CZ82" s="48">
        <f t="shared" si="326"/>
        <v>8959.9877189178078</v>
      </c>
      <c r="DA82" s="48">
        <f t="shared" si="326"/>
        <v>8959.9877189178078</v>
      </c>
      <c r="DB82" s="48">
        <f t="shared" si="326"/>
        <v>8959.9877189178078</v>
      </c>
      <c r="DC82" s="48">
        <f t="shared" si="326"/>
        <v>8959.9877189178078</v>
      </c>
      <c r="DD82" s="48">
        <f t="shared" si="326"/>
        <v>8959.9877189178078</v>
      </c>
      <c r="DE82" s="48">
        <f t="shared" si="326"/>
        <v>8959.9877189178078</v>
      </c>
      <c r="DF82" s="48">
        <f t="shared" si="326"/>
        <v>8959.9877189178078</v>
      </c>
      <c r="DG82" s="48">
        <f t="shared" si="326"/>
        <v>8959.9877189178078</v>
      </c>
      <c r="DH82" s="48">
        <f t="shared" si="326"/>
        <v>8959.9877189178078</v>
      </c>
      <c r="DI82" s="48">
        <f t="shared" si="326"/>
        <v>8959.9877189178078</v>
      </c>
      <c r="DJ82" s="48">
        <f t="shared" si="326"/>
        <v>8959.9877189178078</v>
      </c>
      <c r="DK82" s="48">
        <f t="shared" si="326"/>
        <v>8959.9877189178078</v>
      </c>
      <c r="DL82" s="48">
        <f t="shared" si="326"/>
        <v>8959.9877189178078</v>
      </c>
      <c r="DM82" s="48">
        <f t="shared" si="326"/>
        <v>8959.9877189178078</v>
      </c>
      <c r="DN82" s="48">
        <f t="shared" si="326"/>
        <v>8959.9877189178078</v>
      </c>
      <c r="DO82" s="48">
        <f t="shared" si="326"/>
        <v>8959.9877189178078</v>
      </c>
      <c r="DP82" s="48">
        <f t="shared" si="326"/>
        <v>8959.9877189178078</v>
      </c>
      <c r="DQ82" s="48">
        <f t="shared" si="326"/>
        <v>8959.9877189178078</v>
      </c>
      <c r="DR82" s="48">
        <f t="shared" si="326"/>
        <v>8959.9877189178078</v>
      </c>
      <c r="DS82" s="48">
        <f t="shared" si="326"/>
        <v>8959.9877189178078</v>
      </c>
      <c r="DT82" s="48">
        <f t="shared" si="326"/>
        <v>8959.9877189178078</v>
      </c>
      <c r="DU82" s="48">
        <f t="shared" si="326"/>
        <v>8959.9877189178078</v>
      </c>
      <c r="DV82" s="48">
        <f t="shared" si="326"/>
        <v>0</v>
      </c>
      <c r="DW82" s="48">
        <f t="shared" si="326"/>
        <v>0</v>
      </c>
      <c r="DX82" s="48">
        <f t="shared" si="326"/>
        <v>0</v>
      </c>
      <c r="DY82" s="48">
        <f t="shared" si="326"/>
        <v>0</v>
      </c>
      <c r="DZ82" s="48">
        <f t="shared" si="326"/>
        <v>0</v>
      </c>
      <c r="EA82" s="48">
        <f t="shared" si="326"/>
        <v>0</v>
      </c>
      <c r="EB82" s="48">
        <f t="shared" si="326"/>
        <v>0</v>
      </c>
      <c r="EC82" s="48">
        <f t="shared" si="326"/>
        <v>0</v>
      </c>
      <c r="ED82" s="48">
        <f t="shared" ref="ED82:ES82" si="327">SUMPRODUCT((Per_Clase="Administración")*Sal_O*INDEX(Dot_O,0,MIN(10,ED$17))*((Per_Mon="PYG")*ED$19+(Per_Mon&lt;&gt;"PYG")))*(ED$15+ED$16*P_PreInd)*INDEX(IdxSal_O,1,MIN(10,ED$17))*(1+P_Cargas)+ED$81*P_Alim*ED$19</f>
        <v>0</v>
      </c>
      <c r="EE82" s="48">
        <f t="shared" si="327"/>
        <v>0</v>
      </c>
      <c r="EF82" s="48">
        <f t="shared" si="327"/>
        <v>0</v>
      </c>
      <c r="EG82" s="48">
        <f t="shared" si="327"/>
        <v>0</v>
      </c>
      <c r="EH82" s="48">
        <f t="shared" si="327"/>
        <v>0</v>
      </c>
      <c r="EI82" s="48">
        <f t="shared" si="327"/>
        <v>0</v>
      </c>
      <c r="EJ82" s="48">
        <f t="shared" si="327"/>
        <v>0</v>
      </c>
      <c r="EK82" s="48">
        <f t="shared" si="327"/>
        <v>0</v>
      </c>
      <c r="EL82" s="48">
        <f t="shared" si="327"/>
        <v>0</v>
      </c>
      <c r="EM82" s="48">
        <f t="shared" si="327"/>
        <v>0</v>
      </c>
      <c r="EN82" s="48">
        <f t="shared" si="327"/>
        <v>0</v>
      </c>
      <c r="EO82" s="48">
        <f t="shared" si="327"/>
        <v>0</v>
      </c>
      <c r="EP82" s="48">
        <f t="shared" si="327"/>
        <v>0</v>
      </c>
      <c r="EQ82" s="48">
        <f t="shared" si="327"/>
        <v>0</v>
      </c>
      <c r="ER82" s="48">
        <f t="shared" si="327"/>
        <v>0</v>
      </c>
      <c r="ES82" s="48">
        <f t="shared" si="327"/>
        <v>0</v>
      </c>
    </row>
    <row r="83" spans="1:149" x14ac:dyDescent="0.3">
      <c r="A83" s="14" t="s">
        <v>1071</v>
      </c>
      <c r="B83" s="18" t="s">
        <v>1072</v>
      </c>
      <c r="C83" s="18" t="s">
        <v>439</v>
      </c>
      <c r="E83" s="54">
        <f t="shared" si="322"/>
        <v>522395.34234611614</v>
      </c>
      <c r="F83" s="48">
        <f t="shared" ref="F83:AK83" si="328">P_Pkg*(F$73+F$74+F$75+F$78)</f>
        <v>2756.2905879712325</v>
      </c>
      <c r="G83" s="48">
        <f t="shared" si="328"/>
        <v>2756.2905879712325</v>
      </c>
      <c r="H83" s="48">
        <f t="shared" si="328"/>
        <v>2756.2905879712325</v>
      </c>
      <c r="I83" s="48">
        <f t="shared" si="328"/>
        <v>2756.2905879712325</v>
      </c>
      <c r="J83" s="48">
        <f t="shared" si="328"/>
        <v>2756.2905879712325</v>
      </c>
      <c r="K83" s="48">
        <f t="shared" si="328"/>
        <v>2756.2905879712325</v>
      </c>
      <c r="L83" s="48">
        <f t="shared" si="328"/>
        <v>2756.2905879712325</v>
      </c>
      <c r="M83" s="48">
        <f t="shared" si="328"/>
        <v>2756.2905879712325</v>
      </c>
      <c r="N83" s="48">
        <f t="shared" si="328"/>
        <v>2756.2905879712325</v>
      </c>
      <c r="O83" s="48">
        <f t="shared" si="328"/>
        <v>2756.2905879712325</v>
      </c>
      <c r="P83" s="48">
        <f t="shared" si="328"/>
        <v>2756.2905879712325</v>
      </c>
      <c r="Q83" s="48">
        <f t="shared" si="328"/>
        <v>2756.2905879712325</v>
      </c>
      <c r="R83" s="48">
        <f t="shared" si="328"/>
        <v>3410.9276704712329</v>
      </c>
      <c r="S83" s="48">
        <f t="shared" si="328"/>
        <v>3410.9276704712329</v>
      </c>
      <c r="T83" s="48">
        <f t="shared" si="328"/>
        <v>3410.9276704712329</v>
      </c>
      <c r="U83" s="48">
        <f t="shared" si="328"/>
        <v>3410.9276704712329</v>
      </c>
      <c r="V83" s="48">
        <f t="shared" si="328"/>
        <v>3410.9276704712329</v>
      </c>
      <c r="W83" s="48">
        <f t="shared" si="328"/>
        <v>3410.9276704712329</v>
      </c>
      <c r="X83" s="48">
        <f t="shared" si="328"/>
        <v>3410.9276704712329</v>
      </c>
      <c r="Y83" s="48">
        <f t="shared" si="328"/>
        <v>3410.9276704712329</v>
      </c>
      <c r="Z83" s="48">
        <f t="shared" si="328"/>
        <v>3410.9276704712329</v>
      </c>
      <c r="AA83" s="48">
        <f t="shared" si="328"/>
        <v>3410.9276704712329</v>
      </c>
      <c r="AB83" s="48">
        <f t="shared" si="328"/>
        <v>3410.9276704712329</v>
      </c>
      <c r="AC83" s="48">
        <f t="shared" si="328"/>
        <v>3410.9276704712329</v>
      </c>
      <c r="AD83" s="48">
        <f t="shared" si="328"/>
        <v>4098.8133314089046</v>
      </c>
      <c r="AE83" s="48">
        <f t="shared" si="328"/>
        <v>4098.8133314089046</v>
      </c>
      <c r="AF83" s="48">
        <f t="shared" si="328"/>
        <v>4098.8133314089046</v>
      </c>
      <c r="AG83" s="48">
        <f t="shared" si="328"/>
        <v>4098.8133314089046</v>
      </c>
      <c r="AH83" s="48">
        <f t="shared" si="328"/>
        <v>4098.8133314089046</v>
      </c>
      <c r="AI83" s="48">
        <f t="shared" si="328"/>
        <v>4098.8133314089046</v>
      </c>
      <c r="AJ83" s="48">
        <f t="shared" si="328"/>
        <v>4098.8133314089046</v>
      </c>
      <c r="AK83" s="48">
        <f t="shared" si="328"/>
        <v>4098.8133314089046</v>
      </c>
      <c r="AL83" s="48">
        <f t="shared" ref="AL83:BQ83" si="329">P_Pkg*(AL$73+AL$74+AL$75+AL$78)</f>
        <v>4098.8133314089046</v>
      </c>
      <c r="AM83" s="48">
        <f t="shared" si="329"/>
        <v>4098.8133314089046</v>
      </c>
      <c r="AN83" s="48">
        <f t="shared" si="329"/>
        <v>4098.8133314089046</v>
      </c>
      <c r="AO83" s="48">
        <f t="shared" si="329"/>
        <v>4098.8133314089046</v>
      </c>
      <c r="AP83" s="48">
        <f t="shared" si="329"/>
        <v>4661.5281053278768</v>
      </c>
      <c r="AQ83" s="48">
        <f t="shared" si="329"/>
        <v>4661.5281053278768</v>
      </c>
      <c r="AR83" s="48">
        <f t="shared" si="329"/>
        <v>4661.5281053278768</v>
      </c>
      <c r="AS83" s="48">
        <f t="shared" si="329"/>
        <v>4661.5281053278768</v>
      </c>
      <c r="AT83" s="48">
        <f t="shared" si="329"/>
        <v>4661.5281053278768</v>
      </c>
      <c r="AU83" s="48">
        <f t="shared" si="329"/>
        <v>4661.5281053278768</v>
      </c>
      <c r="AV83" s="48">
        <f t="shared" si="329"/>
        <v>4661.5281053278768</v>
      </c>
      <c r="AW83" s="48">
        <f t="shared" si="329"/>
        <v>4661.5281053278768</v>
      </c>
      <c r="AX83" s="48">
        <f t="shared" si="329"/>
        <v>4661.5281053278768</v>
      </c>
      <c r="AY83" s="48">
        <f t="shared" si="329"/>
        <v>4661.5281053278768</v>
      </c>
      <c r="AZ83" s="48">
        <f t="shared" si="329"/>
        <v>4661.5281053278768</v>
      </c>
      <c r="BA83" s="48">
        <f t="shared" si="329"/>
        <v>4661.5281053278768</v>
      </c>
      <c r="BB83" s="48">
        <f t="shared" si="329"/>
        <v>4709.895026469093</v>
      </c>
      <c r="BC83" s="48">
        <f t="shared" si="329"/>
        <v>4709.895026469093</v>
      </c>
      <c r="BD83" s="48">
        <f t="shared" si="329"/>
        <v>4709.895026469093</v>
      </c>
      <c r="BE83" s="48">
        <f t="shared" si="329"/>
        <v>4709.895026469093</v>
      </c>
      <c r="BF83" s="48">
        <f t="shared" si="329"/>
        <v>4709.895026469093</v>
      </c>
      <c r="BG83" s="48">
        <f t="shared" si="329"/>
        <v>4709.895026469093</v>
      </c>
      <c r="BH83" s="48">
        <f t="shared" si="329"/>
        <v>4709.895026469093</v>
      </c>
      <c r="BI83" s="48">
        <f t="shared" si="329"/>
        <v>4709.895026469093</v>
      </c>
      <c r="BJ83" s="48">
        <f t="shared" si="329"/>
        <v>4709.895026469093</v>
      </c>
      <c r="BK83" s="48">
        <f t="shared" si="329"/>
        <v>4709.895026469093</v>
      </c>
      <c r="BL83" s="48">
        <f t="shared" si="329"/>
        <v>4709.895026469093</v>
      </c>
      <c r="BM83" s="48">
        <f t="shared" si="329"/>
        <v>4709.895026469093</v>
      </c>
      <c r="BN83" s="48">
        <f t="shared" si="329"/>
        <v>4732.6569384328304</v>
      </c>
      <c r="BO83" s="48">
        <f t="shared" si="329"/>
        <v>4732.6569384328304</v>
      </c>
      <c r="BP83" s="48">
        <f t="shared" si="329"/>
        <v>4732.6569384328304</v>
      </c>
      <c r="BQ83" s="48">
        <f t="shared" si="329"/>
        <v>4732.6569384328304</v>
      </c>
      <c r="BR83" s="48">
        <f t="shared" ref="BR83:CW83" si="330">P_Pkg*(BR$73+BR$74+BR$75+BR$78)</f>
        <v>4732.6569384328304</v>
      </c>
      <c r="BS83" s="48">
        <f t="shared" si="330"/>
        <v>4732.6569384328304</v>
      </c>
      <c r="BT83" s="48">
        <f t="shared" si="330"/>
        <v>4732.6569384328304</v>
      </c>
      <c r="BU83" s="48">
        <f t="shared" si="330"/>
        <v>4732.6569384328304</v>
      </c>
      <c r="BV83" s="48">
        <f t="shared" si="330"/>
        <v>4732.6569384328304</v>
      </c>
      <c r="BW83" s="48">
        <f t="shared" si="330"/>
        <v>4732.6569384328304</v>
      </c>
      <c r="BX83" s="48">
        <f t="shared" si="330"/>
        <v>4732.6569384328304</v>
      </c>
      <c r="BY83" s="48">
        <f t="shared" si="330"/>
        <v>4732.6569384328304</v>
      </c>
      <c r="BZ83" s="48">
        <f t="shared" si="330"/>
        <v>4755.6464695162058</v>
      </c>
      <c r="CA83" s="48">
        <f t="shared" si="330"/>
        <v>4755.6464695162058</v>
      </c>
      <c r="CB83" s="48">
        <f t="shared" si="330"/>
        <v>4755.6464695162058</v>
      </c>
      <c r="CC83" s="48">
        <f t="shared" si="330"/>
        <v>4755.6464695162058</v>
      </c>
      <c r="CD83" s="48">
        <f t="shared" si="330"/>
        <v>4755.6464695162058</v>
      </c>
      <c r="CE83" s="48">
        <f t="shared" si="330"/>
        <v>4755.6464695162058</v>
      </c>
      <c r="CF83" s="48">
        <f t="shared" si="330"/>
        <v>4755.6464695162058</v>
      </c>
      <c r="CG83" s="48">
        <f t="shared" si="330"/>
        <v>4755.6464695162058</v>
      </c>
      <c r="CH83" s="48">
        <f t="shared" si="330"/>
        <v>4755.6464695162058</v>
      </c>
      <c r="CI83" s="48">
        <f t="shared" si="330"/>
        <v>4755.6464695162058</v>
      </c>
      <c r="CJ83" s="48">
        <f t="shared" si="330"/>
        <v>4755.6464695162058</v>
      </c>
      <c r="CK83" s="48">
        <f t="shared" si="330"/>
        <v>4755.6464695162058</v>
      </c>
      <c r="CL83" s="48">
        <f t="shared" si="330"/>
        <v>4778.8658959104132</v>
      </c>
      <c r="CM83" s="48">
        <f t="shared" si="330"/>
        <v>4778.8658959104132</v>
      </c>
      <c r="CN83" s="48">
        <f t="shared" si="330"/>
        <v>4778.8658959104132</v>
      </c>
      <c r="CO83" s="48">
        <f t="shared" si="330"/>
        <v>4778.8658959104132</v>
      </c>
      <c r="CP83" s="48">
        <f t="shared" si="330"/>
        <v>4778.8658959104132</v>
      </c>
      <c r="CQ83" s="48">
        <f t="shared" si="330"/>
        <v>4778.8658959104132</v>
      </c>
      <c r="CR83" s="48">
        <f t="shared" si="330"/>
        <v>4778.8658959104132</v>
      </c>
      <c r="CS83" s="48">
        <f t="shared" si="330"/>
        <v>4778.8658959104132</v>
      </c>
      <c r="CT83" s="48">
        <f t="shared" si="330"/>
        <v>4778.8658959104132</v>
      </c>
      <c r="CU83" s="48">
        <f t="shared" si="330"/>
        <v>4778.8658959104132</v>
      </c>
      <c r="CV83" s="48">
        <f t="shared" si="330"/>
        <v>4778.8658959104132</v>
      </c>
      <c r="CW83" s="48">
        <f t="shared" si="330"/>
        <v>4778.8658959104132</v>
      </c>
      <c r="CX83" s="48">
        <f t="shared" ref="CX83:EC83" si="331">P_Pkg*(CX$73+CX$74+CX$75+CX$78)</f>
        <v>4802.3175165685643</v>
      </c>
      <c r="CY83" s="48">
        <f t="shared" si="331"/>
        <v>4802.3175165685643</v>
      </c>
      <c r="CZ83" s="48">
        <f t="shared" si="331"/>
        <v>4802.3175165685643</v>
      </c>
      <c r="DA83" s="48">
        <f t="shared" si="331"/>
        <v>4802.3175165685643</v>
      </c>
      <c r="DB83" s="48">
        <f t="shared" si="331"/>
        <v>4802.3175165685643</v>
      </c>
      <c r="DC83" s="48">
        <f t="shared" si="331"/>
        <v>4802.3175165685643</v>
      </c>
      <c r="DD83" s="48">
        <f t="shared" si="331"/>
        <v>4802.3175165685643</v>
      </c>
      <c r="DE83" s="48">
        <f t="shared" si="331"/>
        <v>4802.3175165685643</v>
      </c>
      <c r="DF83" s="48">
        <f t="shared" si="331"/>
        <v>4802.3175165685643</v>
      </c>
      <c r="DG83" s="48">
        <f t="shared" si="331"/>
        <v>4802.3175165685643</v>
      </c>
      <c r="DH83" s="48">
        <f t="shared" si="331"/>
        <v>4802.3175165685643</v>
      </c>
      <c r="DI83" s="48">
        <f t="shared" si="331"/>
        <v>4802.3175165685643</v>
      </c>
      <c r="DJ83" s="48">
        <f t="shared" si="331"/>
        <v>4826.0036534332967</v>
      </c>
      <c r="DK83" s="48">
        <f t="shared" si="331"/>
        <v>4826.0036534332967</v>
      </c>
      <c r="DL83" s="48">
        <f t="shared" si="331"/>
        <v>4826.0036534332967</v>
      </c>
      <c r="DM83" s="48">
        <f t="shared" si="331"/>
        <v>4826.0036534332967</v>
      </c>
      <c r="DN83" s="48">
        <f t="shared" si="331"/>
        <v>4826.0036534332967</v>
      </c>
      <c r="DO83" s="48">
        <f t="shared" si="331"/>
        <v>4826.0036534332967</v>
      </c>
      <c r="DP83" s="48">
        <f t="shared" si="331"/>
        <v>4826.0036534332967</v>
      </c>
      <c r="DQ83" s="48">
        <f t="shared" si="331"/>
        <v>4826.0036534332967</v>
      </c>
      <c r="DR83" s="48">
        <f t="shared" si="331"/>
        <v>4826.0036534332967</v>
      </c>
      <c r="DS83" s="48">
        <f t="shared" si="331"/>
        <v>4826.0036534332967</v>
      </c>
      <c r="DT83" s="48">
        <f t="shared" si="331"/>
        <v>4826.0036534332967</v>
      </c>
      <c r="DU83" s="48">
        <f t="shared" si="331"/>
        <v>4826.0036534332967</v>
      </c>
      <c r="DV83" s="48">
        <f t="shared" si="331"/>
        <v>0</v>
      </c>
      <c r="DW83" s="48">
        <f t="shared" si="331"/>
        <v>0</v>
      </c>
      <c r="DX83" s="48">
        <f t="shared" si="331"/>
        <v>0</v>
      </c>
      <c r="DY83" s="48">
        <f t="shared" si="331"/>
        <v>0</v>
      </c>
      <c r="DZ83" s="48">
        <f t="shared" si="331"/>
        <v>0</v>
      </c>
      <c r="EA83" s="48">
        <f t="shared" si="331"/>
        <v>0</v>
      </c>
      <c r="EB83" s="48">
        <f t="shared" si="331"/>
        <v>0</v>
      </c>
      <c r="EC83" s="48">
        <f t="shared" si="331"/>
        <v>0</v>
      </c>
      <c r="ED83" s="48">
        <f t="shared" ref="ED83:ES83" si="332">P_Pkg*(ED$73+ED$74+ED$75+ED$78)</f>
        <v>0</v>
      </c>
      <c r="EE83" s="48">
        <f t="shared" si="332"/>
        <v>0</v>
      </c>
      <c r="EF83" s="48">
        <f t="shared" si="332"/>
        <v>0</v>
      </c>
      <c r="EG83" s="48">
        <f t="shared" si="332"/>
        <v>0</v>
      </c>
      <c r="EH83" s="48">
        <f t="shared" si="332"/>
        <v>0</v>
      </c>
      <c r="EI83" s="48">
        <f t="shared" si="332"/>
        <v>0</v>
      </c>
      <c r="EJ83" s="48">
        <f t="shared" si="332"/>
        <v>0</v>
      </c>
      <c r="EK83" s="48">
        <f t="shared" si="332"/>
        <v>0</v>
      </c>
      <c r="EL83" s="48">
        <f t="shared" si="332"/>
        <v>0</v>
      </c>
      <c r="EM83" s="48">
        <f t="shared" si="332"/>
        <v>0</v>
      </c>
      <c r="EN83" s="48">
        <f t="shared" si="332"/>
        <v>0</v>
      </c>
      <c r="EO83" s="48">
        <f t="shared" si="332"/>
        <v>0</v>
      </c>
      <c r="EP83" s="48">
        <f t="shared" si="332"/>
        <v>0</v>
      </c>
      <c r="EQ83" s="48">
        <f t="shared" si="332"/>
        <v>0</v>
      </c>
      <c r="ER83" s="48">
        <f t="shared" si="332"/>
        <v>0</v>
      </c>
      <c r="ES83" s="48">
        <f t="shared" si="332"/>
        <v>0</v>
      </c>
    </row>
    <row r="84" spans="1:149" x14ac:dyDescent="0.3">
      <c r="A84" s="14" t="s">
        <v>1073</v>
      </c>
      <c r="B84" s="18" t="s">
        <v>1074</v>
      </c>
      <c r="C84" s="18" t="s">
        <v>439</v>
      </c>
      <c r="E84" s="54">
        <f t="shared" si="322"/>
        <v>81222.447721645425</v>
      </c>
      <c r="F84" s="48">
        <f t="shared" ref="F84:AK84" si="333">(P_SegV+P_ComV)*F$71</f>
        <v>404.16666666666663</v>
      </c>
      <c r="G84" s="48">
        <f t="shared" si="333"/>
        <v>404.16666666666663</v>
      </c>
      <c r="H84" s="48">
        <f t="shared" si="333"/>
        <v>404.16666666666663</v>
      </c>
      <c r="I84" s="48">
        <f t="shared" si="333"/>
        <v>404.16666666666663</v>
      </c>
      <c r="J84" s="48">
        <f t="shared" si="333"/>
        <v>404.16666666666663</v>
      </c>
      <c r="K84" s="48">
        <f t="shared" si="333"/>
        <v>404.16666666666663</v>
      </c>
      <c r="L84" s="48">
        <f t="shared" si="333"/>
        <v>404.16666666666663</v>
      </c>
      <c r="M84" s="48">
        <f t="shared" si="333"/>
        <v>404.16666666666663</v>
      </c>
      <c r="N84" s="48">
        <f t="shared" si="333"/>
        <v>404.16666666666663</v>
      </c>
      <c r="O84" s="48">
        <f t="shared" si="333"/>
        <v>404.16666666666663</v>
      </c>
      <c r="P84" s="48">
        <f t="shared" si="333"/>
        <v>404.16666666666663</v>
      </c>
      <c r="Q84" s="48">
        <f t="shared" si="333"/>
        <v>404.16666666666663</v>
      </c>
      <c r="R84" s="48">
        <f t="shared" si="333"/>
        <v>515.1</v>
      </c>
      <c r="S84" s="48">
        <f t="shared" si="333"/>
        <v>515.1</v>
      </c>
      <c r="T84" s="48">
        <f t="shared" si="333"/>
        <v>515.1</v>
      </c>
      <c r="U84" s="48">
        <f t="shared" si="333"/>
        <v>515.1</v>
      </c>
      <c r="V84" s="48">
        <f t="shared" si="333"/>
        <v>515.1</v>
      </c>
      <c r="W84" s="48">
        <f t="shared" si="333"/>
        <v>515.1</v>
      </c>
      <c r="X84" s="48">
        <f t="shared" si="333"/>
        <v>515.1</v>
      </c>
      <c r="Y84" s="48">
        <f t="shared" si="333"/>
        <v>515.1</v>
      </c>
      <c r="Z84" s="48">
        <f t="shared" si="333"/>
        <v>515.1</v>
      </c>
      <c r="AA84" s="48">
        <f t="shared" si="333"/>
        <v>515.1</v>
      </c>
      <c r="AB84" s="48">
        <f t="shared" si="333"/>
        <v>515.1</v>
      </c>
      <c r="AC84" s="48">
        <f t="shared" si="333"/>
        <v>515.1</v>
      </c>
      <c r="AD84" s="48">
        <f t="shared" si="333"/>
        <v>628.21158333333324</v>
      </c>
      <c r="AE84" s="48">
        <f t="shared" si="333"/>
        <v>628.21158333333324</v>
      </c>
      <c r="AF84" s="48">
        <f t="shared" si="333"/>
        <v>628.21158333333324</v>
      </c>
      <c r="AG84" s="48">
        <f t="shared" si="333"/>
        <v>628.21158333333324</v>
      </c>
      <c r="AH84" s="48">
        <f t="shared" si="333"/>
        <v>628.21158333333324</v>
      </c>
      <c r="AI84" s="48">
        <f t="shared" si="333"/>
        <v>628.21158333333324</v>
      </c>
      <c r="AJ84" s="48">
        <f t="shared" si="333"/>
        <v>628.21158333333324</v>
      </c>
      <c r="AK84" s="48">
        <f t="shared" si="333"/>
        <v>628.21158333333324</v>
      </c>
      <c r="AL84" s="48">
        <f t="shared" ref="AL84:BQ84" si="334">(P_SegV+P_ComV)*AL$71</f>
        <v>628.21158333333324</v>
      </c>
      <c r="AM84" s="48">
        <f t="shared" si="334"/>
        <v>628.21158333333324</v>
      </c>
      <c r="AN84" s="48">
        <f t="shared" si="334"/>
        <v>628.21158333333324</v>
      </c>
      <c r="AO84" s="48">
        <f t="shared" si="334"/>
        <v>628.21158333333324</v>
      </c>
      <c r="AP84" s="48">
        <f t="shared" si="334"/>
        <v>723.78645249999988</v>
      </c>
      <c r="AQ84" s="48">
        <f t="shared" si="334"/>
        <v>723.78645249999988</v>
      </c>
      <c r="AR84" s="48">
        <f t="shared" si="334"/>
        <v>723.78645249999988</v>
      </c>
      <c r="AS84" s="48">
        <f t="shared" si="334"/>
        <v>723.78645249999988</v>
      </c>
      <c r="AT84" s="48">
        <f t="shared" si="334"/>
        <v>723.78645249999988</v>
      </c>
      <c r="AU84" s="48">
        <f t="shared" si="334"/>
        <v>723.78645249999988</v>
      </c>
      <c r="AV84" s="48">
        <f t="shared" si="334"/>
        <v>723.78645249999988</v>
      </c>
      <c r="AW84" s="48">
        <f t="shared" si="334"/>
        <v>723.78645249999988</v>
      </c>
      <c r="AX84" s="48">
        <f t="shared" si="334"/>
        <v>723.78645249999988</v>
      </c>
      <c r="AY84" s="48">
        <f t="shared" si="334"/>
        <v>723.78645249999988</v>
      </c>
      <c r="AZ84" s="48">
        <f t="shared" si="334"/>
        <v>723.78645249999988</v>
      </c>
      <c r="BA84" s="48">
        <f t="shared" si="334"/>
        <v>723.78645249999988</v>
      </c>
      <c r="BB84" s="48">
        <f t="shared" si="334"/>
        <v>731.02431702499996</v>
      </c>
      <c r="BC84" s="48">
        <f t="shared" si="334"/>
        <v>731.02431702499996</v>
      </c>
      <c r="BD84" s="48">
        <f t="shared" si="334"/>
        <v>731.02431702499996</v>
      </c>
      <c r="BE84" s="48">
        <f t="shared" si="334"/>
        <v>731.02431702499996</v>
      </c>
      <c r="BF84" s="48">
        <f t="shared" si="334"/>
        <v>731.02431702499996</v>
      </c>
      <c r="BG84" s="48">
        <f t="shared" si="334"/>
        <v>731.02431702499996</v>
      </c>
      <c r="BH84" s="48">
        <f t="shared" si="334"/>
        <v>731.02431702499996</v>
      </c>
      <c r="BI84" s="48">
        <f t="shared" si="334"/>
        <v>731.02431702499996</v>
      </c>
      <c r="BJ84" s="48">
        <f t="shared" si="334"/>
        <v>731.02431702499996</v>
      </c>
      <c r="BK84" s="48">
        <f t="shared" si="334"/>
        <v>731.02431702499996</v>
      </c>
      <c r="BL84" s="48">
        <f t="shared" si="334"/>
        <v>731.02431702499996</v>
      </c>
      <c r="BM84" s="48">
        <f t="shared" si="334"/>
        <v>731.02431702499996</v>
      </c>
      <c r="BN84" s="48">
        <f t="shared" si="334"/>
        <v>738.33456019524999</v>
      </c>
      <c r="BO84" s="48">
        <f t="shared" si="334"/>
        <v>738.33456019524999</v>
      </c>
      <c r="BP84" s="48">
        <f t="shared" si="334"/>
        <v>738.33456019524999</v>
      </c>
      <c r="BQ84" s="48">
        <f t="shared" si="334"/>
        <v>738.33456019524999</v>
      </c>
      <c r="BR84" s="48">
        <f t="shared" ref="BR84:CW84" si="335">(P_SegV+P_ComV)*BR$71</f>
        <v>738.33456019524999</v>
      </c>
      <c r="BS84" s="48">
        <f t="shared" si="335"/>
        <v>738.33456019524999</v>
      </c>
      <c r="BT84" s="48">
        <f t="shared" si="335"/>
        <v>738.33456019524999</v>
      </c>
      <c r="BU84" s="48">
        <f t="shared" si="335"/>
        <v>738.33456019524999</v>
      </c>
      <c r="BV84" s="48">
        <f t="shared" si="335"/>
        <v>738.33456019524999</v>
      </c>
      <c r="BW84" s="48">
        <f t="shared" si="335"/>
        <v>738.33456019524999</v>
      </c>
      <c r="BX84" s="48">
        <f t="shared" si="335"/>
        <v>738.33456019524999</v>
      </c>
      <c r="BY84" s="48">
        <f t="shared" si="335"/>
        <v>738.33456019524999</v>
      </c>
      <c r="BZ84" s="48">
        <f t="shared" si="335"/>
        <v>745.71790579720243</v>
      </c>
      <c r="CA84" s="48">
        <f t="shared" si="335"/>
        <v>745.71790579720243</v>
      </c>
      <c r="CB84" s="48">
        <f t="shared" si="335"/>
        <v>745.71790579720243</v>
      </c>
      <c r="CC84" s="48">
        <f t="shared" si="335"/>
        <v>745.71790579720243</v>
      </c>
      <c r="CD84" s="48">
        <f t="shared" si="335"/>
        <v>745.71790579720243</v>
      </c>
      <c r="CE84" s="48">
        <f t="shared" si="335"/>
        <v>745.71790579720243</v>
      </c>
      <c r="CF84" s="48">
        <f t="shared" si="335"/>
        <v>745.71790579720243</v>
      </c>
      <c r="CG84" s="48">
        <f t="shared" si="335"/>
        <v>745.71790579720243</v>
      </c>
      <c r="CH84" s="48">
        <f t="shared" si="335"/>
        <v>745.71790579720243</v>
      </c>
      <c r="CI84" s="48">
        <f t="shared" si="335"/>
        <v>745.71790579720243</v>
      </c>
      <c r="CJ84" s="48">
        <f t="shared" si="335"/>
        <v>745.71790579720243</v>
      </c>
      <c r="CK84" s="48">
        <f t="shared" si="335"/>
        <v>745.71790579720243</v>
      </c>
      <c r="CL84" s="48">
        <f t="shared" si="335"/>
        <v>753.17508485517442</v>
      </c>
      <c r="CM84" s="48">
        <f t="shared" si="335"/>
        <v>753.17508485517442</v>
      </c>
      <c r="CN84" s="48">
        <f t="shared" si="335"/>
        <v>753.17508485517442</v>
      </c>
      <c r="CO84" s="48">
        <f t="shared" si="335"/>
        <v>753.17508485517442</v>
      </c>
      <c r="CP84" s="48">
        <f t="shared" si="335"/>
        <v>753.17508485517442</v>
      </c>
      <c r="CQ84" s="48">
        <f t="shared" si="335"/>
        <v>753.17508485517442</v>
      </c>
      <c r="CR84" s="48">
        <f t="shared" si="335"/>
        <v>753.17508485517442</v>
      </c>
      <c r="CS84" s="48">
        <f t="shared" si="335"/>
        <v>753.17508485517442</v>
      </c>
      <c r="CT84" s="48">
        <f t="shared" si="335"/>
        <v>753.17508485517442</v>
      </c>
      <c r="CU84" s="48">
        <f t="shared" si="335"/>
        <v>753.17508485517442</v>
      </c>
      <c r="CV84" s="48">
        <f t="shared" si="335"/>
        <v>753.17508485517442</v>
      </c>
      <c r="CW84" s="48">
        <f t="shared" si="335"/>
        <v>753.17508485517442</v>
      </c>
      <c r="CX84" s="48">
        <f t="shared" ref="CX84:EC84" si="336">(P_SegV+P_ComV)*CX$71</f>
        <v>760.70683570372614</v>
      </c>
      <c r="CY84" s="48">
        <f t="shared" si="336"/>
        <v>760.70683570372614</v>
      </c>
      <c r="CZ84" s="48">
        <f t="shared" si="336"/>
        <v>760.70683570372614</v>
      </c>
      <c r="DA84" s="48">
        <f t="shared" si="336"/>
        <v>760.70683570372614</v>
      </c>
      <c r="DB84" s="48">
        <f t="shared" si="336"/>
        <v>760.70683570372614</v>
      </c>
      <c r="DC84" s="48">
        <f t="shared" si="336"/>
        <v>760.70683570372614</v>
      </c>
      <c r="DD84" s="48">
        <f t="shared" si="336"/>
        <v>760.70683570372614</v>
      </c>
      <c r="DE84" s="48">
        <f t="shared" si="336"/>
        <v>760.70683570372614</v>
      </c>
      <c r="DF84" s="48">
        <f t="shared" si="336"/>
        <v>760.70683570372614</v>
      </c>
      <c r="DG84" s="48">
        <f t="shared" si="336"/>
        <v>760.70683570372614</v>
      </c>
      <c r="DH84" s="48">
        <f t="shared" si="336"/>
        <v>760.70683570372614</v>
      </c>
      <c r="DI84" s="48">
        <f t="shared" si="336"/>
        <v>760.70683570372614</v>
      </c>
      <c r="DJ84" s="48">
        <f t="shared" si="336"/>
        <v>768.31390406076355</v>
      </c>
      <c r="DK84" s="48">
        <f t="shared" si="336"/>
        <v>768.31390406076355</v>
      </c>
      <c r="DL84" s="48">
        <f t="shared" si="336"/>
        <v>768.31390406076355</v>
      </c>
      <c r="DM84" s="48">
        <f t="shared" si="336"/>
        <v>768.31390406076355</v>
      </c>
      <c r="DN84" s="48">
        <f t="shared" si="336"/>
        <v>768.31390406076355</v>
      </c>
      <c r="DO84" s="48">
        <f t="shared" si="336"/>
        <v>768.31390406076355</v>
      </c>
      <c r="DP84" s="48">
        <f t="shared" si="336"/>
        <v>768.31390406076355</v>
      </c>
      <c r="DQ84" s="48">
        <f t="shared" si="336"/>
        <v>768.31390406076355</v>
      </c>
      <c r="DR84" s="48">
        <f t="shared" si="336"/>
        <v>768.31390406076355</v>
      </c>
      <c r="DS84" s="48">
        <f t="shared" si="336"/>
        <v>768.31390406076355</v>
      </c>
      <c r="DT84" s="48">
        <f t="shared" si="336"/>
        <v>768.31390406076355</v>
      </c>
      <c r="DU84" s="48">
        <f t="shared" si="336"/>
        <v>768.31390406076355</v>
      </c>
      <c r="DV84" s="48">
        <f t="shared" si="336"/>
        <v>0</v>
      </c>
      <c r="DW84" s="48">
        <f t="shared" si="336"/>
        <v>0</v>
      </c>
      <c r="DX84" s="48">
        <f t="shared" si="336"/>
        <v>0</v>
      </c>
      <c r="DY84" s="48">
        <f t="shared" si="336"/>
        <v>0</v>
      </c>
      <c r="DZ84" s="48">
        <f t="shared" si="336"/>
        <v>0</v>
      </c>
      <c r="EA84" s="48">
        <f t="shared" si="336"/>
        <v>0</v>
      </c>
      <c r="EB84" s="48">
        <f t="shared" si="336"/>
        <v>0</v>
      </c>
      <c r="EC84" s="48">
        <f t="shared" si="336"/>
        <v>0</v>
      </c>
      <c r="ED84" s="48">
        <f t="shared" ref="ED84:ES84" si="337">(P_SegV+P_ComV)*ED$71</f>
        <v>0</v>
      </c>
      <c r="EE84" s="48">
        <f t="shared" si="337"/>
        <v>0</v>
      </c>
      <c r="EF84" s="48">
        <f t="shared" si="337"/>
        <v>0</v>
      </c>
      <c r="EG84" s="48">
        <f t="shared" si="337"/>
        <v>0</v>
      </c>
      <c r="EH84" s="48">
        <f t="shared" si="337"/>
        <v>0</v>
      </c>
      <c r="EI84" s="48">
        <f t="shared" si="337"/>
        <v>0</v>
      </c>
      <c r="EJ84" s="48">
        <f t="shared" si="337"/>
        <v>0</v>
      </c>
      <c r="EK84" s="48">
        <f t="shared" si="337"/>
        <v>0</v>
      </c>
      <c r="EL84" s="48">
        <f t="shared" si="337"/>
        <v>0</v>
      </c>
      <c r="EM84" s="48">
        <f t="shared" si="337"/>
        <v>0</v>
      </c>
      <c r="EN84" s="48">
        <f t="shared" si="337"/>
        <v>0</v>
      </c>
      <c r="EO84" s="48">
        <f t="shared" si="337"/>
        <v>0</v>
      </c>
      <c r="EP84" s="48">
        <f t="shared" si="337"/>
        <v>0</v>
      </c>
      <c r="EQ84" s="48">
        <f t="shared" si="337"/>
        <v>0</v>
      </c>
      <c r="ER84" s="48">
        <f t="shared" si="337"/>
        <v>0</v>
      </c>
      <c r="ES84" s="48">
        <f t="shared" si="337"/>
        <v>0</v>
      </c>
    </row>
    <row r="85" spans="1:149" x14ac:dyDescent="0.3">
      <c r="A85" s="14" t="s">
        <v>1075</v>
      </c>
      <c r="B85" s="18" t="s">
        <v>943</v>
      </c>
      <c r="C85" s="18" t="s">
        <v>439</v>
      </c>
      <c r="E85" s="54">
        <f t="shared" si="322"/>
        <v>812224.47721645399</v>
      </c>
      <c r="F85" s="48">
        <f t="shared" ref="F85:AK85" si="338">P_Trib*F$71</f>
        <v>4041.6666666666665</v>
      </c>
      <c r="G85" s="48">
        <f t="shared" si="338"/>
        <v>4041.6666666666665</v>
      </c>
      <c r="H85" s="48">
        <f t="shared" si="338"/>
        <v>4041.6666666666665</v>
      </c>
      <c r="I85" s="48">
        <f t="shared" si="338"/>
        <v>4041.6666666666665</v>
      </c>
      <c r="J85" s="48">
        <f t="shared" si="338"/>
        <v>4041.6666666666665</v>
      </c>
      <c r="K85" s="48">
        <f t="shared" si="338"/>
        <v>4041.6666666666665</v>
      </c>
      <c r="L85" s="48">
        <f t="shared" si="338"/>
        <v>4041.6666666666665</v>
      </c>
      <c r="M85" s="48">
        <f t="shared" si="338"/>
        <v>4041.6666666666665</v>
      </c>
      <c r="N85" s="48">
        <f t="shared" si="338"/>
        <v>4041.6666666666665</v>
      </c>
      <c r="O85" s="48">
        <f t="shared" si="338"/>
        <v>4041.6666666666665</v>
      </c>
      <c r="P85" s="48">
        <f t="shared" si="338"/>
        <v>4041.6666666666665</v>
      </c>
      <c r="Q85" s="48">
        <f t="shared" si="338"/>
        <v>4041.6666666666665</v>
      </c>
      <c r="R85" s="48">
        <f t="shared" si="338"/>
        <v>5151</v>
      </c>
      <c r="S85" s="48">
        <f t="shared" si="338"/>
        <v>5151</v>
      </c>
      <c r="T85" s="48">
        <f t="shared" si="338"/>
        <v>5151</v>
      </c>
      <c r="U85" s="48">
        <f t="shared" si="338"/>
        <v>5151</v>
      </c>
      <c r="V85" s="48">
        <f t="shared" si="338"/>
        <v>5151</v>
      </c>
      <c r="W85" s="48">
        <f t="shared" si="338"/>
        <v>5151</v>
      </c>
      <c r="X85" s="48">
        <f t="shared" si="338"/>
        <v>5151</v>
      </c>
      <c r="Y85" s="48">
        <f t="shared" si="338"/>
        <v>5151</v>
      </c>
      <c r="Z85" s="48">
        <f t="shared" si="338"/>
        <v>5151</v>
      </c>
      <c r="AA85" s="48">
        <f t="shared" si="338"/>
        <v>5151</v>
      </c>
      <c r="AB85" s="48">
        <f t="shared" si="338"/>
        <v>5151</v>
      </c>
      <c r="AC85" s="48">
        <f t="shared" si="338"/>
        <v>5151</v>
      </c>
      <c r="AD85" s="48">
        <f t="shared" si="338"/>
        <v>6282.1158333333324</v>
      </c>
      <c r="AE85" s="48">
        <f t="shared" si="338"/>
        <v>6282.1158333333324</v>
      </c>
      <c r="AF85" s="48">
        <f t="shared" si="338"/>
        <v>6282.1158333333324</v>
      </c>
      <c r="AG85" s="48">
        <f t="shared" si="338"/>
        <v>6282.1158333333324</v>
      </c>
      <c r="AH85" s="48">
        <f t="shared" si="338"/>
        <v>6282.1158333333324</v>
      </c>
      <c r="AI85" s="48">
        <f t="shared" si="338"/>
        <v>6282.1158333333324</v>
      </c>
      <c r="AJ85" s="48">
        <f t="shared" si="338"/>
        <v>6282.1158333333324</v>
      </c>
      <c r="AK85" s="48">
        <f t="shared" si="338"/>
        <v>6282.1158333333324</v>
      </c>
      <c r="AL85" s="48">
        <f t="shared" ref="AL85:BQ85" si="339">P_Trib*AL$71</f>
        <v>6282.1158333333324</v>
      </c>
      <c r="AM85" s="48">
        <f t="shared" si="339"/>
        <v>6282.1158333333324</v>
      </c>
      <c r="AN85" s="48">
        <f t="shared" si="339"/>
        <v>6282.1158333333324</v>
      </c>
      <c r="AO85" s="48">
        <f t="shared" si="339"/>
        <v>6282.1158333333324</v>
      </c>
      <c r="AP85" s="48">
        <f t="shared" si="339"/>
        <v>7237.864524999999</v>
      </c>
      <c r="AQ85" s="48">
        <f t="shared" si="339"/>
        <v>7237.864524999999</v>
      </c>
      <c r="AR85" s="48">
        <f t="shared" si="339"/>
        <v>7237.864524999999</v>
      </c>
      <c r="AS85" s="48">
        <f t="shared" si="339"/>
        <v>7237.864524999999</v>
      </c>
      <c r="AT85" s="48">
        <f t="shared" si="339"/>
        <v>7237.864524999999</v>
      </c>
      <c r="AU85" s="48">
        <f t="shared" si="339"/>
        <v>7237.864524999999</v>
      </c>
      <c r="AV85" s="48">
        <f t="shared" si="339"/>
        <v>7237.864524999999</v>
      </c>
      <c r="AW85" s="48">
        <f t="shared" si="339"/>
        <v>7237.864524999999</v>
      </c>
      <c r="AX85" s="48">
        <f t="shared" si="339"/>
        <v>7237.864524999999</v>
      </c>
      <c r="AY85" s="48">
        <f t="shared" si="339"/>
        <v>7237.864524999999</v>
      </c>
      <c r="AZ85" s="48">
        <f t="shared" si="339"/>
        <v>7237.864524999999</v>
      </c>
      <c r="BA85" s="48">
        <f t="shared" si="339"/>
        <v>7237.864524999999</v>
      </c>
      <c r="BB85" s="48">
        <f t="shared" si="339"/>
        <v>7310.2431702499998</v>
      </c>
      <c r="BC85" s="48">
        <f t="shared" si="339"/>
        <v>7310.2431702499998</v>
      </c>
      <c r="BD85" s="48">
        <f t="shared" si="339"/>
        <v>7310.2431702499998</v>
      </c>
      <c r="BE85" s="48">
        <f t="shared" si="339"/>
        <v>7310.2431702499998</v>
      </c>
      <c r="BF85" s="48">
        <f t="shared" si="339"/>
        <v>7310.2431702499998</v>
      </c>
      <c r="BG85" s="48">
        <f t="shared" si="339"/>
        <v>7310.2431702499998</v>
      </c>
      <c r="BH85" s="48">
        <f t="shared" si="339"/>
        <v>7310.2431702499998</v>
      </c>
      <c r="BI85" s="48">
        <f t="shared" si="339"/>
        <v>7310.2431702499998</v>
      </c>
      <c r="BJ85" s="48">
        <f t="shared" si="339"/>
        <v>7310.2431702499998</v>
      </c>
      <c r="BK85" s="48">
        <f t="shared" si="339"/>
        <v>7310.2431702499998</v>
      </c>
      <c r="BL85" s="48">
        <f t="shared" si="339"/>
        <v>7310.2431702499998</v>
      </c>
      <c r="BM85" s="48">
        <f t="shared" si="339"/>
        <v>7310.2431702499998</v>
      </c>
      <c r="BN85" s="48">
        <f t="shared" si="339"/>
        <v>7383.3456019525001</v>
      </c>
      <c r="BO85" s="48">
        <f t="shared" si="339"/>
        <v>7383.3456019525001</v>
      </c>
      <c r="BP85" s="48">
        <f t="shared" si="339"/>
        <v>7383.3456019525001</v>
      </c>
      <c r="BQ85" s="48">
        <f t="shared" si="339"/>
        <v>7383.3456019525001</v>
      </c>
      <c r="BR85" s="48">
        <f t="shared" ref="BR85:CW85" si="340">P_Trib*BR$71</f>
        <v>7383.3456019525001</v>
      </c>
      <c r="BS85" s="48">
        <f t="shared" si="340"/>
        <v>7383.3456019525001</v>
      </c>
      <c r="BT85" s="48">
        <f t="shared" si="340"/>
        <v>7383.3456019525001</v>
      </c>
      <c r="BU85" s="48">
        <f t="shared" si="340"/>
        <v>7383.3456019525001</v>
      </c>
      <c r="BV85" s="48">
        <f t="shared" si="340"/>
        <v>7383.3456019525001</v>
      </c>
      <c r="BW85" s="48">
        <f t="shared" si="340"/>
        <v>7383.3456019525001</v>
      </c>
      <c r="BX85" s="48">
        <f t="shared" si="340"/>
        <v>7383.3456019525001</v>
      </c>
      <c r="BY85" s="48">
        <f t="shared" si="340"/>
        <v>7383.3456019525001</v>
      </c>
      <c r="BZ85" s="48">
        <f t="shared" si="340"/>
        <v>7457.1790579720237</v>
      </c>
      <c r="CA85" s="48">
        <f t="shared" si="340"/>
        <v>7457.1790579720237</v>
      </c>
      <c r="CB85" s="48">
        <f t="shared" si="340"/>
        <v>7457.1790579720237</v>
      </c>
      <c r="CC85" s="48">
        <f t="shared" si="340"/>
        <v>7457.1790579720237</v>
      </c>
      <c r="CD85" s="48">
        <f t="shared" si="340"/>
        <v>7457.1790579720237</v>
      </c>
      <c r="CE85" s="48">
        <f t="shared" si="340"/>
        <v>7457.1790579720237</v>
      </c>
      <c r="CF85" s="48">
        <f t="shared" si="340"/>
        <v>7457.1790579720237</v>
      </c>
      <c r="CG85" s="48">
        <f t="shared" si="340"/>
        <v>7457.1790579720237</v>
      </c>
      <c r="CH85" s="48">
        <f t="shared" si="340"/>
        <v>7457.1790579720237</v>
      </c>
      <c r="CI85" s="48">
        <f t="shared" si="340"/>
        <v>7457.1790579720237</v>
      </c>
      <c r="CJ85" s="48">
        <f t="shared" si="340"/>
        <v>7457.1790579720237</v>
      </c>
      <c r="CK85" s="48">
        <f t="shared" si="340"/>
        <v>7457.1790579720237</v>
      </c>
      <c r="CL85" s="48">
        <f t="shared" si="340"/>
        <v>7531.7508485517446</v>
      </c>
      <c r="CM85" s="48">
        <f t="shared" si="340"/>
        <v>7531.7508485517446</v>
      </c>
      <c r="CN85" s="48">
        <f t="shared" si="340"/>
        <v>7531.7508485517446</v>
      </c>
      <c r="CO85" s="48">
        <f t="shared" si="340"/>
        <v>7531.7508485517446</v>
      </c>
      <c r="CP85" s="48">
        <f t="shared" si="340"/>
        <v>7531.7508485517446</v>
      </c>
      <c r="CQ85" s="48">
        <f t="shared" si="340"/>
        <v>7531.7508485517446</v>
      </c>
      <c r="CR85" s="48">
        <f t="shared" si="340"/>
        <v>7531.7508485517446</v>
      </c>
      <c r="CS85" s="48">
        <f t="shared" si="340"/>
        <v>7531.7508485517446</v>
      </c>
      <c r="CT85" s="48">
        <f t="shared" si="340"/>
        <v>7531.7508485517446</v>
      </c>
      <c r="CU85" s="48">
        <f t="shared" si="340"/>
        <v>7531.7508485517446</v>
      </c>
      <c r="CV85" s="48">
        <f t="shared" si="340"/>
        <v>7531.7508485517446</v>
      </c>
      <c r="CW85" s="48">
        <f t="shared" si="340"/>
        <v>7531.7508485517446</v>
      </c>
      <c r="CX85" s="48">
        <f t="shared" ref="CX85:EC85" si="341">P_Trib*CX$71</f>
        <v>7607.0683570372621</v>
      </c>
      <c r="CY85" s="48">
        <f t="shared" si="341"/>
        <v>7607.0683570372621</v>
      </c>
      <c r="CZ85" s="48">
        <f t="shared" si="341"/>
        <v>7607.0683570372621</v>
      </c>
      <c r="DA85" s="48">
        <f t="shared" si="341"/>
        <v>7607.0683570372621</v>
      </c>
      <c r="DB85" s="48">
        <f t="shared" si="341"/>
        <v>7607.0683570372621</v>
      </c>
      <c r="DC85" s="48">
        <f t="shared" si="341"/>
        <v>7607.0683570372621</v>
      </c>
      <c r="DD85" s="48">
        <f t="shared" si="341"/>
        <v>7607.0683570372621</v>
      </c>
      <c r="DE85" s="48">
        <f t="shared" si="341"/>
        <v>7607.0683570372621</v>
      </c>
      <c r="DF85" s="48">
        <f t="shared" si="341"/>
        <v>7607.0683570372621</v>
      </c>
      <c r="DG85" s="48">
        <f t="shared" si="341"/>
        <v>7607.0683570372621</v>
      </c>
      <c r="DH85" s="48">
        <f t="shared" si="341"/>
        <v>7607.0683570372621</v>
      </c>
      <c r="DI85" s="48">
        <f t="shared" si="341"/>
        <v>7607.0683570372621</v>
      </c>
      <c r="DJ85" s="48">
        <f t="shared" si="341"/>
        <v>7683.1390406076353</v>
      </c>
      <c r="DK85" s="48">
        <f t="shared" si="341"/>
        <v>7683.1390406076353</v>
      </c>
      <c r="DL85" s="48">
        <f t="shared" si="341"/>
        <v>7683.1390406076353</v>
      </c>
      <c r="DM85" s="48">
        <f t="shared" si="341"/>
        <v>7683.1390406076353</v>
      </c>
      <c r="DN85" s="48">
        <f t="shared" si="341"/>
        <v>7683.1390406076353</v>
      </c>
      <c r="DO85" s="48">
        <f t="shared" si="341"/>
        <v>7683.1390406076353</v>
      </c>
      <c r="DP85" s="48">
        <f t="shared" si="341"/>
        <v>7683.1390406076353</v>
      </c>
      <c r="DQ85" s="48">
        <f t="shared" si="341"/>
        <v>7683.1390406076353</v>
      </c>
      <c r="DR85" s="48">
        <f t="shared" si="341"/>
        <v>7683.1390406076353</v>
      </c>
      <c r="DS85" s="48">
        <f t="shared" si="341"/>
        <v>7683.1390406076353</v>
      </c>
      <c r="DT85" s="48">
        <f t="shared" si="341"/>
        <v>7683.1390406076353</v>
      </c>
      <c r="DU85" s="48">
        <f t="shared" si="341"/>
        <v>7683.1390406076353</v>
      </c>
      <c r="DV85" s="48">
        <f t="shared" si="341"/>
        <v>0</v>
      </c>
      <c r="DW85" s="48">
        <f t="shared" si="341"/>
        <v>0</v>
      </c>
      <c r="DX85" s="48">
        <f t="shared" si="341"/>
        <v>0</v>
      </c>
      <c r="DY85" s="48">
        <f t="shared" si="341"/>
        <v>0</v>
      </c>
      <c r="DZ85" s="48">
        <f t="shared" si="341"/>
        <v>0</v>
      </c>
      <c r="EA85" s="48">
        <f t="shared" si="341"/>
        <v>0</v>
      </c>
      <c r="EB85" s="48">
        <f t="shared" si="341"/>
        <v>0</v>
      </c>
      <c r="EC85" s="48">
        <f t="shared" si="341"/>
        <v>0</v>
      </c>
      <c r="ED85" s="48">
        <f t="shared" ref="ED85:ES85" si="342">P_Trib*ED$71</f>
        <v>0</v>
      </c>
      <c r="EE85" s="48">
        <f t="shared" si="342"/>
        <v>0</v>
      </c>
      <c r="EF85" s="48">
        <f t="shared" si="342"/>
        <v>0</v>
      </c>
      <c r="EG85" s="48">
        <f t="shared" si="342"/>
        <v>0</v>
      </c>
      <c r="EH85" s="48">
        <f t="shared" si="342"/>
        <v>0</v>
      </c>
      <c r="EI85" s="48">
        <f t="shared" si="342"/>
        <v>0</v>
      </c>
      <c r="EJ85" s="48">
        <f t="shared" si="342"/>
        <v>0</v>
      </c>
      <c r="EK85" s="48">
        <f t="shared" si="342"/>
        <v>0</v>
      </c>
      <c r="EL85" s="48">
        <f t="shared" si="342"/>
        <v>0</v>
      </c>
      <c r="EM85" s="48">
        <f t="shared" si="342"/>
        <v>0</v>
      </c>
      <c r="EN85" s="48">
        <f t="shared" si="342"/>
        <v>0</v>
      </c>
      <c r="EO85" s="48">
        <f t="shared" si="342"/>
        <v>0</v>
      </c>
      <c r="EP85" s="48">
        <f t="shared" si="342"/>
        <v>0</v>
      </c>
      <c r="EQ85" s="48">
        <f t="shared" si="342"/>
        <v>0</v>
      </c>
      <c r="ER85" s="48">
        <f t="shared" si="342"/>
        <v>0</v>
      </c>
      <c r="ES85" s="48">
        <f t="shared" si="342"/>
        <v>0</v>
      </c>
    </row>
    <row r="86" spans="1:149" x14ac:dyDescent="0.3">
      <c r="A86" s="14" t="s">
        <v>1076</v>
      </c>
      <c r="B86" s="18" t="s">
        <v>1077</v>
      </c>
      <c r="C86" s="18" t="s">
        <v>439</v>
      </c>
      <c r="E86" s="54">
        <f t="shared" si="322"/>
        <v>555431.73575042153</v>
      </c>
      <c r="F86" s="48">
        <f t="shared" ref="F86:AK86" si="343">SUMPRODUCT((FC_Clase="Producción")*FC_O*((FC_Mon="PYG")*F$19+(FC_Mon&lt;&gt;"PYG"))*(1+FC_g)^(F$17-1)*((FC_Desde=0)*(F$16+F$15)+(FC_Desde&gt;=1)*(F$14&gt;=FC_Desde)*F$15))</f>
        <v>4393.4782191780823</v>
      </c>
      <c r="G86" s="48">
        <f t="shared" si="343"/>
        <v>4393.4782191780823</v>
      </c>
      <c r="H86" s="48">
        <f t="shared" si="343"/>
        <v>4393.4782191780823</v>
      </c>
      <c r="I86" s="48">
        <f t="shared" si="343"/>
        <v>4393.4782191780823</v>
      </c>
      <c r="J86" s="48">
        <f t="shared" si="343"/>
        <v>4393.4782191780823</v>
      </c>
      <c r="K86" s="48">
        <f t="shared" si="343"/>
        <v>4393.4782191780823</v>
      </c>
      <c r="L86" s="48">
        <f t="shared" si="343"/>
        <v>4393.4782191780823</v>
      </c>
      <c r="M86" s="48">
        <f t="shared" si="343"/>
        <v>4393.4782191780823</v>
      </c>
      <c r="N86" s="48">
        <f t="shared" si="343"/>
        <v>4393.4782191780823</v>
      </c>
      <c r="O86" s="48">
        <f t="shared" si="343"/>
        <v>4393.4782191780823</v>
      </c>
      <c r="P86" s="48">
        <f t="shared" si="343"/>
        <v>4393.4782191780823</v>
      </c>
      <c r="Q86" s="48">
        <f t="shared" si="343"/>
        <v>4393.4782191780823</v>
      </c>
      <c r="R86" s="48">
        <f t="shared" si="343"/>
        <v>4442.9916191780821</v>
      </c>
      <c r="S86" s="48">
        <f t="shared" si="343"/>
        <v>4442.9916191780821</v>
      </c>
      <c r="T86" s="48">
        <f t="shared" si="343"/>
        <v>4442.9916191780821</v>
      </c>
      <c r="U86" s="48">
        <f t="shared" si="343"/>
        <v>4442.9916191780821</v>
      </c>
      <c r="V86" s="48">
        <f t="shared" si="343"/>
        <v>4442.9916191780821</v>
      </c>
      <c r="W86" s="48">
        <f t="shared" si="343"/>
        <v>4442.9916191780821</v>
      </c>
      <c r="X86" s="48">
        <f t="shared" si="343"/>
        <v>4442.9916191780821</v>
      </c>
      <c r="Y86" s="48">
        <f t="shared" si="343"/>
        <v>4442.9916191780821</v>
      </c>
      <c r="Z86" s="48">
        <f t="shared" si="343"/>
        <v>4442.9916191780821</v>
      </c>
      <c r="AA86" s="48">
        <f t="shared" si="343"/>
        <v>4442.9916191780821</v>
      </c>
      <c r="AB86" s="48">
        <f t="shared" si="343"/>
        <v>4442.9916191780821</v>
      </c>
      <c r="AC86" s="48">
        <f t="shared" si="343"/>
        <v>4442.9916191780821</v>
      </c>
      <c r="AD86" s="48">
        <f t="shared" si="343"/>
        <v>4493.4952871780824</v>
      </c>
      <c r="AE86" s="48">
        <f t="shared" si="343"/>
        <v>4493.4952871780824</v>
      </c>
      <c r="AF86" s="48">
        <f t="shared" si="343"/>
        <v>4493.4952871780824</v>
      </c>
      <c r="AG86" s="48">
        <f t="shared" si="343"/>
        <v>4493.4952871780824</v>
      </c>
      <c r="AH86" s="48">
        <f t="shared" si="343"/>
        <v>4493.4952871780824</v>
      </c>
      <c r="AI86" s="48">
        <f t="shared" si="343"/>
        <v>4493.4952871780824</v>
      </c>
      <c r="AJ86" s="48">
        <f t="shared" si="343"/>
        <v>4493.4952871780824</v>
      </c>
      <c r="AK86" s="48">
        <f t="shared" si="343"/>
        <v>4493.4952871780824</v>
      </c>
      <c r="AL86" s="48">
        <f t="shared" ref="AL86:BQ86" si="344">SUMPRODUCT((FC_Clase="Producción")*FC_O*((FC_Mon="PYG")*AL$19+(FC_Mon&lt;&gt;"PYG"))*(1+FC_g)^(AL$17-1)*((FC_Desde=0)*(AL$16+AL$15)+(FC_Desde&gt;=1)*(AL$14&gt;=FC_Desde)*AL$15))</f>
        <v>4493.4952871780824</v>
      </c>
      <c r="AM86" s="48">
        <f t="shared" si="344"/>
        <v>4493.4952871780824</v>
      </c>
      <c r="AN86" s="48">
        <f t="shared" si="344"/>
        <v>4493.4952871780824</v>
      </c>
      <c r="AO86" s="48">
        <f t="shared" si="344"/>
        <v>4493.4952871780824</v>
      </c>
      <c r="AP86" s="48">
        <f t="shared" si="344"/>
        <v>4545.009028538082</v>
      </c>
      <c r="AQ86" s="48">
        <f t="shared" si="344"/>
        <v>4545.009028538082</v>
      </c>
      <c r="AR86" s="48">
        <f t="shared" si="344"/>
        <v>4545.009028538082</v>
      </c>
      <c r="AS86" s="48">
        <f t="shared" si="344"/>
        <v>4545.009028538082</v>
      </c>
      <c r="AT86" s="48">
        <f t="shared" si="344"/>
        <v>4545.009028538082</v>
      </c>
      <c r="AU86" s="48">
        <f t="shared" si="344"/>
        <v>4545.009028538082</v>
      </c>
      <c r="AV86" s="48">
        <f t="shared" si="344"/>
        <v>4545.009028538082</v>
      </c>
      <c r="AW86" s="48">
        <f t="shared" si="344"/>
        <v>4545.009028538082</v>
      </c>
      <c r="AX86" s="48">
        <f t="shared" si="344"/>
        <v>4545.009028538082</v>
      </c>
      <c r="AY86" s="48">
        <f t="shared" si="344"/>
        <v>4545.009028538082</v>
      </c>
      <c r="AZ86" s="48">
        <f t="shared" si="344"/>
        <v>4545.009028538082</v>
      </c>
      <c r="BA86" s="48">
        <f t="shared" si="344"/>
        <v>4545.009028538082</v>
      </c>
      <c r="BB86" s="48">
        <f t="shared" si="344"/>
        <v>4597.5530447252822</v>
      </c>
      <c r="BC86" s="48">
        <f t="shared" si="344"/>
        <v>4597.5530447252822</v>
      </c>
      <c r="BD86" s="48">
        <f t="shared" si="344"/>
        <v>4597.5530447252822</v>
      </c>
      <c r="BE86" s="48">
        <f t="shared" si="344"/>
        <v>4597.5530447252822</v>
      </c>
      <c r="BF86" s="48">
        <f t="shared" si="344"/>
        <v>4597.5530447252822</v>
      </c>
      <c r="BG86" s="48">
        <f t="shared" si="344"/>
        <v>4597.5530447252822</v>
      </c>
      <c r="BH86" s="48">
        <f t="shared" si="344"/>
        <v>4597.5530447252822</v>
      </c>
      <c r="BI86" s="48">
        <f t="shared" si="344"/>
        <v>4597.5530447252822</v>
      </c>
      <c r="BJ86" s="48">
        <f t="shared" si="344"/>
        <v>4597.5530447252822</v>
      </c>
      <c r="BK86" s="48">
        <f t="shared" si="344"/>
        <v>4597.5530447252822</v>
      </c>
      <c r="BL86" s="48">
        <f t="shared" si="344"/>
        <v>4597.5530447252822</v>
      </c>
      <c r="BM86" s="48">
        <f t="shared" si="344"/>
        <v>4597.5530447252822</v>
      </c>
      <c r="BN86" s="48">
        <f t="shared" si="344"/>
        <v>4651.147941236226</v>
      </c>
      <c r="BO86" s="48">
        <f t="shared" si="344"/>
        <v>4651.147941236226</v>
      </c>
      <c r="BP86" s="48">
        <f t="shared" si="344"/>
        <v>4651.147941236226</v>
      </c>
      <c r="BQ86" s="48">
        <f t="shared" si="344"/>
        <v>4651.147941236226</v>
      </c>
      <c r="BR86" s="48">
        <f t="shared" ref="BR86:CW86" si="345">SUMPRODUCT((FC_Clase="Producción")*FC_O*((FC_Mon="PYG")*BR$19+(FC_Mon&lt;&gt;"PYG"))*(1+FC_g)^(BR$17-1)*((FC_Desde=0)*(BR$16+BR$15)+(FC_Desde&gt;=1)*(BR$14&gt;=FC_Desde)*BR$15))</f>
        <v>4651.147941236226</v>
      </c>
      <c r="BS86" s="48">
        <f t="shared" si="345"/>
        <v>4651.147941236226</v>
      </c>
      <c r="BT86" s="48">
        <f t="shared" si="345"/>
        <v>4651.147941236226</v>
      </c>
      <c r="BU86" s="48">
        <f t="shared" si="345"/>
        <v>4651.147941236226</v>
      </c>
      <c r="BV86" s="48">
        <f t="shared" si="345"/>
        <v>4651.147941236226</v>
      </c>
      <c r="BW86" s="48">
        <f t="shared" si="345"/>
        <v>4651.147941236226</v>
      </c>
      <c r="BX86" s="48">
        <f t="shared" si="345"/>
        <v>4651.147941236226</v>
      </c>
      <c r="BY86" s="48">
        <f t="shared" si="345"/>
        <v>4651.147941236226</v>
      </c>
      <c r="BZ86" s="48">
        <f t="shared" si="345"/>
        <v>4705.8147356773889</v>
      </c>
      <c r="CA86" s="48">
        <f t="shared" si="345"/>
        <v>4705.8147356773889</v>
      </c>
      <c r="CB86" s="48">
        <f t="shared" si="345"/>
        <v>4705.8147356773889</v>
      </c>
      <c r="CC86" s="48">
        <f t="shared" si="345"/>
        <v>4705.8147356773889</v>
      </c>
      <c r="CD86" s="48">
        <f t="shared" si="345"/>
        <v>4705.8147356773889</v>
      </c>
      <c r="CE86" s="48">
        <f t="shared" si="345"/>
        <v>4705.8147356773889</v>
      </c>
      <c r="CF86" s="48">
        <f t="shared" si="345"/>
        <v>4705.8147356773889</v>
      </c>
      <c r="CG86" s="48">
        <f t="shared" si="345"/>
        <v>4705.8147356773889</v>
      </c>
      <c r="CH86" s="48">
        <f t="shared" si="345"/>
        <v>4705.8147356773889</v>
      </c>
      <c r="CI86" s="48">
        <f t="shared" si="345"/>
        <v>4705.8147356773889</v>
      </c>
      <c r="CJ86" s="48">
        <f t="shared" si="345"/>
        <v>4705.8147356773889</v>
      </c>
      <c r="CK86" s="48">
        <f t="shared" si="345"/>
        <v>4705.8147356773889</v>
      </c>
      <c r="CL86" s="48">
        <f t="shared" si="345"/>
        <v>4761.574866007375</v>
      </c>
      <c r="CM86" s="48">
        <f t="shared" si="345"/>
        <v>4761.574866007375</v>
      </c>
      <c r="CN86" s="48">
        <f t="shared" si="345"/>
        <v>4761.574866007375</v>
      </c>
      <c r="CO86" s="48">
        <f t="shared" si="345"/>
        <v>4761.574866007375</v>
      </c>
      <c r="CP86" s="48">
        <f t="shared" si="345"/>
        <v>4761.574866007375</v>
      </c>
      <c r="CQ86" s="48">
        <f t="shared" si="345"/>
        <v>4761.574866007375</v>
      </c>
      <c r="CR86" s="48">
        <f t="shared" si="345"/>
        <v>4761.574866007375</v>
      </c>
      <c r="CS86" s="48">
        <f t="shared" si="345"/>
        <v>4761.574866007375</v>
      </c>
      <c r="CT86" s="48">
        <f t="shared" si="345"/>
        <v>4761.574866007375</v>
      </c>
      <c r="CU86" s="48">
        <f t="shared" si="345"/>
        <v>4761.574866007375</v>
      </c>
      <c r="CV86" s="48">
        <f t="shared" si="345"/>
        <v>4761.574866007375</v>
      </c>
      <c r="CW86" s="48">
        <f t="shared" si="345"/>
        <v>4761.574866007375</v>
      </c>
      <c r="CX86" s="48">
        <f t="shared" ref="CX86:EC86" si="346">SUMPRODUCT((FC_Clase="Producción")*FC_O*((FC_Mon="PYG")*CX$19+(FC_Mon&lt;&gt;"PYG"))*(1+FC_g)^(CX$17-1)*((FC_Desde=0)*(CX$16+CX$15)+(FC_Desde&gt;=1)*(CX$14&gt;=FC_Desde)*CX$15))</f>
        <v>4818.4501989439605</v>
      </c>
      <c r="CY86" s="48">
        <f t="shared" si="346"/>
        <v>4818.4501989439605</v>
      </c>
      <c r="CZ86" s="48">
        <f t="shared" si="346"/>
        <v>4818.4501989439605</v>
      </c>
      <c r="DA86" s="48">
        <f t="shared" si="346"/>
        <v>4818.4501989439605</v>
      </c>
      <c r="DB86" s="48">
        <f t="shared" si="346"/>
        <v>4818.4501989439605</v>
      </c>
      <c r="DC86" s="48">
        <f t="shared" si="346"/>
        <v>4818.4501989439605</v>
      </c>
      <c r="DD86" s="48">
        <f t="shared" si="346"/>
        <v>4818.4501989439605</v>
      </c>
      <c r="DE86" s="48">
        <f t="shared" si="346"/>
        <v>4818.4501989439605</v>
      </c>
      <c r="DF86" s="48">
        <f t="shared" si="346"/>
        <v>4818.4501989439605</v>
      </c>
      <c r="DG86" s="48">
        <f t="shared" si="346"/>
        <v>4818.4501989439605</v>
      </c>
      <c r="DH86" s="48">
        <f t="shared" si="346"/>
        <v>4818.4501989439605</v>
      </c>
      <c r="DI86" s="48">
        <f t="shared" si="346"/>
        <v>4818.4501989439605</v>
      </c>
      <c r="DJ86" s="48">
        <f t="shared" si="346"/>
        <v>4876.4630385392784</v>
      </c>
      <c r="DK86" s="48">
        <f t="shared" si="346"/>
        <v>4876.4630385392784</v>
      </c>
      <c r="DL86" s="48">
        <f t="shared" si="346"/>
        <v>4876.4630385392784</v>
      </c>
      <c r="DM86" s="48">
        <f t="shared" si="346"/>
        <v>4876.4630385392784</v>
      </c>
      <c r="DN86" s="48">
        <f t="shared" si="346"/>
        <v>4876.4630385392784</v>
      </c>
      <c r="DO86" s="48">
        <f t="shared" si="346"/>
        <v>4876.4630385392784</v>
      </c>
      <c r="DP86" s="48">
        <f t="shared" si="346"/>
        <v>4876.4630385392784</v>
      </c>
      <c r="DQ86" s="48">
        <f t="shared" si="346"/>
        <v>4876.4630385392784</v>
      </c>
      <c r="DR86" s="48">
        <f t="shared" si="346"/>
        <v>4876.4630385392784</v>
      </c>
      <c r="DS86" s="48">
        <f t="shared" si="346"/>
        <v>4876.4630385392784</v>
      </c>
      <c r="DT86" s="48">
        <f t="shared" si="346"/>
        <v>4876.4630385392784</v>
      </c>
      <c r="DU86" s="48">
        <f t="shared" si="346"/>
        <v>4876.4630385392784</v>
      </c>
      <c r="DV86" s="48">
        <f t="shared" si="346"/>
        <v>0</v>
      </c>
      <c r="DW86" s="48">
        <f t="shared" si="346"/>
        <v>0</v>
      </c>
      <c r="DX86" s="48">
        <f t="shared" si="346"/>
        <v>0</v>
      </c>
      <c r="DY86" s="48">
        <f t="shared" si="346"/>
        <v>0</v>
      </c>
      <c r="DZ86" s="48">
        <f t="shared" si="346"/>
        <v>0</v>
      </c>
      <c r="EA86" s="48">
        <f t="shared" si="346"/>
        <v>0</v>
      </c>
      <c r="EB86" s="48">
        <f t="shared" si="346"/>
        <v>0</v>
      </c>
      <c r="EC86" s="48">
        <f t="shared" si="346"/>
        <v>0</v>
      </c>
      <c r="ED86" s="48">
        <f t="shared" ref="ED86:ES86" si="347">SUMPRODUCT((FC_Clase="Producción")*FC_O*((FC_Mon="PYG")*ED$19+(FC_Mon&lt;&gt;"PYG"))*(1+FC_g)^(ED$17-1)*((FC_Desde=0)*(ED$16+ED$15)+(FC_Desde&gt;=1)*(ED$14&gt;=FC_Desde)*ED$15))</f>
        <v>0</v>
      </c>
      <c r="EE86" s="48">
        <f t="shared" si="347"/>
        <v>0</v>
      </c>
      <c r="EF86" s="48">
        <f t="shared" si="347"/>
        <v>0</v>
      </c>
      <c r="EG86" s="48">
        <f t="shared" si="347"/>
        <v>0</v>
      </c>
      <c r="EH86" s="48">
        <f t="shared" si="347"/>
        <v>0</v>
      </c>
      <c r="EI86" s="48">
        <f t="shared" si="347"/>
        <v>0</v>
      </c>
      <c r="EJ86" s="48">
        <f t="shared" si="347"/>
        <v>0</v>
      </c>
      <c r="EK86" s="48">
        <f t="shared" si="347"/>
        <v>0</v>
      </c>
      <c r="EL86" s="48">
        <f t="shared" si="347"/>
        <v>0</v>
      </c>
      <c r="EM86" s="48">
        <f t="shared" si="347"/>
        <v>0</v>
      </c>
      <c r="EN86" s="48">
        <f t="shared" si="347"/>
        <v>0</v>
      </c>
      <c r="EO86" s="48">
        <f t="shared" si="347"/>
        <v>0</v>
      </c>
      <c r="EP86" s="48">
        <f t="shared" si="347"/>
        <v>0</v>
      </c>
      <c r="EQ86" s="48">
        <f t="shared" si="347"/>
        <v>0</v>
      </c>
      <c r="ER86" s="48">
        <f t="shared" si="347"/>
        <v>0</v>
      </c>
      <c r="ES86" s="48">
        <f t="shared" si="347"/>
        <v>0</v>
      </c>
    </row>
    <row r="87" spans="1:149" x14ac:dyDescent="0.3">
      <c r="A87" s="14" t="s">
        <v>1078</v>
      </c>
      <c r="B87" s="18" t="s">
        <v>1079</v>
      </c>
      <c r="C87" s="18" t="s">
        <v>439</v>
      </c>
      <c r="E87" s="54">
        <f t="shared" si="322"/>
        <v>3059546.0137546142</v>
      </c>
      <c r="F87" s="48">
        <f t="shared" ref="F87:AK87" si="348">SUMPRODUCT((FC_Clase="Administración")*FC_O*((FC_Mon="PYG")*F$19+(FC_Mon&lt;&gt;"PYG"))*(1+FC_g)^(F$17-1)*((FC_Desde=0)*(F$16+F$15)+(FC_Desde&gt;=1)*(F$14&gt;=FC_Desde)*F$15))</f>
        <v>22893.585753424657</v>
      </c>
      <c r="G87" s="48">
        <f t="shared" si="348"/>
        <v>22893.585753424657</v>
      </c>
      <c r="H87" s="48">
        <f t="shared" si="348"/>
        <v>22893.585753424657</v>
      </c>
      <c r="I87" s="48">
        <f t="shared" si="348"/>
        <v>22893.585753424657</v>
      </c>
      <c r="J87" s="48">
        <f t="shared" si="348"/>
        <v>22893.585753424657</v>
      </c>
      <c r="K87" s="48">
        <f t="shared" si="348"/>
        <v>22893.585753424657</v>
      </c>
      <c r="L87" s="48">
        <f t="shared" si="348"/>
        <v>22893.585753424657</v>
      </c>
      <c r="M87" s="48">
        <f t="shared" si="348"/>
        <v>22893.585753424657</v>
      </c>
      <c r="N87" s="48">
        <f t="shared" si="348"/>
        <v>22893.585753424657</v>
      </c>
      <c r="O87" s="48">
        <f t="shared" si="348"/>
        <v>22893.585753424657</v>
      </c>
      <c r="P87" s="48">
        <f t="shared" si="348"/>
        <v>22893.585753424657</v>
      </c>
      <c r="Q87" s="48">
        <f t="shared" si="348"/>
        <v>22893.585753424657</v>
      </c>
      <c r="R87" s="48">
        <f t="shared" si="348"/>
        <v>23426.95575342466</v>
      </c>
      <c r="S87" s="48">
        <f t="shared" si="348"/>
        <v>23426.95575342466</v>
      </c>
      <c r="T87" s="48">
        <f t="shared" si="348"/>
        <v>23426.95575342466</v>
      </c>
      <c r="U87" s="48">
        <f t="shared" si="348"/>
        <v>23426.95575342466</v>
      </c>
      <c r="V87" s="48">
        <f t="shared" si="348"/>
        <v>23426.95575342466</v>
      </c>
      <c r="W87" s="48">
        <f t="shared" si="348"/>
        <v>23426.95575342466</v>
      </c>
      <c r="X87" s="48">
        <f t="shared" si="348"/>
        <v>23426.95575342466</v>
      </c>
      <c r="Y87" s="48">
        <f t="shared" si="348"/>
        <v>23426.95575342466</v>
      </c>
      <c r="Z87" s="48">
        <f t="shared" si="348"/>
        <v>23426.95575342466</v>
      </c>
      <c r="AA87" s="48">
        <f t="shared" si="348"/>
        <v>23426.95575342466</v>
      </c>
      <c r="AB87" s="48">
        <f t="shared" si="348"/>
        <v>23426.95575342466</v>
      </c>
      <c r="AC87" s="48">
        <f t="shared" si="348"/>
        <v>23426.95575342466</v>
      </c>
      <c r="AD87" s="48">
        <f t="shared" si="348"/>
        <v>23976.326853424656</v>
      </c>
      <c r="AE87" s="48">
        <f t="shared" si="348"/>
        <v>23976.326853424656</v>
      </c>
      <c r="AF87" s="48">
        <f t="shared" si="348"/>
        <v>23976.326853424656</v>
      </c>
      <c r="AG87" s="48">
        <f t="shared" si="348"/>
        <v>23976.326853424656</v>
      </c>
      <c r="AH87" s="48">
        <f t="shared" si="348"/>
        <v>23976.326853424656</v>
      </c>
      <c r="AI87" s="48">
        <f t="shared" si="348"/>
        <v>23976.326853424656</v>
      </c>
      <c r="AJ87" s="48">
        <f t="shared" si="348"/>
        <v>23976.326853424656</v>
      </c>
      <c r="AK87" s="48">
        <f t="shared" si="348"/>
        <v>23976.326853424656</v>
      </c>
      <c r="AL87" s="48">
        <f t="shared" ref="AL87:BQ87" si="349">SUMPRODUCT((FC_Clase="Administración")*FC_O*((FC_Mon="PYG")*AL$19+(FC_Mon&lt;&gt;"PYG"))*(1+FC_g)^(AL$17-1)*((FC_Desde=0)*(AL$16+AL$15)+(FC_Desde&gt;=1)*(AL$14&gt;=FC_Desde)*AL$15))</f>
        <v>23976.326853424656</v>
      </c>
      <c r="AM87" s="48">
        <f t="shared" si="349"/>
        <v>23976.326853424656</v>
      </c>
      <c r="AN87" s="48">
        <f t="shared" si="349"/>
        <v>23976.326853424656</v>
      </c>
      <c r="AO87" s="48">
        <f t="shared" si="349"/>
        <v>23976.326853424656</v>
      </c>
      <c r="AP87" s="48">
        <f t="shared" si="349"/>
        <v>24542.179086424661</v>
      </c>
      <c r="AQ87" s="48">
        <f t="shared" si="349"/>
        <v>24542.179086424661</v>
      </c>
      <c r="AR87" s="48">
        <f t="shared" si="349"/>
        <v>24542.179086424661</v>
      </c>
      <c r="AS87" s="48">
        <f t="shared" si="349"/>
        <v>24542.179086424661</v>
      </c>
      <c r="AT87" s="48">
        <f t="shared" si="349"/>
        <v>24542.179086424661</v>
      </c>
      <c r="AU87" s="48">
        <f t="shared" si="349"/>
        <v>24542.179086424661</v>
      </c>
      <c r="AV87" s="48">
        <f t="shared" si="349"/>
        <v>24542.179086424661</v>
      </c>
      <c r="AW87" s="48">
        <f t="shared" si="349"/>
        <v>24542.179086424661</v>
      </c>
      <c r="AX87" s="48">
        <f t="shared" si="349"/>
        <v>24542.179086424661</v>
      </c>
      <c r="AY87" s="48">
        <f t="shared" si="349"/>
        <v>24542.179086424661</v>
      </c>
      <c r="AZ87" s="48">
        <f t="shared" si="349"/>
        <v>24542.179086424661</v>
      </c>
      <c r="BA87" s="48">
        <f t="shared" si="349"/>
        <v>24542.179086424661</v>
      </c>
      <c r="BB87" s="48">
        <f t="shared" si="349"/>
        <v>25125.006886414656</v>
      </c>
      <c r="BC87" s="48">
        <f t="shared" si="349"/>
        <v>25125.006886414656</v>
      </c>
      <c r="BD87" s="48">
        <f t="shared" si="349"/>
        <v>25125.006886414656</v>
      </c>
      <c r="BE87" s="48">
        <f t="shared" si="349"/>
        <v>25125.006886414656</v>
      </c>
      <c r="BF87" s="48">
        <f t="shared" si="349"/>
        <v>25125.006886414656</v>
      </c>
      <c r="BG87" s="48">
        <f t="shared" si="349"/>
        <v>25125.006886414656</v>
      </c>
      <c r="BH87" s="48">
        <f t="shared" si="349"/>
        <v>25125.006886414656</v>
      </c>
      <c r="BI87" s="48">
        <f t="shared" si="349"/>
        <v>25125.006886414656</v>
      </c>
      <c r="BJ87" s="48">
        <f t="shared" si="349"/>
        <v>25125.006886414656</v>
      </c>
      <c r="BK87" s="48">
        <f t="shared" si="349"/>
        <v>25125.006886414656</v>
      </c>
      <c r="BL87" s="48">
        <f t="shared" si="349"/>
        <v>25125.006886414656</v>
      </c>
      <c r="BM87" s="48">
        <f t="shared" si="349"/>
        <v>25125.006886414656</v>
      </c>
      <c r="BN87" s="48">
        <f t="shared" si="349"/>
        <v>25725.319520404355</v>
      </c>
      <c r="BO87" s="48">
        <f t="shared" si="349"/>
        <v>25725.319520404355</v>
      </c>
      <c r="BP87" s="48">
        <f t="shared" si="349"/>
        <v>25725.319520404355</v>
      </c>
      <c r="BQ87" s="48">
        <f t="shared" si="349"/>
        <v>25725.319520404355</v>
      </c>
      <c r="BR87" s="48">
        <f t="shared" ref="BR87:CW87" si="350">SUMPRODUCT((FC_Clase="Administración")*FC_O*((FC_Mon="PYG")*BR$19+(FC_Mon&lt;&gt;"PYG"))*(1+FC_g)^(BR$17-1)*((FC_Desde=0)*(BR$16+BR$15)+(FC_Desde&gt;=1)*(BR$14&gt;=FC_Desde)*BR$15))</f>
        <v>25725.319520404355</v>
      </c>
      <c r="BS87" s="48">
        <f t="shared" si="350"/>
        <v>25725.319520404355</v>
      </c>
      <c r="BT87" s="48">
        <f t="shared" si="350"/>
        <v>25725.319520404355</v>
      </c>
      <c r="BU87" s="48">
        <f t="shared" si="350"/>
        <v>25725.319520404355</v>
      </c>
      <c r="BV87" s="48">
        <f t="shared" si="350"/>
        <v>25725.319520404355</v>
      </c>
      <c r="BW87" s="48">
        <f t="shared" si="350"/>
        <v>25725.319520404355</v>
      </c>
      <c r="BX87" s="48">
        <f t="shared" si="350"/>
        <v>25725.319520404355</v>
      </c>
      <c r="BY87" s="48">
        <f t="shared" si="350"/>
        <v>25725.319520404355</v>
      </c>
      <c r="BZ87" s="48">
        <f t="shared" si="350"/>
        <v>26343.641533413745</v>
      </c>
      <c r="CA87" s="48">
        <f t="shared" si="350"/>
        <v>26343.641533413745</v>
      </c>
      <c r="CB87" s="48">
        <f t="shared" si="350"/>
        <v>26343.641533413745</v>
      </c>
      <c r="CC87" s="48">
        <f t="shared" si="350"/>
        <v>26343.641533413745</v>
      </c>
      <c r="CD87" s="48">
        <f t="shared" si="350"/>
        <v>26343.641533413745</v>
      </c>
      <c r="CE87" s="48">
        <f t="shared" si="350"/>
        <v>26343.641533413745</v>
      </c>
      <c r="CF87" s="48">
        <f t="shared" si="350"/>
        <v>26343.641533413745</v>
      </c>
      <c r="CG87" s="48">
        <f t="shared" si="350"/>
        <v>26343.641533413745</v>
      </c>
      <c r="CH87" s="48">
        <f t="shared" si="350"/>
        <v>26343.641533413745</v>
      </c>
      <c r="CI87" s="48">
        <f t="shared" si="350"/>
        <v>26343.641533413745</v>
      </c>
      <c r="CJ87" s="48">
        <f t="shared" si="350"/>
        <v>26343.641533413745</v>
      </c>
      <c r="CK87" s="48">
        <f t="shared" si="350"/>
        <v>26343.641533413745</v>
      </c>
      <c r="CL87" s="48">
        <f t="shared" si="350"/>
        <v>26980.513206813423</v>
      </c>
      <c r="CM87" s="48">
        <f t="shared" si="350"/>
        <v>26980.513206813423</v>
      </c>
      <c r="CN87" s="48">
        <f t="shared" si="350"/>
        <v>26980.513206813423</v>
      </c>
      <c r="CO87" s="48">
        <f t="shared" si="350"/>
        <v>26980.513206813423</v>
      </c>
      <c r="CP87" s="48">
        <f t="shared" si="350"/>
        <v>26980.513206813423</v>
      </c>
      <c r="CQ87" s="48">
        <f t="shared" si="350"/>
        <v>26980.513206813423</v>
      </c>
      <c r="CR87" s="48">
        <f t="shared" si="350"/>
        <v>26980.513206813423</v>
      </c>
      <c r="CS87" s="48">
        <f t="shared" si="350"/>
        <v>26980.513206813423</v>
      </c>
      <c r="CT87" s="48">
        <f t="shared" si="350"/>
        <v>26980.513206813423</v>
      </c>
      <c r="CU87" s="48">
        <f t="shared" si="350"/>
        <v>26980.513206813423</v>
      </c>
      <c r="CV87" s="48">
        <f t="shared" si="350"/>
        <v>26980.513206813423</v>
      </c>
      <c r="CW87" s="48">
        <f t="shared" si="350"/>
        <v>26980.513206813423</v>
      </c>
      <c r="CX87" s="48">
        <f t="shared" ref="CX87:EC87" si="351">SUMPRODUCT((FC_Clase="Administración")*FC_O*((FC_Mon="PYG")*CX$19+(FC_Mon&lt;&gt;"PYG"))*(1+FC_g)^(CX$17-1)*((FC_Desde=0)*(CX$16+CX$15)+(FC_Desde&gt;=1)*(CX$14&gt;=FC_Desde)*CX$15))</f>
        <v>27636.49103041508</v>
      </c>
      <c r="CY87" s="48">
        <f t="shared" si="351"/>
        <v>27636.49103041508</v>
      </c>
      <c r="CZ87" s="48">
        <f t="shared" si="351"/>
        <v>27636.49103041508</v>
      </c>
      <c r="DA87" s="48">
        <f t="shared" si="351"/>
        <v>27636.49103041508</v>
      </c>
      <c r="DB87" s="48">
        <f t="shared" si="351"/>
        <v>27636.49103041508</v>
      </c>
      <c r="DC87" s="48">
        <f t="shared" si="351"/>
        <v>27636.49103041508</v>
      </c>
      <c r="DD87" s="48">
        <f t="shared" si="351"/>
        <v>27636.49103041508</v>
      </c>
      <c r="DE87" s="48">
        <f t="shared" si="351"/>
        <v>27636.49103041508</v>
      </c>
      <c r="DF87" s="48">
        <f t="shared" si="351"/>
        <v>27636.49103041508</v>
      </c>
      <c r="DG87" s="48">
        <f t="shared" si="351"/>
        <v>27636.49103041508</v>
      </c>
      <c r="DH87" s="48">
        <f t="shared" si="351"/>
        <v>27636.49103041508</v>
      </c>
      <c r="DI87" s="48">
        <f t="shared" si="351"/>
        <v>27636.49103041508</v>
      </c>
      <c r="DJ87" s="48">
        <f t="shared" si="351"/>
        <v>28312.148188724797</v>
      </c>
      <c r="DK87" s="48">
        <f t="shared" si="351"/>
        <v>28312.148188724797</v>
      </c>
      <c r="DL87" s="48">
        <f t="shared" si="351"/>
        <v>28312.148188724797</v>
      </c>
      <c r="DM87" s="48">
        <f t="shared" si="351"/>
        <v>28312.148188724797</v>
      </c>
      <c r="DN87" s="48">
        <f t="shared" si="351"/>
        <v>28312.148188724797</v>
      </c>
      <c r="DO87" s="48">
        <f t="shared" si="351"/>
        <v>28312.148188724797</v>
      </c>
      <c r="DP87" s="48">
        <f t="shared" si="351"/>
        <v>28312.148188724797</v>
      </c>
      <c r="DQ87" s="48">
        <f t="shared" si="351"/>
        <v>28312.148188724797</v>
      </c>
      <c r="DR87" s="48">
        <f t="shared" si="351"/>
        <v>28312.148188724797</v>
      </c>
      <c r="DS87" s="48">
        <f t="shared" si="351"/>
        <v>28312.148188724797</v>
      </c>
      <c r="DT87" s="48">
        <f t="shared" si="351"/>
        <v>28312.148188724797</v>
      </c>
      <c r="DU87" s="48">
        <f t="shared" si="351"/>
        <v>28312.148188724797</v>
      </c>
      <c r="DV87" s="48">
        <f t="shared" si="351"/>
        <v>0</v>
      </c>
      <c r="DW87" s="48">
        <f t="shared" si="351"/>
        <v>0</v>
      </c>
      <c r="DX87" s="48">
        <f t="shared" si="351"/>
        <v>0</v>
      </c>
      <c r="DY87" s="48">
        <f t="shared" si="351"/>
        <v>0</v>
      </c>
      <c r="DZ87" s="48">
        <f t="shared" si="351"/>
        <v>0</v>
      </c>
      <c r="EA87" s="48">
        <f t="shared" si="351"/>
        <v>0</v>
      </c>
      <c r="EB87" s="48">
        <f t="shared" si="351"/>
        <v>0</v>
      </c>
      <c r="EC87" s="48">
        <f t="shared" si="351"/>
        <v>0</v>
      </c>
      <c r="ED87" s="48">
        <f t="shared" ref="ED87:ES87" si="352">SUMPRODUCT((FC_Clase="Administración")*FC_O*((FC_Mon="PYG")*ED$19+(FC_Mon&lt;&gt;"PYG"))*(1+FC_g)^(ED$17-1)*((FC_Desde=0)*(ED$16+ED$15)+(FC_Desde&gt;=1)*(ED$14&gt;=FC_Desde)*ED$15))</f>
        <v>0</v>
      </c>
      <c r="EE87" s="48">
        <f t="shared" si="352"/>
        <v>0</v>
      </c>
      <c r="EF87" s="48">
        <f t="shared" si="352"/>
        <v>0</v>
      </c>
      <c r="EG87" s="48">
        <f t="shared" si="352"/>
        <v>0</v>
      </c>
      <c r="EH87" s="48">
        <f t="shared" si="352"/>
        <v>0</v>
      </c>
      <c r="EI87" s="48">
        <f t="shared" si="352"/>
        <v>0</v>
      </c>
      <c r="EJ87" s="48">
        <f t="shared" si="352"/>
        <v>0</v>
      </c>
      <c r="EK87" s="48">
        <f t="shared" si="352"/>
        <v>0</v>
      </c>
      <c r="EL87" s="48">
        <f t="shared" si="352"/>
        <v>0</v>
      </c>
      <c r="EM87" s="48">
        <f t="shared" si="352"/>
        <v>0</v>
      </c>
      <c r="EN87" s="48">
        <f t="shared" si="352"/>
        <v>0</v>
      </c>
      <c r="EO87" s="48">
        <f t="shared" si="352"/>
        <v>0</v>
      </c>
      <c r="EP87" s="48">
        <f t="shared" si="352"/>
        <v>0</v>
      </c>
      <c r="EQ87" s="48">
        <f t="shared" si="352"/>
        <v>0</v>
      </c>
      <c r="ER87" s="48">
        <f t="shared" si="352"/>
        <v>0</v>
      </c>
      <c r="ES87" s="48">
        <f t="shared" si="352"/>
        <v>0</v>
      </c>
    </row>
    <row r="88" spans="1:149" x14ac:dyDescent="0.3">
      <c r="A88" s="14" t="s">
        <v>1080</v>
      </c>
      <c r="B88" s="18" t="s">
        <v>1081</v>
      </c>
      <c r="C88" s="18" t="s">
        <v>439</v>
      </c>
      <c r="E88" s="54">
        <f t="shared" si="322"/>
        <v>613750.29041095986</v>
      </c>
      <c r="F88" s="48">
        <f t="shared" ref="F88:AK88" si="353">SUMPRODUCT((FC_Clase="Administración")*FC_Base*FC_O*((FC_Mon="PYG")*F$19+(FC_Mon&lt;&gt;"PYG"))*(1+FC_g)^(F$17-1)*((FC_Desde=0)*(F$16+F$15)+(FC_Desde&gt;=1)*(F$14&gt;=FC_Desde)*F$15))</f>
        <v>5114.585753424657</v>
      </c>
      <c r="G88" s="48">
        <f t="shared" si="353"/>
        <v>5114.585753424657</v>
      </c>
      <c r="H88" s="48">
        <f t="shared" si="353"/>
        <v>5114.585753424657</v>
      </c>
      <c r="I88" s="48">
        <f t="shared" si="353"/>
        <v>5114.585753424657</v>
      </c>
      <c r="J88" s="48">
        <f t="shared" si="353"/>
        <v>5114.585753424657</v>
      </c>
      <c r="K88" s="48">
        <f t="shared" si="353"/>
        <v>5114.585753424657</v>
      </c>
      <c r="L88" s="48">
        <f t="shared" si="353"/>
        <v>5114.585753424657</v>
      </c>
      <c r="M88" s="48">
        <f t="shared" si="353"/>
        <v>5114.585753424657</v>
      </c>
      <c r="N88" s="48">
        <f t="shared" si="353"/>
        <v>5114.585753424657</v>
      </c>
      <c r="O88" s="48">
        <f t="shared" si="353"/>
        <v>5114.585753424657</v>
      </c>
      <c r="P88" s="48">
        <f t="shared" si="353"/>
        <v>5114.585753424657</v>
      </c>
      <c r="Q88" s="48">
        <f t="shared" si="353"/>
        <v>5114.585753424657</v>
      </c>
      <c r="R88" s="48">
        <f t="shared" si="353"/>
        <v>5114.585753424657</v>
      </c>
      <c r="S88" s="48">
        <f t="shared" si="353"/>
        <v>5114.585753424657</v>
      </c>
      <c r="T88" s="48">
        <f t="shared" si="353"/>
        <v>5114.585753424657</v>
      </c>
      <c r="U88" s="48">
        <f t="shared" si="353"/>
        <v>5114.585753424657</v>
      </c>
      <c r="V88" s="48">
        <f t="shared" si="353"/>
        <v>5114.585753424657</v>
      </c>
      <c r="W88" s="48">
        <f t="shared" si="353"/>
        <v>5114.585753424657</v>
      </c>
      <c r="X88" s="48">
        <f t="shared" si="353"/>
        <v>5114.585753424657</v>
      </c>
      <c r="Y88" s="48">
        <f t="shared" si="353"/>
        <v>5114.585753424657</v>
      </c>
      <c r="Z88" s="48">
        <f t="shared" si="353"/>
        <v>5114.585753424657</v>
      </c>
      <c r="AA88" s="48">
        <f t="shared" si="353"/>
        <v>5114.585753424657</v>
      </c>
      <c r="AB88" s="48">
        <f t="shared" si="353"/>
        <v>5114.585753424657</v>
      </c>
      <c r="AC88" s="48">
        <f t="shared" si="353"/>
        <v>5114.585753424657</v>
      </c>
      <c r="AD88" s="48">
        <f t="shared" si="353"/>
        <v>5114.585753424657</v>
      </c>
      <c r="AE88" s="48">
        <f t="shared" si="353"/>
        <v>5114.585753424657</v>
      </c>
      <c r="AF88" s="48">
        <f t="shared" si="353"/>
        <v>5114.585753424657</v>
      </c>
      <c r="AG88" s="48">
        <f t="shared" si="353"/>
        <v>5114.585753424657</v>
      </c>
      <c r="AH88" s="48">
        <f t="shared" si="353"/>
        <v>5114.585753424657</v>
      </c>
      <c r="AI88" s="48">
        <f t="shared" si="353"/>
        <v>5114.585753424657</v>
      </c>
      <c r="AJ88" s="48">
        <f t="shared" si="353"/>
        <v>5114.585753424657</v>
      </c>
      <c r="AK88" s="48">
        <f t="shared" si="353"/>
        <v>5114.585753424657</v>
      </c>
      <c r="AL88" s="48">
        <f t="shared" ref="AL88:BQ88" si="354">SUMPRODUCT((FC_Clase="Administración")*FC_Base*FC_O*((FC_Mon="PYG")*AL$19+(FC_Mon&lt;&gt;"PYG"))*(1+FC_g)^(AL$17-1)*((FC_Desde=0)*(AL$16+AL$15)+(FC_Desde&gt;=1)*(AL$14&gt;=FC_Desde)*AL$15))</f>
        <v>5114.585753424657</v>
      </c>
      <c r="AM88" s="48">
        <f t="shared" si="354"/>
        <v>5114.585753424657</v>
      </c>
      <c r="AN88" s="48">
        <f t="shared" si="354"/>
        <v>5114.585753424657</v>
      </c>
      <c r="AO88" s="48">
        <f t="shared" si="354"/>
        <v>5114.585753424657</v>
      </c>
      <c r="AP88" s="48">
        <f t="shared" si="354"/>
        <v>5114.585753424657</v>
      </c>
      <c r="AQ88" s="48">
        <f t="shared" si="354"/>
        <v>5114.585753424657</v>
      </c>
      <c r="AR88" s="48">
        <f t="shared" si="354"/>
        <v>5114.585753424657</v>
      </c>
      <c r="AS88" s="48">
        <f t="shared" si="354"/>
        <v>5114.585753424657</v>
      </c>
      <c r="AT88" s="48">
        <f t="shared" si="354"/>
        <v>5114.585753424657</v>
      </c>
      <c r="AU88" s="48">
        <f t="shared" si="354"/>
        <v>5114.585753424657</v>
      </c>
      <c r="AV88" s="48">
        <f t="shared" si="354"/>
        <v>5114.585753424657</v>
      </c>
      <c r="AW88" s="48">
        <f t="shared" si="354"/>
        <v>5114.585753424657</v>
      </c>
      <c r="AX88" s="48">
        <f t="shared" si="354"/>
        <v>5114.585753424657</v>
      </c>
      <c r="AY88" s="48">
        <f t="shared" si="354"/>
        <v>5114.585753424657</v>
      </c>
      <c r="AZ88" s="48">
        <f t="shared" si="354"/>
        <v>5114.585753424657</v>
      </c>
      <c r="BA88" s="48">
        <f t="shared" si="354"/>
        <v>5114.585753424657</v>
      </c>
      <c r="BB88" s="48">
        <f t="shared" si="354"/>
        <v>5114.585753424657</v>
      </c>
      <c r="BC88" s="48">
        <f t="shared" si="354"/>
        <v>5114.585753424657</v>
      </c>
      <c r="BD88" s="48">
        <f t="shared" si="354"/>
        <v>5114.585753424657</v>
      </c>
      <c r="BE88" s="48">
        <f t="shared" si="354"/>
        <v>5114.585753424657</v>
      </c>
      <c r="BF88" s="48">
        <f t="shared" si="354"/>
        <v>5114.585753424657</v>
      </c>
      <c r="BG88" s="48">
        <f t="shared" si="354"/>
        <v>5114.585753424657</v>
      </c>
      <c r="BH88" s="48">
        <f t="shared" si="354"/>
        <v>5114.585753424657</v>
      </c>
      <c r="BI88" s="48">
        <f t="shared" si="354"/>
        <v>5114.585753424657</v>
      </c>
      <c r="BJ88" s="48">
        <f t="shared" si="354"/>
        <v>5114.585753424657</v>
      </c>
      <c r="BK88" s="48">
        <f t="shared" si="354"/>
        <v>5114.585753424657</v>
      </c>
      <c r="BL88" s="48">
        <f t="shared" si="354"/>
        <v>5114.585753424657</v>
      </c>
      <c r="BM88" s="48">
        <f t="shared" si="354"/>
        <v>5114.585753424657</v>
      </c>
      <c r="BN88" s="48">
        <f t="shared" si="354"/>
        <v>5114.585753424657</v>
      </c>
      <c r="BO88" s="48">
        <f t="shared" si="354"/>
        <v>5114.585753424657</v>
      </c>
      <c r="BP88" s="48">
        <f t="shared" si="354"/>
        <v>5114.585753424657</v>
      </c>
      <c r="BQ88" s="48">
        <f t="shared" si="354"/>
        <v>5114.585753424657</v>
      </c>
      <c r="BR88" s="48">
        <f t="shared" ref="BR88:CW88" si="355">SUMPRODUCT((FC_Clase="Administración")*FC_Base*FC_O*((FC_Mon="PYG")*BR$19+(FC_Mon&lt;&gt;"PYG"))*(1+FC_g)^(BR$17-1)*((FC_Desde=0)*(BR$16+BR$15)+(FC_Desde&gt;=1)*(BR$14&gt;=FC_Desde)*BR$15))</f>
        <v>5114.585753424657</v>
      </c>
      <c r="BS88" s="48">
        <f t="shared" si="355"/>
        <v>5114.585753424657</v>
      </c>
      <c r="BT88" s="48">
        <f t="shared" si="355"/>
        <v>5114.585753424657</v>
      </c>
      <c r="BU88" s="48">
        <f t="shared" si="355"/>
        <v>5114.585753424657</v>
      </c>
      <c r="BV88" s="48">
        <f t="shared" si="355"/>
        <v>5114.585753424657</v>
      </c>
      <c r="BW88" s="48">
        <f t="shared" si="355"/>
        <v>5114.585753424657</v>
      </c>
      <c r="BX88" s="48">
        <f t="shared" si="355"/>
        <v>5114.585753424657</v>
      </c>
      <c r="BY88" s="48">
        <f t="shared" si="355"/>
        <v>5114.585753424657</v>
      </c>
      <c r="BZ88" s="48">
        <f t="shared" si="355"/>
        <v>5114.585753424657</v>
      </c>
      <c r="CA88" s="48">
        <f t="shared" si="355"/>
        <v>5114.585753424657</v>
      </c>
      <c r="CB88" s="48">
        <f t="shared" si="355"/>
        <v>5114.585753424657</v>
      </c>
      <c r="CC88" s="48">
        <f t="shared" si="355"/>
        <v>5114.585753424657</v>
      </c>
      <c r="CD88" s="48">
        <f t="shared" si="355"/>
        <v>5114.585753424657</v>
      </c>
      <c r="CE88" s="48">
        <f t="shared" si="355"/>
        <v>5114.585753424657</v>
      </c>
      <c r="CF88" s="48">
        <f t="shared" si="355"/>
        <v>5114.585753424657</v>
      </c>
      <c r="CG88" s="48">
        <f t="shared" si="355"/>
        <v>5114.585753424657</v>
      </c>
      <c r="CH88" s="48">
        <f t="shared" si="355"/>
        <v>5114.585753424657</v>
      </c>
      <c r="CI88" s="48">
        <f t="shared" si="355"/>
        <v>5114.585753424657</v>
      </c>
      <c r="CJ88" s="48">
        <f t="shared" si="355"/>
        <v>5114.585753424657</v>
      </c>
      <c r="CK88" s="48">
        <f t="shared" si="355"/>
        <v>5114.585753424657</v>
      </c>
      <c r="CL88" s="48">
        <f t="shared" si="355"/>
        <v>5114.585753424657</v>
      </c>
      <c r="CM88" s="48">
        <f t="shared" si="355"/>
        <v>5114.585753424657</v>
      </c>
      <c r="CN88" s="48">
        <f t="shared" si="355"/>
        <v>5114.585753424657</v>
      </c>
      <c r="CO88" s="48">
        <f t="shared" si="355"/>
        <v>5114.585753424657</v>
      </c>
      <c r="CP88" s="48">
        <f t="shared" si="355"/>
        <v>5114.585753424657</v>
      </c>
      <c r="CQ88" s="48">
        <f t="shared" si="355"/>
        <v>5114.585753424657</v>
      </c>
      <c r="CR88" s="48">
        <f t="shared" si="355"/>
        <v>5114.585753424657</v>
      </c>
      <c r="CS88" s="48">
        <f t="shared" si="355"/>
        <v>5114.585753424657</v>
      </c>
      <c r="CT88" s="48">
        <f t="shared" si="355"/>
        <v>5114.585753424657</v>
      </c>
      <c r="CU88" s="48">
        <f t="shared" si="355"/>
        <v>5114.585753424657</v>
      </c>
      <c r="CV88" s="48">
        <f t="shared" si="355"/>
        <v>5114.585753424657</v>
      </c>
      <c r="CW88" s="48">
        <f t="shared" si="355"/>
        <v>5114.585753424657</v>
      </c>
      <c r="CX88" s="48">
        <f t="shared" ref="CX88:EC88" si="356">SUMPRODUCT((FC_Clase="Administración")*FC_Base*FC_O*((FC_Mon="PYG")*CX$19+(FC_Mon&lt;&gt;"PYG"))*(1+FC_g)^(CX$17-1)*((FC_Desde=0)*(CX$16+CX$15)+(FC_Desde&gt;=1)*(CX$14&gt;=FC_Desde)*CX$15))</f>
        <v>5114.585753424657</v>
      </c>
      <c r="CY88" s="48">
        <f t="shared" si="356"/>
        <v>5114.585753424657</v>
      </c>
      <c r="CZ88" s="48">
        <f t="shared" si="356"/>
        <v>5114.585753424657</v>
      </c>
      <c r="DA88" s="48">
        <f t="shared" si="356"/>
        <v>5114.585753424657</v>
      </c>
      <c r="DB88" s="48">
        <f t="shared" si="356"/>
        <v>5114.585753424657</v>
      </c>
      <c r="DC88" s="48">
        <f t="shared" si="356"/>
        <v>5114.585753424657</v>
      </c>
      <c r="DD88" s="48">
        <f t="shared" si="356"/>
        <v>5114.585753424657</v>
      </c>
      <c r="DE88" s="48">
        <f t="shared" si="356"/>
        <v>5114.585753424657</v>
      </c>
      <c r="DF88" s="48">
        <f t="shared" si="356"/>
        <v>5114.585753424657</v>
      </c>
      <c r="DG88" s="48">
        <f t="shared" si="356"/>
        <v>5114.585753424657</v>
      </c>
      <c r="DH88" s="48">
        <f t="shared" si="356"/>
        <v>5114.585753424657</v>
      </c>
      <c r="DI88" s="48">
        <f t="shared" si="356"/>
        <v>5114.585753424657</v>
      </c>
      <c r="DJ88" s="48">
        <f t="shared" si="356"/>
        <v>5114.585753424657</v>
      </c>
      <c r="DK88" s="48">
        <f t="shared" si="356"/>
        <v>5114.585753424657</v>
      </c>
      <c r="DL88" s="48">
        <f t="shared" si="356"/>
        <v>5114.585753424657</v>
      </c>
      <c r="DM88" s="48">
        <f t="shared" si="356"/>
        <v>5114.585753424657</v>
      </c>
      <c r="DN88" s="48">
        <f t="shared" si="356"/>
        <v>5114.585753424657</v>
      </c>
      <c r="DO88" s="48">
        <f t="shared" si="356"/>
        <v>5114.585753424657</v>
      </c>
      <c r="DP88" s="48">
        <f t="shared" si="356"/>
        <v>5114.585753424657</v>
      </c>
      <c r="DQ88" s="48">
        <f t="shared" si="356"/>
        <v>5114.585753424657</v>
      </c>
      <c r="DR88" s="48">
        <f t="shared" si="356"/>
        <v>5114.585753424657</v>
      </c>
      <c r="DS88" s="48">
        <f t="shared" si="356"/>
        <v>5114.585753424657</v>
      </c>
      <c r="DT88" s="48">
        <f t="shared" si="356"/>
        <v>5114.585753424657</v>
      </c>
      <c r="DU88" s="48">
        <f t="shared" si="356"/>
        <v>5114.585753424657</v>
      </c>
      <c r="DV88" s="48">
        <f t="shared" si="356"/>
        <v>0</v>
      </c>
      <c r="DW88" s="48">
        <f t="shared" si="356"/>
        <v>0</v>
      </c>
      <c r="DX88" s="48">
        <f t="shared" si="356"/>
        <v>0</v>
      </c>
      <c r="DY88" s="48">
        <f t="shared" si="356"/>
        <v>0</v>
      </c>
      <c r="DZ88" s="48">
        <f t="shared" si="356"/>
        <v>0</v>
      </c>
      <c r="EA88" s="48">
        <f t="shared" si="356"/>
        <v>0</v>
      </c>
      <c r="EB88" s="48">
        <f t="shared" si="356"/>
        <v>0</v>
      </c>
      <c r="EC88" s="48">
        <f t="shared" si="356"/>
        <v>0</v>
      </c>
      <c r="ED88" s="48">
        <f t="shared" ref="ED88:ES88" si="357">SUMPRODUCT((FC_Clase="Administración")*FC_Base*FC_O*((FC_Mon="PYG")*ED$19+(FC_Mon&lt;&gt;"PYG"))*(1+FC_g)^(ED$17-1)*((FC_Desde=0)*(ED$16+ED$15)+(FC_Desde&gt;=1)*(ED$14&gt;=FC_Desde)*ED$15))</f>
        <v>0</v>
      </c>
      <c r="EE88" s="48">
        <f t="shared" si="357"/>
        <v>0</v>
      </c>
      <c r="EF88" s="48">
        <f t="shared" si="357"/>
        <v>0</v>
      </c>
      <c r="EG88" s="48">
        <f t="shared" si="357"/>
        <v>0</v>
      </c>
      <c r="EH88" s="48">
        <f t="shared" si="357"/>
        <v>0</v>
      </c>
      <c r="EI88" s="48">
        <f t="shared" si="357"/>
        <v>0</v>
      </c>
      <c r="EJ88" s="48">
        <f t="shared" si="357"/>
        <v>0</v>
      </c>
      <c r="EK88" s="48">
        <f t="shared" si="357"/>
        <v>0</v>
      </c>
      <c r="EL88" s="48">
        <f t="shared" si="357"/>
        <v>0</v>
      </c>
      <c r="EM88" s="48">
        <f t="shared" si="357"/>
        <v>0</v>
      </c>
      <c r="EN88" s="48">
        <f t="shared" si="357"/>
        <v>0</v>
      </c>
      <c r="EO88" s="48">
        <f t="shared" si="357"/>
        <v>0</v>
      </c>
      <c r="EP88" s="48">
        <f t="shared" si="357"/>
        <v>0</v>
      </c>
      <c r="EQ88" s="48">
        <f t="shared" si="357"/>
        <v>0</v>
      </c>
      <c r="ER88" s="48">
        <f t="shared" si="357"/>
        <v>0</v>
      </c>
      <c r="ES88" s="48">
        <f t="shared" si="357"/>
        <v>0</v>
      </c>
    </row>
    <row r="89" spans="1:149" x14ac:dyDescent="0.3">
      <c r="A89" s="14" t="s">
        <v>1082</v>
      </c>
      <c r="B89" s="18" t="s">
        <v>1083</v>
      </c>
      <c r="C89" s="18" t="s">
        <v>439</v>
      </c>
      <c r="E89" s="54">
        <f t="shared" si="322"/>
        <v>2851501.2974909078</v>
      </c>
      <c r="F89" s="48">
        <f t="shared" ref="F89:AK89" si="358">P_ImpP*(F$73+F$74+F$75+F$76+F$83+F$84+F$78+F$80+F$86)</f>
        <v>15479.533208497649</v>
      </c>
      <c r="G89" s="48">
        <f t="shared" si="358"/>
        <v>15479.533208497649</v>
      </c>
      <c r="H89" s="48">
        <f t="shared" si="358"/>
        <v>15479.533208497649</v>
      </c>
      <c r="I89" s="48">
        <f t="shared" si="358"/>
        <v>15479.533208497649</v>
      </c>
      <c r="J89" s="48">
        <f t="shared" si="358"/>
        <v>15479.533208497649</v>
      </c>
      <c r="K89" s="48">
        <f t="shared" si="358"/>
        <v>15479.533208497649</v>
      </c>
      <c r="L89" s="48">
        <f t="shared" si="358"/>
        <v>15479.533208497649</v>
      </c>
      <c r="M89" s="48">
        <f t="shared" si="358"/>
        <v>15479.533208497649</v>
      </c>
      <c r="N89" s="48">
        <f t="shared" si="358"/>
        <v>15479.533208497649</v>
      </c>
      <c r="O89" s="48">
        <f t="shared" si="358"/>
        <v>15479.533208497649</v>
      </c>
      <c r="P89" s="48">
        <f t="shared" si="358"/>
        <v>15479.533208497649</v>
      </c>
      <c r="Q89" s="48">
        <f t="shared" si="358"/>
        <v>15479.533208497649</v>
      </c>
      <c r="R89" s="48">
        <f t="shared" si="358"/>
        <v>18874.377374289317</v>
      </c>
      <c r="S89" s="48">
        <f t="shared" si="358"/>
        <v>18874.377374289317</v>
      </c>
      <c r="T89" s="48">
        <f t="shared" si="358"/>
        <v>18874.377374289317</v>
      </c>
      <c r="U89" s="48">
        <f t="shared" si="358"/>
        <v>18874.377374289317</v>
      </c>
      <c r="V89" s="48">
        <f t="shared" si="358"/>
        <v>18874.377374289317</v>
      </c>
      <c r="W89" s="48">
        <f t="shared" si="358"/>
        <v>18874.377374289317</v>
      </c>
      <c r="X89" s="48">
        <f t="shared" si="358"/>
        <v>18874.377374289317</v>
      </c>
      <c r="Y89" s="48">
        <f t="shared" si="358"/>
        <v>18874.377374289317</v>
      </c>
      <c r="Z89" s="48">
        <f t="shared" si="358"/>
        <v>18874.377374289317</v>
      </c>
      <c r="AA89" s="48">
        <f t="shared" si="358"/>
        <v>18874.377374289317</v>
      </c>
      <c r="AB89" s="48">
        <f t="shared" si="358"/>
        <v>18874.377374289317</v>
      </c>
      <c r="AC89" s="48">
        <f t="shared" si="358"/>
        <v>18874.377374289317</v>
      </c>
      <c r="AD89" s="48">
        <f t="shared" si="358"/>
        <v>22438.304447091225</v>
      </c>
      <c r="AE89" s="48">
        <f t="shared" si="358"/>
        <v>22438.304447091225</v>
      </c>
      <c r="AF89" s="48">
        <f t="shared" si="358"/>
        <v>22438.304447091225</v>
      </c>
      <c r="AG89" s="48">
        <f t="shared" si="358"/>
        <v>22438.304447091225</v>
      </c>
      <c r="AH89" s="48">
        <f t="shared" si="358"/>
        <v>22438.304447091225</v>
      </c>
      <c r="AI89" s="48">
        <f t="shared" si="358"/>
        <v>22438.304447091225</v>
      </c>
      <c r="AJ89" s="48">
        <f t="shared" si="358"/>
        <v>22438.304447091225</v>
      </c>
      <c r="AK89" s="48">
        <f t="shared" si="358"/>
        <v>22438.304447091225</v>
      </c>
      <c r="AL89" s="48">
        <f t="shared" ref="AL89:BQ89" si="359">P_ImpP*(AL$73+AL$74+AL$75+AL$76+AL$83+AL$84+AL$78+AL$80+AL$86)</f>
        <v>22438.304447091225</v>
      </c>
      <c r="AM89" s="48">
        <f t="shared" si="359"/>
        <v>22438.304447091225</v>
      </c>
      <c r="AN89" s="48">
        <f t="shared" si="359"/>
        <v>22438.304447091225</v>
      </c>
      <c r="AO89" s="48">
        <f t="shared" si="359"/>
        <v>22438.304447091225</v>
      </c>
      <c r="AP89" s="48">
        <f t="shared" si="359"/>
        <v>25354.719648389615</v>
      </c>
      <c r="AQ89" s="48">
        <f t="shared" si="359"/>
        <v>25354.719648389615</v>
      </c>
      <c r="AR89" s="48">
        <f t="shared" si="359"/>
        <v>25354.719648389615</v>
      </c>
      <c r="AS89" s="48">
        <f t="shared" si="359"/>
        <v>25354.719648389615</v>
      </c>
      <c r="AT89" s="48">
        <f t="shared" si="359"/>
        <v>25354.719648389615</v>
      </c>
      <c r="AU89" s="48">
        <f t="shared" si="359"/>
        <v>25354.719648389615</v>
      </c>
      <c r="AV89" s="48">
        <f t="shared" si="359"/>
        <v>25354.719648389615</v>
      </c>
      <c r="AW89" s="48">
        <f t="shared" si="359"/>
        <v>25354.719648389615</v>
      </c>
      <c r="AX89" s="48">
        <f t="shared" si="359"/>
        <v>25354.719648389615</v>
      </c>
      <c r="AY89" s="48">
        <f t="shared" si="359"/>
        <v>25354.719648389615</v>
      </c>
      <c r="AZ89" s="48">
        <f t="shared" si="359"/>
        <v>25354.719648389615</v>
      </c>
      <c r="BA89" s="48">
        <f t="shared" si="359"/>
        <v>25354.719648389615</v>
      </c>
      <c r="BB89" s="48">
        <f t="shared" si="359"/>
        <v>25605.34217616318</v>
      </c>
      <c r="BC89" s="48">
        <f t="shared" si="359"/>
        <v>25605.34217616318</v>
      </c>
      <c r="BD89" s="48">
        <f t="shared" si="359"/>
        <v>25605.34217616318</v>
      </c>
      <c r="BE89" s="48">
        <f t="shared" si="359"/>
        <v>25605.34217616318</v>
      </c>
      <c r="BF89" s="48">
        <f t="shared" si="359"/>
        <v>25605.34217616318</v>
      </c>
      <c r="BG89" s="48">
        <f t="shared" si="359"/>
        <v>25605.34217616318</v>
      </c>
      <c r="BH89" s="48">
        <f t="shared" si="359"/>
        <v>25605.34217616318</v>
      </c>
      <c r="BI89" s="48">
        <f t="shared" si="359"/>
        <v>25605.34217616318</v>
      </c>
      <c r="BJ89" s="48">
        <f t="shared" si="359"/>
        <v>25605.34217616318</v>
      </c>
      <c r="BK89" s="48">
        <f t="shared" si="359"/>
        <v>25605.34217616318</v>
      </c>
      <c r="BL89" s="48">
        <f t="shared" si="359"/>
        <v>25605.34217616318</v>
      </c>
      <c r="BM89" s="48">
        <f t="shared" si="359"/>
        <v>25605.34217616318</v>
      </c>
      <c r="BN89" s="48">
        <f t="shared" si="359"/>
        <v>25726.749375358675</v>
      </c>
      <c r="BO89" s="48">
        <f t="shared" si="359"/>
        <v>25726.749375358675</v>
      </c>
      <c r="BP89" s="48">
        <f t="shared" si="359"/>
        <v>25726.749375358675</v>
      </c>
      <c r="BQ89" s="48">
        <f t="shared" si="359"/>
        <v>25726.749375358675</v>
      </c>
      <c r="BR89" s="48">
        <f t="shared" ref="BR89:CW89" si="360">P_ImpP*(BR$73+BR$74+BR$75+BR$76+BR$83+BR$84+BR$78+BR$80+BR$86)</f>
        <v>25726.749375358675</v>
      </c>
      <c r="BS89" s="48">
        <f t="shared" si="360"/>
        <v>25726.749375358675</v>
      </c>
      <c r="BT89" s="48">
        <f t="shared" si="360"/>
        <v>25726.749375358675</v>
      </c>
      <c r="BU89" s="48">
        <f t="shared" si="360"/>
        <v>25726.749375358675</v>
      </c>
      <c r="BV89" s="48">
        <f t="shared" si="360"/>
        <v>25726.749375358675</v>
      </c>
      <c r="BW89" s="48">
        <f t="shared" si="360"/>
        <v>25726.749375358675</v>
      </c>
      <c r="BX89" s="48">
        <f t="shared" si="360"/>
        <v>25726.749375358675</v>
      </c>
      <c r="BY89" s="48">
        <f t="shared" si="360"/>
        <v>25726.749375358675</v>
      </c>
      <c r="BZ89" s="48">
        <f t="shared" si="360"/>
        <v>25849.397443994381</v>
      </c>
      <c r="CA89" s="48">
        <f t="shared" si="360"/>
        <v>25849.397443994381</v>
      </c>
      <c r="CB89" s="48">
        <f t="shared" si="360"/>
        <v>25849.397443994381</v>
      </c>
      <c r="CC89" s="48">
        <f t="shared" si="360"/>
        <v>25849.397443994381</v>
      </c>
      <c r="CD89" s="48">
        <f t="shared" si="360"/>
        <v>25849.397443994381</v>
      </c>
      <c r="CE89" s="48">
        <f t="shared" si="360"/>
        <v>25849.397443994381</v>
      </c>
      <c r="CF89" s="48">
        <f t="shared" si="360"/>
        <v>25849.397443994381</v>
      </c>
      <c r="CG89" s="48">
        <f t="shared" si="360"/>
        <v>25849.397443994381</v>
      </c>
      <c r="CH89" s="48">
        <f t="shared" si="360"/>
        <v>25849.397443994381</v>
      </c>
      <c r="CI89" s="48">
        <f t="shared" si="360"/>
        <v>25849.397443994381</v>
      </c>
      <c r="CJ89" s="48">
        <f t="shared" si="360"/>
        <v>25849.397443994381</v>
      </c>
      <c r="CK89" s="48">
        <f t="shared" si="360"/>
        <v>25849.397443994381</v>
      </c>
      <c r="CL89" s="48">
        <f t="shared" si="360"/>
        <v>25973.299326713663</v>
      </c>
      <c r="CM89" s="48">
        <f t="shared" si="360"/>
        <v>25973.299326713663</v>
      </c>
      <c r="CN89" s="48">
        <f t="shared" si="360"/>
        <v>25973.299326713663</v>
      </c>
      <c r="CO89" s="48">
        <f t="shared" si="360"/>
        <v>25973.299326713663</v>
      </c>
      <c r="CP89" s="48">
        <f t="shared" si="360"/>
        <v>25973.299326713663</v>
      </c>
      <c r="CQ89" s="48">
        <f t="shared" si="360"/>
        <v>25973.299326713663</v>
      </c>
      <c r="CR89" s="48">
        <f t="shared" si="360"/>
        <v>25973.299326713663</v>
      </c>
      <c r="CS89" s="48">
        <f t="shared" si="360"/>
        <v>25973.299326713663</v>
      </c>
      <c r="CT89" s="48">
        <f t="shared" si="360"/>
        <v>25973.299326713663</v>
      </c>
      <c r="CU89" s="48">
        <f t="shared" si="360"/>
        <v>25973.299326713663</v>
      </c>
      <c r="CV89" s="48">
        <f t="shared" si="360"/>
        <v>25973.299326713663</v>
      </c>
      <c r="CW89" s="48">
        <f t="shared" si="360"/>
        <v>25973.299326713663</v>
      </c>
      <c r="CX89" s="48">
        <f t="shared" ref="CX89:EC89" si="361">P_ImpP*(CX$73+CX$74+CX$75+CX$76+CX$83+CX$84+CX$78+CX$80+CX$86)</f>
        <v>26098.468108325309</v>
      </c>
      <c r="CY89" s="48">
        <f t="shared" si="361"/>
        <v>26098.468108325309</v>
      </c>
      <c r="CZ89" s="48">
        <f t="shared" si="361"/>
        <v>26098.468108325309</v>
      </c>
      <c r="DA89" s="48">
        <f t="shared" si="361"/>
        <v>26098.468108325309</v>
      </c>
      <c r="DB89" s="48">
        <f t="shared" si="361"/>
        <v>26098.468108325309</v>
      </c>
      <c r="DC89" s="48">
        <f t="shared" si="361"/>
        <v>26098.468108325309</v>
      </c>
      <c r="DD89" s="48">
        <f t="shared" si="361"/>
        <v>26098.468108325309</v>
      </c>
      <c r="DE89" s="48">
        <f t="shared" si="361"/>
        <v>26098.468108325309</v>
      </c>
      <c r="DF89" s="48">
        <f t="shared" si="361"/>
        <v>26098.468108325309</v>
      </c>
      <c r="DG89" s="48">
        <f t="shared" si="361"/>
        <v>26098.468108325309</v>
      </c>
      <c r="DH89" s="48">
        <f t="shared" si="361"/>
        <v>26098.468108325309</v>
      </c>
      <c r="DI89" s="48">
        <f t="shared" si="361"/>
        <v>26098.468108325309</v>
      </c>
      <c r="DJ89" s="48">
        <f t="shared" si="361"/>
        <v>26224.917015419531</v>
      </c>
      <c r="DK89" s="48">
        <f t="shared" si="361"/>
        <v>26224.917015419531</v>
      </c>
      <c r="DL89" s="48">
        <f t="shared" si="361"/>
        <v>26224.917015419531</v>
      </c>
      <c r="DM89" s="48">
        <f t="shared" si="361"/>
        <v>26224.917015419531</v>
      </c>
      <c r="DN89" s="48">
        <f t="shared" si="361"/>
        <v>26224.917015419531</v>
      </c>
      <c r="DO89" s="48">
        <f t="shared" si="361"/>
        <v>26224.917015419531</v>
      </c>
      <c r="DP89" s="48">
        <f t="shared" si="361"/>
        <v>26224.917015419531</v>
      </c>
      <c r="DQ89" s="48">
        <f t="shared" si="361"/>
        <v>26224.917015419531</v>
      </c>
      <c r="DR89" s="48">
        <f t="shared" si="361"/>
        <v>26224.917015419531</v>
      </c>
      <c r="DS89" s="48">
        <f t="shared" si="361"/>
        <v>26224.917015419531</v>
      </c>
      <c r="DT89" s="48">
        <f t="shared" si="361"/>
        <v>26224.917015419531</v>
      </c>
      <c r="DU89" s="48">
        <f t="shared" si="361"/>
        <v>26224.917015419531</v>
      </c>
      <c r="DV89" s="48">
        <f t="shared" si="361"/>
        <v>0</v>
      </c>
      <c r="DW89" s="48">
        <f t="shared" si="361"/>
        <v>0</v>
      </c>
      <c r="DX89" s="48">
        <f t="shared" si="361"/>
        <v>0</v>
      </c>
      <c r="DY89" s="48">
        <f t="shared" si="361"/>
        <v>0</v>
      </c>
      <c r="DZ89" s="48">
        <f t="shared" si="361"/>
        <v>0</v>
      </c>
      <c r="EA89" s="48">
        <f t="shared" si="361"/>
        <v>0</v>
      </c>
      <c r="EB89" s="48">
        <f t="shared" si="361"/>
        <v>0</v>
      </c>
      <c r="EC89" s="48">
        <f t="shared" si="361"/>
        <v>0</v>
      </c>
      <c r="ED89" s="48">
        <f t="shared" ref="ED89:ES89" si="362">P_ImpP*(ED$73+ED$74+ED$75+ED$76+ED$83+ED$84+ED$78+ED$80+ED$86)</f>
        <v>0</v>
      </c>
      <c r="EE89" s="48">
        <f t="shared" si="362"/>
        <v>0</v>
      </c>
      <c r="EF89" s="48">
        <f t="shared" si="362"/>
        <v>0</v>
      </c>
      <c r="EG89" s="48">
        <f t="shared" si="362"/>
        <v>0</v>
      </c>
      <c r="EH89" s="48">
        <f t="shared" si="362"/>
        <v>0</v>
      </c>
      <c r="EI89" s="48">
        <f t="shared" si="362"/>
        <v>0</v>
      </c>
      <c r="EJ89" s="48">
        <f t="shared" si="362"/>
        <v>0</v>
      </c>
      <c r="EK89" s="48">
        <f t="shared" si="362"/>
        <v>0</v>
      </c>
      <c r="EL89" s="48">
        <f t="shared" si="362"/>
        <v>0</v>
      </c>
      <c r="EM89" s="48">
        <f t="shared" si="362"/>
        <v>0</v>
      </c>
      <c r="EN89" s="48">
        <f t="shared" si="362"/>
        <v>0</v>
      </c>
      <c r="EO89" s="48">
        <f t="shared" si="362"/>
        <v>0</v>
      </c>
      <c r="EP89" s="48">
        <f t="shared" si="362"/>
        <v>0</v>
      </c>
      <c r="EQ89" s="48">
        <f t="shared" si="362"/>
        <v>0</v>
      </c>
      <c r="ER89" s="48">
        <f t="shared" si="362"/>
        <v>0</v>
      </c>
      <c r="ES89" s="48">
        <f t="shared" si="362"/>
        <v>0</v>
      </c>
    </row>
    <row r="90" spans="1:149" x14ac:dyDescent="0.3">
      <c r="A90" s="14" t="s">
        <v>1084</v>
      </c>
      <c r="B90" s="18" t="s">
        <v>1085</v>
      </c>
      <c r="C90" s="18" t="s">
        <v>439</v>
      </c>
      <c r="E90" s="54">
        <f t="shared" si="322"/>
        <v>84447.440834054738</v>
      </c>
      <c r="F90" s="48">
        <f t="shared" ref="F90:AK90" si="363">P_ImpA*(F$82+F$88)</f>
        <v>703.72867361712326</v>
      </c>
      <c r="G90" s="48">
        <f t="shared" si="363"/>
        <v>703.72867361712326</v>
      </c>
      <c r="H90" s="48">
        <f t="shared" si="363"/>
        <v>703.72867361712326</v>
      </c>
      <c r="I90" s="48">
        <f t="shared" si="363"/>
        <v>703.72867361712326</v>
      </c>
      <c r="J90" s="48">
        <f t="shared" si="363"/>
        <v>703.72867361712326</v>
      </c>
      <c r="K90" s="48">
        <f t="shared" si="363"/>
        <v>703.72867361712326</v>
      </c>
      <c r="L90" s="48">
        <f t="shared" si="363"/>
        <v>703.72867361712326</v>
      </c>
      <c r="M90" s="48">
        <f t="shared" si="363"/>
        <v>703.72867361712326</v>
      </c>
      <c r="N90" s="48">
        <f t="shared" si="363"/>
        <v>703.72867361712326</v>
      </c>
      <c r="O90" s="48">
        <f t="shared" si="363"/>
        <v>703.72867361712326</v>
      </c>
      <c r="P90" s="48">
        <f t="shared" si="363"/>
        <v>703.72867361712326</v>
      </c>
      <c r="Q90" s="48">
        <f t="shared" si="363"/>
        <v>703.72867361712326</v>
      </c>
      <c r="R90" s="48">
        <f t="shared" si="363"/>
        <v>703.72867361712326</v>
      </c>
      <c r="S90" s="48">
        <f t="shared" si="363"/>
        <v>703.72867361712326</v>
      </c>
      <c r="T90" s="48">
        <f t="shared" si="363"/>
        <v>703.72867361712326</v>
      </c>
      <c r="U90" s="48">
        <f t="shared" si="363"/>
        <v>703.72867361712326</v>
      </c>
      <c r="V90" s="48">
        <f t="shared" si="363"/>
        <v>703.72867361712326</v>
      </c>
      <c r="W90" s="48">
        <f t="shared" si="363"/>
        <v>703.72867361712326</v>
      </c>
      <c r="X90" s="48">
        <f t="shared" si="363"/>
        <v>703.72867361712326</v>
      </c>
      <c r="Y90" s="48">
        <f t="shared" si="363"/>
        <v>703.72867361712326</v>
      </c>
      <c r="Z90" s="48">
        <f t="shared" si="363"/>
        <v>703.72867361712326</v>
      </c>
      <c r="AA90" s="48">
        <f t="shared" si="363"/>
        <v>703.72867361712326</v>
      </c>
      <c r="AB90" s="48">
        <f t="shared" si="363"/>
        <v>703.72867361712326</v>
      </c>
      <c r="AC90" s="48">
        <f t="shared" si="363"/>
        <v>703.72867361712326</v>
      </c>
      <c r="AD90" s="48">
        <f t="shared" si="363"/>
        <v>703.72867361712326</v>
      </c>
      <c r="AE90" s="48">
        <f t="shared" si="363"/>
        <v>703.72867361712326</v>
      </c>
      <c r="AF90" s="48">
        <f t="shared" si="363"/>
        <v>703.72867361712326</v>
      </c>
      <c r="AG90" s="48">
        <f t="shared" si="363"/>
        <v>703.72867361712326</v>
      </c>
      <c r="AH90" s="48">
        <f t="shared" si="363"/>
        <v>703.72867361712326</v>
      </c>
      <c r="AI90" s="48">
        <f t="shared" si="363"/>
        <v>703.72867361712326</v>
      </c>
      <c r="AJ90" s="48">
        <f t="shared" si="363"/>
        <v>703.72867361712326</v>
      </c>
      <c r="AK90" s="48">
        <f t="shared" si="363"/>
        <v>703.72867361712326</v>
      </c>
      <c r="AL90" s="48">
        <f t="shared" ref="AL90:BQ90" si="364">P_ImpA*(AL$82+AL$88)</f>
        <v>703.72867361712326</v>
      </c>
      <c r="AM90" s="48">
        <f t="shared" si="364"/>
        <v>703.72867361712326</v>
      </c>
      <c r="AN90" s="48">
        <f t="shared" si="364"/>
        <v>703.72867361712326</v>
      </c>
      <c r="AO90" s="48">
        <f t="shared" si="364"/>
        <v>703.72867361712326</v>
      </c>
      <c r="AP90" s="48">
        <f t="shared" si="364"/>
        <v>703.72867361712326</v>
      </c>
      <c r="AQ90" s="48">
        <f t="shared" si="364"/>
        <v>703.72867361712326</v>
      </c>
      <c r="AR90" s="48">
        <f t="shared" si="364"/>
        <v>703.72867361712326</v>
      </c>
      <c r="AS90" s="48">
        <f t="shared" si="364"/>
        <v>703.72867361712326</v>
      </c>
      <c r="AT90" s="48">
        <f t="shared" si="364"/>
        <v>703.72867361712326</v>
      </c>
      <c r="AU90" s="48">
        <f t="shared" si="364"/>
        <v>703.72867361712326</v>
      </c>
      <c r="AV90" s="48">
        <f t="shared" si="364"/>
        <v>703.72867361712326</v>
      </c>
      <c r="AW90" s="48">
        <f t="shared" si="364"/>
        <v>703.72867361712326</v>
      </c>
      <c r="AX90" s="48">
        <f t="shared" si="364"/>
        <v>703.72867361712326</v>
      </c>
      <c r="AY90" s="48">
        <f t="shared" si="364"/>
        <v>703.72867361712326</v>
      </c>
      <c r="AZ90" s="48">
        <f t="shared" si="364"/>
        <v>703.72867361712326</v>
      </c>
      <c r="BA90" s="48">
        <f t="shared" si="364"/>
        <v>703.72867361712326</v>
      </c>
      <c r="BB90" s="48">
        <f t="shared" si="364"/>
        <v>703.72867361712326</v>
      </c>
      <c r="BC90" s="48">
        <f t="shared" si="364"/>
        <v>703.72867361712326</v>
      </c>
      <c r="BD90" s="48">
        <f t="shared" si="364"/>
        <v>703.72867361712326</v>
      </c>
      <c r="BE90" s="48">
        <f t="shared" si="364"/>
        <v>703.72867361712326</v>
      </c>
      <c r="BF90" s="48">
        <f t="shared" si="364"/>
        <v>703.72867361712326</v>
      </c>
      <c r="BG90" s="48">
        <f t="shared" si="364"/>
        <v>703.72867361712326</v>
      </c>
      <c r="BH90" s="48">
        <f t="shared" si="364"/>
        <v>703.72867361712326</v>
      </c>
      <c r="BI90" s="48">
        <f t="shared" si="364"/>
        <v>703.72867361712326</v>
      </c>
      <c r="BJ90" s="48">
        <f t="shared" si="364"/>
        <v>703.72867361712326</v>
      </c>
      <c r="BK90" s="48">
        <f t="shared" si="364"/>
        <v>703.72867361712326</v>
      </c>
      <c r="BL90" s="48">
        <f t="shared" si="364"/>
        <v>703.72867361712326</v>
      </c>
      <c r="BM90" s="48">
        <f t="shared" si="364"/>
        <v>703.72867361712326</v>
      </c>
      <c r="BN90" s="48">
        <f t="shared" si="364"/>
        <v>703.72867361712326</v>
      </c>
      <c r="BO90" s="48">
        <f t="shared" si="364"/>
        <v>703.72867361712326</v>
      </c>
      <c r="BP90" s="48">
        <f t="shared" si="364"/>
        <v>703.72867361712326</v>
      </c>
      <c r="BQ90" s="48">
        <f t="shared" si="364"/>
        <v>703.72867361712326</v>
      </c>
      <c r="BR90" s="48">
        <f t="shared" ref="BR90:CW90" si="365">P_ImpA*(BR$82+BR$88)</f>
        <v>703.72867361712326</v>
      </c>
      <c r="BS90" s="48">
        <f t="shared" si="365"/>
        <v>703.72867361712326</v>
      </c>
      <c r="BT90" s="48">
        <f t="shared" si="365"/>
        <v>703.72867361712326</v>
      </c>
      <c r="BU90" s="48">
        <f t="shared" si="365"/>
        <v>703.72867361712326</v>
      </c>
      <c r="BV90" s="48">
        <f t="shared" si="365"/>
        <v>703.72867361712326</v>
      </c>
      <c r="BW90" s="48">
        <f t="shared" si="365"/>
        <v>703.72867361712326</v>
      </c>
      <c r="BX90" s="48">
        <f t="shared" si="365"/>
        <v>703.72867361712326</v>
      </c>
      <c r="BY90" s="48">
        <f t="shared" si="365"/>
        <v>703.72867361712326</v>
      </c>
      <c r="BZ90" s="48">
        <f t="shared" si="365"/>
        <v>703.72867361712326</v>
      </c>
      <c r="CA90" s="48">
        <f t="shared" si="365"/>
        <v>703.72867361712326</v>
      </c>
      <c r="CB90" s="48">
        <f t="shared" si="365"/>
        <v>703.72867361712326</v>
      </c>
      <c r="CC90" s="48">
        <f t="shared" si="365"/>
        <v>703.72867361712326</v>
      </c>
      <c r="CD90" s="48">
        <f t="shared" si="365"/>
        <v>703.72867361712326</v>
      </c>
      <c r="CE90" s="48">
        <f t="shared" si="365"/>
        <v>703.72867361712326</v>
      </c>
      <c r="CF90" s="48">
        <f t="shared" si="365"/>
        <v>703.72867361712326</v>
      </c>
      <c r="CG90" s="48">
        <f t="shared" si="365"/>
        <v>703.72867361712326</v>
      </c>
      <c r="CH90" s="48">
        <f t="shared" si="365"/>
        <v>703.72867361712326</v>
      </c>
      <c r="CI90" s="48">
        <f t="shared" si="365"/>
        <v>703.72867361712326</v>
      </c>
      <c r="CJ90" s="48">
        <f t="shared" si="365"/>
        <v>703.72867361712326</v>
      </c>
      <c r="CK90" s="48">
        <f t="shared" si="365"/>
        <v>703.72867361712326</v>
      </c>
      <c r="CL90" s="48">
        <f t="shared" si="365"/>
        <v>703.72867361712326</v>
      </c>
      <c r="CM90" s="48">
        <f t="shared" si="365"/>
        <v>703.72867361712326</v>
      </c>
      <c r="CN90" s="48">
        <f t="shared" si="365"/>
        <v>703.72867361712326</v>
      </c>
      <c r="CO90" s="48">
        <f t="shared" si="365"/>
        <v>703.72867361712326</v>
      </c>
      <c r="CP90" s="48">
        <f t="shared" si="365"/>
        <v>703.72867361712326</v>
      </c>
      <c r="CQ90" s="48">
        <f t="shared" si="365"/>
        <v>703.72867361712326</v>
      </c>
      <c r="CR90" s="48">
        <f t="shared" si="365"/>
        <v>703.72867361712326</v>
      </c>
      <c r="CS90" s="48">
        <f t="shared" si="365"/>
        <v>703.72867361712326</v>
      </c>
      <c r="CT90" s="48">
        <f t="shared" si="365"/>
        <v>703.72867361712326</v>
      </c>
      <c r="CU90" s="48">
        <f t="shared" si="365"/>
        <v>703.72867361712326</v>
      </c>
      <c r="CV90" s="48">
        <f t="shared" si="365"/>
        <v>703.72867361712326</v>
      </c>
      <c r="CW90" s="48">
        <f t="shared" si="365"/>
        <v>703.72867361712326</v>
      </c>
      <c r="CX90" s="48">
        <f t="shared" ref="CX90:EC90" si="366">P_ImpA*(CX$82+CX$88)</f>
        <v>703.72867361712326</v>
      </c>
      <c r="CY90" s="48">
        <f t="shared" si="366"/>
        <v>703.72867361712326</v>
      </c>
      <c r="CZ90" s="48">
        <f t="shared" si="366"/>
        <v>703.72867361712326</v>
      </c>
      <c r="DA90" s="48">
        <f t="shared" si="366"/>
        <v>703.72867361712326</v>
      </c>
      <c r="DB90" s="48">
        <f t="shared" si="366"/>
        <v>703.72867361712326</v>
      </c>
      <c r="DC90" s="48">
        <f t="shared" si="366"/>
        <v>703.72867361712326</v>
      </c>
      <c r="DD90" s="48">
        <f t="shared" si="366"/>
        <v>703.72867361712326</v>
      </c>
      <c r="DE90" s="48">
        <f t="shared" si="366"/>
        <v>703.72867361712326</v>
      </c>
      <c r="DF90" s="48">
        <f t="shared" si="366"/>
        <v>703.72867361712326</v>
      </c>
      <c r="DG90" s="48">
        <f t="shared" si="366"/>
        <v>703.72867361712326</v>
      </c>
      <c r="DH90" s="48">
        <f t="shared" si="366"/>
        <v>703.72867361712326</v>
      </c>
      <c r="DI90" s="48">
        <f t="shared" si="366"/>
        <v>703.72867361712326</v>
      </c>
      <c r="DJ90" s="48">
        <f t="shared" si="366"/>
        <v>703.72867361712326</v>
      </c>
      <c r="DK90" s="48">
        <f t="shared" si="366"/>
        <v>703.72867361712326</v>
      </c>
      <c r="DL90" s="48">
        <f t="shared" si="366"/>
        <v>703.72867361712326</v>
      </c>
      <c r="DM90" s="48">
        <f t="shared" si="366"/>
        <v>703.72867361712326</v>
      </c>
      <c r="DN90" s="48">
        <f t="shared" si="366"/>
        <v>703.72867361712326</v>
      </c>
      <c r="DO90" s="48">
        <f t="shared" si="366"/>
        <v>703.72867361712326</v>
      </c>
      <c r="DP90" s="48">
        <f t="shared" si="366"/>
        <v>703.72867361712326</v>
      </c>
      <c r="DQ90" s="48">
        <f t="shared" si="366"/>
        <v>703.72867361712326</v>
      </c>
      <c r="DR90" s="48">
        <f t="shared" si="366"/>
        <v>703.72867361712326</v>
      </c>
      <c r="DS90" s="48">
        <f t="shared" si="366"/>
        <v>703.72867361712326</v>
      </c>
      <c r="DT90" s="48">
        <f t="shared" si="366"/>
        <v>703.72867361712326</v>
      </c>
      <c r="DU90" s="48">
        <f t="shared" si="366"/>
        <v>703.72867361712326</v>
      </c>
      <c r="DV90" s="48">
        <f t="shared" si="366"/>
        <v>0</v>
      </c>
      <c r="DW90" s="48">
        <f t="shared" si="366"/>
        <v>0</v>
      </c>
      <c r="DX90" s="48">
        <f t="shared" si="366"/>
        <v>0</v>
      </c>
      <c r="DY90" s="48">
        <f t="shared" si="366"/>
        <v>0</v>
      </c>
      <c r="DZ90" s="48">
        <f t="shared" si="366"/>
        <v>0</v>
      </c>
      <c r="EA90" s="48">
        <f t="shared" si="366"/>
        <v>0</v>
      </c>
      <c r="EB90" s="48">
        <f t="shared" si="366"/>
        <v>0</v>
      </c>
      <c r="EC90" s="48">
        <f t="shared" si="366"/>
        <v>0</v>
      </c>
      <c r="ED90" s="48">
        <f t="shared" ref="ED90:ES90" si="367">P_ImpA*(ED$82+ED$88)</f>
        <v>0</v>
      </c>
      <c r="EE90" s="48">
        <f t="shared" si="367"/>
        <v>0</v>
      </c>
      <c r="EF90" s="48">
        <f t="shared" si="367"/>
        <v>0</v>
      </c>
      <c r="EG90" s="48">
        <f t="shared" si="367"/>
        <v>0</v>
      </c>
      <c r="EH90" s="48">
        <f t="shared" si="367"/>
        <v>0</v>
      </c>
      <c r="EI90" s="48">
        <f t="shared" si="367"/>
        <v>0</v>
      </c>
      <c r="EJ90" s="48">
        <f t="shared" si="367"/>
        <v>0</v>
      </c>
      <c r="EK90" s="48">
        <f t="shared" si="367"/>
        <v>0</v>
      </c>
      <c r="EL90" s="48">
        <f t="shared" si="367"/>
        <v>0</v>
      </c>
      <c r="EM90" s="48">
        <f t="shared" si="367"/>
        <v>0</v>
      </c>
      <c r="EN90" s="48">
        <f t="shared" si="367"/>
        <v>0</v>
      </c>
      <c r="EO90" s="48">
        <f t="shared" si="367"/>
        <v>0</v>
      </c>
      <c r="EP90" s="48">
        <f t="shared" si="367"/>
        <v>0</v>
      </c>
      <c r="EQ90" s="48">
        <f t="shared" si="367"/>
        <v>0</v>
      </c>
      <c r="ER90" s="48">
        <f t="shared" si="367"/>
        <v>0</v>
      </c>
      <c r="ES90" s="48">
        <f t="shared" si="367"/>
        <v>0</v>
      </c>
    </row>
    <row r="91" spans="1:149" x14ac:dyDescent="0.3">
      <c r="A91" s="14" t="s">
        <v>1086</v>
      </c>
      <c r="B91" s="18" t="s">
        <v>1087</v>
      </c>
      <c r="C91" s="18" t="s">
        <v>439</v>
      </c>
      <c r="E91" s="54">
        <f t="shared" si="322"/>
        <v>212677.88898640499</v>
      </c>
      <c r="F91" s="48">
        <f t="shared" ref="F91:AK91" si="368">SUMPRODUCT(FC_O*((FC_Mon="PYG")*F$19+(FC_Mon&lt;&gt;"PYG"))*(1+FC_g)^(F$17-1)*((FC_Desde=0)*(F$16+F$15)+(FC_Desde&gt;=1)*(F$14&gt;=FC_Desde)*F$15)*FC_IVA/(1+FC_IVA))</f>
        <v>1546</v>
      </c>
      <c r="G91" s="48">
        <f t="shared" si="368"/>
        <v>1546</v>
      </c>
      <c r="H91" s="48">
        <f t="shared" si="368"/>
        <v>1546</v>
      </c>
      <c r="I91" s="48">
        <f t="shared" si="368"/>
        <v>1546</v>
      </c>
      <c r="J91" s="48">
        <f t="shared" si="368"/>
        <v>1546</v>
      </c>
      <c r="K91" s="48">
        <f t="shared" si="368"/>
        <v>1546</v>
      </c>
      <c r="L91" s="48">
        <f t="shared" si="368"/>
        <v>1546</v>
      </c>
      <c r="M91" s="48">
        <f t="shared" si="368"/>
        <v>1546</v>
      </c>
      <c r="N91" s="48">
        <f t="shared" si="368"/>
        <v>1546</v>
      </c>
      <c r="O91" s="48">
        <f t="shared" si="368"/>
        <v>1546</v>
      </c>
      <c r="P91" s="48">
        <f t="shared" si="368"/>
        <v>1546</v>
      </c>
      <c r="Q91" s="48">
        <f t="shared" si="368"/>
        <v>1546</v>
      </c>
      <c r="R91" s="48">
        <f t="shared" si="368"/>
        <v>1592.38</v>
      </c>
      <c r="S91" s="48">
        <f t="shared" si="368"/>
        <v>1592.38</v>
      </c>
      <c r="T91" s="48">
        <f t="shared" si="368"/>
        <v>1592.38</v>
      </c>
      <c r="U91" s="48">
        <f t="shared" si="368"/>
        <v>1592.38</v>
      </c>
      <c r="V91" s="48">
        <f t="shared" si="368"/>
        <v>1592.38</v>
      </c>
      <c r="W91" s="48">
        <f t="shared" si="368"/>
        <v>1592.38</v>
      </c>
      <c r="X91" s="48">
        <f t="shared" si="368"/>
        <v>1592.38</v>
      </c>
      <c r="Y91" s="48">
        <f t="shared" si="368"/>
        <v>1592.38</v>
      </c>
      <c r="Z91" s="48">
        <f t="shared" si="368"/>
        <v>1592.38</v>
      </c>
      <c r="AA91" s="48">
        <f t="shared" si="368"/>
        <v>1592.38</v>
      </c>
      <c r="AB91" s="48">
        <f t="shared" si="368"/>
        <v>1592.38</v>
      </c>
      <c r="AC91" s="48">
        <f t="shared" si="368"/>
        <v>1592.38</v>
      </c>
      <c r="AD91" s="48">
        <f t="shared" si="368"/>
        <v>1640.1513999999997</v>
      </c>
      <c r="AE91" s="48">
        <f t="shared" si="368"/>
        <v>1640.1513999999997</v>
      </c>
      <c r="AF91" s="48">
        <f t="shared" si="368"/>
        <v>1640.1513999999997</v>
      </c>
      <c r="AG91" s="48">
        <f t="shared" si="368"/>
        <v>1640.1513999999997</v>
      </c>
      <c r="AH91" s="48">
        <f t="shared" si="368"/>
        <v>1640.1513999999997</v>
      </c>
      <c r="AI91" s="48">
        <f t="shared" si="368"/>
        <v>1640.1513999999997</v>
      </c>
      <c r="AJ91" s="48">
        <f t="shared" si="368"/>
        <v>1640.1513999999997</v>
      </c>
      <c r="AK91" s="48">
        <f t="shared" si="368"/>
        <v>1640.1513999999997</v>
      </c>
      <c r="AL91" s="48">
        <f t="shared" ref="AL91:BQ91" si="369">SUMPRODUCT(FC_O*((FC_Mon="PYG")*AL$19+(FC_Mon&lt;&gt;"PYG"))*(1+FC_g)^(AL$17-1)*((FC_Desde=0)*(AL$16+AL$15)+(FC_Desde&gt;=1)*(AL$14&gt;=FC_Desde)*AL$15)*FC_IVA/(1+FC_IVA))</f>
        <v>1640.1513999999997</v>
      </c>
      <c r="AM91" s="48">
        <f t="shared" si="369"/>
        <v>1640.1513999999997</v>
      </c>
      <c r="AN91" s="48">
        <f t="shared" si="369"/>
        <v>1640.1513999999997</v>
      </c>
      <c r="AO91" s="48">
        <f t="shared" si="369"/>
        <v>1640.1513999999997</v>
      </c>
      <c r="AP91" s="48">
        <f t="shared" si="369"/>
        <v>1689.3559419999999</v>
      </c>
      <c r="AQ91" s="48">
        <f t="shared" si="369"/>
        <v>1689.3559419999999</v>
      </c>
      <c r="AR91" s="48">
        <f t="shared" si="369"/>
        <v>1689.3559419999999</v>
      </c>
      <c r="AS91" s="48">
        <f t="shared" si="369"/>
        <v>1689.3559419999999</v>
      </c>
      <c r="AT91" s="48">
        <f t="shared" si="369"/>
        <v>1689.3559419999999</v>
      </c>
      <c r="AU91" s="48">
        <f t="shared" si="369"/>
        <v>1689.3559419999999</v>
      </c>
      <c r="AV91" s="48">
        <f t="shared" si="369"/>
        <v>1689.3559419999999</v>
      </c>
      <c r="AW91" s="48">
        <f t="shared" si="369"/>
        <v>1689.3559419999999</v>
      </c>
      <c r="AX91" s="48">
        <f t="shared" si="369"/>
        <v>1689.3559419999999</v>
      </c>
      <c r="AY91" s="48">
        <f t="shared" si="369"/>
        <v>1689.3559419999999</v>
      </c>
      <c r="AZ91" s="48">
        <f t="shared" si="369"/>
        <v>1689.3559419999999</v>
      </c>
      <c r="BA91" s="48">
        <f t="shared" si="369"/>
        <v>1689.3559419999999</v>
      </c>
      <c r="BB91" s="48">
        <f t="shared" si="369"/>
        <v>1740.0366202599998</v>
      </c>
      <c r="BC91" s="48">
        <f t="shared" si="369"/>
        <v>1740.0366202599998</v>
      </c>
      <c r="BD91" s="48">
        <f t="shared" si="369"/>
        <v>1740.0366202599998</v>
      </c>
      <c r="BE91" s="48">
        <f t="shared" si="369"/>
        <v>1740.0366202599998</v>
      </c>
      <c r="BF91" s="48">
        <f t="shared" si="369"/>
        <v>1740.0366202599998</v>
      </c>
      <c r="BG91" s="48">
        <f t="shared" si="369"/>
        <v>1740.0366202599998</v>
      </c>
      <c r="BH91" s="48">
        <f t="shared" si="369"/>
        <v>1740.0366202599998</v>
      </c>
      <c r="BI91" s="48">
        <f t="shared" si="369"/>
        <v>1740.0366202599998</v>
      </c>
      <c r="BJ91" s="48">
        <f t="shared" si="369"/>
        <v>1740.0366202599998</v>
      </c>
      <c r="BK91" s="48">
        <f t="shared" si="369"/>
        <v>1740.0366202599998</v>
      </c>
      <c r="BL91" s="48">
        <f t="shared" si="369"/>
        <v>1740.0366202599998</v>
      </c>
      <c r="BM91" s="48">
        <f t="shared" si="369"/>
        <v>1740.0366202599998</v>
      </c>
      <c r="BN91" s="48">
        <f t="shared" si="369"/>
        <v>1792.2377188677997</v>
      </c>
      <c r="BO91" s="48">
        <f t="shared" si="369"/>
        <v>1792.2377188677997</v>
      </c>
      <c r="BP91" s="48">
        <f t="shared" si="369"/>
        <v>1792.2377188677997</v>
      </c>
      <c r="BQ91" s="48">
        <f t="shared" si="369"/>
        <v>1792.2377188677997</v>
      </c>
      <c r="BR91" s="48">
        <f t="shared" ref="BR91:CW91" si="370">SUMPRODUCT(FC_O*((FC_Mon="PYG")*BR$19+(FC_Mon&lt;&gt;"PYG"))*(1+FC_g)^(BR$17-1)*((FC_Desde=0)*(BR$16+BR$15)+(FC_Desde&gt;=1)*(BR$14&gt;=FC_Desde)*BR$15)*FC_IVA/(1+FC_IVA))</f>
        <v>1792.2377188677997</v>
      </c>
      <c r="BS91" s="48">
        <f t="shared" si="370"/>
        <v>1792.2377188677997</v>
      </c>
      <c r="BT91" s="48">
        <f t="shared" si="370"/>
        <v>1792.2377188677997</v>
      </c>
      <c r="BU91" s="48">
        <f t="shared" si="370"/>
        <v>1792.2377188677997</v>
      </c>
      <c r="BV91" s="48">
        <f t="shared" si="370"/>
        <v>1792.2377188677997</v>
      </c>
      <c r="BW91" s="48">
        <f t="shared" si="370"/>
        <v>1792.2377188677997</v>
      </c>
      <c r="BX91" s="48">
        <f t="shared" si="370"/>
        <v>1792.2377188677997</v>
      </c>
      <c r="BY91" s="48">
        <f t="shared" si="370"/>
        <v>1792.2377188677997</v>
      </c>
      <c r="BZ91" s="48">
        <f t="shared" si="370"/>
        <v>1846.0048504338338</v>
      </c>
      <c r="CA91" s="48">
        <f t="shared" si="370"/>
        <v>1846.0048504338338</v>
      </c>
      <c r="CB91" s="48">
        <f t="shared" si="370"/>
        <v>1846.0048504338338</v>
      </c>
      <c r="CC91" s="48">
        <f t="shared" si="370"/>
        <v>1846.0048504338338</v>
      </c>
      <c r="CD91" s="48">
        <f t="shared" si="370"/>
        <v>1846.0048504338338</v>
      </c>
      <c r="CE91" s="48">
        <f t="shared" si="370"/>
        <v>1846.0048504338338</v>
      </c>
      <c r="CF91" s="48">
        <f t="shared" si="370"/>
        <v>1846.0048504338338</v>
      </c>
      <c r="CG91" s="48">
        <f t="shared" si="370"/>
        <v>1846.0048504338338</v>
      </c>
      <c r="CH91" s="48">
        <f t="shared" si="370"/>
        <v>1846.0048504338338</v>
      </c>
      <c r="CI91" s="48">
        <f t="shared" si="370"/>
        <v>1846.0048504338338</v>
      </c>
      <c r="CJ91" s="48">
        <f t="shared" si="370"/>
        <v>1846.0048504338338</v>
      </c>
      <c r="CK91" s="48">
        <f t="shared" si="370"/>
        <v>1846.0048504338338</v>
      </c>
      <c r="CL91" s="48">
        <f t="shared" si="370"/>
        <v>1901.3849959468489</v>
      </c>
      <c r="CM91" s="48">
        <f t="shared" si="370"/>
        <v>1901.3849959468489</v>
      </c>
      <c r="CN91" s="48">
        <f t="shared" si="370"/>
        <v>1901.3849959468489</v>
      </c>
      <c r="CO91" s="48">
        <f t="shared" si="370"/>
        <v>1901.3849959468489</v>
      </c>
      <c r="CP91" s="48">
        <f t="shared" si="370"/>
        <v>1901.3849959468489</v>
      </c>
      <c r="CQ91" s="48">
        <f t="shared" si="370"/>
        <v>1901.3849959468489</v>
      </c>
      <c r="CR91" s="48">
        <f t="shared" si="370"/>
        <v>1901.3849959468489</v>
      </c>
      <c r="CS91" s="48">
        <f t="shared" si="370"/>
        <v>1901.3849959468489</v>
      </c>
      <c r="CT91" s="48">
        <f t="shared" si="370"/>
        <v>1901.3849959468489</v>
      </c>
      <c r="CU91" s="48">
        <f t="shared" si="370"/>
        <v>1901.3849959468489</v>
      </c>
      <c r="CV91" s="48">
        <f t="shared" si="370"/>
        <v>1901.3849959468489</v>
      </c>
      <c r="CW91" s="48">
        <f t="shared" si="370"/>
        <v>1901.3849959468489</v>
      </c>
      <c r="CX91" s="48">
        <f t="shared" ref="CX91:EC91" si="371">SUMPRODUCT(FC_O*((FC_Mon="PYG")*CX$19+(FC_Mon&lt;&gt;"PYG"))*(1+FC_g)^(CX$17-1)*((FC_Desde=0)*(CX$16+CX$15)+(FC_Desde&gt;=1)*(CX$14&gt;=FC_Desde)*CX$15)*FC_IVA/(1+FC_IVA))</f>
        <v>1958.4265458252539</v>
      </c>
      <c r="CY91" s="48">
        <f t="shared" si="371"/>
        <v>1958.4265458252539</v>
      </c>
      <c r="CZ91" s="48">
        <f t="shared" si="371"/>
        <v>1958.4265458252539</v>
      </c>
      <c r="DA91" s="48">
        <f t="shared" si="371"/>
        <v>1958.4265458252539</v>
      </c>
      <c r="DB91" s="48">
        <f t="shared" si="371"/>
        <v>1958.4265458252539</v>
      </c>
      <c r="DC91" s="48">
        <f t="shared" si="371"/>
        <v>1958.4265458252539</v>
      </c>
      <c r="DD91" s="48">
        <f t="shared" si="371"/>
        <v>1958.4265458252539</v>
      </c>
      <c r="DE91" s="48">
        <f t="shared" si="371"/>
        <v>1958.4265458252539</v>
      </c>
      <c r="DF91" s="48">
        <f t="shared" si="371"/>
        <v>1958.4265458252539</v>
      </c>
      <c r="DG91" s="48">
        <f t="shared" si="371"/>
        <v>1958.4265458252539</v>
      </c>
      <c r="DH91" s="48">
        <f t="shared" si="371"/>
        <v>1958.4265458252539</v>
      </c>
      <c r="DI91" s="48">
        <f t="shared" si="371"/>
        <v>1958.4265458252539</v>
      </c>
      <c r="DJ91" s="48">
        <f t="shared" si="371"/>
        <v>2017.1793422000117</v>
      </c>
      <c r="DK91" s="48">
        <f t="shared" si="371"/>
        <v>2017.1793422000117</v>
      </c>
      <c r="DL91" s="48">
        <f t="shared" si="371"/>
        <v>2017.1793422000117</v>
      </c>
      <c r="DM91" s="48">
        <f t="shared" si="371"/>
        <v>2017.1793422000117</v>
      </c>
      <c r="DN91" s="48">
        <f t="shared" si="371"/>
        <v>2017.1793422000117</v>
      </c>
      <c r="DO91" s="48">
        <f t="shared" si="371"/>
        <v>2017.1793422000117</v>
      </c>
      <c r="DP91" s="48">
        <f t="shared" si="371"/>
        <v>2017.1793422000117</v>
      </c>
      <c r="DQ91" s="48">
        <f t="shared" si="371"/>
        <v>2017.1793422000117</v>
      </c>
      <c r="DR91" s="48">
        <f t="shared" si="371"/>
        <v>2017.1793422000117</v>
      </c>
      <c r="DS91" s="48">
        <f t="shared" si="371"/>
        <v>2017.1793422000117</v>
      </c>
      <c r="DT91" s="48">
        <f t="shared" si="371"/>
        <v>2017.1793422000117</v>
      </c>
      <c r="DU91" s="48">
        <f t="shared" si="371"/>
        <v>2017.1793422000117</v>
      </c>
      <c r="DV91" s="48">
        <f t="shared" si="371"/>
        <v>0</v>
      </c>
      <c r="DW91" s="48">
        <f t="shared" si="371"/>
        <v>0</v>
      </c>
      <c r="DX91" s="48">
        <f t="shared" si="371"/>
        <v>0</v>
      </c>
      <c r="DY91" s="48">
        <f t="shared" si="371"/>
        <v>0</v>
      </c>
      <c r="DZ91" s="48">
        <f t="shared" si="371"/>
        <v>0</v>
      </c>
      <c r="EA91" s="48">
        <f t="shared" si="371"/>
        <v>0</v>
      </c>
      <c r="EB91" s="48">
        <f t="shared" si="371"/>
        <v>0</v>
      </c>
      <c r="EC91" s="48">
        <f t="shared" si="371"/>
        <v>0</v>
      </c>
      <c r="ED91" s="48">
        <f t="shared" ref="ED91:ES91" si="372">SUMPRODUCT(FC_O*((FC_Mon="PYG")*ED$19+(FC_Mon&lt;&gt;"PYG"))*(1+FC_g)^(ED$17-1)*((FC_Desde=0)*(ED$16+ED$15)+(FC_Desde&gt;=1)*(ED$14&gt;=FC_Desde)*ED$15)*FC_IVA/(1+FC_IVA))</f>
        <v>0</v>
      </c>
      <c r="EE91" s="48">
        <f t="shared" si="372"/>
        <v>0</v>
      </c>
      <c r="EF91" s="48">
        <f t="shared" si="372"/>
        <v>0</v>
      </c>
      <c r="EG91" s="48">
        <f t="shared" si="372"/>
        <v>0</v>
      </c>
      <c r="EH91" s="48">
        <f t="shared" si="372"/>
        <v>0</v>
      </c>
      <c r="EI91" s="48">
        <f t="shared" si="372"/>
        <v>0</v>
      </c>
      <c r="EJ91" s="48">
        <f t="shared" si="372"/>
        <v>0</v>
      </c>
      <c r="EK91" s="48">
        <f t="shared" si="372"/>
        <v>0</v>
      </c>
      <c r="EL91" s="48">
        <f t="shared" si="372"/>
        <v>0</v>
      </c>
      <c r="EM91" s="48">
        <f t="shared" si="372"/>
        <v>0</v>
      </c>
      <c r="EN91" s="48">
        <f t="shared" si="372"/>
        <v>0</v>
      </c>
      <c r="EO91" s="48">
        <f t="shared" si="372"/>
        <v>0</v>
      </c>
      <c r="EP91" s="48">
        <f t="shared" si="372"/>
        <v>0</v>
      </c>
      <c r="EQ91" s="48">
        <f t="shared" si="372"/>
        <v>0</v>
      </c>
      <c r="ER91" s="48">
        <f t="shared" si="372"/>
        <v>0</v>
      </c>
      <c r="ES91" s="48">
        <f t="shared" si="372"/>
        <v>0</v>
      </c>
    </row>
    <row r="92" spans="1:149" x14ac:dyDescent="0.3">
      <c r="A92" s="16"/>
      <c r="B92" s="15" t="s">
        <v>1088</v>
      </c>
      <c r="C92" s="16"/>
      <c r="D92" s="16"/>
      <c r="E92" s="16"/>
    </row>
    <row r="93" spans="1:149" x14ac:dyDescent="0.3">
      <c r="A93" s="14" t="s">
        <v>1089</v>
      </c>
      <c r="B93" s="18" t="s">
        <v>1090</v>
      </c>
      <c r="C93" s="18" t="s">
        <v>439</v>
      </c>
      <c r="E93" s="54">
        <f t="shared" ref="E93:E107" si="373">SUM(F93:ES93)</f>
        <v>39318093.383559987</v>
      </c>
      <c r="F93" s="48">
        <f t="shared" ref="F93:AK93" si="374">F$73+F$74</f>
        <v>199172.5</v>
      </c>
      <c r="G93" s="48">
        <f t="shared" si="374"/>
        <v>199172.5</v>
      </c>
      <c r="H93" s="48">
        <f t="shared" si="374"/>
        <v>199172.5</v>
      </c>
      <c r="I93" s="48">
        <f t="shared" si="374"/>
        <v>199172.5</v>
      </c>
      <c r="J93" s="48">
        <f t="shared" si="374"/>
        <v>199172.5</v>
      </c>
      <c r="K93" s="48">
        <f t="shared" si="374"/>
        <v>199172.5</v>
      </c>
      <c r="L93" s="48">
        <f t="shared" si="374"/>
        <v>199172.5</v>
      </c>
      <c r="M93" s="48">
        <f t="shared" si="374"/>
        <v>199172.5</v>
      </c>
      <c r="N93" s="48">
        <f t="shared" si="374"/>
        <v>199172.5</v>
      </c>
      <c r="O93" s="48">
        <f t="shared" si="374"/>
        <v>199172.5</v>
      </c>
      <c r="P93" s="48">
        <f t="shared" si="374"/>
        <v>199172.5</v>
      </c>
      <c r="Q93" s="48">
        <f t="shared" si="374"/>
        <v>199172.5</v>
      </c>
      <c r="R93" s="48">
        <f t="shared" si="374"/>
        <v>253108.875</v>
      </c>
      <c r="S93" s="48">
        <f t="shared" si="374"/>
        <v>253108.875</v>
      </c>
      <c r="T93" s="48">
        <f t="shared" si="374"/>
        <v>253108.875</v>
      </c>
      <c r="U93" s="48">
        <f t="shared" si="374"/>
        <v>253108.875</v>
      </c>
      <c r="V93" s="48">
        <f t="shared" si="374"/>
        <v>253108.875</v>
      </c>
      <c r="W93" s="48">
        <f t="shared" si="374"/>
        <v>253108.875</v>
      </c>
      <c r="X93" s="48">
        <f t="shared" si="374"/>
        <v>253108.875</v>
      </c>
      <c r="Y93" s="48">
        <f t="shared" si="374"/>
        <v>253108.875</v>
      </c>
      <c r="Z93" s="48">
        <f t="shared" si="374"/>
        <v>253108.875</v>
      </c>
      <c r="AA93" s="48">
        <f t="shared" si="374"/>
        <v>253108.875</v>
      </c>
      <c r="AB93" s="48">
        <f t="shared" si="374"/>
        <v>253108.875</v>
      </c>
      <c r="AC93" s="48">
        <f t="shared" si="374"/>
        <v>253108.875</v>
      </c>
      <c r="AD93" s="48">
        <f t="shared" si="374"/>
        <v>307724.69</v>
      </c>
      <c r="AE93" s="48">
        <f t="shared" si="374"/>
        <v>307724.69</v>
      </c>
      <c r="AF93" s="48">
        <f t="shared" si="374"/>
        <v>307724.69</v>
      </c>
      <c r="AG93" s="48">
        <f t="shared" si="374"/>
        <v>307724.69</v>
      </c>
      <c r="AH93" s="48">
        <f t="shared" si="374"/>
        <v>307724.69</v>
      </c>
      <c r="AI93" s="48">
        <f t="shared" si="374"/>
        <v>307724.69</v>
      </c>
      <c r="AJ93" s="48">
        <f t="shared" si="374"/>
        <v>307724.69</v>
      </c>
      <c r="AK93" s="48">
        <f t="shared" si="374"/>
        <v>307724.69</v>
      </c>
      <c r="AL93" s="48">
        <f t="shared" ref="AL93:BQ93" si="375">AL$73+AL$74</f>
        <v>307724.69</v>
      </c>
      <c r="AM93" s="48">
        <f t="shared" si="375"/>
        <v>307724.69</v>
      </c>
      <c r="AN93" s="48">
        <f t="shared" si="375"/>
        <v>307724.69</v>
      </c>
      <c r="AO93" s="48">
        <f t="shared" si="375"/>
        <v>307724.69</v>
      </c>
      <c r="AP93" s="48">
        <f t="shared" si="375"/>
        <v>352625.46498749999</v>
      </c>
      <c r="AQ93" s="48">
        <f t="shared" si="375"/>
        <v>352625.46498749999</v>
      </c>
      <c r="AR93" s="48">
        <f t="shared" si="375"/>
        <v>352625.46498749999</v>
      </c>
      <c r="AS93" s="48">
        <f t="shared" si="375"/>
        <v>352625.46498749999</v>
      </c>
      <c r="AT93" s="48">
        <f t="shared" si="375"/>
        <v>352625.46498749999</v>
      </c>
      <c r="AU93" s="48">
        <f t="shared" si="375"/>
        <v>352625.46498749999</v>
      </c>
      <c r="AV93" s="48">
        <f t="shared" si="375"/>
        <v>352625.46498749999</v>
      </c>
      <c r="AW93" s="48">
        <f t="shared" si="375"/>
        <v>352625.46498749999</v>
      </c>
      <c r="AX93" s="48">
        <f t="shared" si="375"/>
        <v>352625.46498749999</v>
      </c>
      <c r="AY93" s="48">
        <f t="shared" si="375"/>
        <v>352625.46498749999</v>
      </c>
      <c r="AZ93" s="48">
        <f t="shared" si="375"/>
        <v>352625.46498749999</v>
      </c>
      <c r="BA93" s="48">
        <f t="shared" si="375"/>
        <v>352625.46498749999</v>
      </c>
      <c r="BB93" s="48">
        <f t="shared" si="375"/>
        <v>354879.119637375</v>
      </c>
      <c r="BC93" s="48">
        <f t="shared" si="375"/>
        <v>354879.119637375</v>
      </c>
      <c r="BD93" s="48">
        <f t="shared" si="375"/>
        <v>354879.119637375</v>
      </c>
      <c r="BE93" s="48">
        <f t="shared" si="375"/>
        <v>354879.119637375</v>
      </c>
      <c r="BF93" s="48">
        <f t="shared" si="375"/>
        <v>354879.119637375</v>
      </c>
      <c r="BG93" s="48">
        <f t="shared" si="375"/>
        <v>354879.119637375</v>
      </c>
      <c r="BH93" s="48">
        <f t="shared" si="375"/>
        <v>354879.119637375</v>
      </c>
      <c r="BI93" s="48">
        <f t="shared" si="375"/>
        <v>354879.119637375</v>
      </c>
      <c r="BJ93" s="48">
        <f t="shared" si="375"/>
        <v>354879.119637375</v>
      </c>
      <c r="BK93" s="48">
        <f t="shared" si="375"/>
        <v>354879.119637375</v>
      </c>
      <c r="BL93" s="48">
        <f t="shared" si="375"/>
        <v>354879.119637375</v>
      </c>
      <c r="BM93" s="48">
        <f t="shared" si="375"/>
        <v>354879.119637375</v>
      </c>
      <c r="BN93" s="48">
        <f t="shared" si="375"/>
        <v>357155.31083374872</v>
      </c>
      <c r="BO93" s="48">
        <f t="shared" si="375"/>
        <v>357155.31083374872</v>
      </c>
      <c r="BP93" s="48">
        <f t="shared" si="375"/>
        <v>357155.31083374872</v>
      </c>
      <c r="BQ93" s="48">
        <f t="shared" si="375"/>
        <v>357155.31083374872</v>
      </c>
      <c r="BR93" s="48">
        <f t="shared" ref="BR93:CW93" si="376">BR$73+BR$74</f>
        <v>357155.31083374872</v>
      </c>
      <c r="BS93" s="48">
        <f t="shared" si="376"/>
        <v>357155.31083374872</v>
      </c>
      <c r="BT93" s="48">
        <f t="shared" si="376"/>
        <v>357155.31083374872</v>
      </c>
      <c r="BU93" s="48">
        <f t="shared" si="376"/>
        <v>357155.31083374872</v>
      </c>
      <c r="BV93" s="48">
        <f t="shared" si="376"/>
        <v>357155.31083374872</v>
      </c>
      <c r="BW93" s="48">
        <f t="shared" si="376"/>
        <v>357155.31083374872</v>
      </c>
      <c r="BX93" s="48">
        <f t="shared" si="376"/>
        <v>357155.31083374872</v>
      </c>
      <c r="BY93" s="48">
        <f t="shared" si="376"/>
        <v>357155.31083374872</v>
      </c>
      <c r="BZ93" s="48">
        <f t="shared" si="376"/>
        <v>359454.26394208625</v>
      </c>
      <c r="CA93" s="48">
        <f t="shared" si="376"/>
        <v>359454.26394208625</v>
      </c>
      <c r="CB93" s="48">
        <f t="shared" si="376"/>
        <v>359454.26394208625</v>
      </c>
      <c r="CC93" s="48">
        <f t="shared" si="376"/>
        <v>359454.26394208625</v>
      </c>
      <c r="CD93" s="48">
        <f t="shared" si="376"/>
        <v>359454.26394208625</v>
      </c>
      <c r="CE93" s="48">
        <f t="shared" si="376"/>
        <v>359454.26394208625</v>
      </c>
      <c r="CF93" s="48">
        <f t="shared" si="376"/>
        <v>359454.26394208625</v>
      </c>
      <c r="CG93" s="48">
        <f t="shared" si="376"/>
        <v>359454.26394208625</v>
      </c>
      <c r="CH93" s="48">
        <f t="shared" si="376"/>
        <v>359454.26394208625</v>
      </c>
      <c r="CI93" s="48">
        <f t="shared" si="376"/>
        <v>359454.26394208625</v>
      </c>
      <c r="CJ93" s="48">
        <f t="shared" si="376"/>
        <v>359454.26394208625</v>
      </c>
      <c r="CK93" s="48">
        <f t="shared" si="376"/>
        <v>359454.26394208625</v>
      </c>
      <c r="CL93" s="48">
        <f t="shared" si="376"/>
        <v>361776.20658150705</v>
      </c>
      <c r="CM93" s="48">
        <f t="shared" si="376"/>
        <v>361776.20658150705</v>
      </c>
      <c r="CN93" s="48">
        <f t="shared" si="376"/>
        <v>361776.20658150705</v>
      </c>
      <c r="CO93" s="48">
        <f t="shared" si="376"/>
        <v>361776.20658150705</v>
      </c>
      <c r="CP93" s="48">
        <f t="shared" si="376"/>
        <v>361776.20658150705</v>
      </c>
      <c r="CQ93" s="48">
        <f t="shared" si="376"/>
        <v>361776.20658150705</v>
      </c>
      <c r="CR93" s="48">
        <f t="shared" si="376"/>
        <v>361776.20658150705</v>
      </c>
      <c r="CS93" s="48">
        <f t="shared" si="376"/>
        <v>361776.20658150705</v>
      </c>
      <c r="CT93" s="48">
        <f t="shared" si="376"/>
        <v>361776.20658150705</v>
      </c>
      <c r="CU93" s="48">
        <f t="shared" si="376"/>
        <v>361776.20658150705</v>
      </c>
      <c r="CV93" s="48">
        <f t="shared" si="376"/>
        <v>361776.20658150705</v>
      </c>
      <c r="CW93" s="48">
        <f t="shared" si="376"/>
        <v>361776.20658150705</v>
      </c>
      <c r="CX93" s="48">
        <f t="shared" ref="CX93:EC93" si="377">CX$73+CX$74</f>
        <v>364121.36864732218</v>
      </c>
      <c r="CY93" s="48">
        <f t="shared" si="377"/>
        <v>364121.36864732218</v>
      </c>
      <c r="CZ93" s="48">
        <f t="shared" si="377"/>
        <v>364121.36864732218</v>
      </c>
      <c r="DA93" s="48">
        <f t="shared" si="377"/>
        <v>364121.36864732218</v>
      </c>
      <c r="DB93" s="48">
        <f t="shared" si="377"/>
        <v>364121.36864732218</v>
      </c>
      <c r="DC93" s="48">
        <f t="shared" si="377"/>
        <v>364121.36864732218</v>
      </c>
      <c r="DD93" s="48">
        <f t="shared" si="377"/>
        <v>364121.36864732218</v>
      </c>
      <c r="DE93" s="48">
        <f t="shared" si="377"/>
        <v>364121.36864732218</v>
      </c>
      <c r="DF93" s="48">
        <f t="shared" si="377"/>
        <v>364121.36864732218</v>
      </c>
      <c r="DG93" s="48">
        <f t="shared" si="377"/>
        <v>364121.36864732218</v>
      </c>
      <c r="DH93" s="48">
        <f t="shared" si="377"/>
        <v>364121.36864732218</v>
      </c>
      <c r="DI93" s="48">
        <f t="shared" si="377"/>
        <v>364121.36864732218</v>
      </c>
      <c r="DJ93" s="48">
        <f t="shared" si="377"/>
        <v>366489.9823337954</v>
      </c>
      <c r="DK93" s="48">
        <f t="shared" si="377"/>
        <v>366489.9823337954</v>
      </c>
      <c r="DL93" s="48">
        <f t="shared" si="377"/>
        <v>366489.9823337954</v>
      </c>
      <c r="DM93" s="48">
        <f t="shared" si="377"/>
        <v>366489.9823337954</v>
      </c>
      <c r="DN93" s="48">
        <f t="shared" si="377"/>
        <v>366489.9823337954</v>
      </c>
      <c r="DO93" s="48">
        <f t="shared" si="377"/>
        <v>366489.9823337954</v>
      </c>
      <c r="DP93" s="48">
        <f t="shared" si="377"/>
        <v>366489.9823337954</v>
      </c>
      <c r="DQ93" s="48">
        <f t="shared" si="377"/>
        <v>366489.9823337954</v>
      </c>
      <c r="DR93" s="48">
        <f t="shared" si="377"/>
        <v>366489.9823337954</v>
      </c>
      <c r="DS93" s="48">
        <f t="shared" si="377"/>
        <v>366489.9823337954</v>
      </c>
      <c r="DT93" s="48">
        <f t="shared" si="377"/>
        <v>366489.9823337954</v>
      </c>
      <c r="DU93" s="48">
        <f t="shared" si="377"/>
        <v>366489.9823337954</v>
      </c>
      <c r="DV93" s="48">
        <f t="shared" si="377"/>
        <v>0</v>
      </c>
      <c r="DW93" s="48">
        <f t="shared" si="377"/>
        <v>0</v>
      </c>
      <c r="DX93" s="48">
        <f t="shared" si="377"/>
        <v>0</v>
      </c>
      <c r="DY93" s="48">
        <f t="shared" si="377"/>
        <v>0</v>
      </c>
      <c r="DZ93" s="48">
        <f t="shared" si="377"/>
        <v>0</v>
      </c>
      <c r="EA93" s="48">
        <f t="shared" si="377"/>
        <v>0</v>
      </c>
      <c r="EB93" s="48">
        <f t="shared" si="377"/>
        <v>0</v>
      </c>
      <c r="EC93" s="48">
        <f t="shared" si="377"/>
        <v>0</v>
      </c>
      <c r="ED93" s="48">
        <f t="shared" ref="ED93:ES93" si="378">ED$73+ED$74</f>
        <v>0</v>
      </c>
      <c r="EE93" s="48">
        <f t="shared" si="378"/>
        <v>0</v>
      </c>
      <c r="EF93" s="48">
        <f t="shared" si="378"/>
        <v>0</v>
      </c>
      <c r="EG93" s="48">
        <f t="shared" si="378"/>
        <v>0</v>
      </c>
      <c r="EH93" s="48">
        <f t="shared" si="378"/>
        <v>0</v>
      </c>
      <c r="EI93" s="48">
        <f t="shared" si="378"/>
        <v>0</v>
      </c>
      <c r="EJ93" s="48">
        <f t="shared" si="378"/>
        <v>0</v>
      </c>
      <c r="EK93" s="48">
        <f t="shared" si="378"/>
        <v>0</v>
      </c>
      <c r="EL93" s="48">
        <f t="shared" si="378"/>
        <v>0</v>
      </c>
      <c r="EM93" s="48">
        <f t="shared" si="378"/>
        <v>0</v>
      </c>
      <c r="EN93" s="48">
        <f t="shared" si="378"/>
        <v>0</v>
      </c>
      <c r="EO93" s="48">
        <f t="shared" si="378"/>
        <v>0</v>
      </c>
      <c r="EP93" s="48">
        <f t="shared" si="378"/>
        <v>0</v>
      </c>
      <c r="EQ93" s="48">
        <f t="shared" si="378"/>
        <v>0</v>
      </c>
      <c r="ER93" s="48">
        <f t="shared" si="378"/>
        <v>0</v>
      </c>
      <c r="ES93" s="48">
        <f t="shared" si="378"/>
        <v>0</v>
      </c>
    </row>
    <row r="94" spans="1:149" x14ac:dyDescent="0.3">
      <c r="A94" s="14" t="s">
        <v>1091</v>
      </c>
      <c r="B94" s="18" t="s">
        <v>1092</v>
      </c>
      <c r="C94" s="18" t="s">
        <v>439</v>
      </c>
      <c r="E94" s="54">
        <f t="shared" si="373"/>
        <v>10172052.527574575</v>
      </c>
      <c r="F94" s="48">
        <f t="shared" ref="F94:AK94" si="379">F$75+F$76+F$83+F$84</f>
        <v>52969.9652546379</v>
      </c>
      <c r="G94" s="48">
        <f t="shared" si="379"/>
        <v>52969.9652546379</v>
      </c>
      <c r="H94" s="48">
        <f t="shared" si="379"/>
        <v>52969.9652546379</v>
      </c>
      <c r="I94" s="48">
        <f t="shared" si="379"/>
        <v>52969.9652546379</v>
      </c>
      <c r="J94" s="48">
        <f t="shared" si="379"/>
        <v>52969.9652546379</v>
      </c>
      <c r="K94" s="48">
        <f t="shared" si="379"/>
        <v>52969.9652546379</v>
      </c>
      <c r="L94" s="48">
        <f t="shared" si="379"/>
        <v>52969.9652546379</v>
      </c>
      <c r="M94" s="48">
        <f t="shared" si="379"/>
        <v>52969.9652546379</v>
      </c>
      <c r="N94" s="48">
        <f t="shared" si="379"/>
        <v>52969.9652546379</v>
      </c>
      <c r="O94" s="48">
        <f t="shared" si="379"/>
        <v>52969.9652546379</v>
      </c>
      <c r="P94" s="48">
        <f t="shared" si="379"/>
        <v>52969.9652546379</v>
      </c>
      <c r="Q94" s="48">
        <f t="shared" si="379"/>
        <v>52969.9652546379</v>
      </c>
      <c r="R94" s="48">
        <f t="shared" si="379"/>
        <v>66880.96017047124</v>
      </c>
      <c r="S94" s="48">
        <f t="shared" si="379"/>
        <v>66880.96017047124</v>
      </c>
      <c r="T94" s="48">
        <f t="shared" si="379"/>
        <v>66880.96017047124</v>
      </c>
      <c r="U94" s="48">
        <f t="shared" si="379"/>
        <v>66880.96017047124</v>
      </c>
      <c r="V94" s="48">
        <f t="shared" si="379"/>
        <v>66880.96017047124</v>
      </c>
      <c r="W94" s="48">
        <f t="shared" si="379"/>
        <v>66880.96017047124</v>
      </c>
      <c r="X94" s="48">
        <f t="shared" si="379"/>
        <v>66880.96017047124</v>
      </c>
      <c r="Y94" s="48">
        <f t="shared" si="379"/>
        <v>66880.96017047124</v>
      </c>
      <c r="Z94" s="48">
        <f t="shared" si="379"/>
        <v>66880.96017047124</v>
      </c>
      <c r="AA94" s="48">
        <f t="shared" si="379"/>
        <v>66880.96017047124</v>
      </c>
      <c r="AB94" s="48">
        <f t="shared" si="379"/>
        <v>66880.96017047124</v>
      </c>
      <c r="AC94" s="48">
        <f t="shared" si="379"/>
        <v>66880.96017047124</v>
      </c>
      <c r="AD94" s="48">
        <f t="shared" si="379"/>
        <v>80847.765114742244</v>
      </c>
      <c r="AE94" s="48">
        <f t="shared" si="379"/>
        <v>80847.765114742244</v>
      </c>
      <c r="AF94" s="48">
        <f t="shared" si="379"/>
        <v>80847.765114742244</v>
      </c>
      <c r="AG94" s="48">
        <f t="shared" si="379"/>
        <v>80847.765114742244</v>
      </c>
      <c r="AH94" s="48">
        <f t="shared" si="379"/>
        <v>80847.765114742244</v>
      </c>
      <c r="AI94" s="48">
        <f t="shared" si="379"/>
        <v>80847.765114742244</v>
      </c>
      <c r="AJ94" s="48">
        <f t="shared" si="379"/>
        <v>80847.765114742244</v>
      </c>
      <c r="AK94" s="48">
        <f t="shared" si="379"/>
        <v>80847.765114742244</v>
      </c>
      <c r="AL94" s="48">
        <f t="shared" ref="AL94:BQ94" si="380">AL$75+AL$76+AL$83+AL$84</f>
        <v>80847.765114742244</v>
      </c>
      <c r="AM94" s="48">
        <f t="shared" si="380"/>
        <v>80847.765114742244</v>
      </c>
      <c r="AN94" s="48">
        <f t="shared" si="380"/>
        <v>80847.765114742244</v>
      </c>
      <c r="AO94" s="48">
        <f t="shared" si="380"/>
        <v>80847.765114742244</v>
      </c>
      <c r="AP94" s="48">
        <f t="shared" si="380"/>
        <v>92105.411257452884</v>
      </c>
      <c r="AQ94" s="48">
        <f t="shared" si="380"/>
        <v>92105.411257452884</v>
      </c>
      <c r="AR94" s="48">
        <f t="shared" si="380"/>
        <v>92105.411257452884</v>
      </c>
      <c r="AS94" s="48">
        <f t="shared" si="380"/>
        <v>92105.411257452884</v>
      </c>
      <c r="AT94" s="48">
        <f t="shared" si="380"/>
        <v>92105.411257452884</v>
      </c>
      <c r="AU94" s="48">
        <f t="shared" si="380"/>
        <v>92105.411257452884</v>
      </c>
      <c r="AV94" s="48">
        <f t="shared" si="380"/>
        <v>92105.411257452884</v>
      </c>
      <c r="AW94" s="48">
        <f t="shared" si="380"/>
        <v>92105.411257452884</v>
      </c>
      <c r="AX94" s="48">
        <f t="shared" si="380"/>
        <v>92105.411257452884</v>
      </c>
      <c r="AY94" s="48">
        <f t="shared" si="380"/>
        <v>92105.411257452884</v>
      </c>
      <c r="AZ94" s="48">
        <f t="shared" si="380"/>
        <v>92105.411257452884</v>
      </c>
      <c r="BA94" s="48">
        <f t="shared" si="380"/>
        <v>92105.411257452884</v>
      </c>
      <c r="BB94" s="48">
        <f t="shared" si="380"/>
        <v>92228.62568261534</v>
      </c>
      <c r="BC94" s="48">
        <f t="shared" si="380"/>
        <v>92228.62568261534</v>
      </c>
      <c r="BD94" s="48">
        <f t="shared" si="380"/>
        <v>92228.62568261534</v>
      </c>
      <c r="BE94" s="48">
        <f t="shared" si="380"/>
        <v>92228.62568261534</v>
      </c>
      <c r="BF94" s="48">
        <f t="shared" si="380"/>
        <v>92228.62568261534</v>
      </c>
      <c r="BG94" s="48">
        <f t="shared" si="380"/>
        <v>92228.62568261534</v>
      </c>
      <c r="BH94" s="48">
        <f t="shared" si="380"/>
        <v>92228.62568261534</v>
      </c>
      <c r="BI94" s="48">
        <f t="shared" si="380"/>
        <v>92228.62568261534</v>
      </c>
      <c r="BJ94" s="48">
        <f t="shared" si="380"/>
        <v>92228.62568261534</v>
      </c>
      <c r="BK94" s="48">
        <f t="shared" si="380"/>
        <v>92228.62568261534</v>
      </c>
      <c r="BL94" s="48">
        <f t="shared" si="380"/>
        <v>92228.62568261534</v>
      </c>
      <c r="BM94" s="48">
        <f t="shared" si="380"/>
        <v>92228.62568261534</v>
      </c>
      <c r="BN94" s="48">
        <f t="shared" si="380"/>
        <v>92326.983573640537</v>
      </c>
      <c r="BO94" s="48">
        <f t="shared" si="380"/>
        <v>92326.983573640537</v>
      </c>
      <c r="BP94" s="48">
        <f t="shared" si="380"/>
        <v>92326.983573640537</v>
      </c>
      <c r="BQ94" s="48">
        <f t="shared" si="380"/>
        <v>92326.983573640537</v>
      </c>
      <c r="BR94" s="48">
        <f t="shared" ref="BR94:CW94" si="381">BR$75+BR$76+BR$83+BR$84</f>
        <v>92326.983573640537</v>
      </c>
      <c r="BS94" s="48">
        <f t="shared" si="381"/>
        <v>92326.983573640537</v>
      </c>
      <c r="BT94" s="48">
        <f t="shared" si="381"/>
        <v>92326.983573640537</v>
      </c>
      <c r="BU94" s="48">
        <f t="shared" si="381"/>
        <v>92326.983573640537</v>
      </c>
      <c r="BV94" s="48">
        <f t="shared" si="381"/>
        <v>92326.983573640537</v>
      </c>
      <c r="BW94" s="48">
        <f t="shared" si="381"/>
        <v>92326.983573640537</v>
      </c>
      <c r="BX94" s="48">
        <f t="shared" si="381"/>
        <v>92326.983573640537</v>
      </c>
      <c r="BY94" s="48">
        <f t="shared" si="381"/>
        <v>92326.983573640537</v>
      </c>
      <c r="BZ94" s="48">
        <f t="shared" si="381"/>
        <v>92426.325043575984</v>
      </c>
      <c r="CA94" s="48">
        <f t="shared" si="381"/>
        <v>92426.325043575984</v>
      </c>
      <c r="CB94" s="48">
        <f t="shared" si="381"/>
        <v>92426.325043575984</v>
      </c>
      <c r="CC94" s="48">
        <f t="shared" si="381"/>
        <v>92426.325043575984</v>
      </c>
      <c r="CD94" s="48">
        <f t="shared" si="381"/>
        <v>92426.325043575984</v>
      </c>
      <c r="CE94" s="48">
        <f t="shared" si="381"/>
        <v>92426.325043575984</v>
      </c>
      <c r="CF94" s="48">
        <f t="shared" si="381"/>
        <v>92426.325043575984</v>
      </c>
      <c r="CG94" s="48">
        <f t="shared" si="381"/>
        <v>92426.325043575984</v>
      </c>
      <c r="CH94" s="48">
        <f t="shared" si="381"/>
        <v>92426.325043575984</v>
      </c>
      <c r="CI94" s="48">
        <f t="shared" si="381"/>
        <v>92426.325043575984</v>
      </c>
      <c r="CJ94" s="48">
        <f t="shared" si="381"/>
        <v>92426.325043575984</v>
      </c>
      <c r="CK94" s="48">
        <f t="shared" si="381"/>
        <v>92426.325043575984</v>
      </c>
      <c r="CL94" s="48">
        <f t="shared" si="381"/>
        <v>92526.659928210793</v>
      </c>
      <c r="CM94" s="48">
        <f t="shared" si="381"/>
        <v>92526.659928210793</v>
      </c>
      <c r="CN94" s="48">
        <f t="shared" si="381"/>
        <v>92526.659928210793</v>
      </c>
      <c r="CO94" s="48">
        <f t="shared" si="381"/>
        <v>92526.659928210793</v>
      </c>
      <c r="CP94" s="48">
        <f t="shared" si="381"/>
        <v>92526.659928210793</v>
      </c>
      <c r="CQ94" s="48">
        <f t="shared" si="381"/>
        <v>92526.659928210793</v>
      </c>
      <c r="CR94" s="48">
        <f t="shared" si="381"/>
        <v>92526.659928210793</v>
      </c>
      <c r="CS94" s="48">
        <f t="shared" si="381"/>
        <v>92526.659928210793</v>
      </c>
      <c r="CT94" s="48">
        <f t="shared" si="381"/>
        <v>92526.659928210793</v>
      </c>
      <c r="CU94" s="48">
        <f t="shared" si="381"/>
        <v>92526.659928210793</v>
      </c>
      <c r="CV94" s="48">
        <f t="shared" si="381"/>
        <v>92526.659928210793</v>
      </c>
      <c r="CW94" s="48">
        <f t="shared" si="381"/>
        <v>92526.659928210793</v>
      </c>
      <c r="CX94" s="48">
        <f t="shared" ref="CX94:EC94" si="382">CX$75+CX$76+CX$83+CX$84</f>
        <v>92627.998161691954</v>
      </c>
      <c r="CY94" s="48">
        <f t="shared" si="382"/>
        <v>92627.998161691954</v>
      </c>
      <c r="CZ94" s="48">
        <f t="shared" si="382"/>
        <v>92627.998161691954</v>
      </c>
      <c r="DA94" s="48">
        <f t="shared" si="382"/>
        <v>92627.998161691954</v>
      </c>
      <c r="DB94" s="48">
        <f t="shared" si="382"/>
        <v>92627.998161691954</v>
      </c>
      <c r="DC94" s="48">
        <f t="shared" si="382"/>
        <v>92627.998161691954</v>
      </c>
      <c r="DD94" s="48">
        <f t="shared" si="382"/>
        <v>92627.998161691954</v>
      </c>
      <c r="DE94" s="48">
        <f t="shared" si="382"/>
        <v>92627.998161691954</v>
      </c>
      <c r="DF94" s="48">
        <f t="shared" si="382"/>
        <v>92627.998161691954</v>
      </c>
      <c r="DG94" s="48">
        <f t="shared" si="382"/>
        <v>92627.998161691954</v>
      </c>
      <c r="DH94" s="48">
        <f t="shared" si="382"/>
        <v>92627.998161691954</v>
      </c>
      <c r="DI94" s="48">
        <f t="shared" si="382"/>
        <v>92627.998161691954</v>
      </c>
      <c r="DJ94" s="48">
        <f t="shared" si="382"/>
        <v>92730.349777507916</v>
      </c>
      <c r="DK94" s="48">
        <f t="shared" si="382"/>
        <v>92730.349777507916</v>
      </c>
      <c r="DL94" s="48">
        <f t="shared" si="382"/>
        <v>92730.349777507916</v>
      </c>
      <c r="DM94" s="48">
        <f t="shared" si="382"/>
        <v>92730.349777507916</v>
      </c>
      <c r="DN94" s="48">
        <f t="shared" si="382"/>
        <v>92730.349777507916</v>
      </c>
      <c r="DO94" s="48">
        <f t="shared" si="382"/>
        <v>92730.349777507916</v>
      </c>
      <c r="DP94" s="48">
        <f t="shared" si="382"/>
        <v>92730.349777507916</v>
      </c>
      <c r="DQ94" s="48">
        <f t="shared" si="382"/>
        <v>92730.349777507916</v>
      </c>
      <c r="DR94" s="48">
        <f t="shared" si="382"/>
        <v>92730.349777507916</v>
      </c>
      <c r="DS94" s="48">
        <f t="shared" si="382"/>
        <v>92730.349777507916</v>
      </c>
      <c r="DT94" s="48">
        <f t="shared" si="382"/>
        <v>92730.349777507916</v>
      </c>
      <c r="DU94" s="48">
        <f t="shared" si="382"/>
        <v>92730.349777507916</v>
      </c>
      <c r="DV94" s="48">
        <f t="shared" si="382"/>
        <v>0</v>
      </c>
      <c r="DW94" s="48">
        <f t="shared" si="382"/>
        <v>0</v>
      </c>
      <c r="DX94" s="48">
        <f t="shared" si="382"/>
        <v>0</v>
      </c>
      <c r="DY94" s="48">
        <f t="shared" si="382"/>
        <v>0</v>
      </c>
      <c r="DZ94" s="48">
        <f t="shared" si="382"/>
        <v>0</v>
      </c>
      <c r="EA94" s="48">
        <f t="shared" si="382"/>
        <v>0</v>
      </c>
      <c r="EB94" s="48">
        <f t="shared" si="382"/>
        <v>0</v>
      </c>
      <c r="EC94" s="48">
        <f t="shared" si="382"/>
        <v>0</v>
      </c>
      <c r="ED94" s="48">
        <f t="shared" ref="ED94:ES94" si="383">ED$75+ED$76+ED$83+ED$84</f>
        <v>0</v>
      </c>
      <c r="EE94" s="48">
        <f t="shared" si="383"/>
        <v>0</v>
      </c>
      <c r="EF94" s="48">
        <f t="shared" si="383"/>
        <v>0</v>
      </c>
      <c r="EG94" s="48">
        <f t="shared" si="383"/>
        <v>0</v>
      </c>
      <c r="EH94" s="48">
        <f t="shared" si="383"/>
        <v>0</v>
      </c>
      <c r="EI94" s="48">
        <f t="shared" si="383"/>
        <v>0</v>
      </c>
      <c r="EJ94" s="48">
        <f t="shared" si="383"/>
        <v>0</v>
      </c>
      <c r="EK94" s="48">
        <f t="shared" si="383"/>
        <v>0</v>
      </c>
      <c r="EL94" s="48">
        <f t="shared" si="383"/>
        <v>0</v>
      </c>
      <c r="EM94" s="48">
        <f t="shared" si="383"/>
        <v>0</v>
      </c>
      <c r="EN94" s="48">
        <f t="shared" si="383"/>
        <v>0</v>
      </c>
      <c r="EO94" s="48">
        <f t="shared" si="383"/>
        <v>0</v>
      </c>
      <c r="EP94" s="48">
        <f t="shared" si="383"/>
        <v>0</v>
      </c>
      <c r="EQ94" s="48">
        <f t="shared" si="383"/>
        <v>0</v>
      </c>
      <c r="ER94" s="48">
        <f t="shared" si="383"/>
        <v>0</v>
      </c>
      <c r="ES94" s="48">
        <f t="shared" si="383"/>
        <v>0</v>
      </c>
    </row>
    <row r="95" spans="1:149" x14ac:dyDescent="0.3">
      <c r="A95" s="14" t="s">
        <v>1093</v>
      </c>
      <c r="B95" s="18" t="s">
        <v>1094</v>
      </c>
      <c r="C95" s="18" t="s">
        <v>439</v>
      </c>
      <c r="E95" s="54">
        <f t="shared" si="373"/>
        <v>6984448.3029332152</v>
      </c>
      <c r="F95" s="48">
        <f t="shared" ref="F95:AK95" si="384">F$78+F$80</f>
        <v>53054.720696136981</v>
      </c>
      <c r="G95" s="48">
        <f t="shared" si="384"/>
        <v>53054.720696136981</v>
      </c>
      <c r="H95" s="48">
        <f t="shared" si="384"/>
        <v>53054.720696136981</v>
      </c>
      <c r="I95" s="48">
        <f t="shared" si="384"/>
        <v>53054.720696136981</v>
      </c>
      <c r="J95" s="48">
        <f t="shared" si="384"/>
        <v>53054.720696136981</v>
      </c>
      <c r="K95" s="48">
        <f t="shared" si="384"/>
        <v>53054.720696136981</v>
      </c>
      <c r="L95" s="48">
        <f t="shared" si="384"/>
        <v>53054.720696136981</v>
      </c>
      <c r="M95" s="48">
        <f t="shared" si="384"/>
        <v>53054.720696136981</v>
      </c>
      <c r="N95" s="48">
        <f t="shared" si="384"/>
        <v>53054.720696136981</v>
      </c>
      <c r="O95" s="48">
        <f t="shared" si="384"/>
        <v>53054.720696136981</v>
      </c>
      <c r="P95" s="48">
        <f t="shared" si="384"/>
        <v>53054.720696136981</v>
      </c>
      <c r="Q95" s="48">
        <f t="shared" si="384"/>
        <v>53054.720696136981</v>
      </c>
      <c r="R95" s="48">
        <f t="shared" si="384"/>
        <v>53054.720696136981</v>
      </c>
      <c r="S95" s="48">
        <f t="shared" si="384"/>
        <v>53054.720696136981</v>
      </c>
      <c r="T95" s="48">
        <f t="shared" si="384"/>
        <v>53054.720696136981</v>
      </c>
      <c r="U95" s="48">
        <f t="shared" si="384"/>
        <v>53054.720696136981</v>
      </c>
      <c r="V95" s="48">
        <f t="shared" si="384"/>
        <v>53054.720696136981</v>
      </c>
      <c r="W95" s="48">
        <f t="shared" si="384"/>
        <v>53054.720696136981</v>
      </c>
      <c r="X95" s="48">
        <f t="shared" si="384"/>
        <v>53054.720696136981</v>
      </c>
      <c r="Y95" s="48">
        <f t="shared" si="384"/>
        <v>53054.720696136981</v>
      </c>
      <c r="Z95" s="48">
        <f t="shared" si="384"/>
        <v>53054.720696136981</v>
      </c>
      <c r="AA95" s="48">
        <f t="shared" si="384"/>
        <v>53054.720696136981</v>
      </c>
      <c r="AB95" s="48">
        <f t="shared" si="384"/>
        <v>53054.720696136981</v>
      </c>
      <c r="AC95" s="48">
        <f t="shared" si="384"/>
        <v>53054.720696136981</v>
      </c>
      <c r="AD95" s="48">
        <f t="shared" si="384"/>
        <v>55700.13853990411</v>
      </c>
      <c r="AE95" s="48">
        <f t="shared" si="384"/>
        <v>55700.13853990411</v>
      </c>
      <c r="AF95" s="48">
        <f t="shared" si="384"/>
        <v>55700.13853990411</v>
      </c>
      <c r="AG95" s="48">
        <f t="shared" si="384"/>
        <v>55700.13853990411</v>
      </c>
      <c r="AH95" s="48">
        <f t="shared" si="384"/>
        <v>55700.13853990411</v>
      </c>
      <c r="AI95" s="48">
        <f t="shared" si="384"/>
        <v>55700.13853990411</v>
      </c>
      <c r="AJ95" s="48">
        <f t="shared" si="384"/>
        <v>55700.13853990411</v>
      </c>
      <c r="AK95" s="48">
        <f t="shared" si="384"/>
        <v>55700.13853990411</v>
      </c>
      <c r="AL95" s="48">
        <f t="shared" ref="AL95:BQ95" si="385">AL$78+AL$80</f>
        <v>55700.13853990411</v>
      </c>
      <c r="AM95" s="48">
        <f t="shared" si="385"/>
        <v>55700.13853990411</v>
      </c>
      <c r="AN95" s="48">
        <f t="shared" si="385"/>
        <v>55700.13853990411</v>
      </c>
      <c r="AO95" s="48">
        <f t="shared" si="385"/>
        <v>55700.13853990411</v>
      </c>
      <c r="AP95" s="48">
        <f t="shared" si="385"/>
        <v>57818.50769430137</v>
      </c>
      <c r="AQ95" s="48">
        <f t="shared" si="385"/>
        <v>57818.50769430137</v>
      </c>
      <c r="AR95" s="48">
        <f t="shared" si="385"/>
        <v>57818.50769430137</v>
      </c>
      <c r="AS95" s="48">
        <f t="shared" si="385"/>
        <v>57818.50769430137</v>
      </c>
      <c r="AT95" s="48">
        <f t="shared" si="385"/>
        <v>57818.50769430137</v>
      </c>
      <c r="AU95" s="48">
        <f t="shared" si="385"/>
        <v>57818.50769430137</v>
      </c>
      <c r="AV95" s="48">
        <f t="shared" si="385"/>
        <v>57818.50769430137</v>
      </c>
      <c r="AW95" s="48">
        <f t="shared" si="385"/>
        <v>57818.50769430137</v>
      </c>
      <c r="AX95" s="48">
        <f t="shared" si="385"/>
        <v>57818.50769430137</v>
      </c>
      <c r="AY95" s="48">
        <f t="shared" si="385"/>
        <v>57818.50769430137</v>
      </c>
      <c r="AZ95" s="48">
        <f t="shared" si="385"/>
        <v>57818.50769430137</v>
      </c>
      <c r="BA95" s="48">
        <f t="shared" si="385"/>
        <v>57818.50769430137</v>
      </c>
      <c r="BB95" s="48">
        <f t="shared" si="385"/>
        <v>60401.545158547946</v>
      </c>
      <c r="BC95" s="48">
        <f t="shared" si="385"/>
        <v>60401.545158547946</v>
      </c>
      <c r="BD95" s="48">
        <f t="shared" si="385"/>
        <v>60401.545158547946</v>
      </c>
      <c r="BE95" s="48">
        <f t="shared" si="385"/>
        <v>60401.545158547946</v>
      </c>
      <c r="BF95" s="48">
        <f t="shared" si="385"/>
        <v>60401.545158547946</v>
      </c>
      <c r="BG95" s="48">
        <f t="shared" si="385"/>
        <v>60401.545158547946</v>
      </c>
      <c r="BH95" s="48">
        <f t="shared" si="385"/>
        <v>60401.545158547946</v>
      </c>
      <c r="BI95" s="48">
        <f t="shared" si="385"/>
        <v>60401.545158547946</v>
      </c>
      <c r="BJ95" s="48">
        <f t="shared" si="385"/>
        <v>60401.545158547946</v>
      </c>
      <c r="BK95" s="48">
        <f t="shared" si="385"/>
        <v>60401.545158547946</v>
      </c>
      <c r="BL95" s="48">
        <f t="shared" si="385"/>
        <v>60401.545158547946</v>
      </c>
      <c r="BM95" s="48">
        <f t="shared" si="385"/>
        <v>60401.545158547946</v>
      </c>
      <c r="BN95" s="48">
        <f t="shared" si="385"/>
        <v>60401.545158547946</v>
      </c>
      <c r="BO95" s="48">
        <f t="shared" si="385"/>
        <v>60401.545158547946</v>
      </c>
      <c r="BP95" s="48">
        <f t="shared" si="385"/>
        <v>60401.545158547946</v>
      </c>
      <c r="BQ95" s="48">
        <f t="shared" si="385"/>
        <v>60401.545158547946</v>
      </c>
      <c r="BR95" s="48">
        <f t="shared" ref="BR95:CW95" si="386">BR$78+BR$80</f>
        <v>60401.545158547946</v>
      </c>
      <c r="BS95" s="48">
        <f t="shared" si="386"/>
        <v>60401.545158547946</v>
      </c>
      <c r="BT95" s="48">
        <f t="shared" si="386"/>
        <v>60401.545158547946</v>
      </c>
      <c r="BU95" s="48">
        <f t="shared" si="386"/>
        <v>60401.545158547946</v>
      </c>
      <c r="BV95" s="48">
        <f t="shared" si="386"/>
        <v>60401.545158547946</v>
      </c>
      <c r="BW95" s="48">
        <f t="shared" si="386"/>
        <v>60401.545158547946</v>
      </c>
      <c r="BX95" s="48">
        <f t="shared" si="386"/>
        <v>60401.545158547946</v>
      </c>
      <c r="BY95" s="48">
        <f t="shared" si="386"/>
        <v>60401.545158547946</v>
      </c>
      <c r="BZ95" s="48">
        <f t="shared" si="386"/>
        <v>60401.545158547946</v>
      </c>
      <c r="CA95" s="48">
        <f t="shared" si="386"/>
        <v>60401.545158547946</v>
      </c>
      <c r="CB95" s="48">
        <f t="shared" si="386"/>
        <v>60401.545158547946</v>
      </c>
      <c r="CC95" s="48">
        <f t="shared" si="386"/>
        <v>60401.545158547946</v>
      </c>
      <c r="CD95" s="48">
        <f t="shared" si="386"/>
        <v>60401.545158547946</v>
      </c>
      <c r="CE95" s="48">
        <f t="shared" si="386"/>
        <v>60401.545158547946</v>
      </c>
      <c r="CF95" s="48">
        <f t="shared" si="386"/>
        <v>60401.545158547946</v>
      </c>
      <c r="CG95" s="48">
        <f t="shared" si="386"/>
        <v>60401.545158547946</v>
      </c>
      <c r="CH95" s="48">
        <f t="shared" si="386"/>
        <v>60401.545158547946</v>
      </c>
      <c r="CI95" s="48">
        <f t="shared" si="386"/>
        <v>60401.545158547946</v>
      </c>
      <c r="CJ95" s="48">
        <f t="shared" si="386"/>
        <v>60401.545158547946</v>
      </c>
      <c r="CK95" s="48">
        <f t="shared" si="386"/>
        <v>60401.545158547946</v>
      </c>
      <c r="CL95" s="48">
        <f t="shared" si="386"/>
        <v>60401.545158547946</v>
      </c>
      <c r="CM95" s="48">
        <f t="shared" si="386"/>
        <v>60401.545158547946</v>
      </c>
      <c r="CN95" s="48">
        <f t="shared" si="386"/>
        <v>60401.545158547946</v>
      </c>
      <c r="CO95" s="48">
        <f t="shared" si="386"/>
        <v>60401.545158547946</v>
      </c>
      <c r="CP95" s="48">
        <f t="shared" si="386"/>
        <v>60401.545158547946</v>
      </c>
      <c r="CQ95" s="48">
        <f t="shared" si="386"/>
        <v>60401.545158547946</v>
      </c>
      <c r="CR95" s="48">
        <f t="shared" si="386"/>
        <v>60401.545158547946</v>
      </c>
      <c r="CS95" s="48">
        <f t="shared" si="386"/>
        <v>60401.545158547946</v>
      </c>
      <c r="CT95" s="48">
        <f t="shared" si="386"/>
        <v>60401.545158547946</v>
      </c>
      <c r="CU95" s="48">
        <f t="shared" si="386"/>
        <v>60401.545158547946</v>
      </c>
      <c r="CV95" s="48">
        <f t="shared" si="386"/>
        <v>60401.545158547946</v>
      </c>
      <c r="CW95" s="48">
        <f t="shared" si="386"/>
        <v>60401.545158547946</v>
      </c>
      <c r="CX95" s="48">
        <f t="shared" ref="CX95:EC95" si="387">CX$78+CX$80</f>
        <v>60401.545158547946</v>
      </c>
      <c r="CY95" s="48">
        <f t="shared" si="387"/>
        <v>60401.545158547946</v>
      </c>
      <c r="CZ95" s="48">
        <f t="shared" si="387"/>
        <v>60401.545158547946</v>
      </c>
      <c r="DA95" s="48">
        <f t="shared" si="387"/>
        <v>60401.545158547946</v>
      </c>
      <c r="DB95" s="48">
        <f t="shared" si="387"/>
        <v>60401.545158547946</v>
      </c>
      <c r="DC95" s="48">
        <f t="shared" si="387"/>
        <v>60401.545158547946</v>
      </c>
      <c r="DD95" s="48">
        <f t="shared" si="387"/>
        <v>60401.545158547946</v>
      </c>
      <c r="DE95" s="48">
        <f t="shared" si="387"/>
        <v>60401.545158547946</v>
      </c>
      <c r="DF95" s="48">
        <f t="shared" si="387"/>
        <v>60401.545158547946</v>
      </c>
      <c r="DG95" s="48">
        <f t="shared" si="387"/>
        <v>60401.545158547946</v>
      </c>
      <c r="DH95" s="48">
        <f t="shared" si="387"/>
        <v>60401.545158547946</v>
      </c>
      <c r="DI95" s="48">
        <f t="shared" si="387"/>
        <v>60401.545158547946</v>
      </c>
      <c r="DJ95" s="48">
        <f t="shared" si="387"/>
        <v>60401.545158547946</v>
      </c>
      <c r="DK95" s="48">
        <f t="shared" si="387"/>
        <v>60401.545158547946</v>
      </c>
      <c r="DL95" s="48">
        <f t="shared" si="387"/>
        <v>60401.545158547946</v>
      </c>
      <c r="DM95" s="48">
        <f t="shared" si="387"/>
        <v>60401.545158547946</v>
      </c>
      <c r="DN95" s="48">
        <f t="shared" si="387"/>
        <v>60401.545158547946</v>
      </c>
      <c r="DO95" s="48">
        <f t="shared" si="387"/>
        <v>60401.545158547946</v>
      </c>
      <c r="DP95" s="48">
        <f t="shared" si="387"/>
        <v>60401.545158547946</v>
      </c>
      <c r="DQ95" s="48">
        <f t="shared" si="387"/>
        <v>60401.545158547946</v>
      </c>
      <c r="DR95" s="48">
        <f t="shared" si="387"/>
        <v>60401.545158547946</v>
      </c>
      <c r="DS95" s="48">
        <f t="shared" si="387"/>
        <v>60401.545158547946</v>
      </c>
      <c r="DT95" s="48">
        <f t="shared" si="387"/>
        <v>60401.545158547946</v>
      </c>
      <c r="DU95" s="48">
        <f t="shared" si="387"/>
        <v>60401.545158547946</v>
      </c>
      <c r="DV95" s="48">
        <f t="shared" si="387"/>
        <v>0</v>
      </c>
      <c r="DW95" s="48">
        <f t="shared" si="387"/>
        <v>0</v>
      </c>
      <c r="DX95" s="48">
        <f t="shared" si="387"/>
        <v>0</v>
      </c>
      <c r="DY95" s="48">
        <f t="shared" si="387"/>
        <v>0</v>
      </c>
      <c r="DZ95" s="48">
        <f t="shared" si="387"/>
        <v>0</v>
      </c>
      <c r="EA95" s="48">
        <f t="shared" si="387"/>
        <v>0</v>
      </c>
      <c r="EB95" s="48">
        <f t="shared" si="387"/>
        <v>0</v>
      </c>
      <c r="EC95" s="48">
        <f t="shared" si="387"/>
        <v>0</v>
      </c>
      <c r="ED95" s="48">
        <f t="shared" ref="ED95:ES95" si="388">ED$78+ED$80</f>
        <v>0</v>
      </c>
      <c r="EE95" s="48">
        <f t="shared" si="388"/>
        <v>0</v>
      </c>
      <c r="EF95" s="48">
        <f t="shared" si="388"/>
        <v>0</v>
      </c>
      <c r="EG95" s="48">
        <f t="shared" si="388"/>
        <v>0</v>
      </c>
      <c r="EH95" s="48">
        <f t="shared" si="388"/>
        <v>0</v>
      </c>
      <c r="EI95" s="48">
        <f t="shared" si="388"/>
        <v>0</v>
      </c>
      <c r="EJ95" s="48">
        <f t="shared" si="388"/>
        <v>0</v>
      </c>
      <c r="EK95" s="48">
        <f t="shared" si="388"/>
        <v>0</v>
      </c>
      <c r="EL95" s="48">
        <f t="shared" si="388"/>
        <v>0</v>
      </c>
      <c r="EM95" s="48">
        <f t="shared" si="388"/>
        <v>0</v>
      </c>
      <c r="EN95" s="48">
        <f t="shared" si="388"/>
        <v>0</v>
      </c>
      <c r="EO95" s="48">
        <f t="shared" si="388"/>
        <v>0</v>
      </c>
      <c r="EP95" s="48">
        <f t="shared" si="388"/>
        <v>0</v>
      </c>
      <c r="EQ95" s="48">
        <f t="shared" si="388"/>
        <v>0</v>
      </c>
      <c r="ER95" s="48">
        <f t="shared" si="388"/>
        <v>0</v>
      </c>
      <c r="ES95" s="48">
        <f t="shared" si="388"/>
        <v>0</v>
      </c>
    </row>
    <row r="96" spans="1:149" x14ac:dyDescent="0.3">
      <c r="A96" s="14" t="s">
        <v>1095</v>
      </c>
      <c r="B96" s="18" t="s">
        <v>1096</v>
      </c>
      <c r="C96" s="18" t="s">
        <v>439</v>
      </c>
      <c r="E96" s="54">
        <f t="shared" si="373"/>
        <v>3406933.033241339</v>
      </c>
      <c r="F96" s="48">
        <f t="shared" ref="F96:AK96" si="389">F$86+F$89</f>
        <v>19873.01142767573</v>
      </c>
      <c r="G96" s="48">
        <f t="shared" si="389"/>
        <v>19873.01142767573</v>
      </c>
      <c r="H96" s="48">
        <f t="shared" si="389"/>
        <v>19873.01142767573</v>
      </c>
      <c r="I96" s="48">
        <f t="shared" si="389"/>
        <v>19873.01142767573</v>
      </c>
      <c r="J96" s="48">
        <f t="shared" si="389"/>
        <v>19873.01142767573</v>
      </c>
      <c r="K96" s="48">
        <f t="shared" si="389"/>
        <v>19873.01142767573</v>
      </c>
      <c r="L96" s="48">
        <f t="shared" si="389"/>
        <v>19873.01142767573</v>
      </c>
      <c r="M96" s="48">
        <f t="shared" si="389"/>
        <v>19873.01142767573</v>
      </c>
      <c r="N96" s="48">
        <f t="shared" si="389"/>
        <v>19873.01142767573</v>
      </c>
      <c r="O96" s="48">
        <f t="shared" si="389"/>
        <v>19873.01142767573</v>
      </c>
      <c r="P96" s="48">
        <f t="shared" si="389"/>
        <v>19873.01142767573</v>
      </c>
      <c r="Q96" s="48">
        <f t="shared" si="389"/>
        <v>19873.01142767573</v>
      </c>
      <c r="R96" s="48">
        <f t="shared" si="389"/>
        <v>23317.3689934674</v>
      </c>
      <c r="S96" s="48">
        <f t="shared" si="389"/>
        <v>23317.3689934674</v>
      </c>
      <c r="T96" s="48">
        <f t="shared" si="389"/>
        <v>23317.3689934674</v>
      </c>
      <c r="U96" s="48">
        <f t="shared" si="389"/>
        <v>23317.3689934674</v>
      </c>
      <c r="V96" s="48">
        <f t="shared" si="389"/>
        <v>23317.3689934674</v>
      </c>
      <c r="W96" s="48">
        <f t="shared" si="389"/>
        <v>23317.3689934674</v>
      </c>
      <c r="X96" s="48">
        <f t="shared" si="389"/>
        <v>23317.3689934674</v>
      </c>
      <c r="Y96" s="48">
        <f t="shared" si="389"/>
        <v>23317.3689934674</v>
      </c>
      <c r="Z96" s="48">
        <f t="shared" si="389"/>
        <v>23317.3689934674</v>
      </c>
      <c r="AA96" s="48">
        <f t="shared" si="389"/>
        <v>23317.3689934674</v>
      </c>
      <c r="AB96" s="48">
        <f t="shared" si="389"/>
        <v>23317.3689934674</v>
      </c>
      <c r="AC96" s="48">
        <f t="shared" si="389"/>
        <v>23317.3689934674</v>
      </c>
      <c r="AD96" s="48">
        <f t="shared" si="389"/>
        <v>26931.799734269305</v>
      </c>
      <c r="AE96" s="48">
        <f t="shared" si="389"/>
        <v>26931.799734269305</v>
      </c>
      <c r="AF96" s="48">
        <f t="shared" si="389"/>
        <v>26931.799734269305</v>
      </c>
      <c r="AG96" s="48">
        <f t="shared" si="389"/>
        <v>26931.799734269305</v>
      </c>
      <c r="AH96" s="48">
        <f t="shared" si="389"/>
        <v>26931.799734269305</v>
      </c>
      <c r="AI96" s="48">
        <f t="shared" si="389"/>
        <v>26931.799734269305</v>
      </c>
      <c r="AJ96" s="48">
        <f t="shared" si="389"/>
        <v>26931.799734269305</v>
      </c>
      <c r="AK96" s="48">
        <f t="shared" si="389"/>
        <v>26931.799734269305</v>
      </c>
      <c r="AL96" s="48">
        <f t="shared" ref="AL96:BQ96" si="390">AL$86+AL$89</f>
        <v>26931.799734269305</v>
      </c>
      <c r="AM96" s="48">
        <f t="shared" si="390"/>
        <v>26931.799734269305</v>
      </c>
      <c r="AN96" s="48">
        <f t="shared" si="390"/>
        <v>26931.799734269305</v>
      </c>
      <c r="AO96" s="48">
        <f t="shared" si="390"/>
        <v>26931.799734269305</v>
      </c>
      <c r="AP96" s="48">
        <f t="shared" si="390"/>
        <v>29899.728676927698</v>
      </c>
      <c r="AQ96" s="48">
        <f t="shared" si="390"/>
        <v>29899.728676927698</v>
      </c>
      <c r="AR96" s="48">
        <f t="shared" si="390"/>
        <v>29899.728676927698</v>
      </c>
      <c r="AS96" s="48">
        <f t="shared" si="390"/>
        <v>29899.728676927698</v>
      </c>
      <c r="AT96" s="48">
        <f t="shared" si="390"/>
        <v>29899.728676927698</v>
      </c>
      <c r="AU96" s="48">
        <f t="shared" si="390"/>
        <v>29899.728676927698</v>
      </c>
      <c r="AV96" s="48">
        <f t="shared" si="390"/>
        <v>29899.728676927698</v>
      </c>
      <c r="AW96" s="48">
        <f t="shared" si="390"/>
        <v>29899.728676927698</v>
      </c>
      <c r="AX96" s="48">
        <f t="shared" si="390"/>
        <v>29899.728676927698</v>
      </c>
      <c r="AY96" s="48">
        <f t="shared" si="390"/>
        <v>29899.728676927698</v>
      </c>
      <c r="AZ96" s="48">
        <f t="shared" si="390"/>
        <v>29899.728676927698</v>
      </c>
      <c r="BA96" s="48">
        <f t="shared" si="390"/>
        <v>29899.728676927698</v>
      </c>
      <c r="BB96" s="48">
        <f t="shared" si="390"/>
        <v>30202.895220888462</v>
      </c>
      <c r="BC96" s="48">
        <f t="shared" si="390"/>
        <v>30202.895220888462</v>
      </c>
      <c r="BD96" s="48">
        <f t="shared" si="390"/>
        <v>30202.895220888462</v>
      </c>
      <c r="BE96" s="48">
        <f t="shared" si="390"/>
        <v>30202.895220888462</v>
      </c>
      <c r="BF96" s="48">
        <f t="shared" si="390"/>
        <v>30202.895220888462</v>
      </c>
      <c r="BG96" s="48">
        <f t="shared" si="390"/>
        <v>30202.895220888462</v>
      </c>
      <c r="BH96" s="48">
        <f t="shared" si="390"/>
        <v>30202.895220888462</v>
      </c>
      <c r="BI96" s="48">
        <f t="shared" si="390"/>
        <v>30202.895220888462</v>
      </c>
      <c r="BJ96" s="48">
        <f t="shared" si="390"/>
        <v>30202.895220888462</v>
      </c>
      <c r="BK96" s="48">
        <f t="shared" si="390"/>
        <v>30202.895220888462</v>
      </c>
      <c r="BL96" s="48">
        <f t="shared" si="390"/>
        <v>30202.895220888462</v>
      </c>
      <c r="BM96" s="48">
        <f t="shared" si="390"/>
        <v>30202.895220888462</v>
      </c>
      <c r="BN96" s="48">
        <f t="shared" si="390"/>
        <v>30377.897316594899</v>
      </c>
      <c r="BO96" s="48">
        <f t="shared" si="390"/>
        <v>30377.897316594899</v>
      </c>
      <c r="BP96" s="48">
        <f t="shared" si="390"/>
        <v>30377.897316594899</v>
      </c>
      <c r="BQ96" s="48">
        <f t="shared" si="390"/>
        <v>30377.897316594899</v>
      </c>
      <c r="BR96" s="48">
        <f t="shared" ref="BR96:CW96" si="391">BR$86+BR$89</f>
        <v>30377.897316594899</v>
      </c>
      <c r="BS96" s="48">
        <f t="shared" si="391"/>
        <v>30377.897316594899</v>
      </c>
      <c r="BT96" s="48">
        <f t="shared" si="391"/>
        <v>30377.897316594899</v>
      </c>
      <c r="BU96" s="48">
        <f t="shared" si="391"/>
        <v>30377.897316594899</v>
      </c>
      <c r="BV96" s="48">
        <f t="shared" si="391"/>
        <v>30377.897316594899</v>
      </c>
      <c r="BW96" s="48">
        <f t="shared" si="391"/>
        <v>30377.897316594899</v>
      </c>
      <c r="BX96" s="48">
        <f t="shared" si="391"/>
        <v>30377.897316594899</v>
      </c>
      <c r="BY96" s="48">
        <f t="shared" si="391"/>
        <v>30377.897316594899</v>
      </c>
      <c r="BZ96" s="48">
        <f t="shared" si="391"/>
        <v>30555.212179671769</v>
      </c>
      <c r="CA96" s="48">
        <f t="shared" si="391"/>
        <v>30555.212179671769</v>
      </c>
      <c r="CB96" s="48">
        <f t="shared" si="391"/>
        <v>30555.212179671769</v>
      </c>
      <c r="CC96" s="48">
        <f t="shared" si="391"/>
        <v>30555.212179671769</v>
      </c>
      <c r="CD96" s="48">
        <f t="shared" si="391"/>
        <v>30555.212179671769</v>
      </c>
      <c r="CE96" s="48">
        <f t="shared" si="391"/>
        <v>30555.212179671769</v>
      </c>
      <c r="CF96" s="48">
        <f t="shared" si="391"/>
        <v>30555.212179671769</v>
      </c>
      <c r="CG96" s="48">
        <f t="shared" si="391"/>
        <v>30555.212179671769</v>
      </c>
      <c r="CH96" s="48">
        <f t="shared" si="391"/>
        <v>30555.212179671769</v>
      </c>
      <c r="CI96" s="48">
        <f t="shared" si="391"/>
        <v>30555.212179671769</v>
      </c>
      <c r="CJ96" s="48">
        <f t="shared" si="391"/>
        <v>30555.212179671769</v>
      </c>
      <c r="CK96" s="48">
        <f t="shared" si="391"/>
        <v>30555.212179671769</v>
      </c>
      <c r="CL96" s="48">
        <f t="shared" si="391"/>
        <v>30734.874192721036</v>
      </c>
      <c r="CM96" s="48">
        <f t="shared" si="391"/>
        <v>30734.874192721036</v>
      </c>
      <c r="CN96" s="48">
        <f t="shared" si="391"/>
        <v>30734.874192721036</v>
      </c>
      <c r="CO96" s="48">
        <f t="shared" si="391"/>
        <v>30734.874192721036</v>
      </c>
      <c r="CP96" s="48">
        <f t="shared" si="391"/>
        <v>30734.874192721036</v>
      </c>
      <c r="CQ96" s="48">
        <f t="shared" si="391"/>
        <v>30734.874192721036</v>
      </c>
      <c r="CR96" s="48">
        <f t="shared" si="391"/>
        <v>30734.874192721036</v>
      </c>
      <c r="CS96" s="48">
        <f t="shared" si="391"/>
        <v>30734.874192721036</v>
      </c>
      <c r="CT96" s="48">
        <f t="shared" si="391"/>
        <v>30734.874192721036</v>
      </c>
      <c r="CU96" s="48">
        <f t="shared" si="391"/>
        <v>30734.874192721036</v>
      </c>
      <c r="CV96" s="48">
        <f t="shared" si="391"/>
        <v>30734.874192721036</v>
      </c>
      <c r="CW96" s="48">
        <f t="shared" si="391"/>
        <v>30734.874192721036</v>
      </c>
      <c r="CX96" s="48">
        <f t="shared" ref="CX96:EC96" si="392">CX$86+CX$89</f>
        <v>30916.918307269269</v>
      </c>
      <c r="CY96" s="48">
        <f t="shared" si="392"/>
        <v>30916.918307269269</v>
      </c>
      <c r="CZ96" s="48">
        <f t="shared" si="392"/>
        <v>30916.918307269269</v>
      </c>
      <c r="DA96" s="48">
        <f t="shared" si="392"/>
        <v>30916.918307269269</v>
      </c>
      <c r="DB96" s="48">
        <f t="shared" si="392"/>
        <v>30916.918307269269</v>
      </c>
      <c r="DC96" s="48">
        <f t="shared" si="392"/>
        <v>30916.918307269269</v>
      </c>
      <c r="DD96" s="48">
        <f t="shared" si="392"/>
        <v>30916.918307269269</v>
      </c>
      <c r="DE96" s="48">
        <f t="shared" si="392"/>
        <v>30916.918307269269</v>
      </c>
      <c r="DF96" s="48">
        <f t="shared" si="392"/>
        <v>30916.918307269269</v>
      </c>
      <c r="DG96" s="48">
        <f t="shared" si="392"/>
        <v>30916.918307269269</v>
      </c>
      <c r="DH96" s="48">
        <f t="shared" si="392"/>
        <v>30916.918307269269</v>
      </c>
      <c r="DI96" s="48">
        <f t="shared" si="392"/>
        <v>30916.918307269269</v>
      </c>
      <c r="DJ96" s="48">
        <f t="shared" si="392"/>
        <v>31101.380053958808</v>
      </c>
      <c r="DK96" s="48">
        <f t="shared" si="392"/>
        <v>31101.380053958808</v>
      </c>
      <c r="DL96" s="48">
        <f t="shared" si="392"/>
        <v>31101.380053958808</v>
      </c>
      <c r="DM96" s="48">
        <f t="shared" si="392"/>
        <v>31101.380053958808</v>
      </c>
      <c r="DN96" s="48">
        <f t="shared" si="392"/>
        <v>31101.380053958808</v>
      </c>
      <c r="DO96" s="48">
        <f t="shared" si="392"/>
        <v>31101.380053958808</v>
      </c>
      <c r="DP96" s="48">
        <f t="shared" si="392"/>
        <v>31101.380053958808</v>
      </c>
      <c r="DQ96" s="48">
        <f t="shared" si="392"/>
        <v>31101.380053958808</v>
      </c>
      <c r="DR96" s="48">
        <f t="shared" si="392"/>
        <v>31101.380053958808</v>
      </c>
      <c r="DS96" s="48">
        <f t="shared" si="392"/>
        <v>31101.380053958808</v>
      </c>
      <c r="DT96" s="48">
        <f t="shared" si="392"/>
        <v>31101.380053958808</v>
      </c>
      <c r="DU96" s="48">
        <f t="shared" si="392"/>
        <v>31101.380053958808</v>
      </c>
      <c r="DV96" s="48">
        <f t="shared" si="392"/>
        <v>0</v>
      </c>
      <c r="DW96" s="48">
        <f t="shared" si="392"/>
        <v>0</v>
      </c>
      <c r="DX96" s="48">
        <f t="shared" si="392"/>
        <v>0</v>
      </c>
      <c r="DY96" s="48">
        <f t="shared" si="392"/>
        <v>0</v>
      </c>
      <c r="DZ96" s="48">
        <f t="shared" si="392"/>
        <v>0</v>
      </c>
      <c r="EA96" s="48">
        <f t="shared" si="392"/>
        <v>0</v>
      </c>
      <c r="EB96" s="48">
        <f t="shared" si="392"/>
        <v>0</v>
      </c>
      <c r="EC96" s="48">
        <f t="shared" si="392"/>
        <v>0</v>
      </c>
      <c r="ED96" s="48">
        <f t="shared" ref="ED96:ES96" si="393">ED$86+ED$89</f>
        <v>0</v>
      </c>
      <c r="EE96" s="48">
        <f t="shared" si="393"/>
        <v>0</v>
      </c>
      <c r="EF96" s="48">
        <f t="shared" si="393"/>
        <v>0</v>
      </c>
      <c r="EG96" s="48">
        <f t="shared" si="393"/>
        <v>0</v>
      </c>
      <c r="EH96" s="48">
        <f t="shared" si="393"/>
        <v>0</v>
      </c>
      <c r="EI96" s="48">
        <f t="shared" si="393"/>
        <v>0</v>
      </c>
      <c r="EJ96" s="48">
        <f t="shared" si="393"/>
        <v>0</v>
      </c>
      <c r="EK96" s="48">
        <f t="shared" si="393"/>
        <v>0</v>
      </c>
      <c r="EL96" s="48">
        <f t="shared" si="393"/>
        <v>0</v>
      </c>
      <c r="EM96" s="48">
        <f t="shared" si="393"/>
        <v>0</v>
      </c>
      <c r="EN96" s="48">
        <f t="shared" si="393"/>
        <v>0</v>
      </c>
      <c r="EO96" s="48">
        <f t="shared" si="393"/>
        <v>0</v>
      </c>
      <c r="EP96" s="48">
        <f t="shared" si="393"/>
        <v>0</v>
      </c>
      <c r="EQ96" s="48">
        <f t="shared" si="393"/>
        <v>0</v>
      </c>
      <c r="ER96" s="48">
        <f t="shared" si="393"/>
        <v>0</v>
      </c>
      <c r="ES96" s="48">
        <f t="shared" si="393"/>
        <v>0</v>
      </c>
    </row>
    <row r="97" spans="1:149" x14ac:dyDescent="0.3">
      <c r="A97" s="14" t="s">
        <v>1097</v>
      </c>
      <c r="B97" s="68" t="s">
        <v>1098</v>
      </c>
      <c r="C97" s="18" t="s">
        <v>439</v>
      </c>
      <c r="E97" s="54">
        <f t="shared" si="373"/>
        <v>21340920.4743363</v>
      </c>
      <c r="F97" s="22">
        <f t="shared" ref="F97:AK97" si="394">F$71-F$93-F$94-F$95-F$96</f>
        <v>79096.469288216002</v>
      </c>
      <c r="G97" s="22">
        <f t="shared" si="394"/>
        <v>79096.469288216002</v>
      </c>
      <c r="H97" s="22">
        <f t="shared" si="394"/>
        <v>79096.469288216002</v>
      </c>
      <c r="I97" s="22">
        <f t="shared" si="394"/>
        <v>79096.469288216002</v>
      </c>
      <c r="J97" s="22">
        <f t="shared" si="394"/>
        <v>79096.469288216002</v>
      </c>
      <c r="K97" s="22">
        <f t="shared" si="394"/>
        <v>79096.469288216002</v>
      </c>
      <c r="L97" s="22">
        <f t="shared" si="394"/>
        <v>79096.469288216002</v>
      </c>
      <c r="M97" s="22">
        <f t="shared" si="394"/>
        <v>79096.469288216002</v>
      </c>
      <c r="N97" s="22">
        <f t="shared" si="394"/>
        <v>79096.469288216002</v>
      </c>
      <c r="O97" s="22">
        <f t="shared" si="394"/>
        <v>79096.469288216002</v>
      </c>
      <c r="P97" s="22">
        <f t="shared" si="394"/>
        <v>79096.469288216002</v>
      </c>
      <c r="Q97" s="22">
        <f t="shared" si="394"/>
        <v>79096.469288216002</v>
      </c>
      <c r="R97" s="22">
        <f t="shared" si="394"/>
        <v>118738.07513992437</v>
      </c>
      <c r="S97" s="22">
        <f t="shared" si="394"/>
        <v>118738.07513992437</v>
      </c>
      <c r="T97" s="22">
        <f t="shared" si="394"/>
        <v>118738.07513992437</v>
      </c>
      <c r="U97" s="22">
        <f t="shared" si="394"/>
        <v>118738.07513992437</v>
      </c>
      <c r="V97" s="22">
        <f t="shared" si="394"/>
        <v>118738.07513992437</v>
      </c>
      <c r="W97" s="22">
        <f t="shared" si="394"/>
        <v>118738.07513992437</v>
      </c>
      <c r="X97" s="22">
        <f t="shared" si="394"/>
        <v>118738.07513992437</v>
      </c>
      <c r="Y97" s="22">
        <f t="shared" si="394"/>
        <v>118738.07513992437</v>
      </c>
      <c r="Z97" s="22">
        <f t="shared" si="394"/>
        <v>118738.07513992437</v>
      </c>
      <c r="AA97" s="22">
        <f t="shared" si="394"/>
        <v>118738.07513992437</v>
      </c>
      <c r="AB97" s="22">
        <f t="shared" si="394"/>
        <v>118738.07513992437</v>
      </c>
      <c r="AC97" s="22">
        <f t="shared" si="394"/>
        <v>118738.07513992437</v>
      </c>
      <c r="AD97" s="22">
        <f t="shared" si="394"/>
        <v>157007.18994441759</v>
      </c>
      <c r="AE97" s="22">
        <f t="shared" si="394"/>
        <v>157007.18994441759</v>
      </c>
      <c r="AF97" s="22">
        <f t="shared" si="394"/>
        <v>157007.18994441759</v>
      </c>
      <c r="AG97" s="22">
        <f t="shared" si="394"/>
        <v>157007.18994441759</v>
      </c>
      <c r="AH97" s="22">
        <f t="shared" si="394"/>
        <v>157007.18994441759</v>
      </c>
      <c r="AI97" s="22">
        <f t="shared" si="394"/>
        <v>157007.18994441759</v>
      </c>
      <c r="AJ97" s="22">
        <f t="shared" si="394"/>
        <v>157007.18994441759</v>
      </c>
      <c r="AK97" s="22">
        <f t="shared" si="394"/>
        <v>157007.18994441759</v>
      </c>
      <c r="AL97" s="22">
        <f t="shared" ref="AL97:BQ97" si="395">AL$71-AL$93-AL$94-AL$95-AL$96</f>
        <v>157007.18994441759</v>
      </c>
      <c r="AM97" s="22">
        <f t="shared" si="395"/>
        <v>157007.18994441759</v>
      </c>
      <c r="AN97" s="22">
        <f t="shared" si="395"/>
        <v>157007.18994441759</v>
      </c>
      <c r="AO97" s="22">
        <f t="shared" si="395"/>
        <v>157007.18994441759</v>
      </c>
      <c r="AP97" s="22">
        <f t="shared" si="395"/>
        <v>191337.33988381794</v>
      </c>
      <c r="AQ97" s="22">
        <f t="shared" si="395"/>
        <v>191337.33988381794</v>
      </c>
      <c r="AR97" s="22">
        <f t="shared" si="395"/>
        <v>191337.33988381794</v>
      </c>
      <c r="AS97" s="22">
        <f t="shared" si="395"/>
        <v>191337.33988381794</v>
      </c>
      <c r="AT97" s="22">
        <f t="shared" si="395"/>
        <v>191337.33988381794</v>
      </c>
      <c r="AU97" s="22">
        <f t="shared" si="395"/>
        <v>191337.33988381794</v>
      </c>
      <c r="AV97" s="22">
        <f t="shared" si="395"/>
        <v>191337.33988381794</v>
      </c>
      <c r="AW97" s="22">
        <f t="shared" si="395"/>
        <v>191337.33988381794</v>
      </c>
      <c r="AX97" s="22">
        <f t="shared" si="395"/>
        <v>191337.33988381794</v>
      </c>
      <c r="AY97" s="22">
        <f t="shared" si="395"/>
        <v>191337.33988381794</v>
      </c>
      <c r="AZ97" s="22">
        <f t="shared" si="395"/>
        <v>191337.33988381794</v>
      </c>
      <c r="BA97" s="22">
        <f t="shared" si="395"/>
        <v>191337.33988381794</v>
      </c>
      <c r="BB97" s="22">
        <f t="shared" si="395"/>
        <v>193312.13132557328</v>
      </c>
      <c r="BC97" s="22">
        <f t="shared" si="395"/>
        <v>193312.13132557328</v>
      </c>
      <c r="BD97" s="22">
        <f t="shared" si="395"/>
        <v>193312.13132557328</v>
      </c>
      <c r="BE97" s="22">
        <f t="shared" si="395"/>
        <v>193312.13132557328</v>
      </c>
      <c r="BF97" s="22">
        <f t="shared" si="395"/>
        <v>193312.13132557328</v>
      </c>
      <c r="BG97" s="22">
        <f t="shared" si="395"/>
        <v>193312.13132557328</v>
      </c>
      <c r="BH97" s="22">
        <f t="shared" si="395"/>
        <v>193312.13132557328</v>
      </c>
      <c r="BI97" s="22">
        <f t="shared" si="395"/>
        <v>193312.13132557328</v>
      </c>
      <c r="BJ97" s="22">
        <f t="shared" si="395"/>
        <v>193312.13132557328</v>
      </c>
      <c r="BK97" s="22">
        <f t="shared" si="395"/>
        <v>193312.13132557328</v>
      </c>
      <c r="BL97" s="22">
        <f t="shared" si="395"/>
        <v>193312.13132557328</v>
      </c>
      <c r="BM97" s="22">
        <f t="shared" si="395"/>
        <v>193312.13132557328</v>
      </c>
      <c r="BN97" s="22">
        <f t="shared" si="395"/>
        <v>198072.8233127179</v>
      </c>
      <c r="BO97" s="22">
        <f t="shared" si="395"/>
        <v>198072.8233127179</v>
      </c>
      <c r="BP97" s="22">
        <f t="shared" si="395"/>
        <v>198072.8233127179</v>
      </c>
      <c r="BQ97" s="22">
        <f t="shared" si="395"/>
        <v>198072.8233127179</v>
      </c>
      <c r="BR97" s="22">
        <f t="shared" ref="BR97:CW97" si="396">BR$71-BR$93-BR$94-BR$95-BR$96</f>
        <v>198072.8233127179</v>
      </c>
      <c r="BS97" s="22">
        <f t="shared" si="396"/>
        <v>198072.8233127179</v>
      </c>
      <c r="BT97" s="22">
        <f t="shared" si="396"/>
        <v>198072.8233127179</v>
      </c>
      <c r="BU97" s="22">
        <f t="shared" si="396"/>
        <v>198072.8233127179</v>
      </c>
      <c r="BV97" s="22">
        <f t="shared" si="396"/>
        <v>198072.8233127179</v>
      </c>
      <c r="BW97" s="22">
        <f t="shared" si="396"/>
        <v>198072.8233127179</v>
      </c>
      <c r="BX97" s="22">
        <f t="shared" si="396"/>
        <v>198072.8233127179</v>
      </c>
      <c r="BY97" s="22">
        <f t="shared" si="396"/>
        <v>198072.8233127179</v>
      </c>
      <c r="BZ97" s="22">
        <f t="shared" si="396"/>
        <v>202880.55947332046</v>
      </c>
      <c r="CA97" s="22">
        <f t="shared" si="396"/>
        <v>202880.55947332046</v>
      </c>
      <c r="CB97" s="22">
        <f t="shared" si="396"/>
        <v>202880.55947332046</v>
      </c>
      <c r="CC97" s="22">
        <f t="shared" si="396"/>
        <v>202880.55947332046</v>
      </c>
      <c r="CD97" s="22">
        <f t="shared" si="396"/>
        <v>202880.55947332046</v>
      </c>
      <c r="CE97" s="22">
        <f t="shared" si="396"/>
        <v>202880.55947332046</v>
      </c>
      <c r="CF97" s="22">
        <f t="shared" si="396"/>
        <v>202880.55947332046</v>
      </c>
      <c r="CG97" s="22">
        <f t="shared" si="396"/>
        <v>202880.55947332046</v>
      </c>
      <c r="CH97" s="22">
        <f t="shared" si="396"/>
        <v>202880.55947332046</v>
      </c>
      <c r="CI97" s="22">
        <f t="shared" si="396"/>
        <v>202880.55947332046</v>
      </c>
      <c r="CJ97" s="22">
        <f t="shared" si="396"/>
        <v>202880.55947332046</v>
      </c>
      <c r="CK97" s="22">
        <f t="shared" si="396"/>
        <v>202880.55947332046</v>
      </c>
      <c r="CL97" s="22">
        <f t="shared" si="396"/>
        <v>207735.79899418761</v>
      </c>
      <c r="CM97" s="22">
        <f t="shared" si="396"/>
        <v>207735.79899418761</v>
      </c>
      <c r="CN97" s="22">
        <f t="shared" si="396"/>
        <v>207735.79899418761</v>
      </c>
      <c r="CO97" s="22">
        <f t="shared" si="396"/>
        <v>207735.79899418761</v>
      </c>
      <c r="CP97" s="22">
        <f t="shared" si="396"/>
        <v>207735.79899418761</v>
      </c>
      <c r="CQ97" s="22">
        <f t="shared" si="396"/>
        <v>207735.79899418761</v>
      </c>
      <c r="CR97" s="22">
        <f t="shared" si="396"/>
        <v>207735.79899418761</v>
      </c>
      <c r="CS97" s="22">
        <f t="shared" si="396"/>
        <v>207735.79899418761</v>
      </c>
      <c r="CT97" s="22">
        <f t="shared" si="396"/>
        <v>207735.79899418761</v>
      </c>
      <c r="CU97" s="22">
        <f t="shared" si="396"/>
        <v>207735.79899418761</v>
      </c>
      <c r="CV97" s="22">
        <f t="shared" si="396"/>
        <v>207735.79899418761</v>
      </c>
      <c r="CW97" s="22">
        <f t="shared" si="396"/>
        <v>207735.79899418761</v>
      </c>
      <c r="CX97" s="22">
        <f t="shared" ref="CX97:EC97" si="397">CX$71-CX$93-CX$94-CX$95-CX$96</f>
        <v>212639.00542889483</v>
      </c>
      <c r="CY97" s="22">
        <f t="shared" si="397"/>
        <v>212639.00542889483</v>
      </c>
      <c r="CZ97" s="22">
        <f t="shared" si="397"/>
        <v>212639.00542889483</v>
      </c>
      <c r="DA97" s="22">
        <f t="shared" si="397"/>
        <v>212639.00542889483</v>
      </c>
      <c r="DB97" s="22">
        <f t="shared" si="397"/>
        <v>212639.00542889483</v>
      </c>
      <c r="DC97" s="22">
        <f t="shared" si="397"/>
        <v>212639.00542889483</v>
      </c>
      <c r="DD97" s="22">
        <f t="shared" si="397"/>
        <v>212639.00542889483</v>
      </c>
      <c r="DE97" s="22">
        <f t="shared" si="397"/>
        <v>212639.00542889483</v>
      </c>
      <c r="DF97" s="22">
        <f t="shared" si="397"/>
        <v>212639.00542889483</v>
      </c>
      <c r="DG97" s="22">
        <f t="shared" si="397"/>
        <v>212639.00542889483</v>
      </c>
      <c r="DH97" s="22">
        <f t="shared" si="397"/>
        <v>212639.00542889483</v>
      </c>
      <c r="DI97" s="22">
        <f t="shared" si="397"/>
        <v>212639.00542889483</v>
      </c>
      <c r="DJ97" s="22">
        <f t="shared" si="397"/>
        <v>217590.64673695347</v>
      </c>
      <c r="DK97" s="22">
        <f t="shared" si="397"/>
        <v>217590.64673695347</v>
      </c>
      <c r="DL97" s="22">
        <f t="shared" si="397"/>
        <v>217590.64673695347</v>
      </c>
      <c r="DM97" s="22">
        <f t="shared" si="397"/>
        <v>217590.64673695347</v>
      </c>
      <c r="DN97" s="22">
        <f t="shared" si="397"/>
        <v>217590.64673695347</v>
      </c>
      <c r="DO97" s="22">
        <f t="shared" si="397"/>
        <v>217590.64673695347</v>
      </c>
      <c r="DP97" s="22">
        <f t="shared" si="397"/>
        <v>217590.64673695347</v>
      </c>
      <c r="DQ97" s="22">
        <f t="shared" si="397"/>
        <v>217590.64673695347</v>
      </c>
      <c r="DR97" s="22">
        <f t="shared" si="397"/>
        <v>217590.64673695347</v>
      </c>
      <c r="DS97" s="22">
        <f t="shared" si="397"/>
        <v>217590.64673695347</v>
      </c>
      <c r="DT97" s="22">
        <f t="shared" si="397"/>
        <v>217590.64673695347</v>
      </c>
      <c r="DU97" s="22">
        <f t="shared" si="397"/>
        <v>217590.64673695347</v>
      </c>
      <c r="DV97" s="22">
        <f t="shared" si="397"/>
        <v>0</v>
      </c>
      <c r="DW97" s="22">
        <f t="shared" si="397"/>
        <v>0</v>
      </c>
      <c r="DX97" s="22">
        <f t="shared" si="397"/>
        <v>0</v>
      </c>
      <c r="DY97" s="22">
        <f t="shared" si="397"/>
        <v>0</v>
      </c>
      <c r="DZ97" s="22">
        <f t="shared" si="397"/>
        <v>0</v>
      </c>
      <c r="EA97" s="22">
        <f t="shared" si="397"/>
        <v>0</v>
      </c>
      <c r="EB97" s="22">
        <f t="shared" si="397"/>
        <v>0</v>
      </c>
      <c r="EC97" s="22">
        <f t="shared" si="397"/>
        <v>0</v>
      </c>
      <c r="ED97" s="22">
        <f t="shared" ref="ED97:ES97" si="398">ED$71-ED$93-ED$94-ED$95-ED$96</f>
        <v>0</v>
      </c>
      <c r="EE97" s="22">
        <f t="shared" si="398"/>
        <v>0</v>
      </c>
      <c r="EF97" s="22">
        <f t="shared" si="398"/>
        <v>0</v>
      </c>
      <c r="EG97" s="22">
        <f t="shared" si="398"/>
        <v>0</v>
      </c>
      <c r="EH97" s="22">
        <f t="shared" si="398"/>
        <v>0</v>
      </c>
      <c r="EI97" s="22">
        <f t="shared" si="398"/>
        <v>0</v>
      </c>
      <c r="EJ97" s="22">
        <f t="shared" si="398"/>
        <v>0</v>
      </c>
      <c r="EK97" s="22">
        <f t="shared" si="398"/>
        <v>0</v>
      </c>
      <c r="EL97" s="22">
        <f t="shared" si="398"/>
        <v>0</v>
      </c>
      <c r="EM97" s="22">
        <f t="shared" si="398"/>
        <v>0</v>
      </c>
      <c r="EN97" s="22">
        <f t="shared" si="398"/>
        <v>0</v>
      </c>
      <c r="EO97" s="22">
        <f t="shared" si="398"/>
        <v>0</v>
      </c>
      <c r="EP97" s="22">
        <f t="shared" si="398"/>
        <v>0</v>
      </c>
      <c r="EQ97" s="22">
        <f t="shared" si="398"/>
        <v>0</v>
      </c>
      <c r="ER97" s="22">
        <f t="shared" si="398"/>
        <v>0</v>
      </c>
      <c r="ES97" s="22">
        <f t="shared" si="398"/>
        <v>0</v>
      </c>
    </row>
    <row r="98" spans="1:149" x14ac:dyDescent="0.3">
      <c r="A98" s="14" t="s">
        <v>1099</v>
      </c>
      <c r="B98" s="18" t="s">
        <v>1100</v>
      </c>
      <c r="C98" s="18" t="s">
        <v>439</v>
      </c>
      <c r="E98" s="54">
        <f t="shared" si="373"/>
        <v>1075198.5262701346</v>
      </c>
      <c r="F98" s="48">
        <f t="shared" ref="F98:AK98" si="399">F$82</f>
        <v>8959.9877189178078</v>
      </c>
      <c r="G98" s="48">
        <f t="shared" si="399"/>
        <v>8959.9877189178078</v>
      </c>
      <c r="H98" s="48">
        <f t="shared" si="399"/>
        <v>8959.9877189178078</v>
      </c>
      <c r="I98" s="48">
        <f t="shared" si="399"/>
        <v>8959.9877189178078</v>
      </c>
      <c r="J98" s="48">
        <f t="shared" si="399"/>
        <v>8959.9877189178078</v>
      </c>
      <c r="K98" s="48">
        <f t="shared" si="399"/>
        <v>8959.9877189178078</v>
      </c>
      <c r="L98" s="48">
        <f t="shared" si="399"/>
        <v>8959.9877189178078</v>
      </c>
      <c r="M98" s="48">
        <f t="shared" si="399"/>
        <v>8959.9877189178078</v>
      </c>
      <c r="N98" s="48">
        <f t="shared" si="399"/>
        <v>8959.9877189178078</v>
      </c>
      <c r="O98" s="48">
        <f t="shared" si="399"/>
        <v>8959.9877189178078</v>
      </c>
      <c r="P98" s="48">
        <f t="shared" si="399"/>
        <v>8959.9877189178078</v>
      </c>
      <c r="Q98" s="48">
        <f t="shared" si="399"/>
        <v>8959.9877189178078</v>
      </c>
      <c r="R98" s="48">
        <f t="shared" si="399"/>
        <v>8959.9877189178078</v>
      </c>
      <c r="S98" s="48">
        <f t="shared" si="399"/>
        <v>8959.9877189178078</v>
      </c>
      <c r="T98" s="48">
        <f t="shared" si="399"/>
        <v>8959.9877189178078</v>
      </c>
      <c r="U98" s="48">
        <f t="shared" si="399"/>
        <v>8959.9877189178078</v>
      </c>
      <c r="V98" s="48">
        <f t="shared" si="399"/>
        <v>8959.9877189178078</v>
      </c>
      <c r="W98" s="48">
        <f t="shared" si="399"/>
        <v>8959.9877189178078</v>
      </c>
      <c r="X98" s="48">
        <f t="shared" si="399"/>
        <v>8959.9877189178078</v>
      </c>
      <c r="Y98" s="48">
        <f t="shared" si="399"/>
        <v>8959.9877189178078</v>
      </c>
      <c r="Z98" s="48">
        <f t="shared" si="399"/>
        <v>8959.9877189178078</v>
      </c>
      <c r="AA98" s="48">
        <f t="shared" si="399"/>
        <v>8959.9877189178078</v>
      </c>
      <c r="AB98" s="48">
        <f t="shared" si="399"/>
        <v>8959.9877189178078</v>
      </c>
      <c r="AC98" s="48">
        <f t="shared" si="399"/>
        <v>8959.9877189178078</v>
      </c>
      <c r="AD98" s="48">
        <f t="shared" si="399"/>
        <v>8959.9877189178078</v>
      </c>
      <c r="AE98" s="48">
        <f t="shared" si="399"/>
        <v>8959.9877189178078</v>
      </c>
      <c r="AF98" s="48">
        <f t="shared" si="399"/>
        <v>8959.9877189178078</v>
      </c>
      <c r="AG98" s="48">
        <f t="shared" si="399"/>
        <v>8959.9877189178078</v>
      </c>
      <c r="AH98" s="48">
        <f t="shared" si="399"/>
        <v>8959.9877189178078</v>
      </c>
      <c r="AI98" s="48">
        <f t="shared" si="399"/>
        <v>8959.9877189178078</v>
      </c>
      <c r="AJ98" s="48">
        <f t="shared" si="399"/>
        <v>8959.9877189178078</v>
      </c>
      <c r="AK98" s="48">
        <f t="shared" si="399"/>
        <v>8959.9877189178078</v>
      </c>
      <c r="AL98" s="48">
        <f t="shared" ref="AL98:BQ98" si="400">AL$82</f>
        <v>8959.9877189178078</v>
      </c>
      <c r="AM98" s="48">
        <f t="shared" si="400"/>
        <v>8959.9877189178078</v>
      </c>
      <c r="AN98" s="48">
        <f t="shared" si="400"/>
        <v>8959.9877189178078</v>
      </c>
      <c r="AO98" s="48">
        <f t="shared" si="400"/>
        <v>8959.9877189178078</v>
      </c>
      <c r="AP98" s="48">
        <f t="shared" si="400"/>
        <v>8959.9877189178078</v>
      </c>
      <c r="AQ98" s="48">
        <f t="shared" si="400"/>
        <v>8959.9877189178078</v>
      </c>
      <c r="AR98" s="48">
        <f t="shared" si="400"/>
        <v>8959.9877189178078</v>
      </c>
      <c r="AS98" s="48">
        <f t="shared" si="400"/>
        <v>8959.9877189178078</v>
      </c>
      <c r="AT98" s="48">
        <f t="shared" si="400"/>
        <v>8959.9877189178078</v>
      </c>
      <c r="AU98" s="48">
        <f t="shared" si="400"/>
        <v>8959.9877189178078</v>
      </c>
      <c r="AV98" s="48">
        <f t="shared" si="400"/>
        <v>8959.9877189178078</v>
      </c>
      <c r="AW98" s="48">
        <f t="shared" si="400"/>
        <v>8959.9877189178078</v>
      </c>
      <c r="AX98" s="48">
        <f t="shared" si="400"/>
        <v>8959.9877189178078</v>
      </c>
      <c r="AY98" s="48">
        <f t="shared" si="400"/>
        <v>8959.9877189178078</v>
      </c>
      <c r="AZ98" s="48">
        <f t="shared" si="400"/>
        <v>8959.9877189178078</v>
      </c>
      <c r="BA98" s="48">
        <f t="shared" si="400"/>
        <v>8959.9877189178078</v>
      </c>
      <c r="BB98" s="48">
        <f t="shared" si="400"/>
        <v>8959.9877189178078</v>
      </c>
      <c r="BC98" s="48">
        <f t="shared" si="400"/>
        <v>8959.9877189178078</v>
      </c>
      <c r="BD98" s="48">
        <f t="shared" si="400"/>
        <v>8959.9877189178078</v>
      </c>
      <c r="BE98" s="48">
        <f t="shared" si="400"/>
        <v>8959.9877189178078</v>
      </c>
      <c r="BF98" s="48">
        <f t="shared" si="400"/>
        <v>8959.9877189178078</v>
      </c>
      <c r="BG98" s="48">
        <f t="shared" si="400"/>
        <v>8959.9877189178078</v>
      </c>
      <c r="BH98" s="48">
        <f t="shared" si="400"/>
        <v>8959.9877189178078</v>
      </c>
      <c r="BI98" s="48">
        <f t="shared" si="400"/>
        <v>8959.9877189178078</v>
      </c>
      <c r="BJ98" s="48">
        <f t="shared" si="400"/>
        <v>8959.9877189178078</v>
      </c>
      <c r="BK98" s="48">
        <f t="shared" si="400"/>
        <v>8959.9877189178078</v>
      </c>
      <c r="BL98" s="48">
        <f t="shared" si="400"/>
        <v>8959.9877189178078</v>
      </c>
      <c r="BM98" s="48">
        <f t="shared" si="400"/>
        <v>8959.9877189178078</v>
      </c>
      <c r="BN98" s="48">
        <f t="shared" si="400"/>
        <v>8959.9877189178078</v>
      </c>
      <c r="BO98" s="48">
        <f t="shared" si="400"/>
        <v>8959.9877189178078</v>
      </c>
      <c r="BP98" s="48">
        <f t="shared" si="400"/>
        <v>8959.9877189178078</v>
      </c>
      <c r="BQ98" s="48">
        <f t="shared" si="400"/>
        <v>8959.9877189178078</v>
      </c>
      <c r="BR98" s="48">
        <f t="shared" ref="BR98:CW98" si="401">BR$82</f>
        <v>8959.9877189178078</v>
      </c>
      <c r="BS98" s="48">
        <f t="shared" si="401"/>
        <v>8959.9877189178078</v>
      </c>
      <c r="BT98" s="48">
        <f t="shared" si="401"/>
        <v>8959.9877189178078</v>
      </c>
      <c r="BU98" s="48">
        <f t="shared" si="401"/>
        <v>8959.9877189178078</v>
      </c>
      <c r="BV98" s="48">
        <f t="shared" si="401"/>
        <v>8959.9877189178078</v>
      </c>
      <c r="BW98" s="48">
        <f t="shared" si="401"/>
        <v>8959.9877189178078</v>
      </c>
      <c r="BX98" s="48">
        <f t="shared" si="401"/>
        <v>8959.9877189178078</v>
      </c>
      <c r="BY98" s="48">
        <f t="shared" si="401"/>
        <v>8959.9877189178078</v>
      </c>
      <c r="BZ98" s="48">
        <f t="shared" si="401"/>
        <v>8959.9877189178078</v>
      </c>
      <c r="CA98" s="48">
        <f t="shared" si="401"/>
        <v>8959.9877189178078</v>
      </c>
      <c r="CB98" s="48">
        <f t="shared" si="401"/>
        <v>8959.9877189178078</v>
      </c>
      <c r="CC98" s="48">
        <f t="shared" si="401"/>
        <v>8959.9877189178078</v>
      </c>
      <c r="CD98" s="48">
        <f t="shared" si="401"/>
        <v>8959.9877189178078</v>
      </c>
      <c r="CE98" s="48">
        <f t="shared" si="401"/>
        <v>8959.9877189178078</v>
      </c>
      <c r="CF98" s="48">
        <f t="shared" si="401"/>
        <v>8959.9877189178078</v>
      </c>
      <c r="CG98" s="48">
        <f t="shared" si="401"/>
        <v>8959.9877189178078</v>
      </c>
      <c r="CH98" s="48">
        <f t="shared" si="401"/>
        <v>8959.9877189178078</v>
      </c>
      <c r="CI98" s="48">
        <f t="shared" si="401"/>
        <v>8959.9877189178078</v>
      </c>
      <c r="CJ98" s="48">
        <f t="shared" si="401"/>
        <v>8959.9877189178078</v>
      </c>
      <c r="CK98" s="48">
        <f t="shared" si="401"/>
        <v>8959.9877189178078</v>
      </c>
      <c r="CL98" s="48">
        <f t="shared" si="401"/>
        <v>8959.9877189178078</v>
      </c>
      <c r="CM98" s="48">
        <f t="shared" si="401"/>
        <v>8959.9877189178078</v>
      </c>
      <c r="CN98" s="48">
        <f t="shared" si="401"/>
        <v>8959.9877189178078</v>
      </c>
      <c r="CO98" s="48">
        <f t="shared" si="401"/>
        <v>8959.9877189178078</v>
      </c>
      <c r="CP98" s="48">
        <f t="shared" si="401"/>
        <v>8959.9877189178078</v>
      </c>
      <c r="CQ98" s="48">
        <f t="shared" si="401"/>
        <v>8959.9877189178078</v>
      </c>
      <c r="CR98" s="48">
        <f t="shared" si="401"/>
        <v>8959.9877189178078</v>
      </c>
      <c r="CS98" s="48">
        <f t="shared" si="401"/>
        <v>8959.9877189178078</v>
      </c>
      <c r="CT98" s="48">
        <f t="shared" si="401"/>
        <v>8959.9877189178078</v>
      </c>
      <c r="CU98" s="48">
        <f t="shared" si="401"/>
        <v>8959.9877189178078</v>
      </c>
      <c r="CV98" s="48">
        <f t="shared" si="401"/>
        <v>8959.9877189178078</v>
      </c>
      <c r="CW98" s="48">
        <f t="shared" si="401"/>
        <v>8959.9877189178078</v>
      </c>
      <c r="CX98" s="48">
        <f t="shared" ref="CX98:EC98" si="402">CX$82</f>
        <v>8959.9877189178078</v>
      </c>
      <c r="CY98" s="48">
        <f t="shared" si="402"/>
        <v>8959.9877189178078</v>
      </c>
      <c r="CZ98" s="48">
        <f t="shared" si="402"/>
        <v>8959.9877189178078</v>
      </c>
      <c r="DA98" s="48">
        <f t="shared" si="402"/>
        <v>8959.9877189178078</v>
      </c>
      <c r="DB98" s="48">
        <f t="shared" si="402"/>
        <v>8959.9877189178078</v>
      </c>
      <c r="DC98" s="48">
        <f t="shared" si="402"/>
        <v>8959.9877189178078</v>
      </c>
      <c r="DD98" s="48">
        <f t="shared" si="402"/>
        <v>8959.9877189178078</v>
      </c>
      <c r="DE98" s="48">
        <f t="shared" si="402"/>
        <v>8959.9877189178078</v>
      </c>
      <c r="DF98" s="48">
        <f t="shared" si="402"/>
        <v>8959.9877189178078</v>
      </c>
      <c r="DG98" s="48">
        <f t="shared" si="402"/>
        <v>8959.9877189178078</v>
      </c>
      <c r="DH98" s="48">
        <f t="shared" si="402"/>
        <v>8959.9877189178078</v>
      </c>
      <c r="DI98" s="48">
        <f t="shared" si="402"/>
        <v>8959.9877189178078</v>
      </c>
      <c r="DJ98" s="48">
        <f t="shared" si="402"/>
        <v>8959.9877189178078</v>
      </c>
      <c r="DK98" s="48">
        <f t="shared" si="402"/>
        <v>8959.9877189178078</v>
      </c>
      <c r="DL98" s="48">
        <f t="shared" si="402"/>
        <v>8959.9877189178078</v>
      </c>
      <c r="DM98" s="48">
        <f t="shared" si="402"/>
        <v>8959.9877189178078</v>
      </c>
      <c r="DN98" s="48">
        <f t="shared" si="402"/>
        <v>8959.9877189178078</v>
      </c>
      <c r="DO98" s="48">
        <f t="shared" si="402"/>
        <v>8959.9877189178078</v>
      </c>
      <c r="DP98" s="48">
        <f t="shared" si="402"/>
        <v>8959.9877189178078</v>
      </c>
      <c r="DQ98" s="48">
        <f t="shared" si="402"/>
        <v>8959.9877189178078</v>
      </c>
      <c r="DR98" s="48">
        <f t="shared" si="402"/>
        <v>8959.9877189178078</v>
      </c>
      <c r="DS98" s="48">
        <f t="shared" si="402"/>
        <v>8959.9877189178078</v>
      </c>
      <c r="DT98" s="48">
        <f t="shared" si="402"/>
        <v>8959.9877189178078</v>
      </c>
      <c r="DU98" s="48">
        <f t="shared" si="402"/>
        <v>8959.9877189178078</v>
      </c>
      <c r="DV98" s="48">
        <f t="shared" si="402"/>
        <v>0</v>
      </c>
      <c r="DW98" s="48">
        <f t="shared" si="402"/>
        <v>0</v>
      </c>
      <c r="DX98" s="48">
        <f t="shared" si="402"/>
        <v>0</v>
      </c>
      <c r="DY98" s="48">
        <f t="shared" si="402"/>
        <v>0</v>
      </c>
      <c r="DZ98" s="48">
        <f t="shared" si="402"/>
        <v>0</v>
      </c>
      <c r="EA98" s="48">
        <f t="shared" si="402"/>
        <v>0</v>
      </c>
      <c r="EB98" s="48">
        <f t="shared" si="402"/>
        <v>0</v>
      </c>
      <c r="EC98" s="48">
        <f t="shared" si="402"/>
        <v>0</v>
      </c>
      <c r="ED98" s="48">
        <f t="shared" ref="ED98:ES98" si="403">ED$82</f>
        <v>0</v>
      </c>
      <c r="EE98" s="48">
        <f t="shared" si="403"/>
        <v>0</v>
      </c>
      <c r="EF98" s="48">
        <f t="shared" si="403"/>
        <v>0</v>
      </c>
      <c r="EG98" s="48">
        <f t="shared" si="403"/>
        <v>0</v>
      </c>
      <c r="EH98" s="48">
        <f t="shared" si="403"/>
        <v>0</v>
      </c>
      <c r="EI98" s="48">
        <f t="shared" si="403"/>
        <v>0</v>
      </c>
      <c r="EJ98" s="48">
        <f t="shared" si="403"/>
        <v>0</v>
      </c>
      <c r="EK98" s="48">
        <f t="shared" si="403"/>
        <v>0</v>
      </c>
      <c r="EL98" s="48">
        <f t="shared" si="403"/>
        <v>0</v>
      </c>
      <c r="EM98" s="48">
        <f t="shared" si="403"/>
        <v>0</v>
      </c>
      <c r="EN98" s="48">
        <f t="shared" si="403"/>
        <v>0</v>
      </c>
      <c r="EO98" s="48">
        <f t="shared" si="403"/>
        <v>0</v>
      </c>
      <c r="EP98" s="48">
        <f t="shared" si="403"/>
        <v>0</v>
      </c>
      <c r="EQ98" s="48">
        <f t="shared" si="403"/>
        <v>0</v>
      </c>
      <c r="ER98" s="48">
        <f t="shared" si="403"/>
        <v>0</v>
      </c>
      <c r="ES98" s="48">
        <f t="shared" si="403"/>
        <v>0</v>
      </c>
    </row>
    <row r="99" spans="1:149" x14ac:dyDescent="0.3">
      <c r="A99" s="14" t="s">
        <v>1101</v>
      </c>
      <c r="B99" s="18" t="s">
        <v>1102</v>
      </c>
      <c r="C99" s="18" t="s">
        <v>439</v>
      </c>
      <c r="E99" s="54">
        <f t="shared" si="373"/>
        <v>3143993.4545886721</v>
      </c>
      <c r="F99" s="48">
        <f t="shared" ref="F99:AK99" si="404">F$87+F$90</f>
        <v>23597.31442704178</v>
      </c>
      <c r="G99" s="48">
        <f t="shared" si="404"/>
        <v>23597.31442704178</v>
      </c>
      <c r="H99" s="48">
        <f t="shared" si="404"/>
        <v>23597.31442704178</v>
      </c>
      <c r="I99" s="48">
        <f t="shared" si="404"/>
        <v>23597.31442704178</v>
      </c>
      <c r="J99" s="48">
        <f t="shared" si="404"/>
        <v>23597.31442704178</v>
      </c>
      <c r="K99" s="48">
        <f t="shared" si="404"/>
        <v>23597.31442704178</v>
      </c>
      <c r="L99" s="48">
        <f t="shared" si="404"/>
        <v>23597.31442704178</v>
      </c>
      <c r="M99" s="48">
        <f t="shared" si="404"/>
        <v>23597.31442704178</v>
      </c>
      <c r="N99" s="48">
        <f t="shared" si="404"/>
        <v>23597.31442704178</v>
      </c>
      <c r="O99" s="48">
        <f t="shared" si="404"/>
        <v>23597.31442704178</v>
      </c>
      <c r="P99" s="48">
        <f t="shared" si="404"/>
        <v>23597.31442704178</v>
      </c>
      <c r="Q99" s="48">
        <f t="shared" si="404"/>
        <v>23597.31442704178</v>
      </c>
      <c r="R99" s="48">
        <f t="shared" si="404"/>
        <v>24130.684427041782</v>
      </c>
      <c r="S99" s="48">
        <f t="shared" si="404"/>
        <v>24130.684427041782</v>
      </c>
      <c r="T99" s="48">
        <f t="shared" si="404"/>
        <v>24130.684427041782</v>
      </c>
      <c r="U99" s="48">
        <f t="shared" si="404"/>
        <v>24130.684427041782</v>
      </c>
      <c r="V99" s="48">
        <f t="shared" si="404"/>
        <v>24130.684427041782</v>
      </c>
      <c r="W99" s="48">
        <f t="shared" si="404"/>
        <v>24130.684427041782</v>
      </c>
      <c r="X99" s="48">
        <f t="shared" si="404"/>
        <v>24130.684427041782</v>
      </c>
      <c r="Y99" s="48">
        <f t="shared" si="404"/>
        <v>24130.684427041782</v>
      </c>
      <c r="Z99" s="48">
        <f t="shared" si="404"/>
        <v>24130.684427041782</v>
      </c>
      <c r="AA99" s="48">
        <f t="shared" si="404"/>
        <v>24130.684427041782</v>
      </c>
      <c r="AB99" s="48">
        <f t="shared" si="404"/>
        <v>24130.684427041782</v>
      </c>
      <c r="AC99" s="48">
        <f t="shared" si="404"/>
        <v>24130.684427041782</v>
      </c>
      <c r="AD99" s="48">
        <f t="shared" si="404"/>
        <v>24680.055527041779</v>
      </c>
      <c r="AE99" s="48">
        <f t="shared" si="404"/>
        <v>24680.055527041779</v>
      </c>
      <c r="AF99" s="48">
        <f t="shared" si="404"/>
        <v>24680.055527041779</v>
      </c>
      <c r="AG99" s="48">
        <f t="shared" si="404"/>
        <v>24680.055527041779</v>
      </c>
      <c r="AH99" s="48">
        <f t="shared" si="404"/>
        <v>24680.055527041779</v>
      </c>
      <c r="AI99" s="48">
        <f t="shared" si="404"/>
        <v>24680.055527041779</v>
      </c>
      <c r="AJ99" s="48">
        <f t="shared" si="404"/>
        <v>24680.055527041779</v>
      </c>
      <c r="AK99" s="48">
        <f t="shared" si="404"/>
        <v>24680.055527041779</v>
      </c>
      <c r="AL99" s="48">
        <f t="shared" ref="AL99:BQ99" si="405">AL$87+AL$90</f>
        <v>24680.055527041779</v>
      </c>
      <c r="AM99" s="48">
        <f t="shared" si="405"/>
        <v>24680.055527041779</v>
      </c>
      <c r="AN99" s="48">
        <f t="shared" si="405"/>
        <v>24680.055527041779</v>
      </c>
      <c r="AO99" s="48">
        <f t="shared" si="405"/>
        <v>24680.055527041779</v>
      </c>
      <c r="AP99" s="48">
        <f t="shared" si="405"/>
        <v>25245.907760041784</v>
      </c>
      <c r="AQ99" s="48">
        <f t="shared" si="405"/>
        <v>25245.907760041784</v>
      </c>
      <c r="AR99" s="48">
        <f t="shared" si="405"/>
        <v>25245.907760041784</v>
      </c>
      <c r="AS99" s="48">
        <f t="shared" si="405"/>
        <v>25245.907760041784</v>
      </c>
      <c r="AT99" s="48">
        <f t="shared" si="405"/>
        <v>25245.907760041784</v>
      </c>
      <c r="AU99" s="48">
        <f t="shared" si="405"/>
        <v>25245.907760041784</v>
      </c>
      <c r="AV99" s="48">
        <f t="shared" si="405"/>
        <v>25245.907760041784</v>
      </c>
      <c r="AW99" s="48">
        <f t="shared" si="405"/>
        <v>25245.907760041784</v>
      </c>
      <c r="AX99" s="48">
        <f t="shared" si="405"/>
        <v>25245.907760041784</v>
      </c>
      <c r="AY99" s="48">
        <f t="shared" si="405"/>
        <v>25245.907760041784</v>
      </c>
      <c r="AZ99" s="48">
        <f t="shared" si="405"/>
        <v>25245.907760041784</v>
      </c>
      <c r="BA99" s="48">
        <f t="shared" si="405"/>
        <v>25245.907760041784</v>
      </c>
      <c r="BB99" s="48">
        <f t="shared" si="405"/>
        <v>25828.735560031779</v>
      </c>
      <c r="BC99" s="48">
        <f t="shared" si="405"/>
        <v>25828.735560031779</v>
      </c>
      <c r="BD99" s="48">
        <f t="shared" si="405"/>
        <v>25828.735560031779</v>
      </c>
      <c r="BE99" s="48">
        <f t="shared" si="405"/>
        <v>25828.735560031779</v>
      </c>
      <c r="BF99" s="48">
        <f t="shared" si="405"/>
        <v>25828.735560031779</v>
      </c>
      <c r="BG99" s="48">
        <f t="shared" si="405"/>
        <v>25828.735560031779</v>
      </c>
      <c r="BH99" s="48">
        <f t="shared" si="405"/>
        <v>25828.735560031779</v>
      </c>
      <c r="BI99" s="48">
        <f t="shared" si="405"/>
        <v>25828.735560031779</v>
      </c>
      <c r="BJ99" s="48">
        <f t="shared" si="405"/>
        <v>25828.735560031779</v>
      </c>
      <c r="BK99" s="48">
        <f t="shared" si="405"/>
        <v>25828.735560031779</v>
      </c>
      <c r="BL99" s="48">
        <f t="shared" si="405"/>
        <v>25828.735560031779</v>
      </c>
      <c r="BM99" s="48">
        <f t="shared" si="405"/>
        <v>25828.735560031779</v>
      </c>
      <c r="BN99" s="48">
        <f t="shared" si="405"/>
        <v>26429.048194021478</v>
      </c>
      <c r="BO99" s="48">
        <f t="shared" si="405"/>
        <v>26429.048194021478</v>
      </c>
      <c r="BP99" s="48">
        <f t="shared" si="405"/>
        <v>26429.048194021478</v>
      </c>
      <c r="BQ99" s="48">
        <f t="shared" si="405"/>
        <v>26429.048194021478</v>
      </c>
      <c r="BR99" s="48">
        <f t="shared" ref="BR99:CW99" si="406">BR$87+BR$90</f>
        <v>26429.048194021478</v>
      </c>
      <c r="BS99" s="48">
        <f t="shared" si="406"/>
        <v>26429.048194021478</v>
      </c>
      <c r="BT99" s="48">
        <f t="shared" si="406"/>
        <v>26429.048194021478</v>
      </c>
      <c r="BU99" s="48">
        <f t="shared" si="406"/>
        <v>26429.048194021478</v>
      </c>
      <c r="BV99" s="48">
        <f t="shared" si="406"/>
        <v>26429.048194021478</v>
      </c>
      <c r="BW99" s="48">
        <f t="shared" si="406"/>
        <v>26429.048194021478</v>
      </c>
      <c r="BX99" s="48">
        <f t="shared" si="406"/>
        <v>26429.048194021478</v>
      </c>
      <c r="BY99" s="48">
        <f t="shared" si="406"/>
        <v>26429.048194021478</v>
      </c>
      <c r="BZ99" s="48">
        <f t="shared" si="406"/>
        <v>27047.370207030868</v>
      </c>
      <c r="CA99" s="48">
        <f t="shared" si="406"/>
        <v>27047.370207030868</v>
      </c>
      <c r="CB99" s="48">
        <f t="shared" si="406"/>
        <v>27047.370207030868</v>
      </c>
      <c r="CC99" s="48">
        <f t="shared" si="406"/>
        <v>27047.370207030868</v>
      </c>
      <c r="CD99" s="48">
        <f t="shared" si="406"/>
        <v>27047.370207030868</v>
      </c>
      <c r="CE99" s="48">
        <f t="shared" si="406"/>
        <v>27047.370207030868</v>
      </c>
      <c r="CF99" s="48">
        <f t="shared" si="406"/>
        <v>27047.370207030868</v>
      </c>
      <c r="CG99" s="48">
        <f t="shared" si="406"/>
        <v>27047.370207030868</v>
      </c>
      <c r="CH99" s="48">
        <f t="shared" si="406"/>
        <v>27047.370207030868</v>
      </c>
      <c r="CI99" s="48">
        <f t="shared" si="406"/>
        <v>27047.370207030868</v>
      </c>
      <c r="CJ99" s="48">
        <f t="shared" si="406"/>
        <v>27047.370207030868</v>
      </c>
      <c r="CK99" s="48">
        <f t="shared" si="406"/>
        <v>27047.370207030868</v>
      </c>
      <c r="CL99" s="48">
        <f t="shared" si="406"/>
        <v>27684.241880430545</v>
      </c>
      <c r="CM99" s="48">
        <f t="shared" si="406"/>
        <v>27684.241880430545</v>
      </c>
      <c r="CN99" s="48">
        <f t="shared" si="406"/>
        <v>27684.241880430545</v>
      </c>
      <c r="CO99" s="48">
        <f t="shared" si="406"/>
        <v>27684.241880430545</v>
      </c>
      <c r="CP99" s="48">
        <f t="shared" si="406"/>
        <v>27684.241880430545</v>
      </c>
      <c r="CQ99" s="48">
        <f t="shared" si="406"/>
        <v>27684.241880430545</v>
      </c>
      <c r="CR99" s="48">
        <f t="shared" si="406"/>
        <v>27684.241880430545</v>
      </c>
      <c r="CS99" s="48">
        <f t="shared" si="406"/>
        <v>27684.241880430545</v>
      </c>
      <c r="CT99" s="48">
        <f t="shared" si="406"/>
        <v>27684.241880430545</v>
      </c>
      <c r="CU99" s="48">
        <f t="shared" si="406"/>
        <v>27684.241880430545</v>
      </c>
      <c r="CV99" s="48">
        <f t="shared" si="406"/>
        <v>27684.241880430545</v>
      </c>
      <c r="CW99" s="48">
        <f t="shared" si="406"/>
        <v>27684.241880430545</v>
      </c>
      <c r="CX99" s="48">
        <f t="shared" ref="CX99:EC99" si="407">CX$87+CX$90</f>
        <v>28340.219704032203</v>
      </c>
      <c r="CY99" s="48">
        <f t="shared" si="407"/>
        <v>28340.219704032203</v>
      </c>
      <c r="CZ99" s="48">
        <f t="shared" si="407"/>
        <v>28340.219704032203</v>
      </c>
      <c r="DA99" s="48">
        <f t="shared" si="407"/>
        <v>28340.219704032203</v>
      </c>
      <c r="DB99" s="48">
        <f t="shared" si="407"/>
        <v>28340.219704032203</v>
      </c>
      <c r="DC99" s="48">
        <f t="shared" si="407"/>
        <v>28340.219704032203</v>
      </c>
      <c r="DD99" s="48">
        <f t="shared" si="407"/>
        <v>28340.219704032203</v>
      </c>
      <c r="DE99" s="48">
        <f t="shared" si="407"/>
        <v>28340.219704032203</v>
      </c>
      <c r="DF99" s="48">
        <f t="shared" si="407"/>
        <v>28340.219704032203</v>
      </c>
      <c r="DG99" s="48">
        <f t="shared" si="407"/>
        <v>28340.219704032203</v>
      </c>
      <c r="DH99" s="48">
        <f t="shared" si="407"/>
        <v>28340.219704032203</v>
      </c>
      <c r="DI99" s="48">
        <f t="shared" si="407"/>
        <v>28340.219704032203</v>
      </c>
      <c r="DJ99" s="48">
        <f t="shared" si="407"/>
        <v>29015.87686234192</v>
      </c>
      <c r="DK99" s="48">
        <f t="shared" si="407"/>
        <v>29015.87686234192</v>
      </c>
      <c r="DL99" s="48">
        <f t="shared" si="407"/>
        <v>29015.87686234192</v>
      </c>
      <c r="DM99" s="48">
        <f t="shared" si="407"/>
        <v>29015.87686234192</v>
      </c>
      <c r="DN99" s="48">
        <f t="shared" si="407"/>
        <v>29015.87686234192</v>
      </c>
      <c r="DO99" s="48">
        <f t="shared" si="407"/>
        <v>29015.87686234192</v>
      </c>
      <c r="DP99" s="48">
        <f t="shared" si="407"/>
        <v>29015.87686234192</v>
      </c>
      <c r="DQ99" s="48">
        <f t="shared" si="407"/>
        <v>29015.87686234192</v>
      </c>
      <c r="DR99" s="48">
        <f t="shared" si="407"/>
        <v>29015.87686234192</v>
      </c>
      <c r="DS99" s="48">
        <f t="shared" si="407"/>
        <v>29015.87686234192</v>
      </c>
      <c r="DT99" s="48">
        <f t="shared" si="407"/>
        <v>29015.87686234192</v>
      </c>
      <c r="DU99" s="48">
        <f t="shared" si="407"/>
        <v>29015.87686234192</v>
      </c>
      <c r="DV99" s="48">
        <f t="shared" si="407"/>
        <v>0</v>
      </c>
      <c r="DW99" s="48">
        <f t="shared" si="407"/>
        <v>0</v>
      </c>
      <c r="DX99" s="48">
        <f t="shared" si="407"/>
        <v>0</v>
      </c>
      <c r="DY99" s="48">
        <f t="shared" si="407"/>
        <v>0</v>
      </c>
      <c r="DZ99" s="48">
        <f t="shared" si="407"/>
        <v>0</v>
      </c>
      <c r="EA99" s="48">
        <f t="shared" si="407"/>
        <v>0</v>
      </c>
      <c r="EB99" s="48">
        <f t="shared" si="407"/>
        <v>0</v>
      </c>
      <c r="EC99" s="48">
        <f t="shared" si="407"/>
        <v>0</v>
      </c>
      <c r="ED99" s="48">
        <f t="shared" ref="ED99:ES99" si="408">ED$87+ED$90</f>
        <v>0</v>
      </c>
      <c r="EE99" s="48">
        <f t="shared" si="408"/>
        <v>0</v>
      </c>
      <c r="EF99" s="48">
        <f t="shared" si="408"/>
        <v>0</v>
      </c>
      <c r="EG99" s="48">
        <f t="shared" si="408"/>
        <v>0</v>
      </c>
      <c r="EH99" s="48">
        <f t="shared" si="408"/>
        <v>0</v>
      </c>
      <c r="EI99" s="48">
        <f t="shared" si="408"/>
        <v>0</v>
      </c>
      <c r="EJ99" s="48">
        <f t="shared" si="408"/>
        <v>0</v>
      </c>
      <c r="EK99" s="48">
        <f t="shared" si="408"/>
        <v>0</v>
      </c>
      <c r="EL99" s="48">
        <f t="shared" si="408"/>
        <v>0</v>
      </c>
      <c r="EM99" s="48">
        <f t="shared" si="408"/>
        <v>0</v>
      </c>
      <c r="EN99" s="48">
        <f t="shared" si="408"/>
        <v>0</v>
      </c>
      <c r="EO99" s="48">
        <f t="shared" si="408"/>
        <v>0</v>
      </c>
      <c r="EP99" s="48">
        <f t="shared" si="408"/>
        <v>0</v>
      </c>
      <c r="EQ99" s="48">
        <f t="shared" si="408"/>
        <v>0</v>
      </c>
      <c r="ER99" s="48">
        <f t="shared" si="408"/>
        <v>0</v>
      </c>
      <c r="ES99" s="48">
        <f t="shared" si="408"/>
        <v>0</v>
      </c>
    </row>
    <row r="100" spans="1:149" x14ac:dyDescent="0.3">
      <c r="A100" s="14" t="s">
        <v>1103</v>
      </c>
      <c r="B100" s="18" t="s">
        <v>943</v>
      </c>
      <c r="C100" s="18" t="s">
        <v>439</v>
      </c>
      <c r="E100" s="54">
        <f t="shared" si="373"/>
        <v>812224.47721645399</v>
      </c>
      <c r="F100" s="48">
        <f t="shared" ref="F100:AK100" si="409">F$85</f>
        <v>4041.6666666666665</v>
      </c>
      <c r="G100" s="48">
        <f t="shared" si="409"/>
        <v>4041.6666666666665</v>
      </c>
      <c r="H100" s="48">
        <f t="shared" si="409"/>
        <v>4041.6666666666665</v>
      </c>
      <c r="I100" s="48">
        <f t="shared" si="409"/>
        <v>4041.6666666666665</v>
      </c>
      <c r="J100" s="48">
        <f t="shared" si="409"/>
        <v>4041.6666666666665</v>
      </c>
      <c r="K100" s="48">
        <f t="shared" si="409"/>
        <v>4041.6666666666665</v>
      </c>
      <c r="L100" s="48">
        <f t="shared" si="409"/>
        <v>4041.6666666666665</v>
      </c>
      <c r="M100" s="48">
        <f t="shared" si="409"/>
        <v>4041.6666666666665</v>
      </c>
      <c r="N100" s="48">
        <f t="shared" si="409"/>
        <v>4041.6666666666665</v>
      </c>
      <c r="O100" s="48">
        <f t="shared" si="409"/>
        <v>4041.6666666666665</v>
      </c>
      <c r="P100" s="48">
        <f t="shared" si="409"/>
        <v>4041.6666666666665</v>
      </c>
      <c r="Q100" s="48">
        <f t="shared" si="409"/>
        <v>4041.6666666666665</v>
      </c>
      <c r="R100" s="48">
        <f t="shared" si="409"/>
        <v>5151</v>
      </c>
      <c r="S100" s="48">
        <f t="shared" si="409"/>
        <v>5151</v>
      </c>
      <c r="T100" s="48">
        <f t="shared" si="409"/>
        <v>5151</v>
      </c>
      <c r="U100" s="48">
        <f t="shared" si="409"/>
        <v>5151</v>
      </c>
      <c r="V100" s="48">
        <f t="shared" si="409"/>
        <v>5151</v>
      </c>
      <c r="W100" s="48">
        <f t="shared" si="409"/>
        <v>5151</v>
      </c>
      <c r="X100" s="48">
        <f t="shared" si="409"/>
        <v>5151</v>
      </c>
      <c r="Y100" s="48">
        <f t="shared" si="409"/>
        <v>5151</v>
      </c>
      <c r="Z100" s="48">
        <f t="shared" si="409"/>
        <v>5151</v>
      </c>
      <c r="AA100" s="48">
        <f t="shared" si="409"/>
        <v>5151</v>
      </c>
      <c r="AB100" s="48">
        <f t="shared" si="409"/>
        <v>5151</v>
      </c>
      <c r="AC100" s="48">
        <f t="shared" si="409"/>
        <v>5151</v>
      </c>
      <c r="AD100" s="48">
        <f t="shared" si="409"/>
        <v>6282.1158333333324</v>
      </c>
      <c r="AE100" s="48">
        <f t="shared" si="409"/>
        <v>6282.1158333333324</v>
      </c>
      <c r="AF100" s="48">
        <f t="shared" si="409"/>
        <v>6282.1158333333324</v>
      </c>
      <c r="AG100" s="48">
        <f t="shared" si="409"/>
        <v>6282.1158333333324</v>
      </c>
      <c r="AH100" s="48">
        <f t="shared" si="409"/>
        <v>6282.1158333333324</v>
      </c>
      <c r="AI100" s="48">
        <f t="shared" si="409"/>
        <v>6282.1158333333324</v>
      </c>
      <c r="AJ100" s="48">
        <f t="shared" si="409"/>
        <v>6282.1158333333324</v>
      </c>
      <c r="AK100" s="48">
        <f t="shared" si="409"/>
        <v>6282.1158333333324</v>
      </c>
      <c r="AL100" s="48">
        <f t="shared" ref="AL100:BQ100" si="410">AL$85</f>
        <v>6282.1158333333324</v>
      </c>
      <c r="AM100" s="48">
        <f t="shared" si="410"/>
        <v>6282.1158333333324</v>
      </c>
      <c r="AN100" s="48">
        <f t="shared" si="410"/>
        <v>6282.1158333333324</v>
      </c>
      <c r="AO100" s="48">
        <f t="shared" si="410"/>
        <v>6282.1158333333324</v>
      </c>
      <c r="AP100" s="48">
        <f t="shared" si="410"/>
        <v>7237.864524999999</v>
      </c>
      <c r="AQ100" s="48">
        <f t="shared" si="410"/>
        <v>7237.864524999999</v>
      </c>
      <c r="AR100" s="48">
        <f t="shared" si="410"/>
        <v>7237.864524999999</v>
      </c>
      <c r="AS100" s="48">
        <f t="shared" si="410"/>
        <v>7237.864524999999</v>
      </c>
      <c r="AT100" s="48">
        <f t="shared" si="410"/>
        <v>7237.864524999999</v>
      </c>
      <c r="AU100" s="48">
        <f t="shared" si="410"/>
        <v>7237.864524999999</v>
      </c>
      <c r="AV100" s="48">
        <f t="shared" si="410"/>
        <v>7237.864524999999</v>
      </c>
      <c r="AW100" s="48">
        <f t="shared" si="410"/>
        <v>7237.864524999999</v>
      </c>
      <c r="AX100" s="48">
        <f t="shared" si="410"/>
        <v>7237.864524999999</v>
      </c>
      <c r="AY100" s="48">
        <f t="shared" si="410"/>
        <v>7237.864524999999</v>
      </c>
      <c r="AZ100" s="48">
        <f t="shared" si="410"/>
        <v>7237.864524999999</v>
      </c>
      <c r="BA100" s="48">
        <f t="shared" si="410"/>
        <v>7237.864524999999</v>
      </c>
      <c r="BB100" s="48">
        <f t="shared" si="410"/>
        <v>7310.2431702499998</v>
      </c>
      <c r="BC100" s="48">
        <f t="shared" si="410"/>
        <v>7310.2431702499998</v>
      </c>
      <c r="BD100" s="48">
        <f t="shared" si="410"/>
        <v>7310.2431702499998</v>
      </c>
      <c r="BE100" s="48">
        <f t="shared" si="410"/>
        <v>7310.2431702499998</v>
      </c>
      <c r="BF100" s="48">
        <f t="shared" si="410"/>
        <v>7310.2431702499998</v>
      </c>
      <c r="BG100" s="48">
        <f t="shared" si="410"/>
        <v>7310.2431702499998</v>
      </c>
      <c r="BH100" s="48">
        <f t="shared" si="410"/>
        <v>7310.2431702499998</v>
      </c>
      <c r="BI100" s="48">
        <f t="shared" si="410"/>
        <v>7310.2431702499998</v>
      </c>
      <c r="BJ100" s="48">
        <f t="shared" si="410"/>
        <v>7310.2431702499998</v>
      </c>
      <c r="BK100" s="48">
        <f t="shared" si="410"/>
        <v>7310.2431702499998</v>
      </c>
      <c r="BL100" s="48">
        <f t="shared" si="410"/>
        <v>7310.2431702499998</v>
      </c>
      <c r="BM100" s="48">
        <f t="shared" si="410"/>
        <v>7310.2431702499998</v>
      </c>
      <c r="BN100" s="48">
        <f t="shared" si="410"/>
        <v>7383.3456019525001</v>
      </c>
      <c r="BO100" s="48">
        <f t="shared" si="410"/>
        <v>7383.3456019525001</v>
      </c>
      <c r="BP100" s="48">
        <f t="shared" si="410"/>
        <v>7383.3456019525001</v>
      </c>
      <c r="BQ100" s="48">
        <f t="shared" si="410"/>
        <v>7383.3456019525001</v>
      </c>
      <c r="BR100" s="48">
        <f t="shared" ref="BR100:CW100" si="411">BR$85</f>
        <v>7383.3456019525001</v>
      </c>
      <c r="BS100" s="48">
        <f t="shared" si="411"/>
        <v>7383.3456019525001</v>
      </c>
      <c r="BT100" s="48">
        <f t="shared" si="411"/>
        <v>7383.3456019525001</v>
      </c>
      <c r="BU100" s="48">
        <f t="shared" si="411"/>
        <v>7383.3456019525001</v>
      </c>
      <c r="BV100" s="48">
        <f t="shared" si="411"/>
        <v>7383.3456019525001</v>
      </c>
      <c r="BW100" s="48">
        <f t="shared" si="411"/>
        <v>7383.3456019525001</v>
      </c>
      <c r="BX100" s="48">
        <f t="shared" si="411"/>
        <v>7383.3456019525001</v>
      </c>
      <c r="BY100" s="48">
        <f t="shared" si="411"/>
        <v>7383.3456019525001</v>
      </c>
      <c r="BZ100" s="48">
        <f t="shared" si="411"/>
        <v>7457.1790579720237</v>
      </c>
      <c r="CA100" s="48">
        <f t="shared" si="411"/>
        <v>7457.1790579720237</v>
      </c>
      <c r="CB100" s="48">
        <f t="shared" si="411"/>
        <v>7457.1790579720237</v>
      </c>
      <c r="CC100" s="48">
        <f t="shared" si="411"/>
        <v>7457.1790579720237</v>
      </c>
      <c r="CD100" s="48">
        <f t="shared" si="411"/>
        <v>7457.1790579720237</v>
      </c>
      <c r="CE100" s="48">
        <f t="shared" si="411"/>
        <v>7457.1790579720237</v>
      </c>
      <c r="CF100" s="48">
        <f t="shared" si="411"/>
        <v>7457.1790579720237</v>
      </c>
      <c r="CG100" s="48">
        <f t="shared" si="411"/>
        <v>7457.1790579720237</v>
      </c>
      <c r="CH100" s="48">
        <f t="shared" si="411"/>
        <v>7457.1790579720237</v>
      </c>
      <c r="CI100" s="48">
        <f t="shared" si="411"/>
        <v>7457.1790579720237</v>
      </c>
      <c r="CJ100" s="48">
        <f t="shared" si="411"/>
        <v>7457.1790579720237</v>
      </c>
      <c r="CK100" s="48">
        <f t="shared" si="411"/>
        <v>7457.1790579720237</v>
      </c>
      <c r="CL100" s="48">
        <f t="shared" si="411"/>
        <v>7531.7508485517446</v>
      </c>
      <c r="CM100" s="48">
        <f t="shared" si="411"/>
        <v>7531.7508485517446</v>
      </c>
      <c r="CN100" s="48">
        <f t="shared" si="411"/>
        <v>7531.7508485517446</v>
      </c>
      <c r="CO100" s="48">
        <f t="shared" si="411"/>
        <v>7531.7508485517446</v>
      </c>
      <c r="CP100" s="48">
        <f t="shared" si="411"/>
        <v>7531.7508485517446</v>
      </c>
      <c r="CQ100" s="48">
        <f t="shared" si="411"/>
        <v>7531.7508485517446</v>
      </c>
      <c r="CR100" s="48">
        <f t="shared" si="411"/>
        <v>7531.7508485517446</v>
      </c>
      <c r="CS100" s="48">
        <f t="shared" si="411"/>
        <v>7531.7508485517446</v>
      </c>
      <c r="CT100" s="48">
        <f t="shared" si="411"/>
        <v>7531.7508485517446</v>
      </c>
      <c r="CU100" s="48">
        <f t="shared" si="411"/>
        <v>7531.7508485517446</v>
      </c>
      <c r="CV100" s="48">
        <f t="shared" si="411"/>
        <v>7531.7508485517446</v>
      </c>
      <c r="CW100" s="48">
        <f t="shared" si="411"/>
        <v>7531.7508485517446</v>
      </c>
      <c r="CX100" s="48">
        <f t="shared" ref="CX100:EC100" si="412">CX$85</f>
        <v>7607.0683570372621</v>
      </c>
      <c r="CY100" s="48">
        <f t="shared" si="412"/>
        <v>7607.0683570372621</v>
      </c>
      <c r="CZ100" s="48">
        <f t="shared" si="412"/>
        <v>7607.0683570372621</v>
      </c>
      <c r="DA100" s="48">
        <f t="shared" si="412"/>
        <v>7607.0683570372621</v>
      </c>
      <c r="DB100" s="48">
        <f t="shared" si="412"/>
        <v>7607.0683570372621</v>
      </c>
      <c r="DC100" s="48">
        <f t="shared" si="412"/>
        <v>7607.0683570372621</v>
      </c>
      <c r="DD100" s="48">
        <f t="shared" si="412"/>
        <v>7607.0683570372621</v>
      </c>
      <c r="DE100" s="48">
        <f t="shared" si="412"/>
        <v>7607.0683570372621</v>
      </c>
      <c r="DF100" s="48">
        <f t="shared" si="412"/>
        <v>7607.0683570372621</v>
      </c>
      <c r="DG100" s="48">
        <f t="shared" si="412"/>
        <v>7607.0683570372621</v>
      </c>
      <c r="DH100" s="48">
        <f t="shared" si="412"/>
        <v>7607.0683570372621</v>
      </c>
      <c r="DI100" s="48">
        <f t="shared" si="412"/>
        <v>7607.0683570372621</v>
      </c>
      <c r="DJ100" s="48">
        <f t="shared" si="412"/>
        <v>7683.1390406076353</v>
      </c>
      <c r="DK100" s="48">
        <f t="shared" si="412"/>
        <v>7683.1390406076353</v>
      </c>
      <c r="DL100" s="48">
        <f t="shared" si="412"/>
        <v>7683.1390406076353</v>
      </c>
      <c r="DM100" s="48">
        <f t="shared" si="412"/>
        <v>7683.1390406076353</v>
      </c>
      <c r="DN100" s="48">
        <f t="shared" si="412"/>
        <v>7683.1390406076353</v>
      </c>
      <c r="DO100" s="48">
        <f t="shared" si="412"/>
        <v>7683.1390406076353</v>
      </c>
      <c r="DP100" s="48">
        <f t="shared" si="412"/>
        <v>7683.1390406076353</v>
      </c>
      <c r="DQ100" s="48">
        <f t="shared" si="412"/>
        <v>7683.1390406076353</v>
      </c>
      <c r="DR100" s="48">
        <f t="shared" si="412"/>
        <v>7683.1390406076353</v>
      </c>
      <c r="DS100" s="48">
        <f t="shared" si="412"/>
        <v>7683.1390406076353</v>
      </c>
      <c r="DT100" s="48">
        <f t="shared" si="412"/>
        <v>7683.1390406076353</v>
      </c>
      <c r="DU100" s="48">
        <f t="shared" si="412"/>
        <v>7683.1390406076353</v>
      </c>
      <c r="DV100" s="48">
        <f t="shared" si="412"/>
        <v>0</v>
      </c>
      <c r="DW100" s="48">
        <f t="shared" si="412"/>
        <v>0</v>
      </c>
      <c r="DX100" s="48">
        <f t="shared" si="412"/>
        <v>0</v>
      </c>
      <c r="DY100" s="48">
        <f t="shared" si="412"/>
        <v>0</v>
      </c>
      <c r="DZ100" s="48">
        <f t="shared" si="412"/>
        <v>0</v>
      </c>
      <c r="EA100" s="48">
        <f t="shared" si="412"/>
        <v>0</v>
      </c>
      <c r="EB100" s="48">
        <f t="shared" si="412"/>
        <v>0</v>
      </c>
      <c r="EC100" s="48">
        <f t="shared" si="412"/>
        <v>0</v>
      </c>
      <c r="ED100" s="48">
        <f t="shared" ref="ED100:ES100" si="413">ED$85</f>
        <v>0</v>
      </c>
      <c r="EE100" s="48">
        <f t="shared" si="413"/>
        <v>0</v>
      </c>
      <c r="EF100" s="48">
        <f t="shared" si="413"/>
        <v>0</v>
      </c>
      <c r="EG100" s="48">
        <f t="shared" si="413"/>
        <v>0</v>
      </c>
      <c r="EH100" s="48">
        <f t="shared" si="413"/>
        <v>0</v>
      </c>
      <c r="EI100" s="48">
        <f t="shared" si="413"/>
        <v>0</v>
      </c>
      <c r="EJ100" s="48">
        <f t="shared" si="413"/>
        <v>0</v>
      </c>
      <c r="EK100" s="48">
        <f t="shared" si="413"/>
        <v>0</v>
      </c>
      <c r="EL100" s="48">
        <f t="shared" si="413"/>
        <v>0</v>
      </c>
      <c r="EM100" s="48">
        <f t="shared" si="413"/>
        <v>0</v>
      </c>
      <c r="EN100" s="48">
        <f t="shared" si="413"/>
        <v>0</v>
      </c>
      <c r="EO100" s="48">
        <f t="shared" si="413"/>
        <v>0</v>
      </c>
      <c r="EP100" s="48">
        <f t="shared" si="413"/>
        <v>0</v>
      </c>
      <c r="EQ100" s="48">
        <f t="shared" si="413"/>
        <v>0</v>
      </c>
      <c r="ER100" s="48">
        <f t="shared" si="413"/>
        <v>0</v>
      </c>
      <c r="ES100" s="48">
        <f t="shared" si="413"/>
        <v>0</v>
      </c>
    </row>
    <row r="101" spans="1:149" x14ac:dyDescent="0.3">
      <c r="A101" s="14" t="s">
        <v>1104</v>
      </c>
      <c r="B101" s="18" t="s">
        <v>1105</v>
      </c>
      <c r="C101" s="18" t="s">
        <v>439</v>
      </c>
      <c r="E101" s="54">
        <f t="shared" si="373"/>
        <v>0</v>
      </c>
      <c r="F101" s="48">
        <f t="shared" ref="F101:AK101" si="414">F$91*P_IVArec</f>
        <v>0</v>
      </c>
      <c r="G101" s="48">
        <f t="shared" si="414"/>
        <v>0</v>
      </c>
      <c r="H101" s="48">
        <f t="shared" si="414"/>
        <v>0</v>
      </c>
      <c r="I101" s="48">
        <f t="shared" si="414"/>
        <v>0</v>
      </c>
      <c r="J101" s="48">
        <f t="shared" si="414"/>
        <v>0</v>
      </c>
      <c r="K101" s="48">
        <f t="shared" si="414"/>
        <v>0</v>
      </c>
      <c r="L101" s="48">
        <f t="shared" si="414"/>
        <v>0</v>
      </c>
      <c r="M101" s="48">
        <f t="shared" si="414"/>
        <v>0</v>
      </c>
      <c r="N101" s="48">
        <f t="shared" si="414"/>
        <v>0</v>
      </c>
      <c r="O101" s="48">
        <f t="shared" si="414"/>
        <v>0</v>
      </c>
      <c r="P101" s="48">
        <f t="shared" si="414"/>
        <v>0</v>
      </c>
      <c r="Q101" s="48">
        <f t="shared" si="414"/>
        <v>0</v>
      </c>
      <c r="R101" s="48">
        <f t="shared" si="414"/>
        <v>0</v>
      </c>
      <c r="S101" s="48">
        <f t="shared" si="414"/>
        <v>0</v>
      </c>
      <c r="T101" s="48">
        <f t="shared" si="414"/>
        <v>0</v>
      </c>
      <c r="U101" s="48">
        <f t="shared" si="414"/>
        <v>0</v>
      </c>
      <c r="V101" s="48">
        <f t="shared" si="414"/>
        <v>0</v>
      </c>
      <c r="W101" s="48">
        <f t="shared" si="414"/>
        <v>0</v>
      </c>
      <c r="X101" s="48">
        <f t="shared" si="414"/>
        <v>0</v>
      </c>
      <c r="Y101" s="48">
        <f t="shared" si="414"/>
        <v>0</v>
      </c>
      <c r="Z101" s="48">
        <f t="shared" si="414"/>
        <v>0</v>
      </c>
      <c r="AA101" s="48">
        <f t="shared" si="414"/>
        <v>0</v>
      </c>
      <c r="AB101" s="48">
        <f t="shared" si="414"/>
        <v>0</v>
      </c>
      <c r="AC101" s="48">
        <f t="shared" si="414"/>
        <v>0</v>
      </c>
      <c r="AD101" s="48">
        <f t="shared" si="414"/>
        <v>0</v>
      </c>
      <c r="AE101" s="48">
        <f t="shared" si="414"/>
        <v>0</v>
      </c>
      <c r="AF101" s="48">
        <f t="shared" si="414"/>
        <v>0</v>
      </c>
      <c r="AG101" s="48">
        <f t="shared" si="414"/>
        <v>0</v>
      </c>
      <c r="AH101" s="48">
        <f t="shared" si="414"/>
        <v>0</v>
      </c>
      <c r="AI101" s="48">
        <f t="shared" si="414"/>
        <v>0</v>
      </c>
      <c r="AJ101" s="48">
        <f t="shared" si="414"/>
        <v>0</v>
      </c>
      <c r="AK101" s="48">
        <f t="shared" si="414"/>
        <v>0</v>
      </c>
      <c r="AL101" s="48">
        <f t="shared" ref="AL101:BQ101" si="415">AL$91*P_IVArec</f>
        <v>0</v>
      </c>
      <c r="AM101" s="48">
        <f t="shared" si="415"/>
        <v>0</v>
      </c>
      <c r="AN101" s="48">
        <f t="shared" si="415"/>
        <v>0</v>
      </c>
      <c r="AO101" s="48">
        <f t="shared" si="415"/>
        <v>0</v>
      </c>
      <c r="AP101" s="48">
        <f t="shared" si="415"/>
        <v>0</v>
      </c>
      <c r="AQ101" s="48">
        <f t="shared" si="415"/>
        <v>0</v>
      </c>
      <c r="AR101" s="48">
        <f t="shared" si="415"/>
        <v>0</v>
      </c>
      <c r="AS101" s="48">
        <f t="shared" si="415"/>
        <v>0</v>
      </c>
      <c r="AT101" s="48">
        <f t="shared" si="415"/>
        <v>0</v>
      </c>
      <c r="AU101" s="48">
        <f t="shared" si="415"/>
        <v>0</v>
      </c>
      <c r="AV101" s="48">
        <f t="shared" si="415"/>
        <v>0</v>
      </c>
      <c r="AW101" s="48">
        <f t="shared" si="415"/>
        <v>0</v>
      </c>
      <c r="AX101" s="48">
        <f t="shared" si="415"/>
        <v>0</v>
      </c>
      <c r="AY101" s="48">
        <f t="shared" si="415"/>
        <v>0</v>
      </c>
      <c r="AZ101" s="48">
        <f t="shared" si="415"/>
        <v>0</v>
      </c>
      <c r="BA101" s="48">
        <f t="shared" si="415"/>
        <v>0</v>
      </c>
      <c r="BB101" s="48">
        <f t="shared" si="415"/>
        <v>0</v>
      </c>
      <c r="BC101" s="48">
        <f t="shared" si="415"/>
        <v>0</v>
      </c>
      <c r="BD101" s="48">
        <f t="shared" si="415"/>
        <v>0</v>
      </c>
      <c r="BE101" s="48">
        <f t="shared" si="415"/>
        <v>0</v>
      </c>
      <c r="BF101" s="48">
        <f t="shared" si="415"/>
        <v>0</v>
      </c>
      <c r="BG101" s="48">
        <f t="shared" si="415"/>
        <v>0</v>
      </c>
      <c r="BH101" s="48">
        <f t="shared" si="415"/>
        <v>0</v>
      </c>
      <c r="BI101" s="48">
        <f t="shared" si="415"/>
        <v>0</v>
      </c>
      <c r="BJ101" s="48">
        <f t="shared" si="415"/>
        <v>0</v>
      </c>
      <c r="BK101" s="48">
        <f t="shared" si="415"/>
        <v>0</v>
      </c>
      <c r="BL101" s="48">
        <f t="shared" si="415"/>
        <v>0</v>
      </c>
      <c r="BM101" s="48">
        <f t="shared" si="415"/>
        <v>0</v>
      </c>
      <c r="BN101" s="48">
        <f t="shared" si="415"/>
        <v>0</v>
      </c>
      <c r="BO101" s="48">
        <f t="shared" si="415"/>
        <v>0</v>
      </c>
      <c r="BP101" s="48">
        <f t="shared" si="415"/>
        <v>0</v>
      </c>
      <c r="BQ101" s="48">
        <f t="shared" si="415"/>
        <v>0</v>
      </c>
      <c r="BR101" s="48">
        <f t="shared" ref="BR101:CW101" si="416">BR$91*P_IVArec</f>
        <v>0</v>
      </c>
      <c r="BS101" s="48">
        <f t="shared" si="416"/>
        <v>0</v>
      </c>
      <c r="BT101" s="48">
        <f t="shared" si="416"/>
        <v>0</v>
      </c>
      <c r="BU101" s="48">
        <f t="shared" si="416"/>
        <v>0</v>
      </c>
      <c r="BV101" s="48">
        <f t="shared" si="416"/>
        <v>0</v>
      </c>
      <c r="BW101" s="48">
        <f t="shared" si="416"/>
        <v>0</v>
      </c>
      <c r="BX101" s="48">
        <f t="shared" si="416"/>
        <v>0</v>
      </c>
      <c r="BY101" s="48">
        <f t="shared" si="416"/>
        <v>0</v>
      </c>
      <c r="BZ101" s="48">
        <f t="shared" si="416"/>
        <v>0</v>
      </c>
      <c r="CA101" s="48">
        <f t="shared" si="416"/>
        <v>0</v>
      </c>
      <c r="CB101" s="48">
        <f t="shared" si="416"/>
        <v>0</v>
      </c>
      <c r="CC101" s="48">
        <f t="shared" si="416"/>
        <v>0</v>
      </c>
      <c r="CD101" s="48">
        <f t="shared" si="416"/>
        <v>0</v>
      </c>
      <c r="CE101" s="48">
        <f t="shared" si="416"/>
        <v>0</v>
      </c>
      <c r="CF101" s="48">
        <f t="shared" si="416"/>
        <v>0</v>
      </c>
      <c r="CG101" s="48">
        <f t="shared" si="416"/>
        <v>0</v>
      </c>
      <c r="CH101" s="48">
        <f t="shared" si="416"/>
        <v>0</v>
      </c>
      <c r="CI101" s="48">
        <f t="shared" si="416"/>
        <v>0</v>
      </c>
      <c r="CJ101" s="48">
        <f t="shared" si="416"/>
        <v>0</v>
      </c>
      <c r="CK101" s="48">
        <f t="shared" si="416"/>
        <v>0</v>
      </c>
      <c r="CL101" s="48">
        <f t="shared" si="416"/>
        <v>0</v>
      </c>
      <c r="CM101" s="48">
        <f t="shared" si="416"/>
        <v>0</v>
      </c>
      <c r="CN101" s="48">
        <f t="shared" si="416"/>
        <v>0</v>
      </c>
      <c r="CO101" s="48">
        <f t="shared" si="416"/>
        <v>0</v>
      </c>
      <c r="CP101" s="48">
        <f t="shared" si="416"/>
        <v>0</v>
      </c>
      <c r="CQ101" s="48">
        <f t="shared" si="416"/>
        <v>0</v>
      </c>
      <c r="CR101" s="48">
        <f t="shared" si="416"/>
        <v>0</v>
      </c>
      <c r="CS101" s="48">
        <f t="shared" si="416"/>
        <v>0</v>
      </c>
      <c r="CT101" s="48">
        <f t="shared" si="416"/>
        <v>0</v>
      </c>
      <c r="CU101" s="48">
        <f t="shared" si="416"/>
        <v>0</v>
      </c>
      <c r="CV101" s="48">
        <f t="shared" si="416"/>
        <v>0</v>
      </c>
      <c r="CW101" s="48">
        <f t="shared" si="416"/>
        <v>0</v>
      </c>
      <c r="CX101" s="48">
        <f t="shared" ref="CX101:EC101" si="417">CX$91*P_IVArec</f>
        <v>0</v>
      </c>
      <c r="CY101" s="48">
        <f t="shared" si="417"/>
        <v>0</v>
      </c>
      <c r="CZ101" s="48">
        <f t="shared" si="417"/>
        <v>0</v>
      </c>
      <c r="DA101" s="48">
        <f t="shared" si="417"/>
        <v>0</v>
      </c>
      <c r="DB101" s="48">
        <f t="shared" si="417"/>
        <v>0</v>
      </c>
      <c r="DC101" s="48">
        <f t="shared" si="417"/>
        <v>0</v>
      </c>
      <c r="DD101" s="48">
        <f t="shared" si="417"/>
        <v>0</v>
      </c>
      <c r="DE101" s="48">
        <f t="shared" si="417"/>
        <v>0</v>
      </c>
      <c r="DF101" s="48">
        <f t="shared" si="417"/>
        <v>0</v>
      </c>
      <c r="DG101" s="48">
        <f t="shared" si="417"/>
        <v>0</v>
      </c>
      <c r="DH101" s="48">
        <f t="shared" si="417"/>
        <v>0</v>
      </c>
      <c r="DI101" s="48">
        <f t="shared" si="417"/>
        <v>0</v>
      </c>
      <c r="DJ101" s="48">
        <f t="shared" si="417"/>
        <v>0</v>
      </c>
      <c r="DK101" s="48">
        <f t="shared" si="417"/>
        <v>0</v>
      </c>
      <c r="DL101" s="48">
        <f t="shared" si="417"/>
        <v>0</v>
      </c>
      <c r="DM101" s="48">
        <f t="shared" si="417"/>
        <v>0</v>
      </c>
      <c r="DN101" s="48">
        <f t="shared" si="417"/>
        <v>0</v>
      </c>
      <c r="DO101" s="48">
        <f t="shared" si="417"/>
        <v>0</v>
      </c>
      <c r="DP101" s="48">
        <f t="shared" si="417"/>
        <v>0</v>
      </c>
      <c r="DQ101" s="48">
        <f t="shared" si="417"/>
        <v>0</v>
      </c>
      <c r="DR101" s="48">
        <f t="shared" si="417"/>
        <v>0</v>
      </c>
      <c r="DS101" s="48">
        <f t="shared" si="417"/>
        <v>0</v>
      </c>
      <c r="DT101" s="48">
        <f t="shared" si="417"/>
        <v>0</v>
      </c>
      <c r="DU101" s="48">
        <f t="shared" si="417"/>
        <v>0</v>
      </c>
      <c r="DV101" s="48">
        <f t="shared" si="417"/>
        <v>0</v>
      </c>
      <c r="DW101" s="48">
        <f t="shared" si="417"/>
        <v>0</v>
      </c>
      <c r="DX101" s="48">
        <f t="shared" si="417"/>
        <v>0</v>
      </c>
      <c r="DY101" s="48">
        <f t="shared" si="417"/>
        <v>0</v>
      </c>
      <c r="DZ101" s="48">
        <f t="shared" si="417"/>
        <v>0</v>
      </c>
      <c r="EA101" s="48">
        <f t="shared" si="417"/>
        <v>0</v>
      </c>
      <c r="EB101" s="48">
        <f t="shared" si="417"/>
        <v>0</v>
      </c>
      <c r="EC101" s="48">
        <f t="shared" si="417"/>
        <v>0</v>
      </c>
      <c r="ED101" s="48">
        <f t="shared" ref="ED101:ES101" si="418">ED$91*P_IVArec</f>
        <v>0</v>
      </c>
      <c r="EE101" s="48">
        <f t="shared" si="418"/>
        <v>0</v>
      </c>
      <c r="EF101" s="48">
        <f t="shared" si="418"/>
        <v>0</v>
      </c>
      <c r="EG101" s="48">
        <f t="shared" si="418"/>
        <v>0</v>
      </c>
      <c r="EH101" s="48">
        <f t="shared" si="418"/>
        <v>0</v>
      </c>
      <c r="EI101" s="48">
        <f t="shared" si="418"/>
        <v>0</v>
      </c>
      <c r="EJ101" s="48">
        <f t="shared" si="418"/>
        <v>0</v>
      </c>
      <c r="EK101" s="48">
        <f t="shared" si="418"/>
        <v>0</v>
      </c>
      <c r="EL101" s="48">
        <f t="shared" si="418"/>
        <v>0</v>
      </c>
      <c r="EM101" s="48">
        <f t="shared" si="418"/>
        <v>0</v>
      </c>
      <c r="EN101" s="48">
        <f t="shared" si="418"/>
        <v>0</v>
      </c>
      <c r="EO101" s="48">
        <f t="shared" si="418"/>
        <v>0</v>
      </c>
      <c r="EP101" s="48">
        <f t="shared" si="418"/>
        <v>0</v>
      </c>
      <c r="EQ101" s="48">
        <f t="shared" si="418"/>
        <v>0</v>
      </c>
      <c r="ER101" s="48">
        <f t="shared" si="418"/>
        <v>0</v>
      </c>
      <c r="ES101" s="48">
        <f t="shared" si="418"/>
        <v>0</v>
      </c>
    </row>
    <row r="102" spans="1:149" x14ac:dyDescent="0.3">
      <c r="A102" s="14" t="s">
        <v>1106</v>
      </c>
      <c r="B102" s="68" t="s">
        <v>440</v>
      </c>
      <c r="C102" s="18" t="s">
        <v>439</v>
      </c>
      <c r="E102" s="54">
        <f t="shared" si="373"/>
        <v>16309504.01626103</v>
      </c>
      <c r="F102" s="22">
        <f t="shared" ref="F102:AK102" si="419">F$97-F$98-F$99-F$100+F$101</f>
        <v>42497.500475589746</v>
      </c>
      <c r="G102" s="22">
        <f t="shared" si="419"/>
        <v>42497.500475589746</v>
      </c>
      <c r="H102" s="22">
        <f t="shared" si="419"/>
        <v>42497.500475589746</v>
      </c>
      <c r="I102" s="22">
        <f t="shared" si="419"/>
        <v>42497.500475589746</v>
      </c>
      <c r="J102" s="22">
        <f t="shared" si="419"/>
        <v>42497.500475589746</v>
      </c>
      <c r="K102" s="22">
        <f t="shared" si="419"/>
        <v>42497.500475589746</v>
      </c>
      <c r="L102" s="22">
        <f t="shared" si="419"/>
        <v>42497.500475589746</v>
      </c>
      <c r="M102" s="22">
        <f t="shared" si="419"/>
        <v>42497.500475589746</v>
      </c>
      <c r="N102" s="22">
        <f t="shared" si="419"/>
        <v>42497.500475589746</v>
      </c>
      <c r="O102" s="22">
        <f t="shared" si="419"/>
        <v>42497.500475589746</v>
      </c>
      <c r="P102" s="22">
        <f t="shared" si="419"/>
        <v>42497.500475589746</v>
      </c>
      <c r="Q102" s="22">
        <f t="shared" si="419"/>
        <v>42497.500475589746</v>
      </c>
      <c r="R102" s="22">
        <f t="shared" si="419"/>
        <v>80496.402993964788</v>
      </c>
      <c r="S102" s="22">
        <f t="shared" si="419"/>
        <v>80496.402993964788</v>
      </c>
      <c r="T102" s="22">
        <f t="shared" si="419"/>
        <v>80496.402993964788</v>
      </c>
      <c r="U102" s="22">
        <f t="shared" si="419"/>
        <v>80496.402993964788</v>
      </c>
      <c r="V102" s="22">
        <f t="shared" si="419"/>
        <v>80496.402993964788</v>
      </c>
      <c r="W102" s="22">
        <f t="shared" si="419"/>
        <v>80496.402993964788</v>
      </c>
      <c r="X102" s="22">
        <f t="shared" si="419"/>
        <v>80496.402993964788</v>
      </c>
      <c r="Y102" s="22">
        <f t="shared" si="419"/>
        <v>80496.402993964788</v>
      </c>
      <c r="Z102" s="22">
        <f t="shared" si="419"/>
        <v>80496.402993964788</v>
      </c>
      <c r="AA102" s="22">
        <f t="shared" si="419"/>
        <v>80496.402993964788</v>
      </c>
      <c r="AB102" s="22">
        <f t="shared" si="419"/>
        <v>80496.402993964788</v>
      </c>
      <c r="AC102" s="22">
        <f t="shared" si="419"/>
        <v>80496.402993964788</v>
      </c>
      <c r="AD102" s="22">
        <f t="shared" si="419"/>
        <v>117085.03086512467</v>
      </c>
      <c r="AE102" s="22">
        <f t="shared" si="419"/>
        <v>117085.03086512467</v>
      </c>
      <c r="AF102" s="22">
        <f t="shared" si="419"/>
        <v>117085.03086512467</v>
      </c>
      <c r="AG102" s="22">
        <f t="shared" si="419"/>
        <v>117085.03086512467</v>
      </c>
      <c r="AH102" s="22">
        <f t="shared" si="419"/>
        <v>117085.03086512467</v>
      </c>
      <c r="AI102" s="22">
        <f t="shared" si="419"/>
        <v>117085.03086512467</v>
      </c>
      <c r="AJ102" s="22">
        <f t="shared" si="419"/>
        <v>117085.03086512467</v>
      </c>
      <c r="AK102" s="22">
        <f t="shared" si="419"/>
        <v>117085.03086512467</v>
      </c>
      <c r="AL102" s="22">
        <f t="shared" ref="AL102:BQ102" si="420">AL$97-AL$98-AL$99-AL$100+AL$101</f>
        <v>117085.03086512467</v>
      </c>
      <c r="AM102" s="22">
        <f t="shared" si="420"/>
        <v>117085.03086512467</v>
      </c>
      <c r="AN102" s="22">
        <f t="shared" si="420"/>
        <v>117085.03086512467</v>
      </c>
      <c r="AO102" s="22">
        <f t="shared" si="420"/>
        <v>117085.03086512467</v>
      </c>
      <c r="AP102" s="22">
        <f t="shared" si="420"/>
        <v>149893.57987985833</v>
      </c>
      <c r="AQ102" s="22">
        <f t="shared" si="420"/>
        <v>149893.57987985833</v>
      </c>
      <c r="AR102" s="22">
        <f t="shared" si="420"/>
        <v>149893.57987985833</v>
      </c>
      <c r="AS102" s="22">
        <f t="shared" si="420"/>
        <v>149893.57987985833</v>
      </c>
      <c r="AT102" s="22">
        <f t="shared" si="420"/>
        <v>149893.57987985833</v>
      </c>
      <c r="AU102" s="22">
        <f t="shared" si="420"/>
        <v>149893.57987985833</v>
      </c>
      <c r="AV102" s="22">
        <f t="shared" si="420"/>
        <v>149893.57987985833</v>
      </c>
      <c r="AW102" s="22">
        <f t="shared" si="420"/>
        <v>149893.57987985833</v>
      </c>
      <c r="AX102" s="22">
        <f t="shared" si="420"/>
        <v>149893.57987985833</v>
      </c>
      <c r="AY102" s="22">
        <f t="shared" si="420"/>
        <v>149893.57987985833</v>
      </c>
      <c r="AZ102" s="22">
        <f t="shared" si="420"/>
        <v>149893.57987985833</v>
      </c>
      <c r="BA102" s="22">
        <f t="shared" si="420"/>
        <v>149893.57987985833</v>
      </c>
      <c r="BB102" s="22">
        <f t="shared" si="420"/>
        <v>151213.16487637369</v>
      </c>
      <c r="BC102" s="22">
        <f t="shared" si="420"/>
        <v>151213.16487637369</v>
      </c>
      <c r="BD102" s="22">
        <f t="shared" si="420"/>
        <v>151213.16487637369</v>
      </c>
      <c r="BE102" s="22">
        <f t="shared" si="420"/>
        <v>151213.16487637369</v>
      </c>
      <c r="BF102" s="22">
        <f t="shared" si="420"/>
        <v>151213.16487637369</v>
      </c>
      <c r="BG102" s="22">
        <f t="shared" si="420"/>
        <v>151213.16487637369</v>
      </c>
      <c r="BH102" s="22">
        <f t="shared" si="420"/>
        <v>151213.16487637369</v>
      </c>
      <c r="BI102" s="22">
        <f t="shared" si="420"/>
        <v>151213.16487637369</v>
      </c>
      <c r="BJ102" s="22">
        <f t="shared" si="420"/>
        <v>151213.16487637369</v>
      </c>
      <c r="BK102" s="22">
        <f t="shared" si="420"/>
        <v>151213.16487637369</v>
      </c>
      <c r="BL102" s="22">
        <f t="shared" si="420"/>
        <v>151213.16487637369</v>
      </c>
      <c r="BM102" s="22">
        <f t="shared" si="420"/>
        <v>151213.16487637369</v>
      </c>
      <c r="BN102" s="22">
        <f t="shared" si="420"/>
        <v>155300.44179782612</v>
      </c>
      <c r="BO102" s="22">
        <f t="shared" si="420"/>
        <v>155300.44179782612</v>
      </c>
      <c r="BP102" s="22">
        <f t="shared" si="420"/>
        <v>155300.44179782612</v>
      </c>
      <c r="BQ102" s="22">
        <f t="shared" si="420"/>
        <v>155300.44179782612</v>
      </c>
      <c r="BR102" s="22">
        <f t="shared" ref="BR102:CW102" si="421">BR$97-BR$98-BR$99-BR$100+BR$101</f>
        <v>155300.44179782612</v>
      </c>
      <c r="BS102" s="22">
        <f t="shared" si="421"/>
        <v>155300.44179782612</v>
      </c>
      <c r="BT102" s="22">
        <f t="shared" si="421"/>
        <v>155300.44179782612</v>
      </c>
      <c r="BU102" s="22">
        <f t="shared" si="421"/>
        <v>155300.44179782612</v>
      </c>
      <c r="BV102" s="22">
        <f t="shared" si="421"/>
        <v>155300.44179782612</v>
      </c>
      <c r="BW102" s="22">
        <f t="shared" si="421"/>
        <v>155300.44179782612</v>
      </c>
      <c r="BX102" s="22">
        <f t="shared" si="421"/>
        <v>155300.44179782612</v>
      </c>
      <c r="BY102" s="22">
        <f t="shared" si="421"/>
        <v>155300.44179782612</v>
      </c>
      <c r="BZ102" s="22">
        <f t="shared" si="421"/>
        <v>159416.02248939977</v>
      </c>
      <c r="CA102" s="22">
        <f t="shared" si="421"/>
        <v>159416.02248939977</v>
      </c>
      <c r="CB102" s="22">
        <f t="shared" si="421"/>
        <v>159416.02248939977</v>
      </c>
      <c r="CC102" s="22">
        <f t="shared" si="421"/>
        <v>159416.02248939977</v>
      </c>
      <c r="CD102" s="22">
        <f t="shared" si="421"/>
        <v>159416.02248939977</v>
      </c>
      <c r="CE102" s="22">
        <f t="shared" si="421"/>
        <v>159416.02248939977</v>
      </c>
      <c r="CF102" s="22">
        <f t="shared" si="421"/>
        <v>159416.02248939977</v>
      </c>
      <c r="CG102" s="22">
        <f t="shared" si="421"/>
        <v>159416.02248939977</v>
      </c>
      <c r="CH102" s="22">
        <f t="shared" si="421"/>
        <v>159416.02248939977</v>
      </c>
      <c r="CI102" s="22">
        <f t="shared" si="421"/>
        <v>159416.02248939977</v>
      </c>
      <c r="CJ102" s="22">
        <f t="shared" si="421"/>
        <v>159416.02248939977</v>
      </c>
      <c r="CK102" s="22">
        <f t="shared" si="421"/>
        <v>159416.02248939977</v>
      </c>
      <c r="CL102" s="22">
        <f t="shared" si="421"/>
        <v>163559.81854628751</v>
      </c>
      <c r="CM102" s="22">
        <f t="shared" si="421"/>
        <v>163559.81854628751</v>
      </c>
      <c r="CN102" s="22">
        <f t="shared" si="421"/>
        <v>163559.81854628751</v>
      </c>
      <c r="CO102" s="22">
        <f t="shared" si="421"/>
        <v>163559.81854628751</v>
      </c>
      <c r="CP102" s="22">
        <f t="shared" si="421"/>
        <v>163559.81854628751</v>
      </c>
      <c r="CQ102" s="22">
        <f t="shared" si="421"/>
        <v>163559.81854628751</v>
      </c>
      <c r="CR102" s="22">
        <f t="shared" si="421"/>
        <v>163559.81854628751</v>
      </c>
      <c r="CS102" s="22">
        <f t="shared" si="421"/>
        <v>163559.81854628751</v>
      </c>
      <c r="CT102" s="22">
        <f t="shared" si="421"/>
        <v>163559.81854628751</v>
      </c>
      <c r="CU102" s="22">
        <f t="shared" si="421"/>
        <v>163559.81854628751</v>
      </c>
      <c r="CV102" s="22">
        <f t="shared" si="421"/>
        <v>163559.81854628751</v>
      </c>
      <c r="CW102" s="22">
        <f t="shared" si="421"/>
        <v>163559.81854628751</v>
      </c>
      <c r="CX102" s="22">
        <f t="shared" ref="CX102:EC102" si="422">CX$97-CX$98-CX$99-CX$100+CX$101</f>
        <v>167731.72964890755</v>
      </c>
      <c r="CY102" s="22">
        <f t="shared" si="422"/>
        <v>167731.72964890755</v>
      </c>
      <c r="CZ102" s="22">
        <f t="shared" si="422"/>
        <v>167731.72964890755</v>
      </c>
      <c r="DA102" s="22">
        <f t="shared" si="422"/>
        <v>167731.72964890755</v>
      </c>
      <c r="DB102" s="22">
        <f t="shared" si="422"/>
        <v>167731.72964890755</v>
      </c>
      <c r="DC102" s="22">
        <f t="shared" si="422"/>
        <v>167731.72964890755</v>
      </c>
      <c r="DD102" s="22">
        <f t="shared" si="422"/>
        <v>167731.72964890755</v>
      </c>
      <c r="DE102" s="22">
        <f t="shared" si="422"/>
        <v>167731.72964890755</v>
      </c>
      <c r="DF102" s="22">
        <f t="shared" si="422"/>
        <v>167731.72964890755</v>
      </c>
      <c r="DG102" s="22">
        <f t="shared" si="422"/>
        <v>167731.72964890755</v>
      </c>
      <c r="DH102" s="22">
        <f t="shared" si="422"/>
        <v>167731.72964890755</v>
      </c>
      <c r="DI102" s="22">
        <f t="shared" si="422"/>
        <v>167731.72964890755</v>
      </c>
      <c r="DJ102" s="22">
        <f t="shared" si="422"/>
        <v>171931.6431150861</v>
      </c>
      <c r="DK102" s="22">
        <f t="shared" si="422"/>
        <v>171931.6431150861</v>
      </c>
      <c r="DL102" s="22">
        <f t="shared" si="422"/>
        <v>171931.6431150861</v>
      </c>
      <c r="DM102" s="22">
        <f t="shared" si="422"/>
        <v>171931.6431150861</v>
      </c>
      <c r="DN102" s="22">
        <f t="shared" si="422"/>
        <v>171931.6431150861</v>
      </c>
      <c r="DO102" s="22">
        <f t="shared" si="422"/>
        <v>171931.6431150861</v>
      </c>
      <c r="DP102" s="22">
        <f t="shared" si="422"/>
        <v>171931.6431150861</v>
      </c>
      <c r="DQ102" s="22">
        <f t="shared" si="422"/>
        <v>171931.6431150861</v>
      </c>
      <c r="DR102" s="22">
        <f t="shared" si="422"/>
        <v>171931.6431150861</v>
      </c>
      <c r="DS102" s="22">
        <f t="shared" si="422"/>
        <v>171931.6431150861</v>
      </c>
      <c r="DT102" s="22">
        <f t="shared" si="422"/>
        <v>171931.6431150861</v>
      </c>
      <c r="DU102" s="22">
        <f t="shared" si="422"/>
        <v>171931.6431150861</v>
      </c>
      <c r="DV102" s="22">
        <f t="shared" si="422"/>
        <v>0</v>
      </c>
      <c r="DW102" s="22">
        <f t="shared" si="422"/>
        <v>0</v>
      </c>
      <c r="DX102" s="22">
        <f t="shared" si="422"/>
        <v>0</v>
      </c>
      <c r="DY102" s="22">
        <f t="shared" si="422"/>
        <v>0</v>
      </c>
      <c r="DZ102" s="22">
        <f t="shared" si="422"/>
        <v>0</v>
      </c>
      <c r="EA102" s="22">
        <f t="shared" si="422"/>
        <v>0</v>
      </c>
      <c r="EB102" s="22">
        <f t="shared" si="422"/>
        <v>0</v>
      </c>
      <c r="EC102" s="22">
        <f t="shared" si="422"/>
        <v>0</v>
      </c>
      <c r="ED102" s="22">
        <f t="shared" ref="ED102:ES102" si="423">ED$97-ED$98-ED$99-ED$100+ED$101</f>
        <v>0</v>
      </c>
      <c r="EE102" s="22">
        <f t="shared" si="423"/>
        <v>0</v>
      </c>
      <c r="EF102" s="22">
        <f t="shared" si="423"/>
        <v>0</v>
      </c>
      <c r="EG102" s="22">
        <f t="shared" si="423"/>
        <v>0</v>
      </c>
      <c r="EH102" s="22">
        <f t="shared" si="423"/>
        <v>0</v>
      </c>
      <c r="EI102" s="22">
        <f t="shared" si="423"/>
        <v>0</v>
      </c>
      <c r="EJ102" s="22">
        <f t="shared" si="423"/>
        <v>0</v>
      </c>
      <c r="EK102" s="22">
        <f t="shared" si="423"/>
        <v>0</v>
      </c>
      <c r="EL102" s="22">
        <f t="shared" si="423"/>
        <v>0</v>
      </c>
      <c r="EM102" s="22">
        <f t="shared" si="423"/>
        <v>0</v>
      </c>
      <c r="EN102" s="22">
        <f t="shared" si="423"/>
        <v>0</v>
      </c>
      <c r="EO102" s="22">
        <f t="shared" si="423"/>
        <v>0</v>
      </c>
      <c r="EP102" s="22">
        <f t="shared" si="423"/>
        <v>0</v>
      </c>
      <c r="EQ102" s="22">
        <f t="shared" si="423"/>
        <v>0</v>
      </c>
      <c r="ER102" s="22">
        <f t="shared" si="423"/>
        <v>0</v>
      </c>
      <c r="ES102" s="22">
        <f t="shared" si="423"/>
        <v>0</v>
      </c>
    </row>
    <row r="103" spans="1:149" x14ac:dyDescent="0.3">
      <c r="A103" s="14" t="s">
        <v>1107</v>
      </c>
      <c r="B103" s="18" t="s">
        <v>1108</v>
      </c>
      <c r="C103" s="18" t="s">
        <v>439</v>
      </c>
      <c r="E103" s="54">
        <f t="shared" si="373"/>
        <v>745044.09000000078</v>
      </c>
      <c r="F103" s="48">
        <f>SUMPRODUCT(Inv_D*(Inv_F&gt;0)*(1&gt;=Inv_SvcP)*(1&lt;Inv_SvcP+Inv_F*12)/(Inv_F*12+(Inv_F=0)))*F$9</f>
        <v>5966.0174166666666</v>
      </c>
      <c r="G103" s="48">
        <f>SUMPRODUCT(Inv_D*(Inv_F&gt;0)*(2&gt;=Inv_SvcP)*(2&lt;Inv_SvcP+Inv_F*12)/(Inv_F*12+(Inv_F=0)))*G$9</f>
        <v>5966.0174166666666</v>
      </c>
      <c r="H103" s="48">
        <f>SUMPRODUCT(Inv_D*(Inv_F&gt;0)*(3&gt;=Inv_SvcP)*(3&lt;Inv_SvcP+Inv_F*12)/(Inv_F*12+(Inv_F=0)))*H$9</f>
        <v>5966.0174166666666</v>
      </c>
      <c r="I103" s="48">
        <f>SUMPRODUCT(Inv_D*(Inv_F&gt;0)*(4&gt;=Inv_SvcP)*(4&lt;Inv_SvcP+Inv_F*12)/(Inv_F*12+(Inv_F=0)))*I$9</f>
        <v>5966.0174166666666</v>
      </c>
      <c r="J103" s="48">
        <f>SUMPRODUCT(Inv_D*(Inv_F&gt;0)*(5&gt;=Inv_SvcP)*(5&lt;Inv_SvcP+Inv_F*12)/(Inv_F*12+(Inv_F=0)))*J$9</f>
        <v>5966.0174166666666</v>
      </c>
      <c r="K103" s="48">
        <f>SUMPRODUCT(Inv_D*(Inv_F&gt;0)*(6&gt;=Inv_SvcP)*(6&lt;Inv_SvcP+Inv_F*12)/(Inv_F*12+(Inv_F=0)))*K$9</f>
        <v>5966.0174166666666</v>
      </c>
      <c r="L103" s="48">
        <f>SUMPRODUCT(Inv_D*(Inv_F&gt;0)*(7&gt;=Inv_SvcP)*(7&lt;Inv_SvcP+Inv_F*12)/(Inv_F*12+(Inv_F=0)))*L$9</f>
        <v>5966.0174166666666</v>
      </c>
      <c r="M103" s="48">
        <f>SUMPRODUCT(Inv_D*(Inv_F&gt;0)*(8&gt;=Inv_SvcP)*(8&lt;Inv_SvcP+Inv_F*12)/(Inv_F*12+(Inv_F=0)))*M$9</f>
        <v>5966.0174166666666</v>
      </c>
      <c r="N103" s="48">
        <f>SUMPRODUCT(Inv_D*(Inv_F&gt;0)*(9&gt;=Inv_SvcP)*(9&lt;Inv_SvcP+Inv_F*12)/(Inv_F*12+(Inv_F=0)))*N$9</f>
        <v>5966.0174166666666</v>
      </c>
      <c r="O103" s="48">
        <f>SUMPRODUCT(Inv_D*(Inv_F&gt;0)*(10&gt;=Inv_SvcP)*(10&lt;Inv_SvcP+Inv_F*12)/(Inv_F*12+(Inv_F=0)))*O$9</f>
        <v>5966.0174166666666</v>
      </c>
      <c r="P103" s="48">
        <f>SUMPRODUCT(Inv_D*(Inv_F&gt;0)*(11&gt;=Inv_SvcP)*(11&lt;Inv_SvcP+Inv_F*12)/(Inv_F*12+(Inv_F=0)))*P$9</f>
        <v>5966.0174166666666</v>
      </c>
      <c r="Q103" s="48">
        <f>SUMPRODUCT(Inv_D*(Inv_F&gt;0)*(12&gt;=Inv_SvcP)*(12&lt;Inv_SvcP+Inv_F*12)/(Inv_F*12+(Inv_F=0)))*Q$9</f>
        <v>5966.0174166666666</v>
      </c>
      <c r="R103" s="48">
        <f>SUMPRODUCT(Inv_D*(Inv_F&gt;0)*(13&gt;=Inv_SvcP)*(13&lt;Inv_SvcP+Inv_F*12)/(Inv_F*12+(Inv_F=0)))*R$9</f>
        <v>6799.3507499999996</v>
      </c>
      <c r="S103" s="48">
        <f>SUMPRODUCT(Inv_D*(Inv_F&gt;0)*(14&gt;=Inv_SvcP)*(14&lt;Inv_SvcP+Inv_F*12)/(Inv_F*12+(Inv_F=0)))*S$9</f>
        <v>6799.3507499999996</v>
      </c>
      <c r="T103" s="48">
        <f>SUMPRODUCT(Inv_D*(Inv_F&gt;0)*(15&gt;=Inv_SvcP)*(15&lt;Inv_SvcP+Inv_F*12)/(Inv_F*12+(Inv_F=0)))*T$9</f>
        <v>6799.3507499999996</v>
      </c>
      <c r="U103" s="48">
        <f>SUMPRODUCT(Inv_D*(Inv_F&gt;0)*(16&gt;=Inv_SvcP)*(16&lt;Inv_SvcP+Inv_F*12)/(Inv_F*12+(Inv_F=0)))*U$9</f>
        <v>6799.3507499999996</v>
      </c>
      <c r="V103" s="48">
        <f>SUMPRODUCT(Inv_D*(Inv_F&gt;0)*(17&gt;=Inv_SvcP)*(17&lt;Inv_SvcP+Inv_F*12)/(Inv_F*12+(Inv_F=0)))*V$9</f>
        <v>6799.3507499999996</v>
      </c>
      <c r="W103" s="48">
        <f>SUMPRODUCT(Inv_D*(Inv_F&gt;0)*(18&gt;=Inv_SvcP)*(18&lt;Inv_SvcP+Inv_F*12)/(Inv_F*12+(Inv_F=0)))*W$9</f>
        <v>6799.3507499999996</v>
      </c>
      <c r="X103" s="48">
        <f>SUMPRODUCT(Inv_D*(Inv_F&gt;0)*(19&gt;=Inv_SvcP)*(19&lt;Inv_SvcP+Inv_F*12)/(Inv_F*12+(Inv_F=0)))*X$9</f>
        <v>6799.3507499999996</v>
      </c>
      <c r="Y103" s="48">
        <f>SUMPRODUCT(Inv_D*(Inv_F&gt;0)*(20&gt;=Inv_SvcP)*(20&lt;Inv_SvcP+Inv_F*12)/(Inv_F*12+(Inv_F=0)))*Y$9</f>
        <v>6799.3507499999996</v>
      </c>
      <c r="Z103" s="48">
        <f>SUMPRODUCT(Inv_D*(Inv_F&gt;0)*(21&gt;=Inv_SvcP)*(21&lt;Inv_SvcP+Inv_F*12)/(Inv_F*12+(Inv_F=0)))*Z$9</f>
        <v>6799.3507499999996</v>
      </c>
      <c r="AA103" s="48">
        <f>SUMPRODUCT(Inv_D*(Inv_F&gt;0)*(22&gt;=Inv_SvcP)*(22&lt;Inv_SvcP+Inv_F*12)/(Inv_F*12+(Inv_F=0)))*AA$9</f>
        <v>6799.3507499999996</v>
      </c>
      <c r="AB103" s="48">
        <f>SUMPRODUCT(Inv_D*(Inv_F&gt;0)*(23&gt;=Inv_SvcP)*(23&lt;Inv_SvcP+Inv_F*12)/(Inv_F*12+(Inv_F=0)))*AB$9</f>
        <v>6799.3507499999996</v>
      </c>
      <c r="AC103" s="48">
        <f>SUMPRODUCT(Inv_D*(Inv_F&gt;0)*(24&gt;=Inv_SvcP)*(24&lt;Inv_SvcP+Inv_F*12)/(Inv_F*12+(Inv_F=0)))*AC$9</f>
        <v>6799.3507499999996</v>
      </c>
      <c r="AD103" s="48">
        <f>SUMPRODUCT(Inv_D*(Inv_F&gt;0)*(25&gt;=Inv_SvcP)*(25&lt;Inv_SvcP+Inv_F*12)/(Inv_F*12+(Inv_F=0)))*AD$9</f>
        <v>6799.3507499999996</v>
      </c>
      <c r="AE103" s="48">
        <f>SUMPRODUCT(Inv_D*(Inv_F&gt;0)*(26&gt;=Inv_SvcP)*(26&lt;Inv_SvcP+Inv_F*12)/(Inv_F*12+(Inv_F=0)))*AE$9</f>
        <v>6799.3507499999996</v>
      </c>
      <c r="AF103" s="48">
        <f>SUMPRODUCT(Inv_D*(Inv_F&gt;0)*(27&gt;=Inv_SvcP)*(27&lt;Inv_SvcP+Inv_F*12)/(Inv_F*12+(Inv_F=0)))*AF$9</f>
        <v>6799.3507499999996</v>
      </c>
      <c r="AG103" s="48">
        <f>SUMPRODUCT(Inv_D*(Inv_F&gt;0)*(28&gt;=Inv_SvcP)*(28&lt;Inv_SvcP+Inv_F*12)/(Inv_F*12+(Inv_F=0)))*AG$9</f>
        <v>6799.3507499999996</v>
      </c>
      <c r="AH103" s="48">
        <f>SUMPRODUCT(Inv_D*(Inv_F&gt;0)*(29&gt;=Inv_SvcP)*(29&lt;Inv_SvcP+Inv_F*12)/(Inv_F*12+(Inv_F=0)))*AH$9</f>
        <v>6799.3507499999996</v>
      </c>
      <c r="AI103" s="48">
        <f>SUMPRODUCT(Inv_D*(Inv_F&gt;0)*(30&gt;=Inv_SvcP)*(30&lt;Inv_SvcP+Inv_F*12)/(Inv_F*12+(Inv_F=0)))*AI$9</f>
        <v>6799.3507499999996</v>
      </c>
      <c r="AJ103" s="48">
        <f>SUMPRODUCT(Inv_D*(Inv_F&gt;0)*(31&gt;=Inv_SvcP)*(31&lt;Inv_SvcP+Inv_F*12)/(Inv_F*12+(Inv_F=0)))*AJ$9</f>
        <v>6799.3507499999996</v>
      </c>
      <c r="AK103" s="48">
        <f>SUMPRODUCT(Inv_D*(Inv_F&gt;0)*(32&gt;=Inv_SvcP)*(32&lt;Inv_SvcP+Inv_F*12)/(Inv_F*12+(Inv_F=0)))*AK$9</f>
        <v>6799.3507499999996</v>
      </c>
      <c r="AL103" s="48">
        <f>SUMPRODUCT(Inv_D*(Inv_F&gt;0)*(33&gt;=Inv_SvcP)*(33&lt;Inv_SvcP+Inv_F*12)/(Inv_F*12+(Inv_F=0)))*AL$9</f>
        <v>6799.3507499999996</v>
      </c>
      <c r="AM103" s="48">
        <f>SUMPRODUCT(Inv_D*(Inv_F&gt;0)*(34&gt;=Inv_SvcP)*(34&lt;Inv_SvcP+Inv_F*12)/(Inv_F*12+(Inv_F=0)))*AM$9</f>
        <v>6799.3507499999996</v>
      </c>
      <c r="AN103" s="48">
        <f>SUMPRODUCT(Inv_D*(Inv_F&gt;0)*(35&gt;=Inv_SvcP)*(35&lt;Inv_SvcP+Inv_F*12)/(Inv_F*12+(Inv_F=0)))*AN$9</f>
        <v>6799.3507499999996</v>
      </c>
      <c r="AO103" s="48">
        <f>SUMPRODUCT(Inv_D*(Inv_F&gt;0)*(36&gt;=Inv_SvcP)*(36&lt;Inv_SvcP+Inv_F*12)/(Inv_F*12+(Inv_F=0)))*AO$9</f>
        <v>6799.3507499999996</v>
      </c>
      <c r="AP103" s="48">
        <f>SUMPRODUCT(Inv_D*(Inv_F&gt;0)*(37&gt;=Inv_SvcP)*(37&lt;Inv_SvcP+Inv_F*12)/(Inv_F*12+(Inv_F=0)))*AP$9</f>
        <v>6799.3507499999996</v>
      </c>
      <c r="AQ103" s="48">
        <f>SUMPRODUCT(Inv_D*(Inv_F&gt;0)*(38&gt;=Inv_SvcP)*(38&lt;Inv_SvcP+Inv_F*12)/(Inv_F*12+(Inv_F=0)))*AQ$9</f>
        <v>6799.3507499999996</v>
      </c>
      <c r="AR103" s="48">
        <f>SUMPRODUCT(Inv_D*(Inv_F&gt;0)*(39&gt;=Inv_SvcP)*(39&lt;Inv_SvcP+Inv_F*12)/(Inv_F*12+(Inv_F=0)))*AR$9</f>
        <v>6799.3507499999996</v>
      </c>
      <c r="AS103" s="48">
        <f>SUMPRODUCT(Inv_D*(Inv_F&gt;0)*(40&gt;=Inv_SvcP)*(40&lt;Inv_SvcP+Inv_F*12)/(Inv_F*12+(Inv_F=0)))*AS$9</f>
        <v>6799.3507499999996</v>
      </c>
      <c r="AT103" s="48">
        <f>SUMPRODUCT(Inv_D*(Inv_F&gt;0)*(41&gt;=Inv_SvcP)*(41&lt;Inv_SvcP+Inv_F*12)/(Inv_F*12+(Inv_F=0)))*AT$9</f>
        <v>6799.3507499999996</v>
      </c>
      <c r="AU103" s="48">
        <f>SUMPRODUCT(Inv_D*(Inv_F&gt;0)*(42&gt;=Inv_SvcP)*(42&lt;Inv_SvcP+Inv_F*12)/(Inv_F*12+(Inv_F=0)))*AU$9</f>
        <v>6799.3507499999996</v>
      </c>
      <c r="AV103" s="48">
        <f>SUMPRODUCT(Inv_D*(Inv_F&gt;0)*(43&gt;=Inv_SvcP)*(43&lt;Inv_SvcP+Inv_F*12)/(Inv_F*12+(Inv_F=0)))*AV$9</f>
        <v>6799.3507499999996</v>
      </c>
      <c r="AW103" s="48">
        <f>SUMPRODUCT(Inv_D*(Inv_F&gt;0)*(44&gt;=Inv_SvcP)*(44&lt;Inv_SvcP+Inv_F*12)/(Inv_F*12+(Inv_F=0)))*AW$9</f>
        <v>6799.3507499999996</v>
      </c>
      <c r="AX103" s="48">
        <f>SUMPRODUCT(Inv_D*(Inv_F&gt;0)*(45&gt;=Inv_SvcP)*(45&lt;Inv_SvcP+Inv_F*12)/(Inv_F*12+(Inv_F=0)))*AX$9</f>
        <v>6799.3507499999996</v>
      </c>
      <c r="AY103" s="48">
        <f>SUMPRODUCT(Inv_D*(Inv_F&gt;0)*(46&gt;=Inv_SvcP)*(46&lt;Inv_SvcP+Inv_F*12)/(Inv_F*12+(Inv_F=0)))*AY$9</f>
        <v>6799.3507499999996</v>
      </c>
      <c r="AZ103" s="48">
        <f>SUMPRODUCT(Inv_D*(Inv_F&gt;0)*(47&gt;=Inv_SvcP)*(47&lt;Inv_SvcP+Inv_F*12)/(Inv_F*12+(Inv_F=0)))*AZ$9</f>
        <v>6799.3507499999996</v>
      </c>
      <c r="BA103" s="48">
        <f>SUMPRODUCT(Inv_D*(Inv_F&gt;0)*(48&gt;=Inv_SvcP)*(48&lt;Inv_SvcP+Inv_F*12)/(Inv_F*12+(Inv_F=0)))*BA$9</f>
        <v>6799.3507499999996</v>
      </c>
      <c r="BB103" s="48">
        <f>SUMPRODUCT(Inv_D*(Inv_F&gt;0)*(49&gt;=Inv_SvcP)*(49&lt;Inv_SvcP+Inv_F*12)/(Inv_F*12+(Inv_F=0)))*BB$9</f>
        <v>6799.3507499999996</v>
      </c>
      <c r="BC103" s="48">
        <f>SUMPRODUCT(Inv_D*(Inv_F&gt;0)*(50&gt;=Inv_SvcP)*(50&lt;Inv_SvcP+Inv_F*12)/(Inv_F*12+(Inv_F=0)))*BC$9</f>
        <v>6799.3507499999996</v>
      </c>
      <c r="BD103" s="48">
        <f>SUMPRODUCT(Inv_D*(Inv_F&gt;0)*(51&gt;=Inv_SvcP)*(51&lt;Inv_SvcP+Inv_F*12)/(Inv_F*12+(Inv_F=0)))*BD$9</f>
        <v>6799.3507499999996</v>
      </c>
      <c r="BE103" s="48">
        <f>SUMPRODUCT(Inv_D*(Inv_F&gt;0)*(52&gt;=Inv_SvcP)*(52&lt;Inv_SvcP+Inv_F*12)/(Inv_F*12+(Inv_F=0)))*BE$9</f>
        <v>6799.3507499999996</v>
      </c>
      <c r="BF103" s="48">
        <f>SUMPRODUCT(Inv_D*(Inv_F&gt;0)*(53&gt;=Inv_SvcP)*(53&lt;Inv_SvcP+Inv_F*12)/(Inv_F*12+(Inv_F=0)))*BF$9</f>
        <v>6799.3507499999996</v>
      </c>
      <c r="BG103" s="48">
        <f>SUMPRODUCT(Inv_D*(Inv_F&gt;0)*(54&gt;=Inv_SvcP)*(54&lt;Inv_SvcP+Inv_F*12)/(Inv_F*12+(Inv_F=0)))*BG$9</f>
        <v>6799.3507499999996</v>
      </c>
      <c r="BH103" s="48">
        <f>SUMPRODUCT(Inv_D*(Inv_F&gt;0)*(55&gt;=Inv_SvcP)*(55&lt;Inv_SvcP+Inv_F*12)/(Inv_F*12+(Inv_F=0)))*BH$9</f>
        <v>6799.3507499999996</v>
      </c>
      <c r="BI103" s="48">
        <f>SUMPRODUCT(Inv_D*(Inv_F&gt;0)*(56&gt;=Inv_SvcP)*(56&lt;Inv_SvcP+Inv_F*12)/(Inv_F*12+(Inv_F=0)))*BI$9</f>
        <v>6799.3507499999996</v>
      </c>
      <c r="BJ103" s="48">
        <f>SUMPRODUCT(Inv_D*(Inv_F&gt;0)*(57&gt;=Inv_SvcP)*(57&lt;Inv_SvcP+Inv_F*12)/(Inv_F*12+(Inv_F=0)))*BJ$9</f>
        <v>6799.3507499999996</v>
      </c>
      <c r="BK103" s="48">
        <f>SUMPRODUCT(Inv_D*(Inv_F&gt;0)*(58&gt;=Inv_SvcP)*(58&lt;Inv_SvcP+Inv_F*12)/(Inv_F*12+(Inv_F=0)))*BK$9</f>
        <v>6799.3507499999996</v>
      </c>
      <c r="BL103" s="48">
        <f>SUMPRODUCT(Inv_D*(Inv_F&gt;0)*(59&gt;=Inv_SvcP)*(59&lt;Inv_SvcP+Inv_F*12)/(Inv_F*12+(Inv_F=0)))*BL$9</f>
        <v>6799.3507499999996</v>
      </c>
      <c r="BM103" s="48">
        <f>SUMPRODUCT(Inv_D*(Inv_F&gt;0)*(60&gt;=Inv_SvcP)*(60&lt;Inv_SvcP+Inv_F*12)/(Inv_F*12+(Inv_F=0)))*BM$9</f>
        <v>6799.3507499999996</v>
      </c>
      <c r="BN103" s="48">
        <f>SUMPRODUCT(Inv_D*(Inv_F&gt;0)*(61&gt;=Inv_SvcP)*(61&lt;Inv_SvcP+Inv_F*12)/(Inv_F*12+(Inv_F=0)))*BN$9</f>
        <v>5784.7174166666664</v>
      </c>
      <c r="BO103" s="48">
        <f>SUMPRODUCT(Inv_D*(Inv_F&gt;0)*(62&gt;=Inv_SvcP)*(62&lt;Inv_SvcP+Inv_F*12)/(Inv_F*12+(Inv_F=0)))*BO$9</f>
        <v>5784.7174166666664</v>
      </c>
      <c r="BP103" s="48">
        <f>SUMPRODUCT(Inv_D*(Inv_F&gt;0)*(63&gt;=Inv_SvcP)*(63&lt;Inv_SvcP+Inv_F*12)/(Inv_F*12+(Inv_F=0)))*BP$9</f>
        <v>5784.7174166666664</v>
      </c>
      <c r="BQ103" s="48">
        <f>SUMPRODUCT(Inv_D*(Inv_F&gt;0)*(64&gt;=Inv_SvcP)*(64&lt;Inv_SvcP+Inv_F*12)/(Inv_F*12+(Inv_F=0)))*BQ$9</f>
        <v>5784.7174166666664</v>
      </c>
      <c r="BR103" s="48">
        <f>SUMPRODUCT(Inv_D*(Inv_F&gt;0)*(65&gt;=Inv_SvcP)*(65&lt;Inv_SvcP+Inv_F*12)/(Inv_F*12+(Inv_F=0)))*BR$9</f>
        <v>5784.7174166666664</v>
      </c>
      <c r="BS103" s="48">
        <f>SUMPRODUCT(Inv_D*(Inv_F&gt;0)*(66&gt;=Inv_SvcP)*(66&lt;Inv_SvcP+Inv_F*12)/(Inv_F*12+(Inv_F=0)))*BS$9</f>
        <v>5784.7174166666664</v>
      </c>
      <c r="BT103" s="48">
        <f>SUMPRODUCT(Inv_D*(Inv_F&gt;0)*(67&gt;=Inv_SvcP)*(67&lt;Inv_SvcP+Inv_F*12)/(Inv_F*12+(Inv_F=0)))*BT$9</f>
        <v>5784.7174166666664</v>
      </c>
      <c r="BU103" s="48">
        <f>SUMPRODUCT(Inv_D*(Inv_F&gt;0)*(68&gt;=Inv_SvcP)*(68&lt;Inv_SvcP+Inv_F*12)/(Inv_F*12+(Inv_F=0)))*BU$9</f>
        <v>5784.7174166666664</v>
      </c>
      <c r="BV103" s="48">
        <f>SUMPRODUCT(Inv_D*(Inv_F&gt;0)*(69&gt;=Inv_SvcP)*(69&lt;Inv_SvcP+Inv_F*12)/(Inv_F*12+(Inv_F=0)))*BV$9</f>
        <v>5784.7174166666664</v>
      </c>
      <c r="BW103" s="48">
        <f>SUMPRODUCT(Inv_D*(Inv_F&gt;0)*(70&gt;=Inv_SvcP)*(70&lt;Inv_SvcP+Inv_F*12)/(Inv_F*12+(Inv_F=0)))*BW$9</f>
        <v>5784.7174166666664</v>
      </c>
      <c r="BX103" s="48">
        <f>SUMPRODUCT(Inv_D*(Inv_F&gt;0)*(71&gt;=Inv_SvcP)*(71&lt;Inv_SvcP+Inv_F*12)/(Inv_F*12+(Inv_F=0)))*BX$9</f>
        <v>5784.7174166666664</v>
      </c>
      <c r="BY103" s="48">
        <f>SUMPRODUCT(Inv_D*(Inv_F&gt;0)*(72&gt;=Inv_SvcP)*(72&lt;Inv_SvcP+Inv_F*12)/(Inv_F*12+(Inv_F=0)))*BY$9</f>
        <v>5784.7174166666664</v>
      </c>
      <c r="BZ103" s="48">
        <f>SUMPRODUCT(Inv_D*(Inv_F&gt;0)*(73&gt;=Inv_SvcP)*(73&lt;Inv_SvcP+Inv_F*12)/(Inv_F*12+(Inv_F=0)))*BZ$9</f>
        <v>5784.7174166666664</v>
      </c>
      <c r="CA103" s="48">
        <f>SUMPRODUCT(Inv_D*(Inv_F&gt;0)*(74&gt;=Inv_SvcP)*(74&lt;Inv_SvcP+Inv_F*12)/(Inv_F*12+(Inv_F=0)))*CA$9</f>
        <v>5784.7174166666664</v>
      </c>
      <c r="CB103" s="48">
        <f>SUMPRODUCT(Inv_D*(Inv_F&gt;0)*(75&gt;=Inv_SvcP)*(75&lt;Inv_SvcP+Inv_F*12)/(Inv_F*12+(Inv_F=0)))*CB$9</f>
        <v>5784.7174166666664</v>
      </c>
      <c r="CC103" s="48">
        <f>SUMPRODUCT(Inv_D*(Inv_F&gt;0)*(76&gt;=Inv_SvcP)*(76&lt;Inv_SvcP+Inv_F*12)/(Inv_F*12+(Inv_F=0)))*CC$9</f>
        <v>5784.7174166666664</v>
      </c>
      <c r="CD103" s="48">
        <f>SUMPRODUCT(Inv_D*(Inv_F&gt;0)*(77&gt;=Inv_SvcP)*(77&lt;Inv_SvcP+Inv_F*12)/(Inv_F*12+(Inv_F=0)))*CD$9</f>
        <v>5784.7174166666664</v>
      </c>
      <c r="CE103" s="48">
        <f>SUMPRODUCT(Inv_D*(Inv_F&gt;0)*(78&gt;=Inv_SvcP)*(78&lt;Inv_SvcP+Inv_F*12)/(Inv_F*12+(Inv_F=0)))*CE$9</f>
        <v>5784.7174166666664</v>
      </c>
      <c r="CF103" s="48">
        <f>SUMPRODUCT(Inv_D*(Inv_F&gt;0)*(79&gt;=Inv_SvcP)*(79&lt;Inv_SvcP+Inv_F*12)/(Inv_F*12+(Inv_F=0)))*CF$9</f>
        <v>5784.7174166666664</v>
      </c>
      <c r="CG103" s="48">
        <f>SUMPRODUCT(Inv_D*(Inv_F&gt;0)*(80&gt;=Inv_SvcP)*(80&lt;Inv_SvcP+Inv_F*12)/(Inv_F*12+(Inv_F=0)))*CG$9</f>
        <v>5784.7174166666664</v>
      </c>
      <c r="CH103" s="48">
        <f>SUMPRODUCT(Inv_D*(Inv_F&gt;0)*(81&gt;=Inv_SvcP)*(81&lt;Inv_SvcP+Inv_F*12)/(Inv_F*12+(Inv_F=0)))*CH$9</f>
        <v>5784.7174166666664</v>
      </c>
      <c r="CI103" s="48">
        <f>SUMPRODUCT(Inv_D*(Inv_F&gt;0)*(82&gt;=Inv_SvcP)*(82&lt;Inv_SvcP+Inv_F*12)/(Inv_F*12+(Inv_F=0)))*CI$9</f>
        <v>5784.7174166666664</v>
      </c>
      <c r="CJ103" s="48">
        <f>SUMPRODUCT(Inv_D*(Inv_F&gt;0)*(83&gt;=Inv_SvcP)*(83&lt;Inv_SvcP+Inv_F*12)/(Inv_F*12+(Inv_F=0)))*CJ$9</f>
        <v>5784.7174166666664</v>
      </c>
      <c r="CK103" s="48">
        <f>SUMPRODUCT(Inv_D*(Inv_F&gt;0)*(84&gt;=Inv_SvcP)*(84&lt;Inv_SvcP+Inv_F*12)/(Inv_F*12+(Inv_F=0)))*CK$9</f>
        <v>5784.7174166666664</v>
      </c>
      <c r="CL103" s="48">
        <f>SUMPRODUCT(Inv_D*(Inv_F&gt;0)*(85&gt;=Inv_SvcP)*(85&lt;Inv_SvcP+Inv_F*12)/(Inv_F*12+(Inv_F=0)))*CL$9</f>
        <v>5784.7174166666664</v>
      </c>
      <c r="CM103" s="48">
        <f>SUMPRODUCT(Inv_D*(Inv_F&gt;0)*(86&gt;=Inv_SvcP)*(86&lt;Inv_SvcP+Inv_F*12)/(Inv_F*12+(Inv_F=0)))*CM$9</f>
        <v>5784.7174166666664</v>
      </c>
      <c r="CN103" s="48">
        <f>SUMPRODUCT(Inv_D*(Inv_F&gt;0)*(87&gt;=Inv_SvcP)*(87&lt;Inv_SvcP+Inv_F*12)/(Inv_F*12+(Inv_F=0)))*CN$9</f>
        <v>5784.7174166666664</v>
      </c>
      <c r="CO103" s="48">
        <f>SUMPRODUCT(Inv_D*(Inv_F&gt;0)*(88&gt;=Inv_SvcP)*(88&lt;Inv_SvcP+Inv_F*12)/(Inv_F*12+(Inv_F=0)))*CO$9</f>
        <v>5784.7174166666664</v>
      </c>
      <c r="CP103" s="48">
        <f>SUMPRODUCT(Inv_D*(Inv_F&gt;0)*(89&gt;=Inv_SvcP)*(89&lt;Inv_SvcP+Inv_F*12)/(Inv_F*12+(Inv_F=0)))*CP$9</f>
        <v>5784.7174166666664</v>
      </c>
      <c r="CQ103" s="48">
        <f>SUMPRODUCT(Inv_D*(Inv_F&gt;0)*(90&gt;=Inv_SvcP)*(90&lt;Inv_SvcP+Inv_F*12)/(Inv_F*12+(Inv_F=0)))*CQ$9</f>
        <v>5784.7174166666664</v>
      </c>
      <c r="CR103" s="48">
        <f>SUMPRODUCT(Inv_D*(Inv_F&gt;0)*(91&gt;=Inv_SvcP)*(91&lt;Inv_SvcP+Inv_F*12)/(Inv_F*12+(Inv_F=0)))*CR$9</f>
        <v>5784.7174166666664</v>
      </c>
      <c r="CS103" s="48">
        <f>SUMPRODUCT(Inv_D*(Inv_F&gt;0)*(92&gt;=Inv_SvcP)*(92&lt;Inv_SvcP+Inv_F*12)/(Inv_F*12+(Inv_F=0)))*CS$9</f>
        <v>5784.7174166666664</v>
      </c>
      <c r="CT103" s="48">
        <f>SUMPRODUCT(Inv_D*(Inv_F&gt;0)*(93&gt;=Inv_SvcP)*(93&lt;Inv_SvcP+Inv_F*12)/(Inv_F*12+(Inv_F=0)))*CT$9</f>
        <v>5784.7174166666664</v>
      </c>
      <c r="CU103" s="48">
        <f>SUMPRODUCT(Inv_D*(Inv_F&gt;0)*(94&gt;=Inv_SvcP)*(94&lt;Inv_SvcP+Inv_F*12)/(Inv_F*12+(Inv_F=0)))*CU$9</f>
        <v>5784.7174166666664</v>
      </c>
      <c r="CV103" s="48">
        <f>SUMPRODUCT(Inv_D*(Inv_F&gt;0)*(95&gt;=Inv_SvcP)*(95&lt;Inv_SvcP+Inv_F*12)/(Inv_F*12+(Inv_F=0)))*CV$9</f>
        <v>5784.7174166666664</v>
      </c>
      <c r="CW103" s="48">
        <f>SUMPRODUCT(Inv_D*(Inv_F&gt;0)*(96&gt;=Inv_SvcP)*(96&lt;Inv_SvcP+Inv_F*12)/(Inv_F*12+(Inv_F=0)))*CW$9</f>
        <v>5784.7174166666664</v>
      </c>
      <c r="CX103" s="48">
        <f>SUMPRODUCT(Inv_D*(Inv_F&gt;0)*(97&gt;=Inv_SvcP)*(97&lt;Inv_SvcP+Inv_F*12)/(Inv_F*12+(Inv_F=0)))*CX$9</f>
        <v>5784.7174166666664</v>
      </c>
      <c r="CY103" s="48">
        <f>SUMPRODUCT(Inv_D*(Inv_F&gt;0)*(98&gt;=Inv_SvcP)*(98&lt;Inv_SvcP+Inv_F*12)/(Inv_F*12+(Inv_F=0)))*CY$9</f>
        <v>5784.7174166666664</v>
      </c>
      <c r="CZ103" s="48">
        <f>SUMPRODUCT(Inv_D*(Inv_F&gt;0)*(99&gt;=Inv_SvcP)*(99&lt;Inv_SvcP+Inv_F*12)/(Inv_F*12+(Inv_F=0)))*CZ$9</f>
        <v>5784.7174166666664</v>
      </c>
      <c r="DA103" s="48">
        <f>SUMPRODUCT(Inv_D*(Inv_F&gt;0)*(100&gt;=Inv_SvcP)*(100&lt;Inv_SvcP+Inv_F*12)/(Inv_F*12+(Inv_F=0)))*DA$9</f>
        <v>5784.7174166666664</v>
      </c>
      <c r="DB103" s="48">
        <f>SUMPRODUCT(Inv_D*(Inv_F&gt;0)*(101&gt;=Inv_SvcP)*(101&lt;Inv_SvcP+Inv_F*12)/(Inv_F*12+(Inv_F=0)))*DB$9</f>
        <v>5784.7174166666664</v>
      </c>
      <c r="DC103" s="48">
        <f>SUMPRODUCT(Inv_D*(Inv_F&gt;0)*(102&gt;=Inv_SvcP)*(102&lt;Inv_SvcP+Inv_F*12)/(Inv_F*12+(Inv_F=0)))*DC$9</f>
        <v>5784.7174166666664</v>
      </c>
      <c r="DD103" s="48">
        <f>SUMPRODUCT(Inv_D*(Inv_F&gt;0)*(103&gt;=Inv_SvcP)*(103&lt;Inv_SvcP+Inv_F*12)/(Inv_F*12+(Inv_F=0)))*DD$9</f>
        <v>5784.7174166666664</v>
      </c>
      <c r="DE103" s="48">
        <f>SUMPRODUCT(Inv_D*(Inv_F&gt;0)*(104&gt;=Inv_SvcP)*(104&lt;Inv_SvcP+Inv_F*12)/(Inv_F*12+(Inv_F=0)))*DE$9</f>
        <v>5784.7174166666664</v>
      </c>
      <c r="DF103" s="48">
        <f>SUMPRODUCT(Inv_D*(Inv_F&gt;0)*(105&gt;=Inv_SvcP)*(105&lt;Inv_SvcP+Inv_F*12)/(Inv_F*12+(Inv_F=0)))*DF$9</f>
        <v>5784.7174166666664</v>
      </c>
      <c r="DG103" s="48">
        <f>SUMPRODUCT(Inv_D*(Inv_F&gt;0)*(106&gt;=Inv_SvcP)*(106&lt;Inv_SvcP+Inv_F*12)/(Inv_F*12+(Inv_F=0)))*DG$9</f>
        <v>5784.7174166666664</v>
      </c>
      <c r="DH103" s="48">
        <f>SUMPRODUCT(Inv_D*(Inv_F&gt;0)*(107&gt;=Inv_SvcP)*(107&lt;Inv_SvcP+Inv_F*12)/(Inv_F*12+(Inv_F=0)))*DH$9</f>
        <v>5784.7174166666664</v>
      </c>
      <c r="DI103" s="48">
        <f>SUMPRODUCT(Inv_D*(Inv_F&gt;0)*(108&gt;=Inv_SvcP)*(108&lt;Inv_SvcP+Inv_F*12)/(Inv_F*12+(Inv_F=0)))*DI$9</f>
        <v>5784.7174166666664</v>
      </c>
      <c r="DJ103" s="48">
        <f>SUMPRODUCT(Inv_D*(Inv_F&gt;0)*(109&gt;=Inv_SvcP)*(109&lt;Inv_SvcP+Inv_F*12)/(Inv_F*12+(Inv_F=0)))*DJ$9</f>
        <v>5784.7174166666664</v>
      </c>
      <c r="DK103" s="48">
        <f>SUMPRODUCT(Inv_D*(Inv_F&gt;0)*(110&gt;=Inv_SvcP)*(110&lt;Inv_SvcP+Inv_F*12)/(Inv_F*12+(Inv_F=0)))*DK$9</f>
        <v>5784.7174166666664</v>
      </c>
      <c r="DL103" s="48">
        <f>SUMPRODUCT(Inv_D*(Inv_F&gt;0)*(111&gt;=Inv_SvcP)*(111&lt;Inv_SvcP+Inv_F*12)/(Inv_F*12+(Inv_F=0)))*DL$9</f>
        <v>5784.7174166666664</v>
      </c>
      <c r="DM103" s="48">
        <f>SUMPRODUCT(Inv_D*(Inv_F&gt;0)*(112&gt;=Inv_SvcP)*(112&lt;Inv_SvcP+Inv_F*12)/(Inv_F*12+(Inv_F=0)))*DM$9</f>
        <v>5784.7174166666664</v>
      </c>
      <c r="DN103" s="48">
        <f>SUMPRODUCT(Inv_D*(Inv_F&gt;0)*(113&gt;=Inv_SvcP)*(113&lt;Inv_SvcP+Inv_F*12)/(Inv_F*12+(Inv_F=0)))*DN$9</f>
        <v>5784.7174166666664</v>
      </c>
      <c r="DO103" s="48">
        <f>SUMPRODUCT(Inv_D*(Inv_F&gt;0)*(114&gt;=Inv_SvcP)*(114&lt;Inv_SvcP+Inv_F*12)/(Inv_F*12+(Inv_F=0)))*DO$9</f>
        <v>5784.7174166666664</v>
      </c>
      <c r="DP103" s="48">
        <f>SUMPRODUCT(Inv_D*(Inv_F&gt;0)*(115&gt;=Inv_SvcP)*(115&lt;Inv_SvcP+Inv_F*12)/(Inv_F*12+(Inv_F=0)))*DP$9</f>
        <v>5784.7174166666664</v>
      </c>
      <c r="DQ103" s="48">
        <f>SUMPRODUCT(Inv_D*(Inv_F&gt;0)*(116&gt;=Inv_SvcP)*(116&lt;Inv_SvcP+Inv_F*12)/(Inv_F*12+(Inv_F=0)))*DQ$9</f>
        <v>5784.7174166666664</v>
      </c>
      <c r="DR103" s="48">
        <f>SUMPRODUCT(Inv_D*(Inv_F&gt;0)*(117&gt;=Inv_SvcP)*(117&lt;Inv_SvcP+Inv_F*12)/(Inv_F*12+(Inv_F=0)))*DR$9</f>
        <v>5784.7174166666664</v>
      </c>
      <c r="DS103" s="48">
        <f>SUMPRODUCT(Inv_D*(Inv_F&gt;0)*(118&gt;=Inv_SvcP)*(118&lt;Inv_SvcP+Inv_F*12)/(Inv_F*12+(Inv_F=0)))*DS$9</f>
        <v>5784.7174166666664</v>
      </c>
      <c r="DT103" s="48">
        <f>SUMPRODUCT(Inv_D*(Inv_F&gt;0)*(119&gt;=Inv_SvcP)*(119&lt;Inv_SvcP+Inv_F*12)/(Inv_F*12+(Inv_F=0)))*DT$9</f>
        <v>5784.7174166666664</v>
      </c>
      <c r="DU103" s="48">
        <f>SUMPRODUCT(Inv_D*(Inv_F&gt;0)*(120&gt;=Inv_SvcP)*(120&lt;Inv_SvcP+Inv_F*12)/(Inv_F*12+(Inv_F=0)))*DU$9</f>
        <v>5784.7174166666664</v>
      </c>
      <c r="DV103" s="48">
        <f>SUMPRODUCT(Inv_D*(Inv_F&gt;0)*(121&gt;=Inv_SvcP)*(121&lt;Inv_SvcP+Inv_F*12)/(Inv_F*12+(Inv_F=0)))*DV$9</f>
        <v>0</v>
      </c>
      <c r="DW103" s="48">
        <f>SUMPRODUCT(Inv_D*(Inv_F&gt;0)*(122&gt;=Inv_SvcP)*(122&lt;Inv_SvcP+Inv_F*12)/(Inv_F*12+(Inv_F=0)))*DW$9</f>
        <v>0</v>
      </c>
      <c r="DX103" s="48">
        <f>SUMPRODUCT(Inv_D*(Inv_F&gt;0)*(123&gt;=Inv_SvcP)*(123&lt;Inv_SvcP+Inv_F*12)/(Inv_F*12+(Inv_F=0)))*DX$9</f>
        <v>0</v>
      </c>
      <c r="DY103" s="48">
        <f>SUMPRODUCT(Inv_D*(Inv_F&gt;0)*(124&gt;=Inv_SvcP)*(124&lt;Inv_SvcP+Inv_F*12)/(Inv_F*12+(Inv_F=0)))*DY$9</f>
        <v>0</v>
      </c>
      <c r="DZ103" s="48">
        <f>SUMPRODUCT(Inv_D*(Inv_F&gt;0)*(125&gt;=Inv_SvcP)*(125&lt;Inv_SvcP+Inv_F*12)/(Inv_F*12+(Inv_F=0)))*DZ$9</f>
        <v>0</v>
      </c>
      <c r="EA103" s="48">
        <f>SUMPRODUCT(Inv_D*(Inv_F&gt;0)*(126&gt;=Inv_SvcP)*(126&lt;Inv_SvcP+Inv_F*12)/(Inv_F*12+(Inv_F=0)))*EA$9</f>
        <v>0</v>
      </c>
      <c r="EB103" s="48">
        <f>SUMPRODUCT(Inv_D*(Inv_F&gt;0)*(127&gt;=Inv_SvcP)*(127&lt;Inv_SvcP+Inv_F*12)/(Inv_F*12+(Inv_F=0)))*EB$9</f>
        <v>0</v>
      </c>
      <c r="EC103" s="48">
        <f>SUMPRODUCT(Inv_D*(Inv_F&gt;0)*(128&gt;=Inv_SvcP)*(128&lt;Inv_SvcP+Inv_F*12)/(Inv_F*12+(Inv_F=0)))*EC$9</f>
        <v>0</v>
      </c>
      <c r="ED103" s="48">
        <f>SUMPRODUCT(Inv_D*(Inv_F&gt;0)*(129&gt;=Inv_SvcP)*(129&lt;Inv_SvcP+Inv_F*12)/(Inv_F*12+(Inv_F=0)))*ED$9</f>
        <v>0</v>
      </c>
      <c r="EE103" s="48">
        <f>SUMPRODUCT(Inv_D*(Inv_F&gt;0)*(130&gt;=Inv_SvcP)*(130&lt;Inv_SvcP+Inv_F*12)/(Inv_F*12+(Inv_F=0)))*EE$9</f>
        <v>0</v>
      </c>
      <c r="EF103" s="48">
        <f>SUMPRODUCT(Inv_D*(Inv_F&gt;0)*(131&gt;=Inv_SvcP)*(131&lt;Inv_SvcP+Inv_F*12)/(Inv_F*12+(Inv_F=0)))*EF$9</f>
        <v>0</v>
      </c>
      <c r="EG103" s="48">
        <f>SUMPRODUCT(Inv_D*(Inv_F&gt;0)*(132&gt;=Inv_SvcP)*(132&lt;Inv_SvcP+Inv_F*12)/(Inv_F*12+(Inv_F=0)))*EG$9</f>
        <v>0</v>
      </c>
      <c r="EH103" s="48">
        <f>SUMPRODUCT(Inv_D*(Inv_F&gt;0)*(133&gt;=Inv_SvcP)*(133&lt;Inv_SvcP+Inv_F*12)/(Inv_F*12+(Inv_F=0)))*EH$9</f>
        <v>0</v>
      </c>
      <c r="EI103" s="48">
        <f>SUMPRODUCT(Inv_D*(Inv_F&gt;0)*(134&gt;=Inv_SvcP)*(134&lt;Inv_SvcP+Inv_F*12)/(Inv_F*12+(Inv_F=0)))*EI$9</f>
        <v>0</v>
      </c>
      <c r="EJ103" s="48">
        <f>SUMPRODUCT(Inv_D*(Inv_F&gt;0)*(135&gt;=Inv_SvcP)*(135&lt;Inv_SvcP+Inv_F*12)/(Inv_F*12+(Inv_F=0)))*EJ$9</f>
        <v>0</v>
      </c>
      <c r="EK103" s="48">
        <f>SUMPRODUCT(Inv_D*(Inv_F&gt;0)*(136&gt;=Inv_SvcP)*(136&lt;Inv_SvcP+Inv_F*12)/(Inv_F*12+(Inv_F=0)))*EK$9</f>
        <v>0</v>
      </c>
      <c r="EL103" s="48">
        <f>SUMPRODUCT(Inv_D*(Inv_F&gt;0)*(137&gt;=Inv_SvcP)*(137&lt;Inv_SvcP+Inv_F*12)/(Inv_F*12+(Inv_F=0)))*EL$9</f>
        <v>0</v>
      </c>
      <c r="EM103" s="48">
        <f>SUMPRODUCT(Inv_D*(Inv_F&gt;0)*(138&gt;=Inv_SvcP)*(138&lt;Inv_SvcP+Inv_F*12)/(Inv_F*12+(Inv_F=0)))*EM$9</f>
        <v>0</v>
      </c>
      <c r="EN103" s="48">
        <f>SUMPRODUCT(Inv_D*(Inv_F&gt;0)*(139&gt;=Inv_SvcP)*(139&lt;Inv_SvcP+Inv_F*12)/(Inv_F*12+(Inv_F=0)))*EN$9</f>
        <v>0</v>
      </c>
      <c r="EO103" s="48">
        <f>SUMPRODUCT(Inv_D*(Inv_F&gt;0)*(140&gt;=Inv_SvcP)*(140&lt;Inv_SvcP+Inv_F*12)/(Inv_F*12+(Inv_F=0)))*EO$9</f>
        <v>0</v>
      </c>
      <c r="EP103" s="48">
        <f>SUMPRODUCT(Inv_D*(Inv_F&gt;0)*(141&gt;=Inv_SvcP)*(141&lt;Inv_SvcP+Inv_F*12)/(Inv_F*12+(Inv_F=0)))*EP$9</f>
        <v>0</v>
      </c>
      <c r="EQ103" s="48">
        <f>SUMPRODUCT(Inv_D*(Inv_F&gt;0)*(142&gt;=Inv_SvcP)*(142&lt;Inv_SvcP+Inv_F*12)/(Inv_F*12+(Inv_F=0)))*EQ$9</f>
        <v>0</v>
      </c>
      <c r="ER103" s="48">
        <f>SUMPRODUCT(Inv_D*(Inv_F&gt;0)*(143&gt;=Inv_SvcP)*(143&lt;Inv_SvcP+Inv_F*12)/(Inv_F*12+(Inv_F=0)))*ER$9</f>
        <v>0</v>
      </c>
      <c r="ES103" s="48">
        <f>SUMPRODUCT(Inv_D*(Inv_F&gt;0)*(144&gt;=Inv_SvcP)*(144&lt;Inv_SvcP+Inv_F*12)/(Inv_F*12+(Inv_F=0)))*ES$9</f>
        <v>0</v>
      </c>
    </row>
    <row r="104" spans="1:149" x14ac:dyDescent="0.3">
      <c r="A104" s="14" t="s">
        <v>1109</v>
      </c>
      <c r="B104" s="18" t="s">
        <v>1110</v>
      </c>
      <c r="C104" s="18" t="s">
        <v>439</v>
      </c>
      <c r="E104" s="54">
        <f t="shared" si="373"/>
        <v>15564459.926261008</v>
      </c>
      <c r="F104" s="48">
        <f t="shared" ref="F104:AK104" si="424">F$102-F$103</f>
        <v>36531.483058923077</v>
      </c>
      <c r="G104" s="48">
        <f t="shared" si="424"/>
        <v>36531.483058923077</v>
      </c>
      <c r="H104" s="48">
        <f t="shared" si="424"/>
        <v>36531.483058923077</v>
      </c>
      <c r="I104" s="48">
        <f t="shared" si="424"/>
        <v>36531.483058923077</v>
      </c>
      <c r="J104" s="48">
        <f t="shared" si="424"/>
        <v>36531.483058923077</v>
      </c>
      <c r="K104" s="48">
        <f t="shared" si="424"/>
        <v>36531.483058923077</v>
      </c>
      <c r="L104" s="48">
        <f t="shared" si="424"/>
        <v>36531.483058923077</v>
      </c>
      <c r="M104" s="48">
        <f t="shared" si="424"/>
        <v>36531.483058923077</v>
      </c>
      <c r="N104" s="48">
        <f t="shared" si="424"/>
        <v>36531.483058923077</v>
      </c>
      <c r="O104" s="48">
        <f t="shared" si="424"/>
        <v>36531.483058923077</v>
      </c>
      <c r="P104" s="48">
        <f t="shared" si="424"/>
        <v>36531.483058923077</v>
      </c>
      <c r="Q104" s="48">
        <f t="shared" si="424"/>
        <v>36531.483058923077</v>
      </c>
      <c r="R104" s="48">
        <f t="shared" si="424"/>
        <v>73697.05224396479</v>
      </c>
      <c r="S104" s="48">
        <f t="shared" si="424"/>
        <v>73697.05224396479</v>
      </c>
      <c r="T104" s="48">
        <f t="shared" si="424"/>
        <v>73697.05224396479</v>
      </c>
      <c r="U104" s="48">
        <f t="shared" si="424"/>
        <v>73697.05224396479</v>
      </c>
      <c r="V104" s="48">
        <f t="shared" si="424"/>
        <v>73697.05224396479</v>
      </c>
      <c r="W104" s="48">
        <f t="shared" si="424"/>
        <v>73697.05224396479</v>
      </c>
      <c r="X104" s="48">
        <f t="shared" si="424"/>
        <v>73697.05224396479</v>
      </c>
      <c r="Y104" s="48">
        <f t="shared" si="424"/>
        <v>73697.05224396479</v>
      </c>
      <c r="Z104" s="48">
        <f t="shared" si="424"/>
        <v>73697.05224396479</v>
      </c>
      <c r="AA104" s="48">
        <f t="shared" si="424"/>
        <v>73697.05224396479</v>
      </c>
      <c r="AB104" s="48">
        <f t="shared" si="424"/>
        <v>73697.05224396479</v>
      </c>
      <c r="AC104" s="48">
        <f t="shared" si="424"/>
        <v>73697.05224396479</v>
      </c>
      <c r="AD104" s="48">
        <f t="shared" si="424"/>
        <v>110285.68011512468</v>
      </c>
      <c r="AE104" s="48">
        <f t="shared" si="424"/>
        <v>110285.68011512468</v>
      </c>
      <c r="AF104" s="48">
        <f t="shared" si="424"/>
        <v>110285.68011512468</v>
      </c>
      <c r="AG104" s="48">
        <f t="shared" si="424"/>
        <v>110285.68011512468</v>
      </c>
      <c r="AH104" s="48">
        <f t="shared" si="424"/>
        <v>110285.68011512468</v>
      </c>
      <c r="AI104" s="48">
        <f t="shared" si="424"/>
        <v>110285.68011512468</v>
      </c>
      <c r="AJ104" s="48">
        <f t="shared" si="424"/>
        <v>110285.68011512468</v>
      </c>
      <c r="AK104" s="48">
        <f t="shared" si="424"/>
        <v>110285.68011512468</v>
      </c>
      <c r="AL104" s="48">
        <f t="shared" ref="AL104:BQ104" si="425">AL$102-AL$103</f>
        <v>110285.68011512468</v>
      </c>
      <c r="AM104" s="48">
        <f t="shared" si="425"/>
        <v>110285.68011512468</v>
      </c>
      <c r="AN104" s="48">
        <f t="shared" si="425"/>
        <v>110285.68011512468</v>
      </c>
      <c r="AO104" s="48">
        <f t="shared" si="425"/>
        <v>110285.68011512468</v>
      </c>
      <c r="AP104" s="48">
        <f t="shared" si="425"/>
        <v>143094.22912985831</v>
      </c>
      <c r="AQ104" s="48">
        <f t="shared" si="425"/>
        <v>143094.22912985831</v>
      </c>
      <c r="AR104" s="48">
        <f t="shared" si="425"/>
        <v>143094.22912985831</v>
      </c>
      <c r="AS104" s="48">
        <f t="shared" si="425"/>
        <v>143094.22912985831</v>
      </c>
      <c r="AT104" s="48">
        <f t="shared" si="425"/>
        <v>143094.22912985831</v>
      </c>
      <c r="AU104" s="48">
        <f t="shared" si="425"/>
        <v>143094.22912985831</v>
      </c>
      <c r="AV104" s="48">
        <f t="shared" si="425"/>
        <v>143094.22912985831</v>
      </c>
      <c r="AW104" s="48">
        <f t="shared" si="425"/>
        <v>143094.22912985831</v>
      </c>
      <c r="AX104" s="48">
        <f t="shared" si="425"/>
        <v>143094.22912985831</v>
      </c>
      <c r="AY104" s="48">
        <f t="shared" si="425"/>
        <v>143094.22912985831</v>
      </c>
      <c r="AZ104" s="48">
        <f t="shared" si="425"/>
        <v>143094.22912985831</v>
      </c>
      <c r="BA104" s="48">
        <f t="shared" si="425"/>
        <v>143094.22912985831</v>
      </c>
      <c r="BB104" s="48">
        <f t="shared" si="425"/>
        <v>144413.81412637368</v>
      </c>
      <c r="BC104" s="48">
        <f t="shared" si="425"/>
        <v>144413.81412637368</v>
      </c>
      <c r="BD104" s="48">
        <f t="shared" si="425"/>
        <v>144413.81412637368</v>
      </c>
      <c r="BE104" s="48">
        <f t="shared" si="425"/>
        <v>144413.81412637368</v>
      </c>
      <c r="BF104" s="48">
        <f t="shared" si="425"/>
        <v>144413.81412637368</v>
      </c>
      <c r="BG104" s="48">
        <f t="shared" si="425"/>
        <v>144413.81412637368</v>
      </c>
      <c r="BH104" s="48">
        <f t="shared" si="425"/>
        <v>144413.81412637368</v>
      </c>
      <c r="BI104" s="48">
        <f t="shared" si="425"/>
        <v>144413.81412637368</v>
      </c>
      <c r="BJ104" s="48">
        <f t="shared" si="425"/>
        <v>144413.81412637368</v>
      </c>
      <c r="BK104" s="48">
        <f t="shared" si="425"/>
        <v>144413.81412637368</v>
      </c>
      <c r="BL104" s="48">
        <f t="shared" si="425"/>
        <v>144413.81412637368</v>
      </c>
      <c r="BM104" s="48">
        <f t="shared" si="425"/>
        <v>144413.81412637368</v>
      </c>
      <c r="BN104" s="48">
        <f t="shared" si="425"/>
        <v>149515.72438115947</v>
      </c>
      <c r="BO104" s="48">
        <f t="shared" si="425"/>
        <v>149515.72438115947</v>
      </c>
      <c r="BP104" s="48">
        <f t="shared" si="425"/>
        <v>149515.72438115947</v>
      </c>
      <c r="BQ104" s="48">
        <f t="shared" si="425"/>
        <v>149515.72438115947</v>
      </c>
      <c r="BR104" s="48">
        <f t="shared" ref="BR104:CW104" si="426">BR$102-BR$103</f>
        <v>149515.72438115947</v>
      </c>
      <c r="BS104" s="48">
        <f t="shared" si="426"/>
        <v>149515.72438115947</v>
      </c>
      <c r="BT104" s="48">
        <f t="shared" si="426"/>
        <v>149515.72438115947</v>
      </c>
      <c r="BU104" s="48">
        <f t="shared" si="426"/>
        <v>149515.72438115947</v>
      </c>
      <c r="BV104" s="48">
        <f t="shared" si="426"/>
        <v>149515.72438115947</v>
      </c>
      <c r="BW104" s="48">
        <f t="shared" si="426"/>
        <v>149515.72438115947</v>
      </c>
      <c r="BX104" s="48">
        <f t="shared" si="426"/>
        <v>149515.72438115947</v>
      </c>
      <c r="BY104" s="48">
        <f t="shared" si="426"/>
        <v>149515.72438115947</v>
      </c>
      <c r="BZ104" s="48">
        <f t="shared" si="426"/>
        <v>153631.30507273308</v>
      </c>
      <c r="CA104" s="48">
        <f t="shared" si="426"/>
        <v>153631.30507273308</v>
      </c>
      <c r="CB104" s="48">
        <f t="shared" si="426"/>
        <v>153631.30507273308</v>
      </c>
      <c r="CC104" s="48">
        <f t="shared" si="426"/>
        <v>153631.30507273308</v>
      </c>
      <c r="CD104" s="48">
        <f t="shared" si="426"/>
        <v>153631.30507273308</v>
      </c>
      <c r="CE104" s="48">
        <f t="shared" si="426"/>
        <v>153631.30507273308</v>
      </c>
      <c r="CF104" s="48">
        <f t="shared" si="426"/>
        <v>153631.30507273308</v>
      </c>
      <c r="CG104" s="48">
        <f t="shared" si="426"/>
        <v>153631.30507273308</v>
      </c>
      <c r="CH104" s="48">
        <f t="shared" si="426"/>
        <v>153631.30507273308</v>
      </c>
      <c r="CI104" s="48">
        <f t="shared" si="426"/>
        <v>153631.30507273308</v>
      </c>
      <c r="CJ104" s="48">
        <f t="shared" si="426"/>
        <v>153631.30507273308</v>
      </c>
      <c r="CK104" s="48">
        <f t="shared" si="426"/>
        <v>153631.30507273308</v>
      </c>
      <c r="CL104" s="48">
        <f t="shared" si="426"/>
        <v>157775.10112962086</v>
      </c>
      <c r="CM104" s="48">
        <f t="shared" si="426"/>
        <v>157775.10112962086</v>
      </c>
      <c r="CN104" s="48">
        <f t="shared" si="426"/>
        <v>157775.10112962086</v>
      </c>
      <c r="CO104" s="48">
        <f t="shared" si="426"/>
        <v>157775.10112962086</v>
      </c>
      <c r="CP104" s="48">
        <f t="shared" si="426"/>
        <v>157775.10112962086</v>
      </c>
      <c r="CQ104" s="48">
        <f t="shared" si="426"/>
        <v>157775.10112962086</v>
      </c>
      <c r="CR104" s="48">
        <f t="shared" si="426"/>
        <v>157775.10112962086</v>
      </c>
      <c r="CS104" s="48">
        <f t="shared" si="426"/>
        <v>157775.10112962086</v>
      </c>
      <c r="CT104" s="48">
        <f t="shared" si="426"/>
        <v>157775.10112962086</v>
      </c>
      <c r="CU104" s="48">
        <f t="shared" si="426"/>
        <v>157775.10112962086</v>
      </c>
      <c r="CV104" s="48">
        <f t="shared" si="426"/>
        <v>157775.10112962086</v>
      </c>
      <c r="CW104" s="48">
        <f t="shared" si="426"/>
        <v>157775.10112962086</v>
      </c>
      <c r="CX104" s="48">
        <f t="shared" ref="CX104:EC104" si="427">CX$102-CX$103</f>
        <v>161947.01223224087</v>
      </c>
      <c r="CY104" s="48">
        <f t="shared" si="427"/>
        <v>161947.01223224087</v>
      </c>
      <c r="CZ104" s="48">
        <f t="shared" si="427"/>
        <v>161947.01223224087</v>
      </c>
      <c r="DA104" s="48">
        <f t="shared" si="427"/>
        <v>161947.01223224087</v>
      </c>
      <c r="DB104" s="48">
        <f t="shared" si="427"/>
        <v>161947.01223224087</v>
      </c>
      <c r="DC104" s="48">
        <f t="shared" si="427"/>
        <v>161947.01223224087</v>
      </c>
      <c r="DD104" s="48">
        <f t="shared" si="427"/>
        <v>161947.01223224087</v>
      </c>
      <c r="DE104" s="48">
        <f t="shared" si="427"/>
        <v>161947.01223224087</v>
      </c>
      <c r="DF104" s="48">
        <f t="shared" si="427"/>
        <v>161947.01223224087</v>
      </c>
      <c r="DG104" s="48">
        <f t="shared" si="427"/>
        <v>161947.01223224087</v>
      </c>
      <c r="DH104" s="48">
        <f t="shared" si="427"/>
        <v>161947.01223224087</v>
      </c>
      <c r="DI104" s="48">
        <f t="shared" si="427"/>
        <v>161947.01223224087</v>
      </c>
      <c r="DJ104" s="48">
        <f t="shared" si="427"/>
        <v>166146.92569841945</v>
      </c>
      <c r="DK104" s="48">
        <f t="shared" si="427"/>
        <v>166146.92569841945</v>
      </c>
      <c r="DL104" s="48">
        <f t="shared" si="427"/>
        <v>166146.92569841945</v>
      </c>
      <c r="DM104" s="48">
        <f t="shared" si="427"/>
        <v>166146.92569841945</v>
      </c>
      <c r="DN104" s="48">
        <f t="shared" si="427"/>
        <v>166146.92569841945</v>
      </c>
      <c r="DO104" s="48">
        <f t="shared" si="427"/>
        <v>166146.92569841945</v>
      </c>
      <c r="DP104" s="48">
        <f t="shared" si="427"/>
        <v>166146.92569841945</v>
      </c>
      <c r="DQ104" s="48">
        <f t="shared" si="427"/>
        <v>166146.92569841945</v>
      </c>
      <c r="DR104" s="48">
        <f t="shared" si="427"/>
        <v>166146.92569841945</v>
      </c>
      <c r="DS104" s="48">
        <f t="shared" si="427"/>
        <v>166146.92569841945</v>
      </c>
      <c r="DT104" s="48">
        <f t="shared" si="427"/>
        <v>166146.92569841945</v>
      </c>
      <c r="DU104" s="48">
        <f t="shared" si="427"/>
        <v>166146.92569841945</v>
      </c>
      <c r="DV104" s="48">
        <f t="shared" si="427"/>
        <v>0</v>
      </c>
      <c r="DW104" s="48">
        <f t="shared" si="427"/>
        <v>0</v>
      </c>
      <c r="DX104" s="48">
        <f t="shared" si="427"/>
        <v>0</v>
      </c>
      <c r="DY104" s="48">
        <f t="shared" si="427"/>
        <v>0</v>
      </c>
      <c r="DZ104" s="48">
        <f t="shared" si="427"/>
        <v>0</v>
      </c>
      <c r="EA104" s="48">
        <f t="shared" si="427"/>
        <v>0</v>
      </c>
      <c r="EB104" s="48">
        <f t="shared" si="427"/>
        <v>0</v>
      </c>
      <c r="EC104" s="48">
        <f t="shared" si="427"/>
        <v>0</v>
      </c>
      <c r="ED104" s="48">
        <f t="shared" ref="ED104:ES104" si="428">ED$102-ED$103</f>
        <v>0</v>
      </c>
      <c r="EE104" s="48">
        <f t="shared" si="428"/>
        <v>0</v>
      </c>
      <c r="EF104" s="48">
        <f t="shared" si="428"/>
        <v>0</v>
      </c>
      <c r="EG104" s="48">
        <f t="shared" si="428"/>
        <v>0</v>
      </c>
      <c r="EH104" s="48">
        <f t="shared" si="428"/>
        <v>0</v>
      </c>
      <c r="EI104" s="48">
        <f t="shared" si="428"/>
        <v>0</v>
      </c>
      <c r="EJ104" s="48">
        <f t="shared" si="428"/>
        <v>0</v>
      </c>
      <c r="EK104" s="48">
        <f t="shared" si="428"/>
        <v>0</v>
      </c>
      <c r="EL104" s="48">
        <f t="shared" si="428"/>
        <v>0</v>
      </c>
      <c r="EM104" s="48">
        <f t="shared" si="428"/>
        <v>0</v>
      </c>
      <c r="EN104" s="48">
        <f t="shared" si="428"/>
        <v>0</v>
      </c>
      <c r="EO104" s="48">
        <f t="shared" si="428"/>
        <v>0</v>
      </c>
      <c r="EP104" s="48">
        <f t="shared" si="428"/>
        <v>0</v>
      </c>
      <c r="EQ104" s="48">
        <f t="shared" si="428"/>
        <v>0</v>
      </c>
      <c r="ER104" s="48">
        <f t="shared" si="428"/>
        <v>0</v>
      </c>
      <c r="ES104" s="48">
        <f t="shared" si="428"/>
        <v>0</v>
      </c>
    </row>
    <row r="105" spans="1:149" x14ac:dyDescent="0.3">
      <c r="A105" s="14" t="s">
        <v>1111</v>
      </c>
      <c r="B105" s="18" t="s">
        <v>1112</v>
      </c>
      <c r="C105" s="18" t="s">
        <v>439</v>
      </c>
      <c r="E105" s="54">
        <f t="shared" si="373"/>
        <v>813214.12822445377</v>
      </c>
      <c r="F105" s="48">
        <f t="shared" ref="F105:AK105" si="429">(F$124+F$128+F$132+F$140)*(1+P_IVAint)</f>
        <v>23030.592750000003</v>
      </c>
      <c r="G105" s="48">
        <f t="shared" si="429"/>
        <v>23030.592750000003</v>
      </c>
      <c r="H105" s="48">
        <f t="shared" si="429"/>
        <v>23030.592750000003</v>
      </c>
      <c r="I105" s="48">
        <f t="shared" si="429"/>
        <v>23030.592750000003</v>
      </c>
      <c r="J105" s="48">
        <f t="shared" si="429"/>
        <v>23030.592750000003</v>
      </c>
      <c r="K105" s="48">
        <f t="shared" si="429"/>
        <v>23030.592750000003</v>
      </c>
      <c r="L105" s="48">
        <f t="shared" si="429"/>
        <v>23030.592750000003</v>
      </c>
      <c r="M105" s="48">
        <f t="shared" si="429"/>
        <v>22683.075491218831</v>
      </c>
      <c r="N105" s="48">
        <f t="shared" si="429"/>
        <v>22332.951852996801</v>
      </c>
      <c r="O105" s="48">
        <f t="shared" si="429"/>
        <v>21980.202287488097</v>
      </c>
      <c r="P105" s="48">
        <f t="shared" si="429"/>
        <v>21624.807100238086</v>
      </c>
      <c r="Q105" s="48">
        <f t="shared" si="429"/>
        <v>21266.746449083697</v>
      </c>
      <c r="R105" s="48">
        <f t="shared" si="429"/>
        <v>20906.000343045653</v>
      </c>
      <c r="S105" s="48">
        <f t="shared" si="429"/>
        <v>20542.548641212325</v>
      </c>
      <c r="T105" s="48">
        <f t="shared" si="429"/>
        <v>20176.371051615239</v>
      </c>
      <c r="U105" s="48">
        <f t="shared" si="429"/>
        <v>19807.447130096178</v>
      </c>
      <c r="V105" s="48">
        <f t="shared" si="429"/>
        <v>19435.756279165729</v>
      </c>
      <c r="W105" s="48">
        <f t="shared" si="429"/>
        <v>19061.277746853299</v>
      </c>
      <c r="X105" s="48">
        <f t="shared" si="429"/>
        <v>18683.990625548529</v>
      </c>
      <c r="Y105" s="48">
        <f t="shared" si="429"/>
        <v>18303.87385083397</v>
      </c>
      <c r="Z105" s="48">
        <f t="shared" si="429"/>
        <v>17920.906200309048</v>
      </c>
      <c r="AA105" s="48">
        <f t="shared" si="429"/>
        <v>17535.066292405194</v>
      </c>
      <c r="AB105" s="48">
        <f t="shared" si="429"/>
        <v>17146.33258519206</v>
      </c>
      <c r="AC105" s="48">
        <f t="shared" si="429"/>
        <v>16754.683375174824</v>
      </c>
      <c r="AD105" s="48">
        <f t="shared" si="429"/>
        <v>16360.096796082458</v>
      </c>
      <c r="AE105" s="48">
        <f t="shared" si="429"/>
        <v>15962.550817646903</v>
      </c>
      <c r="AF105" s="48">
        <f t="shared" si="429"/>
        <v>15562.023244373078</v>
      </c>
      <c r="AG105" s="48">
        <f t="shared" si="429"/>
        <v>15158.491714299704</v>
      </c>
      <c r="AH105" s="48">
        <f t="shared" si="429"/>
        <v>14751.933697750777</v>
      </c>
      <c r="AI105" s="48">
        <f t="shared" si="429"/>
        <v>14342.326496077736</v>
      </c>
      <c r="AJ105" s="48">
        <f t="shared" si="429"/>
        <v>13929.647240392143</v>
      </c>
      <c r="AK105" s="48">
        <f t="shared" si="429"/>
        <v>13513.872890288912</v>
      </c>
      <c r="AL105" s="48">
        <f t="shared" ref="AL105:BQ105" si="430">(AL$124+AL$128+AL$132+AL$140)*(1+P_IVAint)</f>
        <v>13094.980232559905</v>
      </c>
      <c r="AM105" s="48">
        <f t="shared" si="430"/>
        <v>12672.945879897929</v>
      </c>
      <c r="AN105" s="48">
        <f t="shared" si="430"/>
        <v>12247.746269590989</v>
      </c>
      <c r="AO105" s="48">
        <f t="shared" si="430"/>
        <v>11819.357662206749</v>
      </c>
      <c r="AP105" s="48">
        <f t="shared" si="430"/>
        <v>11387.756140267127</v>
      </c>
      <c r="AQ105" s="48">
        <f t="shared" si="430"/>
        <v>10952.917606912955</v>
      </c>
      <c r="AR105" s="48">
        <f t="shared" si="430"/>
        <v>10514.817784558629</v>
      </c>
      <c r="AS105" s="48">
        <f t="shared" si="430"/>
        <v>10073.432213536644</v>
      </c>
      <c r="AT105" s="48">
        <f t="shared" si="430"/>
        <v>9628.7362507319958</v>
      </c>
      <c r="AU105" s="48">
        <f t="shared" si="430"/>
        <v>9180.7050682063109</v>
      </c>
      <c r="AV105" s="48">
        <f t="shared" si="430"/>
        <v>8729.3136518116844</v>
      </c>
      <c r="AW105" s="48">
        <f t="shared" si="430"/>
        <v>8274.5367997940975</v>
      </c>
      <c r="AX105" s="48">
        <f t="shared" si="430"/>
        <v>7816.349121386379</v>
      </c>
      <c r="AY105" s="48">
        <f t="shared" si="430"/>
        <v>7354.7250353906038</v>
      </c>
      <c r="AZ105" s="48">
        <f t="shared" si="430"/>
        <v>6889.6387687498591</v>
      </c>
      <c r="BA105" s="48">
        <f t="shared" si="430"/>
        <v>6421.064355109309</v>
      </c>
      <c r="BB105" s="48">
        <f t="shared" si="430"/>
        <v>5948.9756333664554</v>
      </c>
      <c r="BC105" s="48">
        <f t="shared" si="430"/>
        <v>5473.3462462105281</v>
      </c>
      <c r="BD105" s="48">
        <f t="shared" si="430"/>
        <v>4994.1496386509343</v>
      </c>
      <c r="BE105" s="48">
        <f t="shared" si="430"/>
        <v>4511.3590565346412</v>
      </c>
      <c r="BF105" s="48">
        <f t="shared" si="430"/>
        <v>4024.9475450524774</v>
      </c>
      <c r="BG105" s="48">
        <f t="shared" si="430"/>
        <v>3534.8879472341978</v>
      </c>
      <c r="BH105" s="48">
        <f t="shared" si="430"/>
        <v>3041.1529024322804</v>
      </c>
      <c r="BI105" s="48">
        <f t="shared" si="430"/>
        <v>2543.7148447943482</v>
      </c>
      <c r="BJ105" s="48">
        <f t="shared" si="430"/>
        <v>2042.5460017241314</v>
      </c>
      <c r="BK105" s="48">
        <f t="shared" si="430"/>
        <v>1537.6183923308886</v>
      </c>
      <c r="BL105" s="48">
        <f t="shared" si="430"/>
        <v>1028.9038258671962</v>
      </c>
      <c r="BM105" s="48">
        <f t="shared" si="430"/>
        <v>516.37390015502604</v>
      </c>
      <c r="BN105" s="48">
        <f t="shared" si="430"/>
        <v>0</v>
      </c>
      <c r="BO105" s="48">
        <f t="shared" si="430"/>
        <v>0</v>
      </c>
      <c r="BP105" s="48">
        <f t="shared" si="430"/>
        <v>0</v>
      </c>
      <c r="BQ105" s="48">
        <f t="shared" si="430"/>
        <v>0</v>
      </c>
      <c r="BR105" s="48">
        <f t="shared" ref="BR105:CW105" si="431">(BR$124+BR$128+BR$132+BR$140)*(1+P_IVAint)</f>
        <v>0</v>
      </c>
      <c r="BS105" s="48">
        <f t="shared" si="431"/>
        <v>0</v>
      </c>
      <c r="BT105" s="48">
        <f t="shared" si="431"/>
        <v>0</v>
      </c>
      <c r="BU105" s="48">
        <f t="shared" si="431"/>
        <v>0</v>
      </c>
      <c r="BV105" s="48">
        <f t="shared" si="431"/>
        <v>0</v>
      </c>
      <c r="BW105" s="48">
        <f t="shared" si="431"/>
        <v>0</v>
      </c>
      <c r="BX105" s="48">
        <f t="shared" si="431"/>
        <v>0</v>
      </c>
      <c r="BY105" s="48">
        <f t="shared" si="431"/>
        <v>0</v>
      </c>
      <c r="BZ105" s="48">
        <f t="shared" si="431"/>
        <v>0</v>
      </c>
      <c r="CA105" s="48">
        <f t="shared" si="431"/>
        <v>0</v>
      </c>
      <c r="CB105" s="48">
        <f t="shared" si="431"/>
        <v>0</v>
      </c>
      <c r="CC105" s="48">
        <f t="shared" si="431"/>
        <v>0</v>
      </c>
      <c r="CD105" s="48">
        <f t="shared" si="431"/>
        <v>0</v>
      </c>
      <c r="CE105" s="48">
        <f t="shared" si="431"/>
        <v>0</v>
      </c>
      <c r="CF105" s="48">
        <f t="shared" si="431"/>
        <v>0</v>
      </c>
      <c r="CG105" s="48">
        <f t="shared" si="431"/>
        <v>0</v>
      </c>
      <c r="CH105" s="48">
        <f t="shared" si="431"/>
        <v>0</v>
      </c>
      <c r="CI105" s="48">
        <f t="shared" si="431"/>
        <v>0</v>
      </c>
      <c r="CJ105" s="48">
        <f t="shared" si="431"/>
        <v>0</v>
      </c>
      <c r="CK105" s="48">
        <f t="shared" si="431"/>
        <v>0</v>
      </c>
      <c r="CL105" s="48">
        <f t="shared" si="431"/>
        <v>0</v>
      </c>
      <c r="CM105" s="48">
        <f t="shared" si="431"/>
        <v>0</v>
      </c>
      <c r="CN105" s="48">
        <f t="shared" si="431"/>
        <v>0</v>
      </c>
      <c r="CO105" s="48">
        <f t="shared" si="431"/>
        <v>0</v>
      </c>
      <c r="CP105" s="48">
        <f t="shared" si="431"/>
        <v>0</v>
      </c>
      <c r="CQ105" s="48">
        <f t="shared" si="431"/>
        <v>0</v>
      </c>
      <c r="CR105" s="48">
        <f t="shared" si="431"/>
        <v>0</v>
      </c>
      <c r="CS105" s="48">
        <f t="shared" si="431"/>
        <v>0</v>
      </c>
      <c r="CT105" s="48">
        <f t="shared" si="431"/>
        <v>0</v>
      </c>
      <c r="CU105" s="48">
        <f t="shared" si="431"/>
        <v>0</v>
      </c>
      <c r="CV105" s="48">
        <f t="shared" si="431"/>
        <v>0</v>
      </c>
      <c r="CW105" s="48">
        <f t="shared" si="431"/>
        <v>0</v>
      </c>
      <c r="CX105" s="48">
        <f t="shared" ref="CX105:EC105" si="432">(CX$124+CX$128+CX$132+CX$140)*(1+P_IVAint)</f>
        <v>0</v>
      </c>
      <c r="CY105" s="48">
        <f t="shared" si="432"/>
        <v>0</v>
      </c>
      <c r="CZ105" s="48">
        <f t="shared" si="432"/>
        <v>0</v>
      </c>
      <c r="DA105" s="48">
        <f t="shared" si="432"/>
        <v>0</v>
      </c>
      <c r="DB105" s="48">
        <f t="shared" si="432"/>
        <v>0</v>
      </c>
      <c r="DC105" s="48">
        <f t="shared" si="432"/>
        <v>0</v>
      </c>
      <c r="DD105" s="48">
        <f t="shared" si="432"/>
        <v>0</v>
      </c>
      <c r="DE105" s="48">
        <f t="shared" si="432"/>
        <v>0</v>
      </c>
      <c r="DF105" s="48">
        <f t="shared" si="432"/>
        <v>0</v>
      </c>
      <c r="DG105" s="48">
        <f t="shared" si="432"/>
        <v>0</v>
      </c>
      <c r="DH105" s="48">
        <f t="shared" si="432"/>
        <v>0</v>
      </c>
      <c r="DI105" s="48">
        <f t="shared" si="432"/>
        <v>0</v>
      </c>
      <c r="DJ105" s="48">
        <f t="shared" si="432"/>
        <v>0</v>
      </c>
      <c r="DK105" s="48">
        <f t="shared" si="432"/>
        <v>0</v>
      </c>
      <c r="DL105" s="48">
        <f t="shared" si="432"/>
        <v>0</v>
      </c>
      <c r="DM105" s="48">
        <f t="shared" si="432"/>
        <v>0</v>
      </c>
      <c r="DN105" s="48">
        <f t="shared" si="432"/>
        <v>0</v>
      </c>
      <c r="DO105" s="48">
        <f t="shared" si="432"/>
        <v>0</v>
      </c>
      <c r="DP105" s="48">
        <f t="shared" si="432"/>
        <v>0</v>
      </c>
      <c r="DQ105" s="48">
        <f t="shared" si="432"/>
        <v>0</v>
      </c>
      <c r="DR105" s="48">
        <f t="shared" si="432"/>
        <v>0</v>
      </c>
      <c r="DS105" s="48">
        <f t="shared" si="432"/>
        <v>0</v>
      </c>
      <c r="DT105" s="48">
        <f t="shared" si="432"/>
        <v>0</v>
      </c>
      <c r="DU105" s="48">
        <f t="shared" si="432"/>
        <v>0</v>
      </c>
      <c r="DV105" s="48">
        <f t="shared" si="432"/>
        <v>0</v>
      </c>
      <c r="DW105" s="48">
        <f t="shared" si="432"/>
        <v>0</v>
      </c>
      <c r="DX105" s="48">
        <f t="shared" si="432"/>
        <v>0</v>
      </c>
      <c r="DY105" s="48">
        <f t="shared" si="432"/>
        <v>0</v>
      </c>
      <c r="DZ105" s="48">
        <f t="shared" si="432"/>
        <v>0</v>
      </c>
      <c r="EA105" s="48">
        <f t="shared" si="432"/>
        <v>0</v>
      </c>
      <c r="EB105" s="48">
        <f t="shared" si="432"/>
        <v>0</v>
      </c>
      <c r="EC105" s="48">
        <f t="shared" si="432"/>
        <v>0</v>
      </c>
      <c r="ED105" s="48">
        <f t="shared" ref="ED105:ES105" si="433">(ED$124+ED$128+ED$132+ED$140)*(1+P_IVAint)</f>
        <v>0</v>
      </c>
      <c r="EE105" s="48">
        <f t="shared" si="433"/>
        <v>0</v>
      </c>
      <c r="EF105" s="48">
        <f t="shared" si="433"/>
        <v>0</v>
      </c>
      <c r="EG105" s="48">
        <f t="shared" si="433"/>
        <v>0</v>
      </c>
      <c r="EH105" s="48">
        <f t="shared" si="433"/>
        <v>0</v>
      </c>
      <c r="EI105" s="48">
        <f t="shared" si="433"/>
        <v>0</v>
      </c>
      <c r="EJ105" s="48">
        <f t="shared" si="433"/>
        <v>0</v>
      </c>
      <c r="EK105" s="48">
        <f t="shared" si="433"/>
        <v>0</v>
      </c>
      <c r="EL105" s="48">
        <f t="shared" si="433"/>
        <v>0</v>
      </c>
      <c r="EM105" s="48">
        <f t="shared" si="433"/>
        <v>0</v>
      </c>
      <c r="EN105" s="48">
        <f t="shared" si="433"/>
        <v>0</v>
      </c>
      <c r="EO105" s="48">
        <f t="shared" si="433"/>
        <v>0</v>
      </c>
      <c r="EP105" s="48">
        <f t="shared" si="433"/>
        <v>0</v>
      </c>
      <c r="EQ105" s="48">
        <f t="shared" si="433"/>
        <v>0</v>
      </c>
      <c r="ER105" s="48">
        <f t="shared" si="433"/>
        <v>0</v>
      </c>
      <c r="ES105" s="48">
        <f t="shared" si="433"/>
        <v>0</v>
      </c>
    </row>
    <row r="106" spans="1:149" x14ac:dyDescent="0.3">
      <c r="A106" s="14" t="s">
        <v>1113</v>
      </c>
      <c r="B106" s="18" t="s">
        <v>1114</v>
      </c>
      <c r="C106" s="18" t="s">
        <v>439</v>
      </c>
      <c r="E106" s="54">
        <f t="shared" si="373"/>
        <v>0</v>
      </c>
      <c r="F106" s="48">
        <f t="shared" ref="F106:AK106" si="434">P_IRE*(F$104-F$105)</f>
        <v>0</v>
      </c>
      <c r="G106" s="48">
        <f t="shared" si="434"/>
        <v>0</v>
      </c>
      <c r="H106" s="48">
        <f t="shared" si="434"/>
        <v>0</v>
      </c>
      <c r="I106" s="48">
        <f t="shared" si="434"/>
        <v>0</v>
      </c>
      <c r="J106" s="48">
        <f t="shared" si="434"/>
        <v>0</v>
      </c>
      <c r="K106" s="48">
        <f t="shared" si="434"/>
        <v>0</v>
      </c>
      <c r="L106" s="48">
        <f t="shared" si="434"/>
        <v>0</v>
      </c>
      <c r="M106" s="48">
        <f t="shared" si="434"/>
        <v>0</v>
      </c>
      <c r="N106" s="48">
        <f t="shared" si="434"/>
        <v>0</v>
      </c>
      <c r="O106" s="48">
        <f t="shared" si="434"/>
        <v>0</v>
      </c>
      <c r="P106" s="48">
        <f t="shared" si="434"/>
        <v>0</v>
      </c>
      <c r="Q106" s="48">
        <f t="shared" si="434"/>
        <v>0</v>
      </c>
      <c r="R106" s="48">
        <f t="shared" si="434"/>
        <v>0</v>
      </c>
      <c r="S106" s="48">
        <f t="shared" si="434"/>
        <v>0</v>
      </c>
      <c r="T106" s="48">
        <f t="shared" si="434"/>
        <v>0</v>
      </c>
      <c r="U106" s="48">
        <f t="shared" si="434"/>
        <v>0</v>
      </c>
      <c r="V106" s="48">
        <f t="shared" si="434"/>
        <v>0</v>
      </c>
      <c r="W106" s="48">
        <f t="shared" si="434"/>
        <v>0</v>
      </c>
      <c r="X106" s="48">
        <f t="shared" si="434"/>
        <v>0</v>
      </c>
      <c r="Y106" s="48">
        <f t="shared" si="434"/>
        <v>0</v>
      </c>
      <c r="Z106" s="48">
        <f t="shared" si="434"/>
        <v>0</v>
      </c>
      <c r="AA106" s="48">
        <f t="shared" si="434"/>
        <v>0</v>
      </c>
      <c r="AB106" s="48">
        <f t="shared" si="434"/>
        <v>0</v>
      </c>
      <c r="AC106" s="48">
        <f t="shared" si="434"/>
        <v>0</v>
      </c>
      <c r="AD106" s="48">
        <f t="shared" si="434"/>
        <v>0</v>
      </c>
      <c r="AE106" s="48">
        <f t="shared" si="434"/>
        <v>0</v>
      </c>
      <c r="AF106" s="48">
        <f t="shared" si="434"/>
        <v>0</v>
      </c>
      <c r="AG106" s="48">
        <f t="shared" si="434"/>
        <v>0</v>
      </c>
      <c r="AH106" s="48">
        <f t="shared" si="434"/>
        <v>0</v>
      </c>
      <c r="AI106" s="48">
        <f t="shared" si="434"/>
        <v>0</v>
      </c>
      <c r="AJ106" s="48">
        <f t="shared" si="434"/>
        <v>0</v>
      </c>
      <c r="AK106" s="48">
        <f t="shared" si="434"/>
        <v>0</v>
      </c>
      <c r="AL106" s="48">
        <f t="shared" ref="AL106:BQ106" si="435">P_IRE*(AL$104-AL$105)</f>
        <v>0</v>
      </c>
      <c r="AM106" s="48">
        <f t="shared" si="435"/>
        <v>0</v>
      </c>
      <c r="AN106" s="48">
        <f t="shared" si="435"/>
        <v>0</v>
      </c>
      <c r="AO106" s="48">
        <f t="shared" si="435"/>
        <v>0</v>
      </c>
      <c r="AP106" s="48">
        <f t="shared" si="435"/>
        <v>0</v>
      </c>
      <c r="AQ106" s="48">
        <f t="shared" si="435"/>
        <v>0</v>
      </c>
      <c r="AR106" s="48">
        <f t="shared" si="435"/>
        <v>0</v>
      </c>
      <c r="AS106" s="48">
        <f t="shared" si="435"/>
        <v>0</v>
      </c>
      <c r="AT106" s="48">
        <f t="shared" si="435"/>
        <v>0</v>
      </c>
      <c r="AU106" s="48">
        <f t="shared" si="435"/>
        <v>0</v>
      </c>
      <c r="AV106" s="48">
        <f t="shared" si="435"/>
        <v>0</v>
      </c>
      <c r="AW106" s="48">
        <f t="shared" si="435"/>
        <v>0</v>
      </c>
      <c r="AX106" s="48">
        <f t="shared" si="435"/>
        <v>0</v>
      </c>
      <c r="AY106" s="48">
        <f t="shared" si="435"/>
        <v>0</v>
      </c>
      <c r="AZ106" s="48">
        <f t="shared" si="435"/>
        <v>0</v>
      </c>
      <c r="BA106" s="48">
        <f t="shared" si="435"/>
        <v>0</v>
      </c>
      <c r="BB106" s="48">
        <f t="shared" si="435"/>
        <v>0</v>
      </c>
      <c r="BC106" s="48">
        <f t="shared" si="435"/>
        <v>0</v>
      </c>
      <c r="BD106" s="48">
        <f t="shared" si="435"/>
        <v>0</v>
      </c>
      <c r="BE106" s="48">
        <f t="shared" si="435"/>
        <v>0</v>
      </c>
      <c r="BF106" s="48">
        <f t="shared" si="435"/>
        <v>0</v>
      </c>
      <c r="BG106" s="48">
        <f t="shared" si="435"/>
        <v>0</v>
      </c>
      <c r="BH106" s="48">
        <f t="shared" si="435"/>
        <v>0</v>
      </c>
      <c r="BI106" s="48">
        <f t="shared" si="435"/>
        <v>0</v>
      </c>
      <c r="BJ106" s="48">
        <f t="shared" si="435"/>
        <v>0</v>
      </c>
      <c r="BK106" s="48">
        <f t="shared" si="435"/>
        <v>0</v>
      </c>
      <c r="BL106" s="48">
        <f t="shared" si="435"/>
        <v>0</v>
      </c>
      <c r="BM106" s="48">
        <f t="shared" si="435"/>
        <v>0</v>
      </c>
      <c r="BN106" s="48">
        <f t="shared" si="435"/>
        <v>0</v>
      </c>
      <c r="BO106" s="48">
        <f t="shared" si="435"/>
        <v>0</v>
      </c>
      <c r="BP106" s="48">
        <f t="shared" si="435"/>
        <v>0</v>
      </c>
      <c r="BQ106" s="48">
        <f t="shared" si="435"/>
        <v>0</v>
      </c>
      <c r="BR106" s="48">
        <f t="shared" ref="BR106:CW106" si="436">P_IRE*(BR$104-BR$105)</f>
        <v>0</v>
      </c>
      <c r="BS106" s="48">
        <f t="shared" si="436"/>
        <v>0</v>
      </c>
      <c r="BT106" s="48">
        <f t="shared" si="436"/>
        <v>0</v>
      </c>
      <c r="BU106" s="48">
        <f t="shared" si="436"/>
        <v>0</v>
      </c>
      <c r="BV106" s="48">
        <f t="shared" si="436"/>
        <v>0</v>
      </c>
      <c r="BW106" s="48">
        <f t="shared" si="436"/>
        <v>0</v>
      </c>
      <c r="BX106" s="48">
        <f t="shared" si="436"/>
        <v>0</v>
      </c>
      <c r="BY106" s="48">
        <f t="shared" si="436"/>
        <v>0</v>
      </c>
      <c r="BZ106" s="48">
        <f t="shared" si="436"/>
        <v>0</v>
      </c>
      <c r="CA106" s="48">
        <f t="shared" si="436"/>
        <v>0</v>
      </c>
      <c r="CB106" s="48">
        <f t="shared" si="436"/>
        <v>0</v>
      </c>
      <c r="CC106" s="48">
        <f t="shared" si="436"/>
        <v>0</v>
      </c>
      <c r="CD106" s="48">
        <f t="shared" si="436"/>
        <v>0</v>
      </c>
      <c r="CE106" s="48">
        <f t="shared" si="436"/>
        <v>0</v>
      </c>
      <c r="CF106" s="48">
        <f t="shared" si="436"/>
        <v>0</v>
      </c>
      <c r="CG106" s="48">
        <f t="shared" si="436"/>
        <v>0</v>
      </c>
      <c r="CH106" s="48">
        <f t="shared" si="436"/>
        <v>0</v>
      </c>
      <c r="CI106" s="48">
        <f t="shared" si="436"/>
        <v>0</v>
      </c>
      <c r="CJ106" s="48">
        <f t="shared" si="436"/>
        <v>0</v>
      </c>
      <c r="CK106" s="48">
        <f t="shared" si="436"/>
        <v>0</v>
      </c>
      <c r="CL106" s="48">
        <f t="shared" si="436"/>
        <v>0</v>
      </c>
      <c r="CM106" s="48">
        <f t="shared" si="436"/>
        <v>0</v>
      </c>
      <c r="CN106" s="48">
        <f t="shared" si="436"/>
        <v>0</v>
      </c>
      <c r="CO106" s="48">
        <f t="shared" si="436"/>
        <v>0</v>
      </c>
      <c r="CP106" s="48">
        <f t="shared" si="436"/>
        <v>0</v>
      </c>
      <c r="CQ106" s="48">
        <f t="shared" si="436"/>
        <v>0</v>
      </c>
      <c r="CR106" s="48">
        <f t="shared" si="436"/>
        <v>0</v>
      </c>
      <c r="CS106" s="48">
        <f t="shared" si="436"/>
        <v>0</v>
      </c>
      <c r="CT106" s="48">
        <f t="shared" si="436"/>
        <v>0</v>
      </c>
      <c r="CU106" s="48">
        <f t="shared" si="436"/>
        <v>0</v>
      </c>
      <c r="CV106" s="48">
        <f t="shared" si="436"/>
        <v>0</v>
      </c>
      <c r="CW106" s="48">
        <f t="shared" si="436"/>
        <v>0</v>
      </c>
      <c r="CX106" s="48">
        <f t="shared" ref="CX106:EC106" si="437">P_IRE*(CX$104-CX$105)</f>
        <v>0</v>
      </c>
      <c r="CY106" s="48">
        <f t="shared" si="437"/>
        <v>0</v>
      </c>
      <c r="CZ106" s="48">
        <f t="shared" si="437"/>
        <v>0</v>
      </c>
      <c r="DA106" s="48">
        <f t="shared" si="437"/>
        <v>0</v>
      </c>
      <c r="DB106" s="48">
        <f t="shared" si="437"/>
        <v>0</v>
      </c>
      <c r="DC106" s="48">
        <f t="shared" si="437"/>
        <v>0</v>
      </c>
      <c r="DD106" s="48">
        <f t="shared" si="437"/>
        <v>0</v>
      </c>
      <c r="DE106" s="48">
        <f t="shared" si="437"/>
        <v>0</v>
      </c>
      <c r="DF106" s="48">
        <f t="shared" si="437"/>
        <v>0</v>
      </c>
      <c r="DG106" s="48">
        <f t="shared" si="437"/>
        <v>0</v>
      </c>
      <c r="DH106" s="48">
        <f t="shared" si="437"/>
        <v>0</v>
      </c>
      <c r="DI106" s="48">
        <f t="shared" si="437"/>
        <v>0</v>
      </c>
      <c r="DJ106" s="48">
        <f t="shared" si="437"/>
        <v>0</v>
      </c>
      <c r="DK106" s="48">
        <f t="shared" si="437"/>
        <v>0</v>
      </c>
      <c r="DL106" s="48">
        <f t="shared" si="437"/>
        <v>0</v>
      </c>
      <c r="DM106" s="48">
        <f t="shared" si="437"/>
        <v>0</v>
      </c>
      <c r="DN106" s="48">
        <f t="shared" si="437"/>
        <v>0</v>
      </c>
      <c r="DO106" s="48">
        <f t="shared" si="437"/>
        <v>0</v>
      </c>
      <c r="DP106" s="48">
        <f t="shared" si="437"/>
        <v>0</v>
      </c>
      <c r="DQ106" s="48">
        <f t="shared" si="437"/>
        <v>0</v>
      </c>
      <c r="DR106" s="48">
        <f t="shared" si="437"/>
        <v>0</v>
      </c>
      <c r="DS106" s="48">
        <f t="shared" si="437"/>
        <v>0</v>
      </c>
      <c r="DT106" s="48">
        <f t="shared" si="437"/>
        <v>0</v>
      </c>
      <c r="DU106" s="48">
        <f t="shared" si="437"/>
        <v>0</v>
      </c>
      <c r="DV106" s="48">
        <f t="shared" si="437"/>
        <v>0</v>
      </c>
      <c r="DW106" s="48">
        <f t="shared" si="437"/>
        <v>0</v>
      </c>
      <c r="DX106" s="48">
        <f t="shared" si="437"/>
        <v>0</v>
      </c>
      <c r="DY106" s="48">
        <f t="shared" si="437"/>
        <v>0</v>
      </c>
      <c r="DZ106" s="48">
        <f t="shared" si="437"/>
        <v>0</v>
      </c>
      <c r="EA106" s="48">
        <f t="shared" si="437"/>
        <v>0</v>
      </c>
      <c r="EB106" s="48">
        <f t="shared" si="437"/>
        <v>0</v>
      </c>
      <c r="EC106" s="48">
        <f t="shared" si="437"/>
        <v>0</v>
      </c>
      <c r="ED106" s="48">
        <f t="shared" ref="ED106:ES106" si="438">P_IRE*(ED$104-ED$105)</f>
        <v>0</v>
      </c>
      <c r="EE106" s="48">
        <f t="shared" si="438"/>
        <v>0</v>
      </c>
      <c r="EF106" s="48">
        <f t="shared" si="438"/>
        <v>0</v>
      </c>
      <c r="EG106" s="48">
        <f t="shared" si="438"/>
        <v>0</v>
      </c>
      <c r="EH106" s="48">
        <f t="shared" si="438"/>
        <v>0</v>
      </c>
      <c r="EI106" s="48">
        <f t="shared" si="438"/>
        <v>0</v>
      </c>
      <c r="EJ106" s="48">
        <f t="shared" si="438"/>
        <v>0</v>
      </c>
      <c r="EK106" s="48">
        <f t="shared" si="438"/>
        <v>0</v>
      </c>
      <c r="EL106" s="48">
        <f t="shared" si="438"/>
        <v>0</v>
      </c>
      <c r="EM106" s="48">
        <f t="shared" si="438"/>
        <v>0</v>
      </c>
      <c r="EN106" s="48">
        <f t="shared" si="438"/>
        <v>0</v>
      </c>
      <c r="EO106" s="48">
        <f t="shared" si="438"/>
        <v>0</v>
      </c>
      <c r="EP106" s="48">
        <f t="shared" si="438"/>
        <v>0</v>
      </c>
      <c r="EQ106" s="48">
        <f t="shared" si="438"/>
        <v>0</v>
      </c>
      <c r="ER106" s="48">
        <f t="shared" si="438"/>
        <v>0</v>
      </c>
      <c r="ES106" s="48">
        <f t="shared" si="438"/>
        <v>0</v>
      </c>
    </row>
    <row r="107" spans="1:149" x14ac:dyDescent="0.3">
      <c r="A107" s="14" t="s">
        <v>1115</v>
      </c>
      <c r="B107" s="68" t="s">
        <v>1116</v>
      </c>
      <c r="C107" s="18" t="s">
        <v>439</v>
      </c>
      <c r="E107" s="54">
        <f t="shared" si="373"/>
        <v>14751245.798036564</v>
      </c>
      <c r="F107" s="22">
        <f t="shared" ref="F107:AK107" si="439">F$104-F$105-F$106</f>
        <v>13500.890308923073</v>
      </c>
      <c r="G107" s="22">
        <f t="shared" si="439"/>
        <v>13500.890308923073</v>
      </c>
      <c r="H107" s="22">
        <f t="shared" si="439"/>
        <v>13500.890308923073</v>
      </c>
      <c r="I107" s="22">
        <f t="shared" si="439"/>
        <v>13500.890308923073</v>
      </c>
      <c r="J107" s="22">
        <f t="shared" si="439"/>
        <v>13500.890308923073</v>
      </c>
      <c r="K107" s="22">
        <f t="shared" si="439"/>
        <v>13500.890308923073</v>
      </c>
      <c r="L107" s="22">
        <f t="shared" si="439"/>
        <v>13500.890308923073</v>
      </c>
      <c r="M107" s="22">
        <f t="shared" si="439"/>
        <v>13848.407567704246</v>
      </c>
      <c r="N107" s="22">
        <f t="shared" si="439"/>
        <v>14198.531205926276</v>
      </c>
      <c r="O107" s="22">
        <f t="shared" si="439"/>
        <v>14551.28077143498</v>
      </c>
      <c r="P107" s="22">
        <f t="shared" si="439"/>
        <v>14906.675958684991</v>
      </c>
      <c r="Q107" s="22">
        <f t="shared" si="439"/>
        <v>15264.73660983938</v>
      </c>
      <c r="R107" s="22">
        <f t="shared" si="439"/>
        <v>52791.051900919134</v>
      </c>
      <c r="S107" s="22">
        <f t="shared" si="439"/>
        <v>53154.503602752462</v>
      </c>
      <c r="T107" s="22">
        <f t="shared" si="439"/>
        <v>53520.681192349555</v>
      </c>
      <c r="U107" s="22">
        <f t="shared" si="439"/>
        <v>53889.605113868616</v>
      </c>
      <c r="V107" s="22">
        <f t="shared" si="439"/>
        <v>54261.295964799065</v>
      </c>
      <c r="W107" s="22">
        <f t="shared" si="439"/>
        <v>54635.774497111488</v>
      </c>
      <c r="X107" s="22">
        <f t="shared" si="439"/>
        <v>55013.061618416265</v>
      </c>
      <c r="Y107" s="22">
        <f t="shared" si="439"/>
        <v>55393.178393130816</v>
      </c>
      <c r="Z107" s="22">
        <f t="shared" si="439"/>
        <v>55776.146043655739</v>
      </c>
      <c r="AA107" s="22">
        <f t="shared" si="439"/>
        <v>56161.985951559596</v>
      </c>
      <c r="AB107" s="22">
        <f t="shared" si="439"/>
        <v>56550.71965877273</v>
      </c>
      <c r="AC107" s="22">
        <f t="shared" si="439"/>
        <v>56942.36886878997</v>
      </c>
      <c r="AD107" s="22">
        <f t="shared" si="439"/>
        <v>93925.583319042213</v>
      </c>
      <c r="AE107" s="22">
        <f t="shared" si="439"/>
        <v>94323.129297477775</v>
      </c>
      <c r="AF107" s="22">
        <f t="shared" si="439"/>
        <v>94723.656870751598</v>
      </c>
      <c r="AG107" s="22">
        <f t="shared" si="439"/>
        <v>95127.188400824976</v>
      </c>
      <c r="AH107" s="22">
        <f t="shared" si="439"/>
        <v>95533.746417373899</v>
      </c>
      <c r="AI107" s="22">
        <f t="shared" si="439"/>
        <v>95943.353619046946</v>
      </c>
      <c r="AJ107" s="22">
        <f t="shared" si="439"/>
        <v>96356.03287473254</v>
      </c>
      <c r="AK107" s="22">
        <f t="shared" si="439"/>
        <v>96771.807224835764</v>
      </c>
      <c r="AL107" s="22">
        <f t="shared" ref="AL107:BQ107" si="440">AL$104-AL$105-AL$106</f>
        <v>97190.699882564775</v>
      </c>
      <c r="AM107" s="22">
        <f t="shared" si="440"/>
        <v>97612.734235226744</v>
      </c>
      <c r="AN107" s="22">
        <f t="shared" si="440"/>
        <v>98037.933845533684</v>
      </c>
      <c r="AO107" s="22">
        <f t="shared" si="440"/>
        <v>98466.322452917928</v>
      </c>
      <c r="AP107" s="22">
        <f t="shared" si="440"/>
        <v>131706.47298959119</v>
      </c>
      <c r="AQ107" s="22">
        <f t="shared" si="440"/>
        <v>132141.31152294535</v>
      </c>
      <c r="AR107" s="22">
        <f t="shared" si="440"/>
        <v>132579.41134529968</v>
      </c>
      <c r="AS107" s="22">
        <f t="shared" si="440"/>
        <v>133020.79691632168</v>
      </c>
      <c r="AT107" s="22">
        <f t="shared" si="440"/>
        <v>133465.49287912631</v>
      </c>
      <c r="AU107" s="22">
        <f t="shared" si="440"/>
        <v>133913.52406165202</v>
      </c>
      <c r="AV107" s="22">
        <f t="shared" si="440"/>
        <v>134364.91547804663</v>
      </c>
      <c r="AW107" s="22">
        <f t="shared" si="440"/>
        <v>134819.69233006422</v>
      </c>
      <c r="AX107" s="22">
        <f t="shared" si="440"/>
        <v>135277.88000847193</v>
      </c>
      <c r="AY107" s="22">
        <f t="shared" si="440"/>
        <v>135739.5040944677</v>
      </c>
      <c r="AZ107" s="22">
        <f t="shared" si="440"/>
        <v>136204.59036110845</v>
      </c>
      <c r="BA107" s="22">
        <f t="shared" si="440"/>
        <v>136673.16477474902</v>
      </c>
      <c r="BB107" s="22">
        <f t="shared" si="440"/>
        <v>138464.83849300724</v>
      </c>
      <c r="BC107" s="22">
        <f t="shared" si="440"/>
        <v>138940.46788016314</v>
      </c>
      <c r="BD107" s="22">
        <f t="shared" si="440"/>
        <v>139419.66448772274</v>
      </c>
      <c r="BE107" s="22">
        <f t="shared" si="440"/>
        <v>139902.45506983902</v>
      </c>
      <c r="BF107" s="22">
        <f t="shared" si="440"/>
        <v>140388.8665813212</v>
      </c>
      <c r="BG107" s="22">
        <f t="shared" si="440"/>
        <v>140878.92617913947</v>
      </c>
      <c r="BH107" s="22">
        <f t="shared" si="440"/>
        <v>141372.6612239414</v>
      </c>
      <c r="BI107" s="22">
        <f t="shared" si="440"/>
        <v>141870.09928157931</v>
      </c>
      <c r="BJ107" s="22">
        <f t="shared" si="440"/>
        <v>142371.26812464953</v>
      </c>
      <c r="BK107" s="22">
        <f t="shared" si="440"/>
        <v>142876.19573404279</v>
      </c>
      <c r="BL107" s="22">
        <f t="shared" si="440"/>
        <v>143384.91030050648</v>
      </c>
      <c r="BM107" s="22">
        <f t="shared" si="440"/>
        <v>143897.44022621866</v>
      </c>
      <c r="BN107" s="22">
        <f t="shared" si="440"/>
        <v>149515.72438115947</v>
      </c>
      <c r="BO107" s="22">
        <f t="shared" si="440"/>
        <v>149515.72438115947</v>
      </c>
      <c r="BP107" s="22">
        <f t="shared" si="440"/>
        <v>149515.72438115947</v>
      </c>
      <c r="BQ107" s="22">
        <f t="shared" si="440"/>
        <v>149515.72438115947</v>
      </c>
      <c r="BR107" s="22">
        <f t="shared" ref="BR107:CW107" si="441">BR$104-BR$105-BR$106</f>
        <v>149515.72438115947</v>
      </c>
      <c r="BS107" s="22">
        <f t="shared" si="441"/>
        <v>149515.72438115947</v>
      </c>
      <c r="BT107" s="22">
        <f t="shared" si="441"/>
        <v>149515.72438115947</v>
      </c>
      <c r="BU107" s="22">
        <f t="shared" si="441"/>
        <v>149515.72438115947</v>
      </c>
      <c r="BV107" s="22">
        <f t="shared" si="441"/>
        <v>149515.72438115947</v>
      </c>
      <c r="BW107" s="22">
        <f t="shared" si="441"/>
        <v>149515.72438115947</v>
      </c>
      <c r="BX107" s="22">
        <f t="shared" si="441"/>
        <v>149515.72438115947</v>
      </c>
      <c r="BY107" s="22">
        <f t="shared" si="441"/>
        <v>149515.72438115947</v>
      </c>
      <c r="BZ107" s="22">
        <f t="shared" si="441"/>
        <v>153631.30507273308</v>
      </c>
      <c r="CA107" s="22">
        <f t="shared" si="441"/>
        <v>153631.30507273308</v>
      </c>
      <c r="CB107" s="22">
        <f t="shared" si="441"/>
        <v>153631.30507273308</v>
      </c>
      <c r="CC107" s="22">
        <f t="shared" si="441"/>
        <v>153631.30507273308</v>
      </c>
      <c r="CD107" s="22">
        <f t="shared" si="441"/>
        <v>153631.30507273308</v>
      </c>
      <c r="CE107" s="22">
        <f t="shared" si="441"/>
        <v>153631.30507273308</v>
      </c>
      <c r="CF107" s="22">
        <f t="shared" si="441"/>
        <v>153631.30507273308</v>
      </c>
      <c r="CG107" s="22">
        <f t="shared" si="441"/>
        <v>153631.30507273308</v>
      </c>
      <c r="CH107" s="22">
        <f t="shared" si="441"/>
        <v>153631.30507273308</v>
      </c>
      <c r="CI107" s="22">
        <f t="shared" si="441"/>
        <v>153631.30507273308</v>
      </c>
      <c r="CJ107" s="22">
        <f t="shared" si="441"/>
        <v>153631.30507273308</v>
      </c>
      <c r="CK107" s="22">
        <f t="shared" si="441"/>
        <v>153631.30507273308</v>
      </c>
      <c r="CL107" s="22">
        <f t="shared" si="441"/>
        <v>157775.10112962086</v>
      </c>
      <c r="CM107" s="22">
        <f t="shared" si="441"/>
        <v>157775.10112962086</v>
      </c>
      <c r="CN107" s="22">
        <f t="shared" si="441"/>
        <v>157775.10112962086</v>
      </c>
      <c r="CO107" s="22">
        <f t="shared" si="441"/>
        <v>157775.10112962086</v>
      </c>
      <c r="CP107" s="22">
        <f t="shared" si="441"/>
        <v>157775.10112962086</v>
      </c>
      <c r="CQ107" s="22">
        <f t="shared" si="441"/>
        <v>157775.10112962086</v>
      </c>
      <c r="CR107" s="22">
        <f t="shared" si="441"/>
        <v>157775.10112962086</v>
      </c>
      <c r="CS107" s="22">
        <f t="shared" si="441"/>
        <v>157775.10112962086</v>
      </c>
      <c r="CT107" s="22">
        <f t="shared" si="441"/>
        <v>157775.10112962086</v>
      </c>
      <c r="CU107" s="22">
        <f t="shared" si="441"/>
        <v>157775.10112962086</v>
      </c>
      <c r="CV107" s="22">
        <f t="shared" si="441"/>
        <v>157775.10112962086</v>
      </c>
      <c r="CW107" s="22">
        <f t="shared" si="441"/>
        <v>157775.10112962086</v>
      </c>
      <c r="CX107" s="22">
        <f t="shared" ref="CX107:EC107" si="442">CX$104-CX$105-CX$106</f>
        <v>161947.01223224087</v>
      </c>
      <c r="CY107" s="22">
        <f t="shared" si="442"/>
        <v>161947.01223224087</v>
      </c>
      <c r="CZ107" s="22">
        <f t="shared" si="442"/>
        <v>161947.01223224087</v>
      </c>
      <c r="DA107" s="22">
        <f t="shared" si="442"/>
        <v>161947.01223224087</v>
      </c>
      <c r="DB107" s="22">
        <f t="shared" si="442"/>
        <v>161947.01223224087</v>
      </c>
      <c r="DC107" s="22">
        <f t="shared" si="442"/>
        <v>161947.01223224087</v>
      </c>
      <c r="DD107" s="22">
        <f t="shared" si="442"/>
        <v>161947.01223224087</v>
      </c>
      <c r="DE107" s="22">
        <f t="shared" si="442"/>
        <v>161947.01223224087</v>
      </c>
      <c r="DF107" s="22">
        <f t="shared" si="442"/>
        <v>161947.01223224087</v>
      </c>
      <c r="DG107" s="22">
        <f t="shared" si="442"/>
        <v>161947.01223224087</v>
      </c>
      <c r="DH107" s="22">
        <f t="shared" si="442"/>
        <v>161947.01223224087</v>
      </c>
      <c r="DI107" s="22">
        <f t="shared" si="442"/>
        <v>161947.01223224087</v>
      </c>
      <c r="DJ107" s="22">
        <f t="shared" si="442"/>
        <v>166146.92569841945</v>
      </c>
      <c r="DK107" s="22">
        <f t="shared" si="442"/>
        <v>166146.92569841945</v>
      </c>
      <c r="DL107" s="22">
        <f t="shared" si="442"/>
        <v>166146.92569841945</v>
      </c>
      <c r="DM107" s="22">
        <f t="shared" si="442"/>
        <v>166146.92569841945</v>
      </c>
      <c r="DN107" s="22">
        <f t="shared" si="442"/>
        <v>166146.92569841945</v>
      </c>
      <c r="DO107" s="22">
        <f t="shared" si="442"/>
        <v>166146.92569841945</v>
      </c>
      <c r="DP107" s="22">
        <f t="shared" si="442"/>
        <v>166146.92569841945</v>
      </c>
      <c r="DQ107" s="22">
        <f t="shared" si="442"/>
        <v>166146.92569841945</v>
      </c>
      <c r="DR107" s="22">
        <f t="shared" si="442"/>
        <v>166146.92569841945</v>
      </c>
      <c r="DS107" s="22">
        <f t="shared" si="442"/>
        <v>166146.92569841945</v>
      </c>
      <c r="DT107" s="22">
        <f t="shared" si="442"/>
        <v>166146.92569841945</v>
      </c>
      <c r="DU107" s="22">
        <f t="shared" si="442"/>
        <v>166146.92569841945</v>
      </c>
      <c r="DV107" s="22">
        <f t="shared" si="442"/>
        <v>0</v>
      </c>
      <c r="DW107" s="22">
        <f t="shared" si="442"/>
        <v>0</v>
      </c>
      <c r="DX107" s="22">
        <f t="shared" si="442"/>
        <v>0</v>
      </c>
      <c r="DY107" s="22">
        <f t="shared" si="442"/>
        <v>0</v>
      </c>
      <c r="DZ107" s="22">
        <f t="shared" si="442"/>
        <v>0</v>
      </c>
      <c r="EA107" s="22">
        <f t="shared" si="442"/>
        <v>0</v>
      </c>
      <c r="EB107" s="22">
        <f t="shared" si="442"/>
        <v>0</v>
      </c>
      <c r="EC107" s="22">
        <f t="shared" si="442"/>
        <v>0</v>
      </c>
      <c r="ED107" s="22">
        <f t="shared" ref="ED107:ES107" si="443">ED$104-ED$105-ED$106</f>
        <v>0</v>
      </c>
      <c r="EE107" s="22">
        <f t="shared" si="443"/>
        <v>0</v>
      </c>
      <c r="EF107" s="22">
        <f t="shared" si="443"/>
        <v>0</v>
      </c>
      <c r="EG107" s="22">
        <f t="shared" si="443"/>
        <v>0</v>
      </c>
      <c r="EH107" s="22">
        <f t="shared" si="443"/>
        <v>0</v>
      </c>
      <c r="EI107" s="22">
        <f t="shared" si="443"/>
        <v>0</v>
      </c>
      <c r="EJ107" s="22">
        <f t="shared" si="443"/>
        <v>0</v>
      </c>
      <c r="EK107" s="22">
        <f t="shared" si="443"/>
        <v>0</v>
      </c>
      <c r="EL107" s="22">
        <f t="shared" si="443"/>
        <v>0</v>
      </c>
      <c r="EM107" s="22">
        <f t="shared" si="443"/>
        <v>0</v>
      </c>
      <c r="EN107" s="22">
        <f t="shared" si="443"/>
        <v>0</v>
      </c>
      <c r="EO107" s="22">
        <f t="shared" si="443"/>
        <v>0</v>
      </c>
      <c r="EP107" s="22">
        <f t="shared" si="443"/>
        <v>0</v>
      </c>
      <c r="EQ107" s="22">
        <f t="shared" si="443"/>
        <v>0</v>
      </c>
      <c r="ER107" s="22">
        <f t="shared" si="443"/>
        <v>0</v>
      </c>
      <c r="ES107" s="22">
        <f t="shared" si="443"/>
        <v>0</v>
      </c>
    </row>
    <row r="108" spans="1:149" x14ac:dyDescent="0.3">
      <c r="A108" s="16"/>
      <c r="B108" s="15" t="s">
        <v>1117</v>
      </c>
      <c r="C108" s="16"/>
      <c r="D108" s="16"/>
      <c r="E108" s="16"/>
    </row>
    <row r="109" spans="1:149" x14ac:dyDescent="0.3">
      <c r="A109" s="14" t="s">
        <v>1118</v>
      </c>
      <c r="B109" s="18" t="s">
        <v>1119</v>
      </c>
      <c r="C109" s="18" t="s">
        <v>439</v>
      </c>
      <c r="E109" s="54">
        <f>INDEX(F109:ES109,1,MIN(144,Fin))</f>
        <v>3031156.2242397242</v>
      </c>
      <c r="F109" s="48">
        <f>IF(1&gt;Fin,0,F$71*P_DSO/DiasMes)</f>
        <v>1594520.5479452051</v>
      </c>
      <c r="G109" s="48">
        <f>IF(2&gt;Fin,F$109,G$71*P_DSO/DiasMes)</f>
        <v>1594520.5479452051</v>
      </c>
      <c r="H109" s="48">
        <f>IF(3&gt;Fin,G$109,H$71*P_DSO/DiasMes)</f>
        <v>1594520.5479452051</v>
      </c>
      <c r="I109" s="48">
        <f>IF(4&gt;Fin,H$109,I$71*P_DSO/DiasMes)</f>
        <v>1594520.5479452051</v>
      </c>
      <c r="J109" s="48">
        <f>IF(5&gt;Fin,I$109,J$71*P_DSO/DiasMes)</f>
        <v>1594520.5479452051</v>
      </c>
      <c r="K109" s="48">
        <f>IF(6&gt;Fin,J$109,K$71*P_DSO/DiasMes)</f>
        <v>1594520.5479452051</v>
      </c>
      <c r="L109" s="48">
        <f>IF(7&gt;Fin,K$109,L$71*P_DSO/DiasMes)</f>
        <v>1594520.5479452051</v>
      </c>
      <c r="M109" s="48">
        <f>IF(8&gt;Fin,L$109,M$71*P_DSO/DiasMes)</f>
        <v>1594520.5479452051</v>
      </c>
      <c r="N109" s="48">
        <f>IF(9&gt;Fin,M$109,N$71*P_DSO/DiasMes)</f>
        <v>1594520.5479452051</v>
      </c>
      <c r="O109" s="48">
        <f>IF(10&gt;Fin,N$109,O$71*P_DSO/DiasMes)</f>
        <v>1594520.5479452051</v>
      </c>
      <c r="P109" s="48">
        <f>IF(11&gt;Fin,O$109,P$71*P_DSO/DiasMes)</f>
        <v>1594520.5479452051</v>
      </c>
      <c r="Q109" s="48">
        <f>IF(12&gt;Fin,P$109,Q$71*P_DSO/DiasMes)</f>
        <v>1594520.5479452051</v>
      </c>
      <c r="R109" s="48">
        <f>IF(13&gt;Fin,Q$109,R$71*P_DSO/DiasMes)</f>
        <v>2032175.3424657534</v>
      </c>
      <c r="S109" s="48">
        <f>IF(14&gt;Fin,R$109,S$71*P_DSO/DiasMes)</f>
        <v>2032175.3424657534</v>
      </c>
      <c r="T109" s="48">
        <f>IF(15&gt;Fin,S$109,T$71*P_DSO/DiasMes)</f>
        <v>2032175.3424657534</v>
      </c>
      <c r="U109" s="48">
        <f>IF(16&gt;Fin,T$109,U$71*P_DSO/DiasMes)</f>
        <v>2032175.3424657534</v>
      </c>
      <c r="V109" s="48">
        <f>IF(17&gt;Fin,U$109,V$71*P_DSO/DiasMes)</f>
        <v>2032175.3424657534</v>
      </c>
      <c r="W109" s="48">
        <f>IF(18&gt;Fin,V$109,W$71*P_DSO/DiasMes)</f>
        <v>2032175.3424657534</v>
      </c>
      <c r="X109" s="48">
        <f>IF(19&gt;Fin,W$109,X$71*P_DSO/DiasMes)</f>
        <v>2032175.3424657534</v>
      </c>
      <c r="Y109" s="48">
        <f>IF(20&gt;Fin,X$109,Y$71*P_DSO/DiasMes)</f>
        <v>2032175.3424657534</v>
      </c>
      <c r="Z109" s="48">
        <f>IF(21&gt;Fin,Y$109,Z$71*P_DSO/DiasMes)</f>
        <v>2032175.3424657534</v>
      </c>
      <c r="AA109" s="48">
        <f>IF(22&gt;Fin,Z$109,AA$71*P_DSO/DiasMes)</f>
        <v>2032175.3424657534</v>
      </c>
      <c r="AB109" s="48">
        <f>IF(23&gt;Fin,AA$109,AB$71*P_DSO/DiasMes)</f>
        <v>2032175.3424657534</v>
      </c>
      <c r="AC109" s="48">
        <f>IF(24&gt;Fin,AB$109,AC$71*P_DSO/DiasMes)</f>
        <v>2032175.3424657534</v>
      </c>
      <c r="AD109" s="48">
        <f>IF(25&gt;Fin,AC$109,AD$71*P_DSO/DiasMes)</f>
        <v>2478423.7808219171</v>
      </c>
      <c r="AE109" s="48">
        <f>IF(26&gt;Fin,AD$109,AE$71*P_DSO/DiasMes)</f>
        <v>2478423.7808219171</v>
      </c>
      <c r="AF109" s="48">
        <f>IF(27&gt;Fin,AE$109,AF$71*P_DSO/DiasMes)</f>
        <v>2478423.7808219171</v>
      </c>
      <c r="AG109" s="48">
        <f>IF(28&gt;Fin,AF$109,AG$71*P_DSO/DiasMes)</f>
        <v>2478423.7808219171</v>
      </c>
      <c r="AH109" s="48">
        <f>IF(29&gt;Fin,AG$109,AH$71*P_DSO/DiasMes)</f>
        <v>2478423.7808219171</v>
      </c>
      <c r="AI109" s="48">
        <f>IF(30&gt;Fin,AH$109,AI$71*P_DSO/DiasMes)</f>
        <v>2478423.7808219171</v>
      </c>
      <c r="AJ109" s="48">
        <f>IF(31&gt;Fin,AI$109,AJ$71*P_DSO/DiasMes)</f>
        <v>2478423.7808219171</v>
      </c>
      <c r="AK109" s="48">
        <f>IF(32&gt;Fin,AJ$109,AK$71*P_DSO/DiasMes)</f>
        <v>2478423.7808219171</v>
      </c>
      <c r="AL109" s="48">
        <f>IF(33&gt;Fin,AK$109,AL$71*P_DSO/DiasMes)</f>
        <v>2478423.7808219171</v>
      </c>
      <c r="AM109" s="48">
        <f>IF(34&gt;Fin,AL$109,AM$71*P_DSO/DiasMes)</f>
        <v>2478423.7808219171</v>
      </c>
      <c r="AN109" s="48">
        <f>IF(35&gt;Fin,AM$109,AN$71*P_DSO/DiasMes)</f>
        <v>2478423.7808219171</v>
      </c>
      <c r="AO109" s="48">
        <f>IF(36&gt;Fin,AN$109,AO$71*P_DSO/DiasMes)</f>
        <v>2478423.7808219171</v>
      </c>
      <c r="AP109" s="48">
        <f>IF(37&gt;Fin,AO$109,AP$71*P_DSO/DiasMes)</f>
        <v>2855486.2783561638</v>
      </c>
      <c r="AQ109" s="48">
        <f>IF(38&gt;Fin,AP$109,AQ$71*P_DSO/DiasMes)</f>
        <v>2855486.2783561638</v>
      </c>
      <c r="AR109" s="48">
        <f>IF(39&gt;Fin,AQ$109,AR$71*P_DSO/DiasMes)</f>
        <v>2855486.2783561638</v>
      </c>
      <c r="AS109" s="48">
        <f>IF(40&gt;Fin,AR$109,AS$71*P_DSO/DiasMes)</f>
        <v>2855486.2783561638</v>
      </c>
      <c r="AT109" s="48">
        <f>IF(41&gt;Fin,AS$109,AT$71*P_DSO/DiasMes)</f>
        <v>2855486.2783561638</v>
      </c>
      <c r="AU109" s="48">
        <f>IF(42&gt;Fin,AT$109,AU$71*P_DSO/DiasMes)</f>
        <v>2855486.2783561638</v>
      </c>
      <c r="AV109" s="48">
        <f>IF(43&gt;Fin,AU$109,AV$71*P_DSO/DiasMes)</f>
        <v>2855486.2783561638</v>
      </c>
      <c r="AW109" s="48">
        <f>IF(44&gt;Fin,AV$109,AW$71*P_DSO/DiasMes)</f>
        <v>2855486.2783561638</v>
      </c>
      <c r="AX109" s="48">
        <f>IF(45&gt;Fin,AW$109,AX$71*P_DSO/DiasMes)</f>
        <v>2855486.2783561638</v>
      </c>
      <c r="AY109" s="48">
        <f>IF(46&gt;Fin,AX$109,AY$71*P_DSO/DiasMes)</f>
        <v>2855486.2783561638</v>
      </c>
      <c r="AZ109" s="48">
        <f>IF(47&gt;Fin,AY$109,AZ$71*P_DSO/DiasMes)</f>
        <v>2855486.2783561638</v>
      </c>
      <c r="BA109" s="48">
        <f>IF(48&gt;Fin,AZ$109,BA$71*P_DSO/DiasMes)</f>
        <v>2855486.2783561638</v>
      </c>
      <c r="BB109" s="48">
        <f>IF(49&gt;Fin,BA$109,BB$71*P_DSO/DiasMes)</f>
        <v>2884041.1411397257</v>
      </c>
      <c r="BC109" s="48">
        <f>IF(50&gt;Fin,BB$109,BC$71*P_DSO/DiasMes)</f>
        <v>2884041.1411397257</v>
      </c>
      <c r="BD109" s="48">
        <f>IF(51&gt;Fin,BC$109,BD$71*P_DSO/DiasMes)</f>
        <v>2884041.1411397257</v>
      </c>
      <c r="BE109" s="48">
        <f>IF(52&gt;Fin,BD$109,BE$71*P_DSO/DiasMes)</f>
        <v>2884041.1411397257</v>
      </c>
      <c r="BF109" s="48">
        <f>IF(53&gt;Fin,BE$109,BF$71*P_DSO/DiasMes)</f>
        <v>2884041.1411397257</v>
      </c>
      <c r="BG109" s="48">
        <f>IF(54&gt;Fin,BF$109,BG$71*P_DSO/DiasMes)</f>
        <v>2884041.1411397257</v>
      </c>
      <c r="BH109" s="48">
        <f>IF(55&gt;Fin,BG$109,BH$71*P_DSO/DiasMes)</f>
        <v>2884041.1411397257</v>
      </c>
      <c r="BI109" s="48">
        <f>IF(56&gt;Fin,BH$109,BI$71*P_DSO/DiasMes)</f>
        <v>2884041.1411397257</v>
      </c>
      <c r="BJ109" s="48">
        <f>IF(57&gt;Fin,BI$109,BJ$71*P_DSO/DiasMes)</f>
        <v>2884041.1411397257</v>
      </c>
      <c r="BK109" s="48">
        <f>IF(58&gt;Fin,BJ$109,BK$71*P_DSO/DiasMes)</f>
        <v>2884041.1411397257</v>
      </c>
      <c r="BL109" s="48">
        <f>IF(59&gt;Fin,BK$109,BL$71*P_DSO/DiasMes)</f>
        <v>2884041.1411397257</v>
      </c>
      <c r="BM109" s="48">
        <f>IF(60&gt;Fin,BL$109,BM$71*P_DSO/DiasMes)</f>
        <v>2884041.1411397257</v>
      </c>
      <c r="BN109" s="48">
        <f>IF(61&gt;Fin,BM$109,BN$71*P_DSO/DiasMes)</f>
        <v>2912881.5525511228</v>
      </c>
      <c r="BO109" s="48">
        <f>IF(62&gt;Fin,BN$109,BO$71*P_DSO/DiasMes)</f>
        <v>2912881.5525511228</v>
      </c>
      <c r="BP109" s="48">
        <f>IF(63&gt;Fin,BO$109,BP$71*P_DSO/DiasMes)</f>
        <v>2912881.5525511228</v>
      </c>
      <c r="BQ109" s="48">
        <f>IF(64&gt;Fin,BP$109,BQ$71*P_DSO/DiasMes)</f>
        <v>2912881.5525511228</v>
      </c>
      <c r="BR109" s="48">
        <f>IF(65&gt;Fin,BQ$109,BR$71*P_DSO/DiasMes)</f>
        <v>2912881.5525511228</v>
      </c>
      <c r="BS109" s="48">
        <f>IF(66&gt;Fin,BR$109,BS$71*P_DSO/DiasMes)</f>
        <v>2912881.5525511228</v>
      </c>
      <c r="BT109" s="48">
        <f>IF(67&gt;Fin,BS$109,BT$71*P_DSO/DiasMes)</f>
        <v>2912881.5525511228</v>
      </c>
      <c r="BU109" s="48">
        <f>IF(68&gt;Fin,BT$109,BU$71*P_DSO/DiasMes)</f>
        <v>2912881.5525511228</v>
      </c>
      <c r="BV109" s="48">
        <f>IF(69&gt;Fin,BU$109,BV$71*P_DSO/DiasMes)</f>
        <v>2912881.5525511228</v>
      </c>
      <c r="BW109" s="48">
        <f>IF(70&gt;Fin,BV$109,BW$71*P_DSO/DiasMes)</f>
        <v>2912881.5525511228</v>
      </c>
      <c r="BX109" s="48">
        <f>IF(71&gt;Fin,BW$109,BX$71*P_DSO/DiasMes)</f>
        <v>2912881.5525511228</v>
      </c>
      <c r="BY109" s="48">
        <f>IF(72&gt;Fin,BX$109,BY$71*P_DSO/DiasMes)</f>
        <v>2912881.5525511228</v>
      </c>
      <c r="BZ109" s="48">
        <f>IF(73&gt;Fin,BY$109,BZ$71*P_DSO/DiasMes)</f>
        <v>2942010.3680766341</v>
      </c>
      <c r="CA109" s="48">
        <f>IF(74&gt;Fin,BZ$109,CA$71*P_DSO/DiasMes)</f>
        <v>2942010.3680766341</v>
      </c>
      <c r="CB109" s="48">
        <f>IF(75&gt;Fin,CA$109,CB$71*P_DSO/DiasMes)</f>
        <v>2942010.3680766341</v>
      </c>
      <c r="CC109" s="48">
        <f>IF(76&gt;Fin,CB$109,CC$71*P_DSO/DiasMes)</f>
        <v>2942010.3680766341</v>
      </c>
      <c r="CD109" s="48">
        <f>IF(77&gt;Fin,CC$109,CD$71*P_DSO/DiasMes)</f>
        <v>2942010.3680766341</v>
      </c>
      <c r="CE109" s="48">
        <f>IF(78&gt;Fin,CD$109,CE$71*P_DSO/DiasMes)</f>
        <v>2942010.3680766341</v>
      </c>
      <c r="CF109" s="48">
        <f>IF(79&gt;Fin,CE$109,CF$71*P_DSO/DiasMes)</f>
        <v>2942010.3680766341</v>
      </c>
      <c r="CG109" s="48">
        <f>IF(80&gt;Fin,CF$109,CG$71*P_DSO/DiasMes)</f>
        <v>2942010.3680766341</v>
      </c>
      <c r="CH109" s="48">
        <f>IF(81&gt;Fin,CG$109,CH$71*P_DSO/DiasMes)</f>
        <v>2942010.3680766341</v>
      </c>
      <c r="CI109" s="48">
        <f>IF(82&gt;Fin,CH$109,CI$71*P_DSO/DiasMes)</f>
        <v>2942010.3680766341</v>
      </c>
      <c r="CJ109" s="48">
        <f>IF(83&gt;Fin,CI$109,CJ$71*P_DSO/DiasMes)</f>
        <v>2942010.3680766341</v>
      </c>
      <c r="CK109" s="48">
        <f>IF(84&gt;Fin,CJ$109,CK$71*P_DSO/DiasMes)</f>
        <v>2942010.3680766341</v>
      </c>
      <c r="CL109" s="48">
        <f>IF(85&gt;Fin,CK$109,CL$71*P_DSO/DiasMes)</f>
        <v>2971430.4717574003</v>
      </c>
      <c r="CM109" s="48">
        <f>IF(86&gt;Fin,CL$109,CM$71*P_DSO/DiasMes)</f>
        <v>2971430.4717574003</v>
      </c>
      <c r="CN109" s="48">
        <f>IF(87&gt;Fin,CM$109,CN$71*P_DSO/DiasMes)</f>
        <v>2971430.4717574003</v>
      </c>
      <c r="CO109" s="48">
        <f>IF(88&gt;Fin,CN$109,CO$71*P_DSO/DiasMes)</f>
        <v>2971430.4717574003</v>
      </c>
      <c r="CP109" s="48">
        <f>IF(89&gt;Fin,CO$109,CP$71*P_DSO/DiasMes)</f>
        <v>2971430.4717574003</v>
      </c>
      <c r="CQ109" s="48">
        <f>IF(90&gt;Fin,CP$109,CQ$71*P_DSO/DiasMes)</f>
        <v>2971430.4717574003</v>
      </c>
      <c r="CR109" s="48">
        <f>IF(91&gt;Fin,CQ$109,CR$71*P_DSO/DiasMes)</f>
        <v>2971430.4717574003</v>
      </c>
      <c r="CS109" s="48">
        <f>IF(92&gt;Fin,CR$109,CS$71*P_DSO/DiasMes)</f>
        <v>2971430.4717574003</v>
      </c>
      <c r="CT109" s="48">
        <f>IF(93&gt;Fin,CS$109,CT$71*P_DSO/DiasMes)</f>
        <v>2971430.4717574003</v>
      </c>
      <c r="CU109" s="48">
        <f>IF(94&gt;Fin,CT$109,CU$71*P_DSO/DiasMes)</f>
        <v>2971430.4717574003</v>
      </c>
      <c r="CV109" s="48">
        <f>IF(95&gt;Fin,CU$109,CV$71*P_DSO/DiasMes)</f>
        <v>2971430.4717574003</v>
      </c>
      <c r="CW109" s="48">
        <f>IF(96&gt;Fin,CV$109,CW$71*P_DSO/DiasMes)</f>
        <v>2971430.4717574003</v>
      </c>
      <c r="CX109" s="48">
        <f>IF(97&gt;Fin,CW$109,CX$71*P_DSO/DiasMes)</f>
        <v>3001144.7764749741</v>
      </c>
      <c r="CY109" s="48">
        <f>IF(98&gt;Fin,CX$109,CY$71*P_DSO/DiasMes)</f>
        <v>3001144.7764749741</v>
      </c>
      <c r="CZ109" s="48">
        <f>IF(99&gt;Fin,CY$109,CZ$71*P_DSO/DiasMes)</f>
        <v>3001144.7764749741</v>
      </c>
      <c r="DA109" s="48">
        <f>IF(100&gt;Fin,CZ$109,DA$71*P_DSO/DiasMes)</f>
        <v>3001144.7764749741</v>
      </c>
      <c r="DB109" s="48">
        <f>IF(101&gt;Fin,DA$109,DB$71*P_DSO/DiasMes)</f>
        <v>3001144.7764749741</v>
      </c>
      <c r="DC109" s="48">
        <f>IF(102&gt;Fin,DB$109,DC$71*P_DSO/DiasMes)</f>
        <v>3001144.7764749741</v>
      </c>
      <c r="DD109" s="48">
        <f>IF(103&gt;Fin,DC$109,DD$71*P_DSO/DiasMes)</f>
        <v>3001144.7764749741</v>
      </c>
      <c r="DE109" s="48">
        <f>IF(104&gt;Fin,DD$109,DE$71*P_DSO/DiasMes)</f>
        <v>3001144.7764749741</v>
      </c>
      <c r="DF109" s="48">
        <f>IF(105&gt;Fin,DE$109,DF$71*P_DSO/DiasMes)</f>
        <v>3001144.7764749741</v>
      </c>
      <c r="DG109" s="48">
        <f>IF(106&gt;Fin,DF$109,DG$71*P_DSO/DiasMes)</f>
        <v>3001144.7764749741</v>
      </c>
      <c r="DH109" s="48">
        <f>IF(107&gt;Fin,DG$109,DH$71*P_DSO/DiasMes)</f>
        <v>3001144.7764749741</v>
      </c>
      <c r="DI109" s="48">
        <f>IF(108&gt;Fin,DH$109,DI$71*P_DSO/DiasMes)</f>
        <v>3001144.7764749741</v>
      </c>
      <c r="DJ109" s="48">
        <f>IF(109&gt;Fin,DI$109,DJ$71*P_DSO/DiasMes)</f>
        <v>3031156.2242397242</v>
      </c>
      <c r="DK109" s="48">
        <f>IF(110&gt;Fin,DJ$109,DK$71*P_DSO/DiasMes)</f>
        <v>3031156.2242397242</v>
      </c>
      <c r="DL109" s="48">
        <f>IF(111&gt;Fin,DK$109,DL$71*P_DSO/DiasMes)</f>
        <v>3031156.2242397242</v>
      </c>
      <c r="DM109" s="48">
        <f>IF(112&gt;Fin,DL$109,DM$71*P_DSO/DiasMes)</f>
        <v>3031156.2242397242</v>
      </c>
      <c r="DN109" s="48">
        <f>IF(113&gt;Fin,DM$109,DN$71*P_DSO/DiasMes)</f>
        <v>3031156.2242397242</v>
      </c>
      <c r="DO109" s="48">
        <f>IF(114&gt;Fin,DN$109,DO$71*P_DSO/DiasMes)</f>
        <v>3031156.2242397242</v>
      </c>
      <c r="DP109" s="48">
        <f>IF(115&gt;Fin,DO$109,DP$71*P_DSO/DiasMes)</f>
        <v>3031156.2242397242</v>
      </c>
      <c r="DQ109" s="48">
        <f>IF(116&gt;Fin,DP$109,DQ$71*P_DSO/DiasMes)</f>
        <v>3031156.2242397242</v>
      </c>
      <c r="DR109" s="48">
        <f>IF(117&gt;Fin,DQ$109,DR$71*P_DSO/DiasMes)</f>
        <v>3031156.2242397242</v>
      </c>
      <c r="DS109" s="48">
        <f>IF(118&gt;Fin,DR$109,DS$71*P_DSO/DiasMes)</f>
        <v>3031156.2242397242</v>
      </c>
      <c r="DT109" s="48">
        <f>IF(119&gt;Fin,DS$109,DT$71*P_DSO/DiasMes)</f>
        <v>3031156.2242397242</v>
      </c>
      <c r="DU109" s="48">
        <f>IF(120&gt;Fin,DT$109,DU$71*P_DSO/DiasMes)</f>
        <v>3031156.2242397242</v>
      </c>
      <c r="DV109" s="48">
        <f>IF(121&gt;Fin,DU$109,DV$71*P_DSO/DiasMes)</f>
        <v>3031156.2242397242</v>
      </c>
      <c r="DW109" s="48">
        <f>IF(122&gt;Fin,DV$109,DW$71*P_DSO/DiasMes)</f>
        <v>3031156.2242397242</v>
      </c>
      <c r="DX109" s="48">
        <f>IF(123&gt;Fin,DW$109,DX$71*P_DSO/DiasMes)</f>
        <v>3031156.2242397242</v>
      </c>
      <c r="DY109" s="48">
        <f>IF(124&gt;Fin,DX$109,DY$71*P_DSO/DiasMes)</f>
        <v>3031156.2242397242</v>
      </c>
      <c r="DZ109" s="48">
        <f>IF(125&gt;Fin,DY$109,DZ$71*P_DSO/DiasMes)</f>
        <v>3031156.2242397242</v>
      </c>
      <c r="EA109" s="48">
        <f>IF(126&gt;Fin,DZ$109,EA$71*P_DSO/DiasMes)</f>
        <v>3031156.2242397242</v>
      </c>
      <c r="EB109" s="48">
        <f>IF(127&gt;Fin,EA$109,EB$71*P_DSO/DiasMes)</f>
        <v>3031156.2242397242</v>
      </c>
      <c r="EC109" s="48">
        <f>IF(128&gt;Fin,EB$109,EC$71*P_DSO/DiasMes)</f>
        <v>3031156.2242397242</v>
      </c>
      <c r="ED109" s="48">
        <f>IF(129&gt;Fin,EC$109,ED$71*P_DSO/DiasMes)</f>
        <v>3031156.2242397242</v>
      </c>
      <c r="EE109" s="48">
        <f>IF(130&gt;Fin,ED$109,EE$71*P_DSO/DiasMes)</f>
        <v>3031156.2242397242</v>
      </c>
      <c r="EF109" s="48">
        <f>IF(131&gt;Fin,EE$109,EF$71*P_DSO/DiasMes)</f>
        <v>3031156.2242397242</v>
      </c>
      <c r="EG109" s="48">
        <f>IF(132&gt;Fin,EF$109,EG$71*P_DSO/DiasMes)</f>
        <v>3031156.2242397242</v>
      </c>
      <c r="EH109" s="48">
        <f>IF(133&gt;Fin,EG$109,EH$71*P_DSO/DiasMes)</f>
        <v>3031156.2242397242</v>
      </c>
      <c r="EI109" s="48">
        <f>IF(134&gt;Fin,EH$109,EI$71*P_DSO/DiasMes)</f>
        <v>3031156.2242397242</v>
      </c>
      <c r="EJ109" s="48">
        <f>IF(135&gt;Fin,EI$109,EJ$71*P_DSO/DiasMes)</f>
        <v>3031156.2242397242</v>
      </c>
      <c r="EK109" s="48">
        <f>IF(136&gt;Fin,EJ$109,EK$71*P_DSO/DiasMes)</f>
        <v>3031156.2242397242</v>
      </c>
      <c r="EL109" s="48">
        <f>IF(137&gt;Fin,EK$109,EL$71*P_DSO/DiasMes)</f>
        <v>3031156.2242397242</v>
      </c>
      <c r="EM109" s="48">
        <f>IF(138&gt;Fin,EL$109,EM$71*P_DSO/DiasMes)</f>
        <v>3031156.2242397242</v>
      </c>
      <c r="EN109" s="48">
        <f>IF(139&gt;Fin,EM$109,EN$71*P_DSO/DiasMes)</f>
        <v>3031156.2242397242</v>
      </c>
      <c r="EO109" s="48">
        <f>IF(140&gt;Fin,EN$109,EO$71*P_DSO/DiasMes)</f>
        <v>3031156.2242397242</v>
      </c>
      <c r="EP109" s="48">
        <f>IF(141&gt;Fin,EO$109,EP$71*P_DSO/DiasMes)</f>
        <v>3031156.2242397242</v>
      </c>
      <c r="EQ109" s="48">
        <f>IF(142&gt;Fin,EP$109,EQ$71*P_DSO/DiasMes)</f>
        <v>3031156.2242397242</v>
      </c>
      <c r="ER109" s="48">
        <f>IF(143&gt;Fin,EQ$109,ER$71*P_DSO/DiasMes)</f>
        <v>3031156.2242397242</v>
      </c>
      <c r="ES109" s="48">
        <f>IF(144&gt;Fin,ER$109,ES$71*P_DSO/DiasMes)</f>
        <v>3031156.2242397242</v>
      </c>
    </row>
    <row r="110" spans="1:149" x14ac:dyDescent="0.3">
      <c r="A110" s="14" t="s">
        <v>1120</v>
      </c>
      <c r="B110" s="18" t="s">
        <v>963</v>
      </c>
      <c r="C110" s="18" t="s">
        <v>439</v>
      </c>
      <c r="E110" s="54">
        <f>INDEX(F110:ES110,1,MIN(144,Fin))</f>
        <v>1626937.9875055414</v>
      </c>
      <c r="F110" s="48">
        <f>IF(1&gt;Fin,0,F$93*P_DInv/DiasMes+(F$93+F$94+F$95+F$96)*P_DPT/DiasMes)</f>
        <v>892648.83201483311</v>
      </c>
      <c r="G110" s="48">
        <f>IF(2&gt;Fin,F$110,G$93*P_DInv/DiasMes+(G$93+G$94+G$95+G$96)*P_DPT/DiasMes)</f>
        <v>892648.83201483311</v>
      </c>
      <c r="H110" s="48">
        <f>IF(3&gt;Fin,G$110,H$93*P_DInv/DiasMes+(H$93+H$94+H$95+H$96)*P_DPT/DiasMes)</f>
        <v>892648.83201483311</v>
      </c>
      <c r="I110" s="48">
        <f>IF(4&gt;Fin,H$110,I$93*P_DInv/DiasMes+(I$93+I$94+I$95+I$96)*P_DPT/DiasMes)</f>
        <v>892648.83201483311</v>
      </c>
      <c r="J110" s="48">
        <f>IF(5&gt;Fin,I$110,J$93*P_DInv/DiasMes+(J$93+J$94+J$95+J$96)*P_DPT/DiasMes)</f>
        <v>892648.83201483311</v>
      </c>
      <c r="K110" s="48">
        <f>IF(6&gt;Fin,J$110,K$93*P_DInv/DiasMes+(K$93+K$94+K$95+K$96)*P_DPT/DiasMes)</f>
        <v>892648.83201483311</v>
      </c>
      <c r="L110" s="48">
        <f>IF(7&gt;Fin,K$110,L$93*P_DInv/DiasMes+(L$93+L$94+L$95+L$96)*P_DPT/DiasMes)</f>
        <v>892648.83201483311</v>
      </c>
      <c r="M110" s="48">
        <f>IF(8&gt;Fin,L$110,M$93*P_DInv/DiasMes+(M$93+M$94+M$95+M$96)*P_DPT/DiasMes)</f>
        <v>892648.83201483311</v>
      </c>
      <c r="N110" s="48">
        <f>IF(9&gt;Fin,M$110,N$93*P_DInv/DiasMes+(N$93+N$94+N$95+N$96)*P_DPT/DiasMes)</f>
        <v>892648.83201483311</v>
      </c>
      <c r="O110" s="48">
        <f>IF(10&gt;Fin,N$110,O$93*P_DInv/DiasMes+(O$93+O$94+O$95+O$96)*P_DPT/DiasMes)</f>
        <v>892648.83201483311</v>
      </c>
      <c r="P110" s="48">
        <f>IF(11&gt;Fin,O$110,P$93*P_DInv/DiasMes+(P$93+P$94+P$95+P$96)*P_DPT/DiasMes)</f>
        <v>892648.83201483311</v>
      </c>
      <c r="Q110" s="48">
        <f>IF(12&gt;Fin,P$110,Q$93*P_DInv/DiasMes+(Q$93+Q$94+Q$95+Q$96)*P_DPT/DiasMes)</f>
        <v>892648.83201483311</v>
      </c>
      <c r="R110" s="48">
        <f>IF(13&gt;Fin,Q$110,R$93*P_DInv/DiasMes+(R$93+R$94+R$95+R$96)*P_DPT/DiasMes)</f>
        <v>1128877.2903649563</v>
      </c>
      <c r="S110" s="48">
        <f>IF(14&gt;Fin,R$110,S$93*P_DInv/DiasMes+(S$93+S$94+S$95+S$96)*P_DPT/DiasMes)</f>
        <v>1128877.2903649563</v>
      </c>
      <c r="T110" s="48">
        <f>IF(15&gt;Fin,S$110,T$93*P_DInv/DiasMes+(T$93+T$94+T$95+T$96)*P_DPT/DiasMes)</f>
        <v>1128877.2903649563</v>
      </c>
      <c r="U110" s="48">
        <f>IF(16&gt;Fin,T$110,U$93*P_DInv/DiasMes+(U$93+U$94+U$95+U$96)*P_DPT/DiasMes)</f>
        <v>1128877.2903649563</v>
      </c>
      <c r="V110" s="48">
        <f>IF(17&gt;Fin,U$110,V$93*P_DInv/DiasMes+(V$93+V$94+V$95+V$96)*P_DPT/DiasMes)</f>
        <v>1128877.2903649563</v>
      </c>
      <c r="W110" s="48">
        <f>IF(18&gt;Fin,V$110,W$93*P_DInv/DiasMes+(W$93+W$94+W$95+W$96)*P_DPT/DiasMes)</f>
        <v>1128877.2903649563</v>
      </c>
      <c r="X110" s="48">
        <f>IF(19&gt;Fin,W$110,X$93*P_DInv/DiasMes+(X$93+X$94+X$95+X$96)*P_DPT/DiasMes)</f>
        <v>1128877.2903649563</v>
      </c>
      <c r="Y110" s="48">
        <f>IF(20&gt;Fin,X$110,Y$93*P_DInv/DiasMes+(Y$93+Y$94+Y$95+Y$96)*P_DPT/DiasMes)</f>
        <v>1128877.2903649563</v>
      </c>
      <c r="Z110" s="48">
        <f>IF(21&gt;Fin,Y$110,Z$93*P_DInv/DiasMes+(Z$93+Z$94+Z$95+Z$96)*P_DPT/DiasMes)</f>
        <v>1128877.2903649563</v>
      </c>
      <c r="AA110" s="48">
        <f>IF(22&gt;Fin,Z$110,AA$93*P_DInv/DiasMes+(AA$93+AA$94+AA$95+AA$96)*P_DPT/DiasMes)</f>
        <v>1128877.2903649563</v>
      </c>
      <c r="AB110" s="48">
        <f>IF(23&gt;Fin,AA$110,AB$93*P_DInv/DiasMes+(AB$93+AB$94+AB$95+AB$96)*P_DPT/DiasMes)</f>
        <v>1128877.2903649563</v>
      </c>
      <c r="AC110" s="48">
        <f>IF(24&gt;Fin,AB$110,AC$93*P_DInv/DiasMes+(AC$93+AC$94+AC$95+AC$96)*P_DPT/DiasMes)</f>
        <v>1128877.2903649563</v>
      </c>
      <c r="AD110" s="48">
        <f>IF(25&gt;Fin,AC$110,AD$93*P_DInv/DiasMes+(AD$93+AD$94+AD$95+AD$96)*P_DPT/DiasMes)</f>
        <v>1368953.6460456708</v>
      </c>
      <c r="AE110" s="48">
        <f>IF(26&gt;Fin,AD$110,AE$93*P_DInv/DiasMes+(AE$93+AE$94+AE$95+AE$96)*P_DPT/DiasMes)</f>
        <v>1368953.6460456708</v>
      </c>
      <c r="AF110" s="48">
        <f>IF(27&gt;Fin,AE$110,AF$93*P_DInv/DiasMes+(AF$93+AF$94+AF$95+AF$96)*P_DPT/DiasMes)</f>
        <v>1368953.6460456708</v>
      </c>
      <c r="AG110" s="48">
        <f>IF(28&gt;Fin,AF$110,AG$93*P_DInv/DiasMes+(AG$93+AG$94+AG$95+AG$96)*P_DPT/DiasMes)</f>
        <v>1368953.6460456708</v>
      </c>
      <c r="AH110" s="48">
        <f>IF(29&gt;Fin,AG$110,AH$93*P_DInv/DiasMes+(AH$93+AH$94+AH$95+AH$96)*P_DPT/DiasMes)</f>
        <v>1368953.6460456708</v>
      </c>
      <c r="AI110" s="48">
        <f>IF(30&gt;Fin,AH$110,AI$93*P_DInv/DiasMes+(AI$93+AI$94+AI$95+AI$96)*P_DPT/DiasMes)</f>
        <v>1368953.6460456708</v>
      </c>
      <c r="AJ110" s="48">
        <f>IF(31&gt;Fin,AI$110,AJ$93*P_DInv/DiasMes+(AJ$93+AJ$94+AJ$95+AJ$96)*P_DPT/DiasMes)</f>
        <v>1368953.6460456708</v>
      </c>
      <c r="AK110" s="48">
        <f>IF(32&gt;Fin,AJ$110,AK$93*P_DInv/DiasMes+(AK$93+AK$94+AK$95+AK$96)*P_DPT/DiasMes)</f>
        <v>1368953.6460456708</v>
      </c>
      <c r="AL110" s="48">
        <f>IF(33&gt;Fin,AK$110,AL$93*P_DInv/DiasMes+(AL$93+AL$94+AL$95+AL$96)*P_DPT/DiasMes)</f>
        <v>1368953.6460456708</v>
      </c>
      <c r="AM110" s="48">
        <f>IF(34&gt;Fin,AL$110,AM$93*P_DInv/DiasMes+(AM$93+AM$94+AM$95+AM$96)*P_DPT/DiasMes)</f>
        <v>1368953.6460456708</v>
      </c>
      <c r="AN110" s="48">
        <f>IF(35&gt;Fin,AM$110,AN$93*P_DInv/DiasMes+(AN$93+AN$94+AN$95+AN$96)*P_DPT/DiasMes)</f>
        <v>1368953.6460456708</v>
      </c>
      <c r="AO110" s="48">
        <f>IF(36&gt;Fin,AN$110,AO$93*P_DInv/DiasMes+(AO$93+AO$94+AO$95+AO$96)*P_DPT/DiasMes)</f>
        <v>1368953.6460456708</v>
      </c>
      <c r="AP110" s="48">
        <f>IF(37&gt;Fin,AO$110,AP$93*P_DInv/DiasMes+(AP$93+AP$94+AP$95+AP$96)*P_DPT/DiasMes)</f>
        <v>1566231.6797149091</v>
      </c>
      <c r="AQ110" s="48">
        <f>IF(38&gt;Fin,AP$110,AQ$93*P_DInv/DiasMes+(AQ$93+AQ$94+AQ$95+AQ$96)*P_DPT/DiasMes)</f>
        <v>1566231.6797149091</v>
      </c>
      <c r="AR110" s="48">
        <f>IF(39&gt;Fin,AQ$110,AR$93*P_DInv/DiasMes+(AR$93+AR$94+AR$95+AR$96)*P_DPT/DiasMes)</f>
        <v>1566231.6797149091</v>
      </c>
      <c r="AS110" s="48">
        <f>IF(40&gt;Fin,AR$110,AS$93*P_DInv/DiasMes+(AS$93+AS$94+AS$95+AS$96)*P_DPT/DiasMes)</f>
        <v>1566231.6797149091</v>
      </c>
      <c r="AT110" s="48">
        <f>IF(41&gt;Fin,AS$110,AT$93*P_DInv/DiasMes+(AT$93+AT$94+AT$95+AT$96)*P_DPT/DiasMes)</f>
        <v>1566231.6797149091</v>
      </c>
      <c r="AU110" s="48">
        <f>IF(42&gt;Fin,AT$110,AU$93*P_DInv/DiasMes+(AU$93+AU$94+AU$95+AU$96)*P_DPT/DiasMes)</f>
        <v>1566231.6797149091</v>
      </c>
      <c r="AV110" s="48">
        <f>IF(43&gt;Fin,AU$110,AV$93*P_DInv/DiasMes+(AV$93+AV$94+AV$95+AV$96)*P_DPT/DiasMes)</f>
        <v>1566231.6797149091</v>
      </c>
      <c r="AW110" s="48">
        <f>IF(44&gt;Fin,AV$110,AW$93*P_DInv/DiasMes+(AW$93+AW$94+AW$95+AW$96)*P_DPT/DiasMes)</f>
        <v>1566231.6797149091</v>
      </c>
      <c r="AX110" s="48">
        <f>IF(45&gt;Fin,AW$110,AX$93*P_DInv/DiasMes+(AX$93+AX$94+AX$95+AX$96)*P_DPT/DiasMes)</f>
        <v>1566231.6797149091</v>
      </c>
      <c r="AY110" s="48">
        <f>IF(46&gt;Fin,AX$110,AY$93*P_DInv/DiasMes+(AY$93+AY$94+AY$95+AY$96)*P_DPT/DiasMes)</f>
        <v>1566231.6797149091</v>
      </c>
      <c r="AZ110" s="48">
        <f>IF(47&gt;Fin,AY$110,AZ$93*P_DInv/DiasMes+(AZ$93+AZ$94+AZ$95+AZ$96)*P_DPT/DiasMes)</f>
        <v>1566231.6797149091</v>
      </c>
      <c r="BA110" s="48">
        <f>IF(48&gt;Fin,AZ$110,BA$93*P_DInv/DiasMes+(BA$93+BA$94+BA$95+BA$96)*P_DPT/DiasMes)</f>
        <v>1566231.6797149091</v>
      </c>
      <c r="BB110" s="48">
        <f>IF(49&gt;Fin,BA$110,BB$93*P_DInv/DiasMes+(BB$93+BB$94+BB$95+BB$96)*P_DPT/DiasMes)</f>
        <v>1576853.1357856197</v>
      </c>
      <c r="BC110" s="48">
        <f>IF(50&gt;Fin,BB$110,BC$93*P_DInv/DiasMes+(BC$93+BC$94+BC$95+BC$96)*P_DPT/DiasMes)</f>
        <v>1576853.1357856197</v>
      </c>
      <c r="BD110" s="48">
        <f>IF(51&gt;Fin,BC$110,BD$93*P_DInv/DiasMes+(BD$93+BD$94+BD$95+BD$96)*P_DPT/DiasMes)</f>
        <v>1576853.1357856197</v>
      </c>
      <c r="BE110" s="48">
        <f>IF(52&gt;Fin,BD$110,BE$93*P_DInv/DiasMes+(BE$93+BE$94+BE$95+BE$96)*P_DPT/DiasMes)</f>
        <v>1576853.1357856197</v>
      </c>
      <c r="BF110" s="48">
        <f>IF(53&gt;Fin,BE$110,BF$93*P_DInv/DiasMes+(BF$93+BF$94+BF$95+BF$96)*P_DPT/DiasMes)</f>
        <v>1576853.1357856197</v>
      </c>
      <c r="BG110" s="48">
        <f>IF(54&gt;Fin,BF$110,BG$93*P_DInv/DiasMes+(BG$93+BG$94+BG$95+BG$96)*P_DPT/DiasMes)</f>
        <v>1576853.1357856197</v>
      </c>
      <c r="BH110" s="48">
        <f>IF(55&gt;Fin,BG$110,BH$93*P_DInv/DiasMes+(BH$93+BH$94+BH$95+BH$96)*P_DPT/DiasMes)</f>
        <v>1576853.1357856197</v>
      </c>
      <c r="BI110" s="48">
        <f>IF(56&gt;Fin,BH$110,BI$93*P_DInv/DiasMes+(BI$93+BI$94+BI$95+BI$96)*P_DPT/DiasMes)</f>
        <v>1576853.1357856197</v>
      </c>
      <c r="BJ110" s="48">
        <f>IF(57&gt;Fin,BI$110,BJ$93*P_DInv/DiasMes+(BJ$93+BJ$94+BJ$95+BJ$96)*P_DPT/DiasMes)</f>
        <v>1576853.1357856197</v>
      </c>
      <c r="BK110" s="48">
        <f>IF(58&gt;Fin,BJ$110,BK$93*P_DInv/DiasMes+(BK$93+BK$94+BK$95+BK$96)*P_DPT/DiasMes)</f>
        <v>1576853.1357856197</v>
      </c>
      <c r="BL110" s="48">
        <f>IF(59&gt;Fin,BK$110,BL$93*P_DInv/DiasMes+(BL$93+BL$94+BL$95+BL$96)*P_DPT/DiasMes)</f>
        <v>1576853.1357856197</v>
      </c>
      <c r="BM110" s="48">
        <f>IF(60&gt;Fin,BL$110,BM$93*P_DInv/DiasMes+(BM$93+BM$94+BM$95+BM$96)*P_DPT/DiasMes)</f>
        <v>1576853.1357856197</v>
      </c>
      <c r="BN110" s="48">
        <f>IF(61&gt;Fin,BM$110,BN$93*P_DInv/DiasMes+(BN$93+BN$94+BN$95+BN$96)*P_DPT/DiasMes)</f>
        <v>1586671.3863739781</v>
      </c>
      <c r="BO110" s="48">
        <f>IF(62&gt;Fin,BN$110,BO$93*P_DInv/DiasMes+(BO$93+BO$94+BO$95+BO$96)*P_DPT/DiasMes)</f>
        <v>1586671.3863739781</v>
      </c>
      <c r="BP110" s="48">
        <f>IF(63&gt;Fin,BO$110,BP$93*P_DInv/DiasMes+(BP$93+BP$94+BP$95+BP$96)*P_DPT/DiasMes)</f>
        <v>1586671.3863739781</v>
      </c>
      <c r="BQ110" s="48">
        <f>IF(64&gt;Fin,BP$110,BQ$93*P_DInv/DiasMes+(BQ$93+BQ$94+BQ$95+BQ$96)*P_DPT/DiasMes)</f>
        <v>1586671.3863739781</v>
      </c>
      <c r="BR110" s="48">
        <f>IF(65&gt;Fin,BQ$110,BR$93*P_DInv/DiasMes+(BR$93+BR$94+BR$95+BR$96)*P_DPT/DiasMes)</f>
        <v>1586671.3863739781</v>
      </c>
      <c r="BS110" s="48">
        <f>IF(66&gt;Fin,BR$110,BS$93*P_DInv/DiasMes+(BS$93+BS$94+BS$95+BS$96)*P_DPT/DiasMes)</f>
        <v>1586671.3863739781</v>
      </c>
      <c r="BT110" s="48">
        <f>IF(67&gt;Fin,BS$110,BT$93*P_DInv/DiasMes+(BT$93+BT$94+BT$95+BT$96)*P_DPT/DiasMes)</f>
        <v>1586671.3863739781</v>
      </c>
      <c r="BU110" s="48">
        <f>IF(68&gt;Fin,BT$110,BU$93*P_DInv/DiasMes+(BU$93+BU$94+BU$95+BU$96)*P_DPT/DiasMes)</f>
        <v>1586671.3863739781</v>
      </c>
      <c r="BV110" s="48">
        <f>IF(69&gt;Fin,BU$110,BV$93*P_DInv/DiasMes+(BV$93+BV$94+BV$95+BV$96)*P_DPT/DiasMes)</f>
        <v>1586671.3863739781</v>
      </c>
      <c r="BW110" s="48">
        <f>IF(70&gt;Fin,BV$110,BW$93*P_DInv/DiasMes+(BW$93+BW$94+BW$95+BW$96)*P_DPT/DiasMes)</f>
        <v>1586671.3863739781</v>
      </c>
      <c r="BX110" s="48">
        <f>IF(71&gt;Fin,BW$110,BX$93*P_DInv/DiasMes+(BX$93+BX$94+BX$95+BX$96)*P_DPT/DiasMes)</f>
        <v>1586671.3863739781</v>
      </c>
      <c r="BY110" s="48">
        <f>IF(72&gt;Fin,BX$110,BY$93*P_DInv/DiasMes+(BY$93+BY$94+BY$95+BY$96)*P_DPT/DiasMes)</f>
        <v>1586671.3863739781</v>
      </c>
      <c r="BZ110" s="48">
        <f>IF(73&gt;Fin,BY$110,BZ$93*P_DInv/DiasMes+(BZ$93+BZ$94+BZ$95+BZ$96)*P_DPT/DiasMes)</f>
        <v>1596588.0044807398</v>
      </c>
      <c r="CA110" s="48">
        <f>IF(74&gt;Fin,BZ$110,CA$93*P_DInv/DiasMes+(CA$93+CA$94+CA$95+CA$96)*P_DPT/DiasMes)</f>
        <v>1596588.0044807398</v>
      </c>
      <c r="CB110" s="48">
        <f>IF(75&gt;Fin,CA$110,CB$93*P_DInv/DiasMes+(CB$93+CB$94+CB$95+CB$96)*P_DPT/DiasMes)</f>
        <v>1596588.0044807398</v>
      </c>
      <c r="CC110" s="48">
        <f>IF(76&gt;Fin,CB$110,CC$93*P_DInv/DiasMes+(CC$93+CC$94+CC$95+CC$96)*P_DPT/DiasMes)</f>
        <v>1596588.0044807398</v>
      </c>
      <c r="CD110" s="48">
        <f>IF(77&gt;Fin,CC$110,CD$93*P_DInv/DiasMes+(CD$93+CD$94+CD$95+CD$96)*P_DPT/DiasMes)</f>
        <v>1596588.0044807398</v>
      </c>
      <c r="CE110" s="48">
        <f>IF(78&gt;Fin,CD$110,CE$93*P_DInv/DiasMes+(CE$93+CE$94+CE$95+CE$96)*P_DPT/DiasMes)</f>
        <v>1596588.0044807398</v>
      </c>
      <c r="CF110" s="48">
        <f>IF(79&gt;Fin,CE$110,CF$93*P_DInv/DiasMes+(CF$93+CF$94+CF$95+CF$96)*P_DPT/DiasMes)</f>
        <v>1596588.0044807398</v>
      </c>
      <c r="CG110" s="48">
        <f>IF(80&gt;Fin,CF$110,CG$93*P_DInv/DiasMes+(CG$93+CG$94+CG$95+CG$96)*P_DPT/DiasMes)</f>
        <v>1596588.0044807398</v>
      </c>
      <c r="CH110" s="48">
        <f>IF(81&gt;Fin,CG$110,CH$93*P_DInv/DiasMes+(CH$93+CH$94+CH$95+CH$96)*P_DPT/DiasMes)</f>
        <v>1596588.0044807398</v>
      </c>
      <c r="CI110" s="48">
        <f>IF(82&gt;Fin,CH$110,CI$93*P_DInv/DiasMes+(CI$93+CI$94+CI$95+CI$96)*P_DPT/DiasMes)</f>
        <v>1596588.0044807398</v>
      </c>
      <c r="CJ110" s="48">
        <f>IF(83&gt;Fin,CI$110,CJ$93*P_DInv/DiasMes+(CJ$93+CJ$94+CJ$95+CJ$96)*P_DPT/DiasMes)</f>
        <v>1596588.0044807398</v>
      </c>
      <c r="CK110" s="48">
        <f>IF(84&gt;Fin,CJ$110,CK$93*P_DInv/DiasMes+(CK$93+CK$94+CK$95+CK$96)*P_DPT/DiasMes)</f>
        <v>1596588.0044807398</v>
      </c>
      <c r="CL110" s="48">
        <f>IF(85&gt;Fin,CK$110,CL$93*P_DInv/DiasMes+(CL$93+CL$94+CL$95+CL$96)*P_DPT/DiasMes)</f>
        <v>1606603.9774813387</v>
      </c>
      <c r="CM110" s="48">
        <f>IF(86&gt;Fin,CL$110,CM$93*P_DInv/DiasMes+(CM$93+CM$94+CM$95+CM$96)*P_DPT/DiasMes)</f>
        <v>1606603.9774813387</v>
      </c>
      <c r="CN110" s="48">
        <f>IF(87&gt;Fin,CM$110,CN$93*P_DInv/DiasMes+(CN$93+CN$94+CN$95+CN$96)*P_DPT/DiasMes)</f>
        <v>1606603.9774813387</v>
      </c>
      <c r="CO110" s="48">
        <f>IF(88&gt;Fin,CN$110,CO$93*P_DInv/DiasMes+(CO$93+CO$94+CO$95+CO$96)*P_DPT/DiasMes)</f>
        <v>1606603.9774813387</v>
      </c>
      <c r="CP110" s="48">
        <f>IF(89&gt;Fin,CO$110,CP$93*P_DInv/DiasMes+(CP$93+CP$94+CP$95+CP$96)*P_DPT/DiasMes)</f>
        <v>1606603.9774813387</v>
      </c>
      <c r="CQ110" s="48">
        <f>IF(90&gt;Fin,CP$110,CQ$93*P_DInv/DiasMes+(CQ$93+CQ$94+CQ$95+CQ$96)*P_DPT/DiasMes)</f>
        <v>1606603.9774813387</v>
      </c>
      <c r="CR110" s="48">
        <f>IF(91&gt;Fin,CQ$110,CR$93*P_DInv/DiasMes+(CR$93+CR$94+CR$95+CR$96)*P_DPT/DiasMes)</f>
        <v>1606603.9774813387</v>
      </c>
      <c r="CS110" s="48">
        <f>IF(92&gt;Fin,CR$110,CS$93*P_DInv/DiasMes+(CS$93+CS$94+CS$95+CS$96)*P_DPT/DiasMes)</f>
        <v>1606603.9774813387</v>
      </c>
      <c r="CT110" s="48">
        <f>IF(93&gt;Fin,CS$110,CT$93*P_DInv/DiasMes+(CT$93+CT$94+CT$95+CT$96)*P_DPT/DiasMes)</f>
        <v>1606603.9774813387</v>
      </c>
      <c r="CU110" s="48">
        <f>IF(94&gt;Fin,CT$110,CU$93*P_DInv/DiasMes+(CU$93+CU$94+CU$95+CU$96)*P_DPT/DiasMes)</f>
        <v>1606603.9774813387</v>
      </c>
      <c r="CV110" s="48">
        <f>IF(95&gt;Fin,CU$110,CV$93*P_DInv/DiasMes+(CV$93+CV$94+CV$95+CV$96)*P_DPT/DiasMes)</f>
        <v>1606603.9774813387</v>
      </c>
      <c r="CW110" s="48">
        <f>IF(96&gt;Fin,CV$110,CW$93*P_DInv/DiasMes+(CW$93+CW$94+CW$95+CW$96)*P_DPT/DiasMes)</f>
        <v>1606603.9774813387</v>
      </c>
      <c r="CX110" s="48">
        <f>IF(97&gt;Fin,CW$110,CX$93*P_DInv/DiasMes+(CX$93+CX$94+CX$95+CX$96)*P_DPT/DiasMes)</f>
        <v>1616720.3026989689</v>
      </c>
      <c r="CY110" s="48">
        <f>IF(98&gt;Fin,CX$110,CY$93*P_DInv/DiasMes+(CY$93+CY$94+CY$95+CY$96)*P_DPT/DiasMes)</f>
        <v>1616720.3026989689</v>
      </c>
      <c r="CZ110" s="48">
        <f>IF(99&gt;Fin,CY$110,CZ$93*P_DInv/DiasMes+(CZ$93+CZ$94+CZ$95+CZ$96)*P_DPT/DiasMes)</f>
        <v>1616720.3026989689</v>
      </c>
      <c r="DA110" s="48">
        <f>IF(100&gt;Fin,CZ$110,DA$93*P_DInv/DiasMes+(DA$93+DA$94+DA$95+DA$96)*P_DPT/DiasMes)</f>
        <v>1616720.3026989689</v>
      </c>
      <c r="DB110" s="48">
        <f>IF(101&gt;Fin,DA$110,DB$93*P_DInv/DiasMes+(DB$93+DB$94+DB$95+DB$96)*P_DPT/DiasMes)</f>
        <v>1616720.3026989689</v>
      </c>
      <c r="DC110" s="48">
        <f>IF(102&gt;Fin,DB$110,DC$93*P_DInv/DiasMes+(DC$93+DC$94+DC$95+DC$96)*P_DPT/DiasMes)</f>
        <v>1616720.3026989689</v>
      </c>
      <c r="DD110" s="48">
        <f>IF(103&gt;Fin,DC$110,DD$93*P_DInv/DiasMes+(DD$93+DD$94+DD$95+DD$96)*P_DPT/DiasMes)</f>
        <v>1616720.3026989689</v>
      </c>
      <c r="DE110" s="48">
        <f>IF(104&gt;Fin,DD$110,DE$93*P_DInv/DiasMes+(DE$93+DE$94+DE$95+DE$96)*P_DPT/DiasMes)</f>
        <v>1616720.3026989689</v>
      </c>
      <c r="DF110" s="48">
        <f>IF(105&gt;Fin,DE$110,DF$93*P_DInv/DiasMes+(DF$93+DF$94+DF$95+DF$96)*P_DPT/DiasMes)</f>
        <v>1616720.3026989689</v>
      </c>
      <c r="DG110" s="48">
        <f>IF(106&gt;Fin,DF$110,DG$93*P_DInv/DiasMes+(DG$93+DG$94+DG$95+DG$96)*P_DPT/DiasMes)</f>
        <v>1616720.3026989689</v>
      </c>
      <c r="DH110" s="48">
        <f>IF(107&gt;Fin,DG$110,DH$93*P_DInv/DiasMes+(DH$93+DH$94+DH$95+DH$96)*P_DPT/DiasMes)</f>
        <v>1616720.3026989689</v>
      </c>
      <c r="DI110" s="48">
        <f>IF(108&gt;Fin,DH$110,DI$93*P_DInv/DiasMes+(DI$93+DI$94+DI$95+DI$96)*P_DPT/DiasMes)</f>
        <v>1616720.3026989689</v>
      </c>
      <c r="DJ110" s="48">
        <f>IF(109&gt;Fin,DI$110,DJ$93*P_DInv/DiasMes+(DJ$93+DJ$94+DJ$95+DJ$96)*P_DPT/DiasMes)</f>
        <v>1626937.9875055414</v>
      </c>
      <c r="DK110" s="48">
        <f>IF(110&gt;Fin,DJ$110,DK$93*P_DInv/DiasMes+(DK$93+DK$94+DK$95+DK$96)*P_DPT/DiasMes)</f>
        <v>1626937.9875055414</v>
      </c>
      <c r="DL110" s="48">
        <f>IF(111&gt;Fin,DK$110,DL$93*P_DInv/DiasMes+(DL$93+DL$94+DL$95+DL$96)*P_DPT/DiasMes)</f>
        <v>1626937.9875055414</v>
      </c>
      <c r="DM110" s="48">
        <f>IF(112&gt;Fin,DL$110,DM$93*P_DInv/DiasMes+(DM$93+DM$94+DM$95+DM$96)*P_DPT/DiasMes)</f>
        <v>1626937.9875055414</v>
      </c>
      <c r="DN110" s="48">
        <f>IF(113&gt;Fin,DM$110,DN$93*P_DInv/DiasMes+(DN$93+DN$94+DN$95+DN$96)*P_DPT/DiasMes)</f>
        <v>1626937.9875055414</v>
      </c>
      <c r="DO110" s="48">
        <f>IF(114&gt;Fin,DN$110,DO$93*P_DInv/DiasMes+(DO$93+DO$94+DO$95+DO$96)*P_DPT/DiasMes)</f>
        <v>1626937.9875055414</v>
      </c>
      <c r="DP110" s="48">
        <f>IF(115&gt;Fin,DO$110,DP$93*P_DInv/DiasMes+(DP$93+DP$94+DP$95+DP$96)*P_DPT/DiasMes)</f>
        <v>1626937.9875055414</v>
      </c>
      <c r="DQ110" s="48">
        <f>IF(116&gt;Fin,DP$110,DQ$93*P_DInv/DiasMes+(DQ$93+DQ$94+DQ$95+DQ$96)*P_DPT/DiasMes)</f>
        <v>1626937.9875055414</v>
      </c>
      <c r="DR110" s="48">
        <f>IF(117&gt;Fin,DQ$110,DR$93*P_DInv/DiasMes+(DR$93+DR$94+DR$95+DR$96)*P_DPT/DiasMes)</f>
        <v>1626937.9875055414</v>
      </c>
      <c r="DS110" s="48">
        <f>IF(118&gt;Fin,DR$110,DS$93*P_DInv/DiasMes+(DS$93+DS$94+DS$95+DS$96)*P_DPT/DiasMes)</f>
        <v>1626937.9875055414</v>
      </c>
      <c r="DT110" s="48">
        <f>IF(119&gt;Fin,DS$110,DT$93*P_DInv/DiasMes+(DT$93+DT$94+DT$95+DT$96)*P_DPT/DiasMes)</f>
        <v>1626937.9875055414</v>
      </c>
      <c r="DU110" s="48">
        <f>IF(120&gt;Fin,DT$110,DU$93*P_DInv/DiasMes+(DU$93+DU$94+DU$95+DU$96)*P_DPT/DiasMes)</f>
        <v>1626937.9875055414</v>
      </c>
      <c r="DV110" s="48">
        <f>IF(121&gt;Fin,DU$110,DV$93*P_DInv/DiasMes+(DV$93+DV$94+DV$95+DV$96)*P_DPT/DiasMes)</f>
        <v>1626937.9875055414</v>
      </c>
      <c r="DW110" s="48">
        <f>IF(122&gt;Fin,DV$110,DW$93*P_DInv/DiasMes+(DW$93+DW$94+DW$95+DW$96)*P_DPT/DiasMes)</f>
        <v>1626937.9875055414</v>
      </c>
      <c r="DX110" s="48">
        <f>IF(123&gt;Fin,DW$110,DX$93*P_DInv/DiasMes+(DX$93+DX$94+DX$95+DX$96)*P_DPT/DiasMes)</f>
        <v>1626937.9875055414</v>
      </c>
      <c r="DY110" s="48">
        <f>IF(124&gt;Fin,DX$110,DY$93*P_DInv/DiasMes+(DY$93+DY$94+DY$95+DY$96)*P_DPT/DiasMes)</f>
        <v>1626937.9875055414</v>
      </c>
      <c r="DZ110" s="48">
        <f>IF(125&gt;Fin,DY$110,DZ$93*P_DInv/DiasMes+(DZ$93+DZ$94+DZ$95+DZ$96)*P_DPT/DiasMes)</f>
        <v>1626937.9875055414</v>
      </c>
      <c r="EA110" s="48">
        <f>IF(126&gt;Fin,DZ$110,EA$93*P_DInv/DiasMes+(EA$93+EA$94+EA$95+EA$96)*P_DPT/DiasMes)</f>
        <v>1626937.9875055414</v>
      </c>
      <c r="EB110" s="48">
        <f>IF(127&gt;Fin,EA$110,EB$93*P_DInv/DiasMes+(EB$93+EB$94+EB$95+EB$96)*P_DPT/DiasMes)</f>
        <v>1626937.9875055414</v>
      </c>
      <c r="EC110" s="48">
        <f>IF(128&gt;Fin,EB$110,EC$93*P_DInv/DiasMes+(EC$93+EC$94+EC$95+EC$96)*P_DPT/DiasMes)</f>
        <v>1626937.9875055414</v>
      </c>
      <c r="ED110" s="48">
        <f>IF(129&gt;Fin,EC$110,ED$93*P_DInv/DiasMes+(ED$93+ED$94+ED$95+ED$96)*P_DPT/DiasMes)</f>
        <v>1626937.9875055414</v>
      </c>
      <c r="EE110" s="48">
        <f>IF(130&gt;Fin,ED$110,EE$93*P_DInv/DiasMes+(EE$93+EE$94+EE$95+EE$96)*P_DPT/DiasMes)</f>
        <v>1626937.9875055414</v>
      </c>
      <c r="EF110" s="48">
        <f>IF(131&gt;Fin,EE$110,EF$93*P_DInv/DiasMes+(EF$93+EF$94+EF$95+EF$96)*P_DPT/DiasMes)</f>
        <v>1626937.9875055414</v>
      </c>
      <c r="EG110" s="48">
        <f>IF(132&gt;Fin,EF$110,EG$93*P_DInv/DiasMes+(EG$93+EG$94+EG$95+EG$96)*P_DPT/DiasMes)</f>
        <v>1626937.9875055414</v>
      </c>
      <c r="EH110" s="48">
        <f>IF(133&gt;Fin,EG$110,EH$93*P_DInv/DiasMes+(EH$93+EH$94+EH$95+EH$96)*P_DPT/DiasMes)</f>
        <v>1626937.9875055414</v>
      </c>
      <c r="EI110" s="48">
        <f>IF(134&gt;Fin,EH$110,EI$93*P_DInv/DiasMes+(EI$93+EI$94+EI$95+EI$96)*P_DPT/DiasMes)</f>
        <v>1626937.9875055414</v>
      </c>
      <c r="EJ110" s="48">
        <f>IF(135&gt;Fin,EI$110,EJ$93*P_DInv/DiasMes+(EJ$93+EJ$94+EJ$95+EJ$96)*P_DPT/DiasMes)</f>
        <v>1626937.9875055414</v>
      </c>
      <c r="EK110" s="48">
        <f>IF(136&gt;Fin,EJ$110,EK$93*P_DInv/DiasMes+(EK$93+EK$94+EK$95+EK$96)*P_DPT/DiasMes)</f>
        <v>1626937.9875055414</v>
      </c>
      <c r="EL110" s="48">
        <f>IF(137&gt;Fin,EK$110,EL$93*P_DInv/DiasMes+(EL$93+EL$94+EL$95+EL$96)*P_DPT/DiasMes)</f>
        <v>1626937.9875055414</v>
      </c>
      <c r="EM110" s="48">
        <f>IF(138&gt;Fin,EL$110,EM$93*P_DInv/DiasMes+(EM$93+EM$94+EM$95+EM$96)*P_DPT/DiasMes)</f>
        <v>1626937.9875055414</v>
      </c>
      <c r="EN110" s="48">
        <f>IF(139&gt;Fin,EM$110,EN$93*P_DInv/DiasMes+(EN$93+EN$94+EN$95+EN$96)*P_DPT/DiasMes)</f>
        <v>1626937.9875055414</v>
      </c>
      <c r="EO110" s="48">
        <f>IF(140&gt;Fin,EN$110,EO$93*P_DInv/DiasMes+(EO$93+EO$94+EO$95+EO$96)*P_DPT/DiasMes)</f>
        <v>1626937.9875055414</v>
      </c>
      <c r="EP110" s="48">
        <f>IF(141&gt;Fin,EO$110,EP$93*P_DInv/DiasMes+(EP$93+EP$94+EP$95+EP$96)*P_DPT/DiasMes)</f>
        <v>1626937.9875055414</v>
      </c>
      <c r="EQ110" s="48">
        <f>IF(142&gt;Fin,EP$110,EQ$93*P_DInv/DiasMes+(EQ$93+EQ$94+EQ$95+EQ$96)*P_DPT/DiasMes)</f>
        <v>1626937.9875055414</v>
      </c>
      <c r="ER110" s="48">
        <f>IF(143&gt;Fin,EQ$110,ER$93*P_DInv/DiasMes+(ER$93+ER$94+ER$95+ER$96)*P_DPT/DiasMes)</f>
        <v>1626937.9875055414</v>
      </c>
      <c r="ES110" s="48">
        <f>IF(144&gt;Fin,ER$110,ES$93*P_DInv/DiasMes+(ES$93+ES$94+ES$95+ES$96)*P_DPT/DiasMes)</f>
        <v>1626937.9875055414</v>
      </c>
    </row>
    <row r="111" spans="1:149" x14ac:dyDescent="0.3">
      <c r="A111" s="14" t="s">
        <v>1121</v>
      </c>
      <c r="B111" s="18" t="s">
        <v>1122</v>
      </c>
      <c r="C111" s="18" t="s">
        <v>439</v>
      </c>
      <c r="E111" s="54">
        <f>INDEX(F111:ES111,1,MIN(144,Fin))</f>
        <v>0</v>
      </c>
      <c r="F111" s="48">
        <f>IF(1&gt;Fin,0,F$101*P_IVAmeses)</f>
        <v>0</v>
      </c>
      <c r="G111" s="48">
        <f>IF(2&gt;Fin,F$111,G$101*P_IVAmeses)</f>
        <v>0</v>
      </c>
      <c r="H111" s="48">
        <f>IF(3&gt;Fin,G$111,H$101*P_IVAmeses)</f>
        <v>0</v>
      </c>
      <c r="I111" s="48">
        <f>IF(4&gt;Fin,H$111,I$101*P_IVAmeses)</f>
        <v>0</v>
      </c>
      <c r="J111" s="48">
        <f>IF(5&gt;Fin,I$111,J$101*P_IVAmeses)</f>
        <v>0</v>
      </c>
      <c r="K111" s="48">
        <f>IF(6&gt;Fin,J$111,K$101*P_IVAmeses)</f>
        <v>0</v>
      </c>
      <c r="L111" s="48">
        <f>IF(7&gt;Fin,K$111,L$101*P_IVAmeses)</f>
        <v>0</v>
      </c>
      <c r="M111" s="48">
        <f>IF(8&gt;Fin,L$111,M$101*P_IVAmeses)</f>
        <v>0</v>
      </c>
      <c r="N111" s="48">
        <f>IF(9&gt;Fin,M$111,N$101*P_IVAmeses)</f>
        <v>0</v>
      </c>
      <c r="O111" s="48">
        <f>IF(10&gt;Fin,N$111,O$101*P_IVAmeses)</f>
        <v>0</v>
      </c>
      <c r="P111" s="48">
        <f>IF(11&gt;Fin,O$111,P$101*P_IVAmeses)</f>
        <v>0</v>
      </c>
      <c r="Q111" s="48">
        <f>IF(12&gt;Fin,P$111,Q$101*P_IVAmeses)</f>
        <v>0</v>
      </c>
      <c r="R111" s="48">
        <f>IF(13&gt;Fin,Q$111,R$101*P_IVAmeses)</f>
        <v>0</v>
      </c>
      <c r="S111" s="48">
        <f>IF(14&gt;Fin,R$111,S$101*P_IVAmeses)</f>
        <v>0</v>
      </c>
      <c r="T111" s="48">
        <f>IF(15&gt;Fin,S$111,T$101*P_IVAmeses)</f>
        <v>0</v>
      </c>
      <c r="U111" s="48">
        <f>IF(16&gt;Fin,T$111,U$101*P_IVAmeses)</f>
        <v>0</v>
      </c>
      <c r="V111" s="48">
        <f>IF(17&gt;Fin,U$111,V$101*P_IVAmeses)</f>
        <v>0</v>
      </c>
      <c r="W111" s="48">
        <f>IF(18&gt;Fin,V$111,W$101*P_IVAmeses)</f>
        <v>0</v>
      </c>
      <c r="X111" s="48">
        <f>IF(19&gt;Fin,W$111,X$101*P_IVAmeses)</f>
        <v>0</v>
      </c>
      <c r="Y111" s="48">
        <f>IF(20&gt;Fin,X$111,Y$101*P_IVAmeses)</f>
        <v>0</v>
      </c>
      <c r="Z111" s="48">
        <f>IF(21&gt;Fin,Y$111,Z$101*P_IVAmeses)</f>
        <v>0</v>
      </c>
      <c r="AA111" s="48">
        <f>IF(22&gt;Fin,Z$111,AA$101*P_IVAmeses)</f>
        <v>0</v>
      </c>
      <c r="AB111" s="48">
        <f>IF(23&gt;Fin,AA$111,AB$101*P_IVAmeses)</f>
        <v>0</v>
      </c>
      <c r="AC111" s="48">
        <f>IF(24&gt;Fin,AB$111,AC$101*P_IVAmeses)</f>
        <v>0</v>
      </c>
      <c r="AD111" s="48">
        <f>IF(25&gt;Fin,AC$111,AD$101*P_IVAmeses)</f>
        <v>0</v>
      </c>
      <c r="AE111" s="48">
        <f>IF(26&gt;Fin,AD$111,AE$101*P_IVAmeses)</f>
        <v>0</v>
      </c>
      <c r="AF111" s="48">
        <f>IF(27&gt;Fin,AE$111,AF$101*P_IVAmeses)</f>
        <v>0</v>
      </c>
      <c r="AG111" s="48">
        <f>IF(28&gt;Fin,AF$111,AG$101*P_IVAmeses)</f>
        <v>0</v>
      </c>
      <c r="AH111" s="48">
        <f>IF(29&gt;Fin,AG$111,AH$101*P_IVAmeses)</f>
        <v>0</v>
      </c>
      <c r="AI111" s="48">
        <f>IF(30&gt;Fin,AH$111,AI$101*P_IVAmeses)</f>
        <v>0</v>
      </c>
      <c r="AJ111" s="48">
        <f>IF(31&gt;Fin,AI$111,AJ$101*P_IVAmeses)</f>
        <v>0</v>
      </c>
      <c r="AK111" s="48">
        <f>IF(32&gt;Fin,AJ$111,AK$101*P_IVAmeses)</f>
        <v>0</v>
      </c>
      <c r="AL111" s="48">
        <f>IF(33&gt;Fin,AK$111,AL$101*P_IVAmeses)</f>
        <v>0</v>
      </c>
      <c r="AM111" s="48">
        <f>IF(34&gt;Fin,AL$111,AM$101*P_IVAmeses)</f>
        <v>0</v>
      </c>
      <c r="AN111" s="48">
        <f>IF(35&gt;Fin,AM$111,AN$101*P_IVAmeses)</f>
        <v>0</v>
      </c>
      <c r="AO111" s="48">
        <f>IF(36&gt;Fin,AN$111,AO$101*P_IVAmeses)</f>
        <v>0</v>
      </c>
      <c r="AP111" s="48">
        <f>IF(37&gt;Fin,AO$111,AP$101*P_IVAmeses)</f>
        <v>0</v>
      </c>
      <c r="AQ111" s="48">
        <f>IF(38&gt;Fin,AP$111,AQ$101*P_IVAmeses)</f>
        <v>0</v>
      </c>
      <c r="AR111" s="48">
        <f>IF(39&gt;Fin,AQ$111,AR$101*P_IVAmeses)</f>
        <v>0</v>
      </c>
      <c r="AS111" s="48">
        <f>IF(40&gt;Fin,AR$111,AS$101*P_IVAmeses)</f>
        <v>0</v>
      </c>
      <c r="AT111" s="48">
        <f>IF(41&gt;Fin,AS$111,AT$101*P_IVAmeses)</f>
        <v>0</v>
      </c>
      <c r="AU111" s="48">
        <f>IF(42&gt;Fin,AT$111,AU$101*P_IVAmeses)</f>
        <v>0</v>
      </c>
      <c r="AV111" s="48">
        <f>IF(43&gt;Fin,AU$111,AV$101*P_IVAmeses)</f>
        <v>0</v>
      </c>
      <c r="AW111" s="48">
        <f>IF(44&gt;Fin,AV$111,AW$101*P_IVAmeses)</f>
        <v>0</v>
      </c>
      <c r="AX111" s="48">
        <f>IF(45&gt;Fin,AW$111,AX$101*P_IVAmeses)</f>
        <v>0</v>
      </c>
      <c r="AY111" s="48">
        <f>IF(46&gt;Fin,AX$111,AY$101*P_IVAmeses)</f>
        <v>0</v>
      </c>
      <c r="AZ111" s="48">
        <f>IF(47&gt;Fin,AY$111,AZ$101*P_IVAmeses)</f>
        <v>0</v>
      </c>
      <c r="BA111" s="48">
        <f>IF(48&gt;Fin,AZ$111,BA$101*P_IVAmeses)</f>
        <v>0</v>
      </c>
      <c r="BB111" s="48">
        <f>IF(49&gt;Fin,BA$111,BB$101*P_IVAmeses)</f>
        <v>0</v>
      </c>
      <c r="BC111" s="48">
        <f>IF(50&gt;Fin,BB$111,BC$101*P_IVAmeses)</f>
        <v>0</v>
      </c>
      <c r="BD111" s="48">
        <f>IF(51&gt;Fin,BC$111,BD$101*P_IVAmeses)</f>
        <v>0</v>
      </c>
      <c r="BE111" s="48">
        <f>IF(52&gt;Fin,BD$111,BE$101*P_IVAmeses)</f>
        <v>0</v>
      </c>
      <c r="BF111" s="48">
        <f>IF(53&gt;Fin,BE$111,BF$101*P_IVAmeses)</f>
        <v>0</v>
      </c>
      <c r="BG111" s="48">
        <f>IF(54&gt;Fin,BF$111,BG$101*P_IVAmeses)</f>
        <v>0</v>
      </c>
      <c r="BH111" s="48">
        <f>IF(55&gt;Fin,BG$111,BH$101*P_IVAmeses)</f>
        <v>0</v>
      </c>
      <c r="BI111" s="48">
        <f>IF(56&gt;Fin,BH$111,BI$101*P_IVAmeses)</f>
        <v>0</v>
      </c>
      <c r="BJ111" s="48">
        <f>IF(57&gt;Fin,BI$111,BJ$101*P_IVAmeses)</f>
        <v>0</v>
      </c>
      <c r="BK111" s="48">
        <f>IF(58&gt;Fin,BJ$111,BK$101*P_IVAmeses)</f>
        <v>0</v>
      </c>
      <c r="BL111" s="48">
        <f>IF(59&gt;Fin,BK$111,BL$101*P_IVAmeses)</f>
        <v>0</v>
      </c>
      <c r="BM111" s="48">
        <f>IF(60&gt;Fin,BL$111,BM$101*P_IVAmeses)</f>
        <v>0</v>
      </c>
      <c r="BN111" s="48">
        <f>IF(61&gt;Fin,BM$111,BN$101*P_IVAmeses)</f>
        <v>0</v>
      </c>
      <c r="BO111" s="48">
        <f>IF(62&gt;Fin,BN$111,BO$101*P_IVAmeses)</f>
        <v>0</v>
      </c>
      <c r="BP111" s="48">
        <f>IF(63&gt;Fin,BO$111,BP$101*P_IVAmeses)</f>
        <v>0</v>
      </c>
      <c r="BQ111" s="48">
        <f>IF(64&gt;Fin,BP$111,BQ$101*P_IVAmeses)</f>
        <v>0</v>
      </c>
      <c r="BR111" s="48">
        <f>IF(65&gt;Fin,BQ$111,BR$101*P_IVAmeses)</f>
        <v>0</v>
      </c>
      <c r="BS111" s="48">
        <f>IF(66&gt;Fin,BR$111,BS$101*P_IVAmeses)</f>
        <v>0</v>
      </c>
      <c r="BT111" s="48">
        <f>IF(67&gt;Fin,BS$111,BT$101*P_IVAmeses)</f>
        <v>0</v>
      </c>
      <c r="BU111" s="48">
        <f>IF(68&gt;Fin,BT$111,BU$101*P_IVAmeses)</f>
        <v>0</v>
      </c>
      <c r="BV111" s="48">
        <f>IF(69&gt;Fin,BU$111,BV$101*P_IVAmeses)</f>
        <v>0</v>
      </c>
      <c r="BW111" s="48">
        <f>IF(70&gt;Fin,BV$111,BW$101*P_IVAmeses)</f>
        <v>0</v>
      </c>
      <c r="BX111" s="48">
        <f>IF(71&gt;Fin,BW$111,BX$101*P_IVAmeses)</f>
        <v>0</v>
      </c>
      <c r="BY111" s="48">
        <f>IF(72&gt;Fin,BX$111,BY$101*P_IVAmeses)</f>
        <v>0</v>
      </c>
      <c r="BZ111" s="48">
        <f>IF(73&gt;Fin,BY$111,BZ$101*P_IVAmeses)</f>
        <v>0</v>
      </c>
      <c r="CA111" s="48">
        <f>IF(74&gt;Fin,BZ$111,CA$101*P_IVAmeses)</f>
        <v>0</v>
      </c>
      <c r="CB111" s="48">
        <f>IF(75&gt;Fin,CA$111,CB$101*P_IVAmeses)</f>
        <v>0</v>
      </c>
      <c r="CC111" s="48">
        <f>IF(76&gt;Fin,CB$111,CC$101*P_IVAmeses)</f>
        <v>0</v>
      </c>
      <c r="CD111" s="48">
        <f>IF(77&gt;Fin,CC$111,CD$101*P_IVAmeses)</f>
        <v>0</v>
      </c>
      <c r="CE111" s="48">
        <f>IF(78&gt;Fin,CD$111,CE$101*P_IVAmeses)</f>
        <v>0</v>
      </c>
      <c r="CF111" s="48">
        <f>IF(79&gt;Fin,CE$111,CF$101*P_IVAmeses)</f>
        <v>0</v>
      </c>
      <c r="CG111" s="48">
        <f>IF(80&gt;Fin,CF$111,CG$101*P_IVAmeses)</f>
        <v>0</v>
      </c>
      <c r="CH111" s="48">
        <f>IF(81&gt;Fin,CG$111,CH$101*P_IVAmeses)</f>
        <v>0</v>
      </c>
      <c r="CI111" s="48">
        <f>IF(82&gt;Fin,CH$111,CI$101*P_IVAmeses)</f>
        <v>0</v>
      </c>
      <c r="CJ111" s="48">
        <f>IF(83&gt;Fin,CI$111,CJ$101*P_IVAmeses)</f>
        <v>0</v>
      </c>
      <c r="CK111" s="48">
        <f>IF(84&gt;Fin,CJ$111,CK$101*P_IVAmeses)</f>
        <v>0</v>
      </c>
      <c r="CL111" s="48">
        <f>IF(85&gt;Fin,CK$111,CL$101*P_IVAmeses)</f>
        <v>0</v>
      </c>
      <c r="CM111" s="48">
        <f>IF(86&gt;Fin,CL$111,CM$101*P_IVAmeses)</f>
        <v>0</v>
      </c>
      <c r="CN111" s="48">
        <f>IF(87&gt;Fin,CM$111,CN$101*P_IVAmeses)</f>
        <v>0</v>
      </c>
      <c r="CO111" s="48">
        <f>IF(88&gt;Fin,CN$111,CO$101*P_IVAmeses)</f>
        <v>0</v>
      </c>
      <c r="CP111" s="48">
        <f>IF(89&gt;Fin,CO$111,CP$101*P_IVAmeses)</f>
        <v>0</v>
      </c>
      <c r="CQ111" s="48">
        <f>IF(90&gt;Fin,CP$111,CQ$101*P_IVAmeses)</f>
        <v>0</v>
      </c>
      <c r="CR111" s="48">
        <f>IF(91&gt;Fin,CQ$111,CR$101*P_IVAmeses)</f>
        <v>0</v>
      </c>
      <c r="CS111" s="48">
        <f>IF(92&gt;Fin,CR$111,CS$101*P_IVAmeses)</f>
        <v>0</v>
      </c>
      <c r="CT111" s="48">
        <f>IF(93&gt;Fin,CS$111,CT$101*P_IVAmeses)</f>
        <v>0</v>
      </c>
      <c r="CU111" s="48">
        <f>IF(94&gt;Fin,CT$111,CU$101*P_IVAmeses)</f>
        <v>0</v>
      </c>
      <c r="CV111" s="48">
        <f>IF(95&gt;Fin,CU$111,CV$101*P_IVAmeses)</f>
        <v>0</v>
      </c>
      <c r="CW111" s="48">
        <f>IF(96&gt;Fin,CV$111,CW$101*P_IVAmeses)</f>
        <v>0</v>
      </c>
      <c r="CX111" s="48">
        <f>IF(97&gt;Fin,CW$111,CX$101*P_IVAmeses)</f>
        <v>0</v>
      </c>
      <c r="CY111" s="48">
        <f>IF(98&gt;Fin,CX$111,CY$101*P_IVAmeses)</f>
        <v>0</v>
      </c>
      <c r="CZ111" s="48">
        <f>IF(99&gt;Fin,CY$111,CZ$101*P_IVAmeses)</f>
        <v>0</v>
      </c>
      <c r="DA111" s="48">
        <f>IF(100&gt;Fin,CZ$111,DA$101*P_IVAmeses)</f>
        <v>0</v>
      </c>
      <c r="DB111" s="48">
        <f>IF(101&gt;Fin,DA$111,DB$101*P_IVAmeses)</f>
        <v>0</v>
      </c>
      <c r="DC111" s="48">
        <f>IF(102&gt;Fin,DB$111,DC$101*P_IVAmeses)</f>
        <v>0</v>
      </c>
      <c r="DD111" s="48">
        <f>IF(103&gt;Fin,DC$111,DD$101*P_IVAmeses)</f>
        <v>0</v>
      </c>
      <c r="DE111" s="48">
        <f>IF(104&gt;Fin,DD$111,DE$101*P_IVAmeses)</f>
        <v>0</v>
      </c>
      <c r="DF111" s="48">
        <f>IF(105&gt;Fin,DE$111,DF$101*P_IVAmeses)</f>
        <v>0</v>
      </c>
      <c r="DG111" s="48">
        <f>IF(106&gt;Fin,DF$111,DG$101*P_IVAmeses)</f>
        <v>0</v>
      </c>
      <c r="DH111" s="48">
        <f>IF(107&gt;Fin,DG$111,DH$101*P_IVAmeses)</f>
        <v>0</v>
      </c>
      <c r="DI111" s="48">
        <f>IF(108&gt;Fin,DH$111,DI$101*P_IVAmeses)</f>
        <v>0</v>
      </c>
      <c r="DJ111" s="48">
        <f>IF(109&gt;Fin,DI$111,DJ$101*P_IVAmeses)</f>
        <v>0</v>
      </c>
      <c r="DK111" s="48">
        <f>IF(110&gt;Fin,DJ$111,DK$101*P_IVAmeses)</f>
        <v>0</v>
      </c>
      <c r="DL111" s="48">
        <f>IF(111&gt;Fin,DK$111,DL$101*P_IVAmeses)</f>
        <v>0</v>
      </c>
      <c r="DM111" s="48">
        <f>IF(112&gt;Fin,DL$111,DM$101*P_IVAmeses)</f>
        <v>0</v>
      </c>
      <c r="DN111" s="48">
        <f>IF(113&gt;Fin,DM$111,DN$101*P_IVAmeses)</f>
        <v>0</v>
      </c>
      <c r="DO111" s="48">
        <f>IF(114&gt;Fin,DN$111,DO$101*P_IVAmeses)</f>
        <v>0</v>
      </c>
      <c r="DP111" s="48">
        <f>IF(115&gt;Fin,DO$111,DP$101*P_IVAmeses)</f>
        <v>0</v>
      </c>
      <c r="DQ111" s="48">
        <f>IF(116&gt;Fin,DP$111,DQ$101*P_IVAmeses)</f>
        <v>0</v>
      </c>
      <c r="DR111" s="48">
        <f>IF(117&gt;Fin,DQ$111,DR$101*P_IVAmeses)</f>
        <v>0</v>
      </c>
      <c r="DS111" s="48">
        <f>IF(118&gt;Fin,DR$111,DS$101*P_IVAmeses)</f>
        <v>0</v>
      </c>
      <c r="DT111" s="48">
        <f>IF(119&gt;Fin,DS$111,DT$101*P_IVAmeses)</f>
        <v>0</v>
      </c>
      <c r="DU111" s="48">
        <f>IF(120&gt;Fin,DT$111,DU$101*P_IVAmeses)</f>
        <v>0</v>
      </c>
      <c r="DV111" s="48">
        <f>IF(121&gt;Fin,DU$111,DV$101*P_IVAmeses)</f>
        <v>0</v>
      </c>
      <c r="DW111" s="48">
        <f>IF(122&gt;Fin,DV$111,DW$101*P_IVAmeses)</f>
        <v>0</v>
      </c>
      <c r="DX111" s="48">
        <f>IF(123&gt;Fin,DW$111,DX$101*P_IVAmeses)</f>
        <v>0</v>
      </c>
      <c r="DY111" s="48">
        <f>IF(124&gt;Fin,DX$111,DY$101*P_IVAmeses)</f>
        <v>0</v>
      </c>
      <c r="DZ111" s="48">
        <f>IF(125&gt;Fin,DY$111,DZ$101*P_IVAmeses)</f>
        <v>0</v>
      </c>
      <c r="EA111" s="48">
        <f>IF(126&gt;Fin,DZ$111,EA$101*P_IVAmeses)</f>
        <v>0</v>
      </c>
      <c r="EB111" s="48">
        <f>IF(127&gt;Fin,EA$111,EB$101*P_IVAmeses)</f>
        <v>0</v>
      </c>
      <c r="EC111" s="48">
        <f>IF(128&gt;Fin,EB$111,EC$101*P_IVAmeses)</f>
        <v>0</v>
      </c>
      <c r="ED111" s="48">
        <f>IF(129&gt;Fin,EC$111,ED$101*P_IVAmeses)</f>
        <v>0</v>
      </c>
      <c r="EE111" s="48">
        <f>IF(130&gt;Fin,ED$111,EE$101*P_IVAmeses)</f>
        <v>0</v>
      </c>
      <c r="EF111" s="48">
        <f>IF(131&gt;Fin,EE$111,EF$101*P_IVAmeses)</f>
        <v>0</v>
      </c>
      <c r="EG111" s="48">
        <f>IF(132&gt;Fin,EF$111,EG$101*P_IVAmeses)</f>
        <v>0</v>
      </c>
      <c r="EH111" s="48">
        <f>IF(133&gt;Fin,EG$111,EH$101*P_IVAmeses)</f>
        <v>0</v>
      </c>
      <c r="EI111" s="48">
        <f>IF(134&gt;Fin,EH$111,EI$101*P_IVAmeses)</f>
        <v>0</v>
      </c>
      <c r="EJ111" s="48">
        <f>IF(135&gt;Fin,EI$111,EJ$101*P_IVAmeses)</f>
        <v>0</v>
      </c>
      <c r="EK111" s="48">
        <f>IF(136&gt;Fin,EJ$111,EK$101*P_IVAmeses)</f>
        <v>0</v>
      </c>
      <c r="EL111" s="48">
        <f>IF(137&gt;Fin,EK$111,EL$101*P_IVAmeses)</f>
        <v>0</v>
      </c>
      <c r="EM111" s="48">
        <f>IF(138&gt;Fin,EL$111,EM$101*P_IVAmeses)</f>
        <v>0</v>
      </c>
      <c r="EN111" s="48">
        <f>IF(139&gt;Fin,EM$111,EN$101*P_IVAmeses)</f>
        <v>0</v>
      </c>
      <c r="EO111" s="48">
        <f>IF(140&gt;Fin,EN$111,EO$101*P_IVAmeses)</f>
        <v>0</v>
      </c>
      <c r="EP111" s="48">
        <f>IF(141&gt;Fin,EO$111,EP$101*P_IVAmeses)</f>
        <v>0</v>
      </c>
      <c r="EQ111" s="48">
        <f>IF(142&gt;Fin,EP$111,EQ$101*P_IVAmeses)</f>
        <v>0</v>
      </c>
      <c r="ER111" s="48">
        <f>IF(143&gt;Fin,EQ$111,ER$101*P_IVAmeses)</f>
        <v>0</v>
      </c>
      <c r="ES111" s="48">
        <f>IF(144&gt;Fin,ER$111,ES$101*P_IVAmeses)</f>
        <v>0</v>
      </c>
    </row>
    <row r="112" spans="1:149" x14ac:dyDescent="0.3">
      <c r="A112" s="14" t="s">
        <v>1123</v>
      </c>
      <c r="B112" s="18" t="s">
        <v>1124</v>
      </c>
      <c r="C112" s="18" t="s">
        <v>439</v>
      </c>
      <c r="E112" s="54">
        <f>INDEX(F112:ES112,1,MIN(144,Fin))</f>
        <v>158331.69442298592</v>
      </c>
      <c r="F112" s="48">
        <f>IF(1&gt;Fin,0,F$93*P_DPOmp/DiasMes+(F$94+F$96+F$99+F$100)*P_DPOot/DiasMes)</f>
        <v>99105.492601008082</v>
      </c>
      <c r="G112" s="48">
        <f>IF(2&gt;Fin,F$112,G$93*P_DPOmp/DiasMes+(G$94+G$96+G$99+G$100)*P_DPOot/DiasMes)</f>
        <v>99105.492601008082</v>
      </c>
      <c r="H112" s="48">
        <f>IF(3&gt;Fin,G$112,H$93*P_DPOmp/DiasMes+(H$94+H$96+H$99+H$100)*P_DPOot/DiasMes)</f>
        <v>99105.492601008082</v>
      </c>
      <c r="I112" s="48">
        <f>IF(4&gt;Fin,H$112,I$93*P_DPOmp/DiasMes+(I$94+I$96+I$99+I$100)*P_DPOot/DiasMes)</f>
        <v>99105.492601008082</v>
      </c>
      <c r="J112" s="48">
        <f>IF(5&gt;Fin,I$112,J$93*P_DPOmp/DiasMes+(J$94+J$96+J$99+J$100)*P_DPOot/DiasMes)</f>
        <v>99105.492601008082</v>
      </c>
      <c r="K112" s="48">
        <f>IF(6&gt;Fin,J$112,K$93*P_DPOmp/DiasMes+(K$94+K$96+K$99+K$100)*P_DPOot/DiasMes)</f>
        <v>99105.492601008082</v>
      </c>
      <c r="L112" s="48">
        <f>IF(7&gt;Fin,K$112,L$93*P_DPOmp/DiasMes+(L$94+L$96+L$99+L$100)*P_DPOot/DiasMes)</f>
        <v>99105.492601008082</v>
      </c>
      <c r="M112" s="48">
        <f>IF(8&gt;Fin,L$112,M$93*P_DPOmp/DiasMes+(M$94+M$96+M$99+M$100)*P_DPOot/DiasMes)</f>
        <v>99105.492601008082</v>
      </c>
      <c r="N112" s="48">
        <f>IF(9&gt;Fin,M$112,N$93*P_DPOmp/DiasMes+(N$94+N$96+N$99+N$100)*P_DPOot/DiasMes)</f>
        <v>99105.492601008082</v>
      </c>
      <c r="O112" s="48">
        <f>IF(10&gt;Fin,N$112,O$93*P_DPOmp/DiasMes+(O$94+O$96+O$99+O$100)*P_DPOot/DiasMes)</f>
        <v>99105.492601008082</v>
      </c>
      <c r="P112" s="48">
        <f>IF(11&gt;Fin,O$112,P$93*P_DPOmp/DiasMes+(P$94+P$96+P$99+P$100)*P_DPOot/DiasMes)</f>
        <v>99105.492601008082</v>
      </c>
      <c r="Q112" s="48">
        <f>IF(12&gt;Fin,P$112,Q$93*P_DPOmp/DiasMes+(Q$94+Q$96+Q$99+Q$100)*P_DPOot/DiasMes)</f>
        <v>99105.492601008082</v>
      </c>
      <c r="R112" s="48">
        <f>IF(13&gt;Fin,Q$112,R$93*P_DPOmp/DiasMes+(R$94+R$96+R$99+R$100)*P_DPOot/DiasMes)</f>
        <v>117843.30107603548</v>
      </c>
      <c r="S112" s="48">
        <f>IF(14&gt;Fin,R$112,S$93*P_DPOmp/DiasMes+(S$94+S$96+S$99+S$100)*P_DPOot/DiasMes)</f>
        <v>117843.30107603548</v>
      </c>
      <c r="T112" s="48">
        <f>IF(15&gt;Fin,S$112,T$93*P_DPOmp/DiasMes+(T$94+T$96+T$99+T$100)*P_DPOot/DiasMes)</f>
        <v>117843.30107603548</v>
      </c>
      <c r="U112" s="48">
        <f>IF(16&gt;Fin,T$112,U$93*P_DPOmp/DiasMes+(U$94+U$96+U$99+U$100)*P_DPOot/DiasMes)</f>
        <v>117843.30107603548</v>
      </c>
      <c r="V112" s="48">
        <f>IF(17&gt;Fin,U$112,V$93*P_DPOmp/DiasMes+(V$94+V$96+V$99+V$100)*P_DPOot/DiasMes)</f>
        <v>117843.30107603548</v>
      </c>
      <c r="W112" s="48">
        <f>IF(18&gt;Fin,V$112,W$93*P_DPOmp/DiasMes+(W$94+W$96+W$99+W$100)*P_DPOot/DiasMes)</f>
        <v>117843.30107603548</v>
      </c>
      <c r="X112" s="48">
        <f>IF(19&gt;Fin,W$112,X$93*P_DPOmp/DiasMes+(X$94+X$96+X$99+X$100)*P_DPOot/DiasMes)</f>
        <v>117843.30107603548</v>
      </c>
      <c r="Y112" s="48">
        <f>IF(20&gt;Fin,X$112,Y$93*P_DPOmp/DiasMes+(Y$94+Y$96+Y$99+Y$100)*P_DPOot/DiasMes)</f>
        <v>117843.30107603548</v>
      </c>
      <c r="Z112" s="48">
        <f>IF(21&gt;Fin,Y$112,Z$93*P_DPOmp/DiasMes+(Z$94+Z$96+Z$99+Z$100)*P_DPOot/DiasMes)</f>
        <v>117843.30107603548</v>
      </c>
      <c r="AA112" s="48">
        <f>IF(22&gt;Fin,Z$112,AA$93*P_DPOmp/DiasMes+(AA$94+AA$96+AA$99+AA$100)*P_DPOot/DiasMes)</f>
        <v>117843.30107603548</v>
      </c>
      <c r="AB112" s="48">
        <f>IF(23&gt;Fin,AA$112,AB$93*P_DPOmp/DiasMes+(AB$94+AB$96+AB$99+AB$100)*P_DPOot/DiasMes)</f>
        <v>117843.30107603548</v>
      </c>
      <c r="AC112" s="48">
        <f>IF(24&gt;Fin,AB$112,AC$93*P_DPOmp/DiasMes+(AC$94+AC$96+AC$99+AC$100)*P_DPOot/DiasMes)</f>
        <v>117843.30107603548</v>
      </c>
      <c r="AD112" s="48">
        <f>IF(25&gt;Fin,AC$112,AD$93*P_DPOmp/DiasMes+(AD$94+AD$96+AD$99+AD$100)*P_DPOot/DiasMes)</f>
        <v>136841.16448049096</v>
      </c>
      <c r="AE112" s="48">
        <f>IF(26&gt;Fin,AD$112,AE$93*P_DPOmp/DiasMes+(AE$94+AE$96+AE$99+AE$100)*P_DPOot/DiasMes)</f>
        <v>136841.16448049096</v>
      </c>
      <c r="AF112" s="48">
        <f>IF(27&gt;Fin,AE$112,AF$93*P_DPOmp/DiasMes+(AF$94+AF$96+AF$99+AF$100)*P_DPOot/DiasMes)</f>
        <v>136841.16448049096</v>
      </c>
      <c r="AG112" s="48">
        <f>IF(28&gt;Fin,AF$112,AG$93*P_DPOmp/DiasMes+(AG$94+AG$96+AG$99+AG$100)*P_DPOot/DiasMes)</f>
        <v>136841.16448049096</v>
      </c>
      <c r="AH112" s="48">
        <f>IF(29&gt;Fin,AG$112,AH$93*P_DPOmp/DiasMes+(AH$94+AH$96+AH$99+AH$100)*P_DPOot/DiasMes)</f>
        <v>136841.16448049096</v>
      </c>
      <c r="AI112" s="48">
        <f>IF(30&gt;Fin,AH$112,AI$93*P_DPOmp/DiasMes+(AI$94+AI$96+AI$99+AI$100)*P_DPOot/DiasMes)</f>
        <v>136841.16448049096</v>
      </c>
      <c r="AJ112" s="48">
        <f>IF(31&gt;Fin,AI$112,AJ$93*P_DPOmp/DiasMes+(AJ$94+AJ$96+AJ$99+AJ$100)*P_DPOot/DiasMes)</f>
        <v>136841.16448049096</v>
      </c>
      <c r="AK112" s="48">
        <f>IF(32&gt;Fin,AJ$112,AK$93*P_DPOmp/DiasMes+(AK$94+AK$96+AK$99+AK$100)*P_DPOot/DiasMes)</f>
        <v>136841.16448049096</v>
      </c>
      <c r="AL112" s="48">
        <f>IF(33&gt;Fin,AK$112,AL$93*P_DPOmp/DiasMes+(AL$94+AL$96+AL$99+AL$100)*P_DPOot/DiasMes)</f>
        <v>136841.16448049096</v>
      </c>
      <c r="AM112" s="48">
        <f>IF(34&gt;Fin,AL$112,AM$93*P_DPOmp/DiasMes+(AM$94+AM$96+AM$99+AM$100)*P_DPOot/DiasMes)</f>
        <v>136841.16448049096</v>
      </c>
      <c r="AN112" s="48">
        <f>IF(35&gt;Fin,AM$112,AN$93*P_DPOmp/DiasMes+(AN$94+AN$96+AN$99+AN$100)*P_DPOot/DiasMes)</f>
        <v>136841.16448049096</v>
      </c>
      <c r="AO112" s="48">
        <f>IF(36&gt;Fin,AN$112,AO$93*P_DPOmp/DiasMes+(AO$94+AO$96+AO$99+AO$100)*P_DPOot/DiasMes)</f>
        <v>136841.16448049096</v>
      </c>
      <c r="AP112" s="48">
        <f>IF(37&gt;Fin,AO$112,AP$93*P_DPOmp/DiasMes+(AP$94+AP$96+AP$99+AP$100)*P_DPOot/DiasMes)</f>
        <v>152372.62575066317</v>
      </c>
      <c r="AQ112" s="48">
        <f>IF(38&gt;Fin,AP$112,AQ$93*P_DPOmp/DiasMes+(AQ$94+AQ$96+AQ$99+AQ$100)*P_DPOot/DiasMes)</f>
        <v>152372.62575066317</v>
      </c>
      <c r="AR112" s="48">
        <f>IF(39&gt;Fin,AQ$112,AR$93*P_DPOmp/DiasMes+(AR$94+AR$96+AR$99+AR$100)*P_DPOot/DiasMes)</f>
        <v>152372.62575066317</v>
      </c>
      <c r="AS112" s="48">
        <f>IF(40&gt;Fin,AR$112,AS$93*P_DPOmp/DiasMes+(AS$94+AS$96+AS$99+AS$100)*P_DPOot/DiasMes)</f>
        <v>152372.62575066317</v>
      </c>
      <c r="AT112" s="48">
        <f>IF(41&gt;Fin,AS$112,AT$93*P_DPOmp/DiasMes+(AT$94+AT$96+AT$99+AT$100)*P_DPOot/DiasMes)</f>
        <v>152372.62575066317</v>
      </c>
      <c r="AU112" s="48">
        <f>IF(42&gt;Fin,AT$112,AU$93*P_DPOmp/DiasMes+(AU$94+AU$96+AU$99+AU$100)*P_DPOot/DiasMes)</f>
        <v>152372.62575066317</v>
      </c>
      <c r="AV112" s="48">
        <f>IF(43&gt;Fin,AU$112,AV$93*P_DPOmp/DiasMes+(AV$94+AV$96+AV$99+AV$100)*P_DPOot/DiasMes)</f>
        <v>152372.62575066317</v>
      </c>
      <c r="AW112" s="48">
        <f>IF(44&gt;Fin,AV$112,AW$93*P_DPOmp/DiasMes+(AW$94+AW$96+AW$99+AW$100)*P_DPOot/DiasMes)</f>
        <v>152372.62575066317</v>
      </c>
      <c r="AX112" s="48">
        <f>IF(45&gt;Fin,AW$112,AX$93*P_DPOmp/DiasMes+(AX$94+AX$96+AX$99+AX$100)*P_DPOot/DiasMes)</f>
        <v>152372.62575066317</v>
      </c>
      <c r="AY112" s="48">
        <f>IF(46&gt;Fin,AX$112,AY$93*P_DPOmp/DiasMes+(AY$94+AY$96+AY$99+AY$100)*P_DPOot/DiasMes)</f>
        <v>152372.62575066317</v>
      </c>
      <c r="AZ112" s="48">
        <f>IF(47&gt;Fin,AY$112,AZ$93*P_DPOmp/DiasMes+(AZ$94+AZ$96+AZ$99+AZ$100)*P_DPOot/DiasMes)</f>
        <v>152372.62575066317</v>
      </c>
      <c r="BA112" s="48">
        <f>IF(48&gt;Fin,AZ$112,BA$93*P_DPOmp/DiasMes+(BA$94+BA$96+BA$99+BA$100)*P_DPOot/DiasMes)</f>
        <v>152372.62575066317</v>
      </c>
      <c r="BB112" s="48">
        <f>IF(49&gt;Fin,BA$112,BB$93*P_DPOmp/DiasMes+(BB$94+BB$96+BB$99+BB$100)*P_DPOot/DiasMes)</f>
        <v>153439.39689907618</v>
      </c>
      <c r="BC112" s="48">
        <f>IF(50&gt;Fin,BB$112,BC$93*P_DPOmp/DiasMes+(BC$94+BC$96+BC$99+BC$100)*P_DPOot/DiasMes)</f>
        <v>153439.39689907618</v>
      </c>
      <c r="BD112" s="48">
        <f>IF(51&gt;Fin,BC$112,BD$93*P_DPOmp/DiasMes+(BD$94+BD$96+BD$99+BD$100)*P_DPOot/DiasMes)</f>
        <v>153439.39689907618</v>
      </c>
      <c r="BE112" s="48">
        <f>IF(52&gt;Fin,BD$112,BE$93*P_DPOmp/DiasMes+(BE$94+BE$96+BE$99+BE$100)*P_DPOot/DiasMes)</f>
        <v>153439.39689907618</v>
      </c>
      <c r="BF112" s="48">
        <f>IF(53&gt;Fin,BE$112,BF$93*P_DPOmp/DiasMes+(BF$94+BF$96+BF$99+BF$100)*P_DPOot/DiasMes)</f>
        <v>153439.39689907618</v>
      </c>
      <c r="BG112" s="48">
        <f>IF(54&gt;Fin,BF$112,BG$93*P_DPOmp/DiasMes+(BG$94+BG$96+BG$99+BG$100)*P_DPOot/DiasMes)</f>
        <v>153439.39689907618</v>
      </c>
      <c r="BH112" s="48">
        <f>IF(55&gt;Fin,BG$112,BH$93*P_DPOmp/DiasMes+(BH$94+BH$96+BH$99+BH$100)*P_DPOot/DiasMes)</f>
        <v>153439.39689907618</v>
      </c>
      <c r="BI112" s="48">
        <f>IF(56&gt;Fin,BH$112,BI$93*P_DPOmp/DiasMes+(BI$94+BI$96+BI$99+BI$100)*P_DPOot/DiasMes)</f>
        <v>153439.39689907618</v>
      </c>
      <c r="BJ112" s="48">
        <f>IF(57&gt;Fin,BI$112,BJ$93*P_DPOmp/DiasMes+(BJ$94+BJ$96+BJ$99+BJ$100)*P_DPOot/DiasMes)</f>
        <v>153439.39689907618</v>
      </c>
      <c r="BK112" s="48">
        <f>IF(58&gt;Fin,BJ$112,BK$93*P_DPOmp/DiasMes+(BK$94+BK$96+BK$99+BK$100)*P_DPOot/DiasMes)</f>
        <v>153439.39689907618</v>
      </c>
      <c r="BL112" s="48">
        <f>IF(59&gt;Fin,BK$112,BL$93*P_DPOmp/DiasMes+(BL$94+BL$96+BL$99+BL$100)*P_DPOot/DiasMes)</f>
        <v>153439.39689907618</v>
      </c>
      <c r="BM112" s="48">
        <f>IF(60&gt;Fin,BL$112,BM$93*P_DPOmp/DiasMes+(BM$94+BM$96+BM$99+BM$100)*P_DPOot/DiasMes)</f>
        <v>153439.39689907618</v>
      </c>
      <c r="BN112" s="48">
        <f>IF(61&gt;Fin,BM$112,BN$93*P_DPOmp/DiasMes+(BN$94+BN$96+BN$99+BN$100)*P_DPOot/DiasMes)</f>
        <v>154373.20243023391</v>
      </c>
      <c r="BO112" s="48">
        <f>IF(62&gt;Fin,BN$112,BO$93*P_DPOmp/DiasMes+(BO$94+BO$96+BO$99+BO$100)*P_DPOot/DiasMes)</f>
        <v>154373.20243023391</v>
      </c>
      <c r="BP112" s="48">
        <f>IF(63&gt;Fin,BO$112,BP$93*P_DPOmp/DiasMes+(BP$94+BP$96+BP$99+BP$100)*P_DPOot/DiasMes)</f>
        <v>154373.20243023391</v>
      </c>
      <c r="BQ112" s="48">
        <f>IF(64&gt;Fin,BP$112,BQ$93*P_DPOmp/DiasMes+(BQ$94+BQ$96+BQ$99+BQ$100)*P_DPOot/DiasMes)</f>
        <v>154373.20243023391</v>
      </c>
      <c r="BR112" s="48">
        <f>IF(65&gt;Fin,BQ$112,BR$93*P_DPOmp/DiasMes+(BR$94+BR$96+BR$99+BR$100)*P_DPOot/DiasMes)</f>
        <v>154373.20243023391</v>
      </c>
      <c r="BS112" s="48">
        <f>IF(66&gt;Fin,BR$112,BS$93*P_DPOmp/DiasMes+(BS$94+BS$96+BS$99+BS$100)*P_DPOot/DiasMes)</f>
        <v>154373.20243023391</v>
      </c>
      <c r="BT112" s="48">
        <f>IF(67&gt;Fin,BS$112,BT$93*P_DPOmp/DiasMes+(BT$94+BT$96+BT$99+BT$100)*P_DPOot/DiasMes)</f>
        <v>154373.20243023391</v>
      </c>
      <c r="BU112" s="48">
        <f>IF(68&gt;Fin,BT$112,BU$93*P_DPOmp/DiasMes+(BU$94+BU$96+BU$99+BU$100)*P_DPOot/DiasMes)</f>
        <v>154373.20243023391</v>
      </c>
      <c r="BV112" s="48">
        <f>IF(69&gt;Fin,BU$112,BV$93*P_DPOmp/DiasMes+(BV$94+BV$96+BV$99+BV$100)*P_DPOot/DiasMes)</f>
        <v>154373.20243023391</v>
      </c>
      <c r="BW112" s="48">
        <f>IF(70&gt;Fin,BV$112,BW$93*P_DPOmp/DiasMes+(BW$94+BW$96+BW$99+BW$100)*P_DPOot/DiasMes)</f>
        <v>154373.20243023391</v>
      </c>
      <c r="BX112" s="48">
        <f>IF(71&gt;Fin,BW$112,BX$93*P_DPOmp/DiasMes+(BX$94+BX$96+BX$99+BX$100)*P_DPOot/DiasMes)</f>
        <v>154373.20243023391</v>
      </c>
      <c r="BY112" s="48">
        <f>IF(72&gt;Fin,BX$112,BY$93*P_DPOmp/DiasMes+(BY$94+BY$96+BY$99+BY$100)*P_DPOot/DiasMes)</f>
        <v>154373.20243023391</v>
      </c>
      <c r="BZ112" s="48">
        <f>IF(73&gt;Fin,BY$112,BZ$93*P_DPOmp/DiasMes+(BZ$94+BZ$96+BZ$99+BZ$100)*P_DPOot/DiasMes)</f>
        <v>155328.74283772666</v>
      </c>
      <c r="CA112" s="48">
        <f>IF(74&gt;Fin,BZ$112,CA$93*P_DPOmp/DiasMes+(CA$94+CA$96+CA$99+CA$100)*P_DPOot/DiasMes)</f>
        <v>155328.74283772666</v>
      </c>
      <c r="CB112" s="48">
        <f>IF(75&gt;Fin,CA$112,CB$93*P_DPOmp/DiasMes+(CB$94+CB$96+CB$99+CB$100)*P_DPOot/DiasMes)</f>
        <v>155328.74283772666</v>
      </c>
      <c r="CC112" s="48">
        <f>IF(76&gt;Fin,CB$112,CC$93*P_DPOmp/DiasMes+(CC$94+CC$96+CC$99+CC$100)*P_DPOot/DiasMes)</f>
        <v>155328.74283772666</v>
      </c>
      <c r="CD112" s="48">
        <f>IF(77&gt;Fin,CC$112,CD$93*P_DPOmp/DiasMes+(CD$94+CD$96+CD$99+CD$100)*P_DPOot/DiasMes)</f>
        <v>155328.74283772666</v>
      </c>
      <c r="CE112" s="48">
        <f>IF(78&gt;Fin,CD$112,CE$93*P_DPOmp/DiasMes+(CE$94+CE$96+CE$99+CE$100)*P_DPOot/DiasMes)</f>
        <v>155328.74283772666</v>
      </c>
      <c r="CF112" s="48">
        <f>IF(79&gt;Fin,CE$112,CF$93*P_DPOmp/DiasMes+(CF$94+CF$96+CF$99+CF$100)*P_DPOot/DiasMes)</f>
        <v>155328.74283772666</v>
      </c>
      <c r="CG112" s="48">
        <f>IF(80&gt;Fin,CF$112,CG$93*P_DPOmp/DiasMes+(CG$94+CG$96+CG$99+CG$100)*P_DPOot/DiasMes)</f>
        <v>155328.74283772666</v>
      </c>
      <c r="CH112" s="48">
        <f>IF(81&gt;Fin,CG$112,CH$93*P_DPOmp/DiasMes+(CH$94+CH$96+CH$99+CH$100)*P_DPOot/DiasMes)</f>
        <v>155328.74283772666</v>
      </c>
      <c r="CI112" s="48">
        <f>IF(82&gt;Fin,CH$112,CI$93*P_DPOmp/DiasMes+(CI$94+CI$96+CI$99+CI$100)*P_DPOot/DiasMes)</f>
        <v>155328.74283772666</v>
      </c>
      <c r="CJ112" s="48">
        <f>IF(83&gt;Fin,CI$112,CJ$93*P_DPOmp/DiasMes+(CJ$94+CJ$96+CJ$99+CJ$100)*P_DPOot/DiasMes)</f>
        <v>155328.74283772666</v>
      </c>
      <c r="CK112" s="48">
        <f>IF(84&gt;Fin,CJ$112,CK$93*P_DPOmp/DiasMes+(CK$94+CK$96+CK$99+CK$100)*P_DPOot/DiasMes)</f>
        <v>155328.74283772666</v>
      </c>
      <c r="CL112" s="48">
        <f>IF(85&gt;Fin,CK$112,CL$93*P_DPOmp/DiasMes+(CL$94+CL$96+CL$99+CL$100)*P_DPOot/DiasMes)</f>
        <v>156306.6018245728</v>
      </c>
      <c r="CM112" s="48">
        <f>IF(86&gt;Fin,CL$112,CM$93*P_DPOmp/DiasMes+(CM$94+CM$96+CM$99+CM$100)*P_DPOot/DiasMes)</f>
        <v>156306.6018245728</v>
      </c>
      <c r="CN112" s="48">
        <f>IF(87&gt;Fin,CM$112,CN$93*P_DPOmp/DiasMes+(CN$94+CN$96+CN$99+CN$100)*P_DPOot/DiasMes)</f>
        <v>156306.6018245728</v>
      </c>
      <c r="CO112" s="48">
        <f>IF(88&gt;Fin,CN$112,CO$93*P_DPOmp/DiasMes+(CO$94+CO$96+CO$99+CO$100)*P_DPOot/DiasMes)</f>
        <v>156306.6018245728</v>
      </c>
      <c r="CP112" s="48">
        <f>IF(89&gt;Fin,CO$112,CP$93*P_DPOmp/DiasMes+(CP$94+CP$96+CP$99+CP$100)*P_DPOot/DiasMes)</f>
        <v>156306.6018245728</v>
      </c>
      <c r="CQ112" s="48">
        <f>IF(90&gt;Fin,CP$112,CQ$93*P_DPOmp/DiasMes+(CQ$94+CQ$96+CQ$99+CQ$100)*P_DPOot/DiasMes)</f>
        <v>156306.6018245728</v>
      </c>
      <c r="CR112" s="48">
        <f>IF(91&gt;Fin,CQ$112,CR$93*P_DPOmp/DiasMes+(CR$94+CR$96+CR$99+CR$100)*P_DPOot/DiasMes)</f>
        <v>156306.6018245728</v>
      </c>
      <c r="CS112" s="48">
        <f>IF(92&gt;Fin,CR$112,CS$93*P_DPOmp/DiasMes+(CS$94+CS$96+CS$99+CS$100)*P_DPOot/DiasMes)</f>
        <v>156306.6018245728</v>
      </c>
      <c r="CT112" s="48">
        <f>IF(93&gt;Fin,CS$112,CT$93*P_DPOmp/DiasMes+(CT$94+CT$96+CT$99+CT$100)*P_DPOot/DiasMes)</f>
        <v>156306.6018245728</v>
      </c>
      <c r="CU112" s="48">
        <f>IF(94&gt;Fin,CT$112,CU$93*P_DPOmp/DiasMes+(CU$94+CU$96+CU$99+CU$100)*P_DPOot/DiasMes)</f>
        <v>156306.6018245728</v>
      </c>
      <c r="CV112" s="48">
        <f>IF(95&gt;Fin,CU$112,CV$93*P_DPOmp/DiasMes+(CV$94+CV$96+CV$99+CV$100)*P_DPOot/DiasMes)</f>
        <v>156306.6018245728</v>
      </c>
      <c r="CW112" s="48">
        <f>IF(96&gt;Fin,CV$112,CW$93*P_DPOmp/DiasMes+(CW$94+CW$96+CW$99+CW$100)*P_DPOot/DiasMes)</f>
        <v>156306.6018245728</v>
      </c>
      <c r="CX112" s="48">
        <f>IF(97&gt;Fin,CW$112,CX$93*P_DPOmp/DiasMes+(CX$94+CX$96+CX$99+CX$100)*P_DPOot/DiasMes)</f>
        <v>157307.37981044123</v>
      </c>
      <c r="CY112" s="48">
        <f>IF(98&gt;Fin,CX$112,CY$93*P_DPOmp/DiasMes+(CY$94+CY$96+CY$99+CY$100)*P_DPOot/DiasMes)</f>
        <v>157307.37981044123</v>
      </c>
      <c r="CZ112" s="48">
        <f>IF(99&gt;Fin,CY$112,CZ$93*P_DPOmp/DiasMes+(CZ$94+CZ$96+CZ$99+CZ$100)*P_DPOot/DiasMes)</f>
        <v>157307.37981044123</v>
      </c>
      <c r="DA112" s="48">
        <f>IF(100&gt;Fin,CZ$112,DA$93*P_DPOmp/DiasMes+(DA$94+DA$96+DA$99+DA$100)*P_DPOot/DiasMes)</f>
        <v>157307.37981044123</v>
      </c>
      <c r="DB112" s="48">
        <f>IF(101&gt;Fin,DA$112,DB$93*P_DPOmp/DiasMes+(DB$94+DB$96+DB$99+DB$100)*P_DPOot/DiasMes)</f>
        <v>157307.37981044123</v>
      </c>
      <c r="DC112" s="48">
        <f>IF(102&gt;Fin,DB$112,DC$93*P_DPOmp/DiasMes+(DC$94+DC$96+DC$99+DC$100)*P_DPOot/DiasMes)</f>
        <v>157307.37981044123</v>
      </c>
      <c r="DD112" s="48">
        <f>IF(103&gt;Fin,DC$112,DD$93*P_DPOmp/DiasMes+(DD$94+DD$96+DD$99+DD$100)*P_DPOot/DiasMes)</f>
        <v>157307.37981044123</v>
      </c>
      <c r="DE112" s="48">
        <f>IF(104&gt;Fin,DD$112,DE$93*P_DPOmp/DiasMes+(DE$94+DE$96+DE$99+DE$100)*P_DPOot/DiasMes)</f>
        <v>157307.37981044123</v>
      </c>
      <c r="DF112" s="48">
        <f>IF(105&gt;Fin,DE$112,DF$93*P_DPOmp/DiasMes+(DF$94+DF$96+DF$99+DF$100)*P_DPOot/DiasMes)</f>
        <v>157307.37981044123</v>
      </c>
      <c r="DG112" s="48">
        <f>IF(106&gt;Fin,DF$112,DG$93*P_DPOmp/DiasMes+(DG$94+DG$96+DG$99+DG$100)*P_DPOot/DiasMes)</f>
        <v>157307.37981044123</v>
      </c>
      <c r="DH112" s="48">
        <f>IF(107&gt;Fin,DG$112,DH$93*P_DPOmp/DiasMes+(DH$94+DH$96+DH$99+DH$100)*P_DPOot/DiasMes)</f>
        <v>157307.37981044123</v>
      </c>
      <c r="DI112" s="48">
        <f>IF(108&gt;Fin,DH$112,DI$93*P_DPOmp/DiasMes+(DI$94+DI$96+DI$99+DI$100)*P_DPOot/DiasMes)</f>
        <v>157307.37981044123</v>
      </c>
      <c r="DJ112" s="48">
        <f>IF(109&gt;Fin,DI$112,DJ$93*P_DPOmp/DiasMes+(DJ$94+DJ$96+DJ$99+DJ$100)*P_DPOot/DiasMes)</f>
        <v>158331.69442298592</v>
      </c>
      <c r="DK112" s="48">
        <f>IF(110&gt;Fin,DJ$112,DK$93*P_DPOmp/DiasMes+(DK$94+DK$96+DK$99+DK$100)*P_DPOot/DiasMes)</f>
        <v>158331.69442298592</v>
      </c>
      <c r="DL112" s="48">
        <f>IF(111&gt;Fin,DK$112,DL$93*P_DPOmp/DiasMes+(DL$94+DL$96+DL$99+DL$100)*P_DPOot/DiasMes)</f>
        <v>158331.69442298592</v>
      </c>
      <c r="DM112" s="48">
        <f>IF(112&gt;Fin,DL$112,DM$93*P_DPOmp/DiasMes+(DM$94+DM$96+DM$99+DM$100)*P_DPOot/DiasMes)</f>
        <v>158331.69442298592</v>
      </c>
      <c r="DN112" s="48">
        <f>IF(113&gt;Fin,DM$112,DN$93*P_DPOmp/DiasMes+(DN$94+DN$96+DN$99+DN$100)*P_DPOot/DiasMes)</f>
        <v>158331.69442298592</v>
      </c>
      <c r="DO112" s="48">
        <f>IF(114&gt;Fin,DN$112,DO$93*P_DPOmp/DiasMes+(DO$94+DO$96+DO$99+DO$100)*P_DPOot/DiasMes)</f>
        <v>158331.69442298592</v>
      </c>
      <c r="DP112" s="48">
        <f>IF(115&gt;Fin,DO$112,DP$93*P_DPOmp/DiasMes+(DP$94+DP$96+DP$99+DP$100)*P_DPOot/DiasMes)</f>
        <v>158331.69442298592</v>
      </c>
      <c r="DQ112" s="48">
        <f>IF(116&gt;Fin,DP$112,DQ$93*P_DPOmp/DiasMes+(DQ$94+DQ$96+DQ$99+DQ$100)*P_DPOot/DiasMes)</f>
        <v>158331.69442298592</v>
      </c>
      <c r="DR112" s="48">
        <f>IF(117&gt;Fin,DQ$112,DR$93*P_DPOmp/DiasMes+(DR$94+DR$96+DR$99+DR$100)*P_DPOot/DiasMes)</f>
        <v>158331.69442298592</v>
      </c>
      <c r="DS112" s="48">
        <f>IF(118&gt;Fin,DR$112,DS$93*P_DPOmp/DiasMes+(DS$94+DS$96+DS$99+DS$100)*P_DPOot/DiasMes)</f>
        <v>158331.69442298592</v>
      </c>
      <c r="DT112" s="48">
        <f>IF(119&gt;Fin,DS$112,DT$93*P_DPOmp/DiasMes+(DT$94+DT$96+DT$99+DT$100)*P_DPOot/DiasMes)</f>
        <v>158331.69442298592</v>
      </c>
      <c r="DU112" s="48">
        <f>IF(120&gt;Fin,DT$112,DU$93*P_DPOmp/DiasMes+(DU$94+DU$96+DU$99+DU$100)*P_DPOot/DiasMes)</f>
        <v>158331.69442298592</v>
      </c>
      <c r="DV112" s="48">
        <f>IF(121&gt;Fin,DU$112,DV$93*P_DPOmp/DiasMes+(DV$94+DV$96+DV$99+DV$100)*P_DPOot/DiasMes)</f>
        <v>158331.69442298592</v>
      </c>
      <c r="DW112" s="48">
        <f>IF(122&gt;Fin,DV$112,DW$93*P_DPOmp/DiasMes+(DW$94+DW$96+DW$99+DW$100)*P_DPOot/DiasMes)</f>
        <v>158331.69442298592</v>
      </c>
      <c r="DX112" s="48">
        <f>IF(123&gt;Fin,DW$112,DX$93*P_DPOmp/DiasMes+(DX$94+DX$96+DX$99+DX$100)*P_DPOot/DiasMes)</f>
        <v>158331.69442298592</v>
      </c>
      <c r="DY112" s="48">
        <f>IF(124&gt;Fin,DX$112,DY$93*P_DPOmp/DiasMes+(DY$94+DY$96+DY$99+DY$100)*P_DPOot/DiasMes)</f>
        <v>158331.69442298592</v>
      </c>
      <c r="DZ112" s="48">
        <f>IF(125&gt;Fin,DY$112,DZ$93*P_DPOmp/DiasMes+(DZ$94+DZ$96+DZ$99+DZ$100)*P_DPOot/DiasMes)</f>
        <v>158331.69442298592</v>
      </c>
      <c r="EA112" s="48">
        <f>IF(126&gt;Fin,DZ$112,EA$93*P_DPOmp/DiasMes+(EA$94+EA$96+EA$99+EA$100)*P_DPOot/DiasMes)</f>
        <v>158331.69442298592</v>
      </c>
      <c r="EB112" s="48">
        <f>IF(127&gt;Fin,EA$112,EB$93*P_DPOmp/DiasMes+(EB$94+EB$96+EB$99+EB$100)*P_DPOot/DiasMes)</f>
        <v>158331.69442298592</v>
      </c>
      <c r="EC112" s="48">
        <f>IF(128&gt;Fin,EB$112,EC$93*P_DPOmp/DiasMes+(EC$94+EC$96+EC$99+EC$100)*P_DPOot/DiasMes)</f>
        <v>158331.69442298592</v>
      </c>
      <c r="ED112" s="48">
        <f>IF(129&gt;Fin,EC$112,ED$93*P_DPOmp/DiasMes+(ED$94+ED$96+ED$99+ED$100)*P_DPOot/DiasMes)</f>
        <v>158331.69442298592</v>
      </c>
      <c r="EE112" s="48">
        <f>IF(130&gt;Fin,ED$112,EE$93*P_DPOmp/DiasMes+(EE$94+EE$96+EE$99+EE$100)*P_DPOot/DiasMes)</f>
        <v>158331.69442298592</v>
      </c>
      <c r="EF112" s="48">
        <f>IF(131&gt;Fin,EE$112,EF$93*P_DPOmp/DiasMes+(EF$94+EF$96+EF$99+EF$100)*P_DPOot/DiasMes)</f>
        <v>158331.69442298592</v>
      </c>
      <c r="EG112" s="48">
        <f>IF(132&gt;Fin,EF$112,EG$93*P_DPOmp/DiasMes+(EG$94+EG$96+EG$99+EG$100)*P_DPOot/DiasMes)</f>
        <v>158331.69442298592</v>
      </c>
      <c r="EH112" s="48">
        <f>IF(133&gt;Fin,EG$112,EH$93*P_DPOmp/DiasMes+(EH$94+EH$96+EH$99+EH$100)*P_DPOot/DiasMes)</f>
        <v>158331.69442298592</v>
      </c>
      <c r="EI112" s="48">
        <f>IF(134&gt;Fin,EH$112,EI$93*P_DPOmp/DiasMes+(EI$94+EI$96+EI$99+EI$100)*P_DPOot/DiasMes)</f>
        <v>158331.69442298592</v>
      </c>
      <c r="EJ112" s="48">
        <f>IF(135&gt;Fin,EI$112,EJ$93*P_DPOmp/DiasMes+(EJ$94+EJ$96+EJ$99+EJ$100)*P_DPOot/DiasMes)</f>
        <v>158331.69442298592</v>
      </c>
      <c r="EK112" s="48">
        <f>IF(136&gt;Fin,EJ$112,EK$93*P_DPOmp/DiasMes+(EK$94+EK$96+EK$99+EK$100)*P_DPOot/DiasMes)</f>
        <v>158331.69442298592</v>
      </c>
      <c r="EL112" s="48">
        <f>IF(137&gt;Fin,EK$112,EL$93*P_DPOmp/DiasMes+(EL$94+EL$96+EL$99+EL$100)*P_DPOot/DiasMes)</f>
        <v>158331.69442298592</v>
      </c>
      <c r="EM112" s="48">
        <f>IF(138&gt;Fin,EL$112,EM$93*P_DPOmp/DiasMes+(EM$94+EM$96+EM$99+EM$100)*P_DPOot/DiasMes)</f>
        <v>158331.69442298592</v>
      </c>
      <c r="EN112" s="48">
        <f>IF(139&gt;Fin,EM$112,EN$93*P_DPOmp/DiasMes+(EN$94+EN$96+EN$99+EN$100)*P_DPOot/DiasMes)</f>
        <v>158331.69442298592</v>
      </c>
      <c r="EO112" s="48">
        <f>IF(140&gt;Fin,EN$112,EO$93*P_DPOmp/DiasMes+(EO$94+EO$96+EO$99+EO$100)*P_DPOot/DiasMes)</f>
        <v>158331.69442298592</v>
      </c>
      <c r="EP112" s="48">
        <f>IF(141&gt;Fin,EO$112,EP$93*P_DPOmp/DiasMes+(EP$94+EP$96+EP$99+EP$100)*P_DPOot/DiasMes)</f>
        <v>158331.69442298592</v>
      </c>
      <c r="EQ112" s="48">
        <f>IF(142&gt;Fin,EP$112,EQ$93*P_DPOmp/DiasMes+(EQ$94+EQ$96+EQ$99+EQ$100)*P_DPOot/DiasMes)</f>
        <v>158331.69442298592</v>
      </c>
      <c r="ER112" s="48">
        <f>IF(143&gt;Fin,EQ$112,ER$93*P_DPOmp/DiasMes+(ER$94+ER$96+ER$99+ER$100)*P_DPOot/DiasMes)</f>
        <v>158331.69442298592</v>
      </c>
      <c r="ES112" s="48">
        <f>IF(144&gt;Fin,ER$112,ES$93*P_DPOmp/DiasMes+(ES$94+ES$96+ES$99+ES$100)*P_DPOot/DiasMes)</f>
        <v>158331.69442298592</v>
      </c>
    </row>
    <row r="113" spans="1:149" x14ac:dyDescent="0.3">
      <c r="A113" s="14" t="s">
        <v>1125</v>
      </c>
      <c r="B113" s="68" t="s">
        <v>1126</v>
      </c>
      <c r="C113" s="18" t="s">
        <v>439</v>
      </c>
      <c r="E113" s="54">
        <f>MAX(F113:ES113)</f>
        <v>4499762.5173222795</v>
      </c>
      <c r="F113" s="22">
        <f t="shared" ref="F113:AK113" si="444">F$109+F$110+F$111-F$112</f>
        <v>2388063.8873590301</v>
      </c>
      <c r="G113" s="22">
        <f t="shared" si="444"/>
        <v>2388063.8873590301</v>
      </c>
      <c r="H113" s="22">
        <f t="shared" si="444"/>
        <v>2388063.8873590301</v>
      </c>
      <c r="I113" s="22">
        <f t="shared" si="444"/>
        <v>2388063.8873590301</v>
      </c>
      <c r="J113" s="22">
        <f t="shared" si="444"/>
        <v>2388063.8873590301</v>
      </c>
      <c r="K113" s="22">
        <f t="shared" si="444"/>
        <v>2388063.8873590301</v>
      </c>
      <c r="L113" s="22">
        <f t="shared" si="444"/>
        <v>2388063.8873590301</v>
      </c>
      <c r="M113" s="22">
        <f t="shared" si="444"/>
        <v>2388063.8873590301</v>
      </c>
      <c r="N113" s="22">
        <f t="shared" si="444"/>
        <v>2388063.8873590301</v>
      </c>
      <c r="O113" s="22">
        <f t="shared" si="444"/>
        <v>2388063.8873590301</v>
      </c>
      <c r="P113" s="22">
        <f t="shared" si="444"/>
        <v>2388063.8873590301</v>
      </c>
      <c r="Q113" s="22">
        <f t="shared" si="444"/>
        <v>2388063.8873590301</v>
      </c>
      <c r="R113" s="22">
        <f t="shared" si="444"/>
        <v>3043209.3317546742</v>
      </c>
      <c r="S113" s="22">
        <f t="shared" si="444"/>
        <v>3043209.3317546742</v>
      </c>
      <c r="T113" s="22">
        <f t="shared" si="444"/>
        <v>3043209.3317546742</v>
      </c>
      <c r="U113" s="22">
        <f t="shared" si="444"/>
        <v>3043209.3317546742</v>
      </c>
      <c r="V113" s="22">
        <f t="shared" si="444"/>
        <v>3043209.3317546742</v>
      </c>
      <c r="W113" s="22">
        <f t="shared" si="444"/>
        <v>3043209.3317546742</v>
      </c>
      <c r="X113" s="22">
        <f t="shared" si="444"/>
        <v>3043209.3317546742</v>
      </c>
      <c r="Y113" s="22">
        <f t="shared" si="444"/>
        <v>3043209.3317546742</v>
      </c>
      <c r="Z113" s="22">
        <f t="shared" si="444"/>
        <v>3043209.3317546742</v>
      </c>
      <c r="AA113" s="22">
        <f t="shared" si="444"/>
        <v>3043209.3317546742</v>
      </c>
      <c r="AB113" s="22">
        <f t="shared" si="444"/>
        <v>3043209.3317546742</v>
      </c>
      <c r="AC113" s="22">
        <f t="shared" si="444"/>
        <v>3043209.3317546742</v>
      </c>
      <c r="AD113" s="22">
        <f t="shared" si="444"/>
        <v>3710536.2623870969</v>
      </c>
      <c r="AE113" s="22">
        <f t="shared" si="444"/>
        <v>3710536.2623870969</v>
      </c>
      <c r="AF113" s="22">
        <f t="shared" si="444"/>
        <v>3710536.2623870969</v>
      </c>
      <c r="AG113" s="22">
        <f t="shared" si="444"/>
        <v>3710536.2623870969</v>
      </c>
      <c r="AH113" s="22">
        <f t="shared" si="444"/>
        <v>3710536.2623870969</v>
      </c>
      <c r="AI113" s="22">
        <f t="shared" si="444"/>
        <v>3710536.2623870969</v>
      </c>
      <c r="AJ113" s="22">
        <f t="shared" si="444"/>
        <v>3710536.2623870969</v>
      </c>
      <c r="AK113" s="22">
        <f t="shared" si="444"/>
        <v>3710536.2623870969</v>
      </c>
      <c r="AL113" s="22">
        <f t="shared" ref="AL113:BQ113" si="445">AL$109+AL$110+AL$111-AL$112</f>
        <v>3710536.2623870969</v>
      </c>
      <c r="AM113" s="22">
        <f t="shared" si="445"/>
        <v>3710536.2623870969</v>
      </c>
      <c r="AN113" s="22">
        <f t="shared" si="445"/>
        <v>3710536.2623870969</v>
      </c>
      <c r="AO113" s="22">
        <f t="shared" si="445"/>
        <v>3710536.2623870969</v>
      </c>
      <c r="AP113" s="22">
        <f t="shared" si="445"/>
        <v>4269345.3323204098</v>
      </c>
      <c r="AQ113" s="22">
        <f t="shared" si="445"/>
        <v>4269345.3323204098</v>
      </c>
      <c r="AR113" s="22">
        <f t="shared" si="445"/>
        <v>4269345.3323204098</v>
      </c>
      <c r="AS113" s="22">
        <f t="shared" si="445"/>
        <v>4269345.3323204098</v>
      </c>
      <c r="AT113" s="22">
        <f t="shared" si="445"/>
        <v>4269345.3323204098</v>
      </c>
      <c r="AU113" s="22">
        <f t="shared" si="445"/>
        <v>4269345.3323204098</v>
      </c>
      <c r="AV113" s="22">
        <f t="shared" si="445"/>
        <v>4269345.3323204098</v>
      </c>
      <c r="AW113" s="22">
        <f t="shared" si="445"/>
        <v>4269345.3323204098</v>
      </c>
      <c r="AX113" s="22">
        <f t="shared" si="445"/>
        <v>4269345.3323204098</v>
      </c>
      <c r="AY113" s="22">
        <f t="shared" si="445"/>
        <v>4269345.3323204098</v>
      </c>
      <c r="AZ113" s="22">
        <f t="shared" si="445"/>
        <v>4269345.3323204098</v>
      </c>
      <c r="BA113" s="22">
        <f t="shared" si="445"/>
        <v>4269345.3323204098</v>
      </c>
      <c r="BB113" s="22">
        <f t="shared" si="445"/>
        <v>4307454.8800262697</v>
      </c>
      <c r="BC113" s="22">
        <f t="shared" si="445"/>
        <v>4307454.8800262697</v>
      </c>
      <c r="BD113" s="22">
        <f t="shared" si="445"/>
        <v>4307454.8800262697</v>
      </c>
      <c r="BE113" s="22">
        <f t="shared" si="445"/>
        <v>4307454.8800262697</v>
      </c>
      <c r="BF113" s="22">
        <f t="shared" si="445"/>
        <v>4307454.8800262697</v>
      </c>
      <c r="BG113" s="22">
        <f t="shared" si="445"/>
        <v>4307454.8800262697</v>
      </c>
      <c r="BH113" s="22">
        <f t="shared" si="445"/>
        <v>4307454.8800262697</v>
      </c>
      <c r="BI113" s="22">
        <f t="shared" si="445"/>
        <v>4307454.8800262697</v>
      </c>
      <c r="BJ113" s="22">
        <f t="shared" si="445"/>
        <v>4307454.8800262697</v>
      </c>
      <c r="BK113" s="22">
        <f t="shared" si="445"/>
        <v>4307454.8800262697</v>
      </c>
      <c r="BL113" s="22">
        <f t="shared" si="445"/>
        <v>4307454.8800262697</v>
      </c>
      <c r="BM113" s="22">
        <f t="shared" si="445"/>
        <v>4307454.8800262697</v>
      </c>
      <c r="BN113" s="22">
        <f t="shared" si="445"/>
        <v>4345179.7364948662</v>
      </c>
      <c r="BO113" s="22">
        <f t="shared" si="445"/>
        <v>4345179.7364948662</v>
      </c>
      <c r="BP113" s="22">
        <f t="shared" si="445"/>
        <v>4345179.7364948662</v>
      </c>
      <c r="BQ113" s="22">
        <f t="shared" si="445"/>
        <v>4345179.7364948662</v>
      </c>
      <c r="BR113" s="22">
        <f t="shared" ref="BR113:CW113" si="446">BR$109+BR$110+BR$111-BR$112</f>
        <v>4345179.7364948662</v>
      </c>
      <c r="BS113" s="22">
        <f t="shared" si="446"/>
        <v>4345179.7364948662</v>
      </c>
      <c r="BT113" s="22">
        <f t="shared" si="446"/>
        <v>4345179.7364948662</v>
      </c>
      <c r="BU113" s="22">
        <f t="shared" si="446"/>
        <v>4345179.7364948662</v>
      </c>
      <c r="BV113" s="22">
        <f t="shared" si="446"/>
        <v>4345179.7364948662</v>
      </c>
      <c r="BW113" s="22">
        <f t="shared" si="446"/>
        <v>4345179.7364948662</v>
      </c>
      <c r="BX113" s="22">
        <f t="shared" si="446"/>
        <v>4345179.7364948662</v>
      </c>
      <c r="BY113" s="22">
        <f t="shared" si="446"/>
        <v>4345179.7364948662</v>
      </c>
      <c r="BZ113" s="22">
        <f t="shared" si="446"/>
        <v>4383269.6297196466</v>
      </c>
      <c r="CA113" s="22">
        <f t="shared" si="446"/>
        <v>4383269.6297196466</v>
      </c>
      <c r="CB113" s="22">
        <f t="shared" si="446"/>
        <v>4383269.6297196466</v>
      </c>
      <c r="CC113" s="22">
        <f t="shared" si="446"/>
        <v>4383269.6297196466</v>
      </c>
      <c r="CD113" s="22">
        <f t="shared" si="446"/>
        <v>4383269.6297196466</v>
      </c>
      <c r="CE113" s="22">
        <f t="shared" si="446"/>
        <v>4383269.6297196466</v>
      </c>
      <c r="CF113" s="22">
        <f t="shared" si="446"/>
        <v>4383269.6297196466</v>
      </c>
      <c r="CG113" s="22">
        <f t="shared" si="446"/>
        <v>4383269.6297196466</v>
      </c>
      <c r="CH113" s="22">
        <f t="shared" si="446"/>
        <v>4383269.6297196466</v>
      </c>
      <c r="CI113" s="22">
        <f t="shared" si="446"/>
        <v>4383269.6297196466</v>
      </c>
      <c r="CJ113" s="22">
        <f t="shared" si="446"/>
        <v>4383269.6297196466</v>
      </c>
      <c r="CK113" s="22">
        <f t="shared" si="446"/>
        <v>4383269.6297196466</v>
      </c>
      <c r="CL113" s="22">
        <f t="shared" si="446"/>
        <v>4421727.8474141657</v>
      </c>
      <c r="CM113" s="22">
        <f t="shared" si="446"/>
        <v>4421727.8474141657</v>
      </c>
      <c r="CN113" s="22">
        <f t="shared" si="446"/>
        <v>4421727.8474141657</v>
      </c>
      <c r="CO113" s="22">
        <f t="shared" si="446"/>
        <v>4421727.8474141657</v>
      </c>
      <c r="CP113" s="22">
        <f t="shared" si="446"/>
        <v>4421727.8474141657</v>
      </c>
      <c r="CQ113" s="22">
        <f t="shared" si="446"/>
        <v>4421727.8474141657</v>
      </c>
      <c r="CR113" s="22">
        <f t="shared" si="446"/>
        <v>4421727.8474141657</v>
      </c>
      <c r="CS113" s="22">
        <f t="shared" si="446"/>
        <v>4421727.8474141657</v>
      </c>
      <c r="CT113" s="22">
        <f t="shared" si="446"/>
        <v>4421727.8474141657</v>
      </c>
      <c r="CU113" s="22">
        <f t="shared" si="446"/>
        <v>4421727.8474141657</v>
      </c>
      <c r="CV113" s="22">
        <f t="shared" si="446"/>
        <v>4421727.8474141657</v>
      </c>
      <c r="CW113" s="22">
        <f t="shared" si="446"/>
        <v>4421727.8474141657</v>
      </c>
      <c r="CX113" s="22">
        <f t="shared" ref="CX113:EC113" si="447">CX$109+CX$110+CX$111-CX$112</f>
        <v>4460557.6993635017</v>
      </c>
      <c r="CY113" s="22">
        <f t="shared" si="447"/>
        <v>4460557.6993635017</v>
      </c>
      <c r="CZ113" s="22">
        <f t="shared" si="447"/>
        <v>4460557.6993635017</v>
      </c>
      <c r="DA113" s="22">
        <f t="shared" si="447"/>
        <v>4460557.6993635017</v>
      </c>
      <c r="DB113" s="22">
        <f t="shared" si="447"/>
        <v>4460557.6993635017</v>
      </c>
      <c r="DC113" s="22">
        <f t="shared" si="447"/>
        <v>4460557.6993635017</v>
      </c>
      <c r="DD113" s="22">
        <f t="shared" si="447"/>
        <v>4460557.6993635017</v>
      </c>
      <c r="DE113" s="22">
        <f t="shared" si="447"/>
        <v>4460557.6993635017</v>
      </c>
      <c r="DF113" s="22">
        <f t="shared" si="447"/>
        <v>4460557.6993635017</v>
      </c>
      <c r="DG113" s="22">
        <f t="shared" si="447"/>
        <v>4460557.6993635017</v>
      </c>
      <c r="DH113" s="22">
        <f t="shared" si="447"/>
        <v>4460557.6993635017</v>
      </c>
      <c r="DI113" s="22">
        <f t="shared" si="447"/>
        <v>4460557.6993635017</v>
      </c>
      <c r="DJ113" s="22">
        <f t="shared" si="447"/>
        <v>4499762.5173222795</v>
      </c>
      <c r="DK113" s="22">
        <f t="shared" si="447"/>
        <v>4499762.5173222795</v>
      </c>
      <c r="DL113" s="22">
        <f t="shared" si="447"/>
        <v>4499762.5173222795</v>
      </c>
      <c r="DM113" s="22">
        <f t="shared" si="447"/>
        <v>4499762.5173222795</v>
      </c>
      <c r="DN113" s="22">
        <f t="shared" si="447"/>
        <v>4499762.5173222795</v>
      </c>
      <c r="DO113" s="22">
        <f t="shared" si="447"/>
        <v>4499762.5173222795</v>
      </c>
      <c r="DP113" s="22">
        <f t="shared" si="447"/>
        <v>4499762.5173222795</v>
      </c>
      <c r="DQ113" s="22">
        <f t="shared" si="447"/>
        <v>4499762.5173222795</v>
      </c>
      <c r="DR113" s="22">
        <f t="shared" si="447"/>
        <v>4499762.5173222795</v>
      </c>
      <c r="DS113" s="22">
        <f t="shared" si="447"/>
        <v>4499762.5173222795</v>
      </c>
      <c r="DT113" s="22">
        <f t="shared" si="447"/>
        <v>4499762.5173222795</v>
      </c>
      <c r="DU113" s="22">
        <f t="shared" si="447"/>
        <v>4499762.5173222795</v>
      </c>
      <c r="DV113" s="22">
        <f t="shared" si="447"/>
        <v>4499762.5173222795</v>
      </c>
      <c r="DW113" s="22">
        <f t="shared" si="447"/>
        <v>4499762.5173222795</v>
      </c>
      <c r="DX113" s="22">
        <f t="shared" si="447"/>
        <v>4499762.5173222795</v>
      </c>
      <c r="DY113" s="22">
        <f t="shared" si="447"/>
        <v>4499762.5173222795</v>
      </c>
      <c r="DZ113" s="22">
        <f t="shared" si="447"/>
        <v>4499762.5173222795</v>
      </c>
      <c r="EA113" s="22">
        <f t="shared" si="447"/>
        <v>4499762.5173222795</v>
      </c>
      <c r="EB113" s="22">
        <f t="shared" si="447"/>
        <v>4499762.5173222795</v>
      </c>
      <c r="EC113" s="22">
        <f t="shared" si="447"/>
        <v>4499762.5173222795</v>
      </c>
      <c r="ED113" s="22">
        <f t="shared" ref="ED113:ES113" si="448">ED$109+ED$110+ED$111-ED$112</f>
        <v>4499762.5173222795</v>
      </c>
      <c r="EE113" s="22">
        <f t="shared" si="448"/>
        <v>4499762.5173222795</v>
      </c>
      <c r="EF113" s="22">
        <f t="shared" si="448"/>
        <v>4499762.5173222795</v>
      </c>
      <c r="EG113" s="22">
        <f t="shared" si="448"/>
        <v>4499762.5173222795</v>
      </c>
      <c r="EH113" s="22">
        <f t="shared" si="448"/>
        <v>4499762.5173222795</v>
      </c>
      <c r="EI113" s="22">
        <f t="shared" si="448"/>
        <v>4499762.5173222795</v>
      </c>
      <c r="EJ113" s="22">
        <f t="shared" si="448"/>
        <v>4499762.5173222795</v>
      </c>
      <c r="EK113" s="22">
        <f t="shared" si="448"/>
        <v>4499762.5173222795</v>
      </c>
      <c r="EL113" s="22">
        <f t="shared" si="448"/>
        <v>4499762.5173222795</v>
      </c>
      <c r="EM113" s="22">
        <f t="shared" si="448"/>
        <v>4499762.5173222795</v>
      </c>
      <c r="EN113" s="22">
        <f t="shared" si="448"/>
        <v>4499762.5173222795</v>
      </c>
      <c r="EO113" s="22">
        <f t="shared" si="448"/>
        <v>4499762.5173222795</v>
      </c>
      <c r="EP113" s="22">
        <f t="shared" si="448"/>
        <v>4499762.5173222795</v>
      </c>
      <c r="EQ113" s="22">
        <f t="shared" si="448"/>
        <v>4499762.5173222795</v>
      </c>
      <c r="ER113" s="22">
        <f t="shared" si="448"/>
        <v>4499762.5173222795</v>
      </c>
      <c r="ES113" s="22">
        <f t="shared" si="448"/>
        <v>4499762.5173222795</v>
      </c>
    </row>
    <row r="114" spans="1:149" x14ac:dyDescent="0.3">
      <c r="A114" s="14" t="s">
        <v>1127</v>
      </c>
      <c r="B114" s="18" t="s">
        <v>1128</v>
      </c>
      <c r="C114" s="18" t="s">
        <v>439</v>
      </c>
      <c r="E114" s="54">
        <f>SUM(F114:ES114)</f>
        <v>4499762.5173222795</v>
      </c>
      <c r="F114" s="48">
        <f>F$113-0</f>
        <v>2388063.8873590301</v>
      </c>
      <c r="G114" s="48">
        <f t="shared" ref="G114:AL114" si="449">G$113-F$113</f>
        <v>0</v>
      </c>
      <c r="H114" s="48">
        <f t="shared" si="449"/>
        <v>0</v>
      </c>
      <c r="I114" s="48">
        <f t="shared" si="449"/>
        <v>0</v>
      </c>
      <c r="J114" s="48">
        <f t="shared" si="449"/>
        <v>0</v>
      </c>
      <c r="K114" s="48">
        <f t="shared" si="449"/>
        <v>0</v>
      </c>
      <c r="L114" s="48">
        <f t="shared" si="449"/>
        <v>0</v>
      </c>
      <c r="M114" s="48">
        <f t="shared" si="449"/>
        <v>0</v>
      </c>
      <c r="N114" s="48">
        <f t="shared" si="449"/>
        <v>0</v>
      </c>
      <c r="O114" s="48">
        <f t="shared" si="449"/>
        <v>0</v>
      </c>
      <c r="P114" s="48">
        <f t="shared" si="449"/>
        <v>0</v>
      </c>
      <c r="Q114" s="48">
        <f t="shared" si="449"/>
        <v>0</v>
      </c>
      <c r="R114" s="48">
        <f t="shared" si="449"/>
        <v>655145.44439564412</v>
      </c>
      <c r="S114" s="48">
        <f t="shared" si="449"/>
        <v>0</v>
      </c>
      <c r="T114" s="48">
        <f t="shared" si="449"/>
        <v>0</v>
      </c>
      <c r="U114" s="48">
        <f t="shared" si="449"/>
        <v>0</v>
      </c>
      <c r="V114" s="48">
        <f t="shared" si="449"/>
        <v>0</v>
      </c>
      <c r="W114" s="48">
        <f t="shared" si="449"/>
        <v>0</v>
      </c>
      <c r="X114" s="48">
        <f t="shared" si="449"/>
        <v>0</v>
      </c>
      <c r="Y114" s="48">
        <f t="shared" si="449"/>
        <v>0</v>
      </c>
      <c r="Z114" s="48">
        <f t="shared" si="449"/>
        <v>0</v>
      </c>
      <c r="AA114" s="48">
        <f t="shared" si="449"/>
        <v>0</v>
      </c>
      <c r="AB114" s="48">
        <f t="shared" si="449"/>
        <v>0</v>
      </c>
      <c r="AC114" s="48">
        <f t="shared" si="449"/>
        <v>0</v>
      </c>
      <c r="AD114" s="48">
        <f t="shared" si="449"/>
        <v>667326.93063242268</v>
      </c>
      <c r="AE114" s="48">
        <f t="shared" si="449"/>
        <v>0</v>
      </c>
      <c r="AF114" s="48">
        <f t="shared" si="449"/>
        <v>0</v>
      </c>
      <c r="AG114" s="48">
        <f t="shared" si="449"/>
        <v>0</v>
      </c>
      <c r="AH114" s="48">
        <f t="shared" si="449"/>
        <v>0</v>
      </c>
      <c r="AI114" s="48">
        <f t="shared" si="449"/>
        <v>0</v>
      </c>
      <c r="AJ114" s="48">
        <f t="shared" si="449"/>
        <v>0</v>
      </c>
      <c r="AK114" s="48">
        <f t="shared" si="449"/>
        <v>0</v>
      </c>
      <c r="AL114" s="48">
        <f t="shared" si="449"/>
        <v>0</v>
      </c>
      <c r="AM114" s="48">
        <f t="shared" ref="AM114:BR114" si="450">AM$113-AL$113</f>
        <v>0</v>
      </c>
      <c r="AN114" s="48">
        <f t="shared" si="450"/>
        <v>0</v>
      </c>
      <c r="AO114" s="48">
        <f t="shared" si="450"/>
        <v>0</v>
      </c>
      <c r="AP114" s="48">
        <f t="shared" si="450"/>
        <v>558809.06993331295</v>
      </c>
      <c r="AQ114" s="48">
        <f t="shared" si="450"/>
        <v>0</v>
      </c>
      <c r="AR114" s="48">
        <f t="shared" si="450"/>
        <v>0</v>
      </c>
      <c r="AS114" s="48">
        <f t="shared" si="450"/>
        <v>0</v>
      </c>
      <c r="AT114" s="48">
        <f t="shared" si="450"/>
        <v>0</v>
      </c>
      <c r="AU114" s="48">
        <f t="shared" si="450"/>
        <v>0</v>
      </c>
      <c r="AV114" s="48">
        <f t="shared" si="450"/>
        <v>0</v>
      </c>
      <c r="AW114" s="48">
        <f t="shared" si="450"/>
        <v>0</v>
      </c>
      <c r="AX114" s="48">
        <f t="shared" si="450"/>
        <v>0</v>
      </c>
      <c r="AY114" s="48">
        <f t="shared" si="450"/>
        <v>0</v>
      </c>
      <c r="AZ114" s="48">
        <f t="shared" si="450"/>
        <v>0</v>
      </c>
      <c r="BA114" s="48">
        <f t="shared" si="450"/>
        <v>0</v>
      </c>
      <c r="BB114" s="48">
        <f t="shared" si="450"/>
        <v>38109.547705859877</v>
      </c>
      <c r="BC114" s="48">
        <f t="shared" si="450"/>
        <v>0</v>
      </c>
      <c r="BD114" s="48">
        <f t="shared" si="450"/>
        <v>0</v>
      </c>
      <c r="BE114" s="48">
        <f t="shared" si="450"/>
        <v>0</v>
      </c>
      <c r="BF114" s="48">
        <f t="shared" si="450"/>
        <v>0</v>
      </c>
      <c r="BG114" s="48">
        <f t="shared" si="450"/>
        <v>0</v>
      </c>
      <c r="BH114" s="48">
        <f t="shared" si="450"/>
        <v>0</v>
      </c>
      <c r="BI114" s="48">
        <f t="shared" si="450"/>
        <v>0</v>
      </c>
      <c r="BJ114" s="48">
        <f t="shared" si="450"/>
        <v>0</v>
      </c>
      <c r="BK114" s="48">
        <f t="shared" si="450"/>
        <v>0</v>
      </c>
      <c r="BL114" s="48">
        <f t="shared" si="450"/>
        <v>0</v>
      </c>
      <c r="BM114" s="48">
        <f t="shared" si="450"/>
        <v>0</v>
      </c>
      <c r="BN114" s="48">
        <f t="shared" si="450"/>
        <v>37724.856468596496</v>
      </c>
      <c r="BO114" s="48">
        <f t="shared" si="450"/>
        <v>0</v>
      </c>
      <c r="BP114" s="48">
        <f t="shared" si="450"/>
        <v>0</v>
      </c>
      <c r="BQ114" s="48">
        <f t="shared" si="450"/>
        <v>0</v>
      </c>
      <c r="BR114" s="48">
        <f t="shared" si="450"/>
        <v>0</v>
      </c>
      <c r="BS114" s="48">
        <f t="shared" ref="BS114:CX114" si="451">BS$113-BR$113</f>
        <v>0</v>
      </c>
      <c r="BT114" s="48">
        <f t="shared" si="451"/>
        <v>0</v>
      </c>
      <c r="BU114" s="48">
        <f t="shared" si="451"/>
        <v>0</v>
      </c>
      <c r="BV114" s="48">
        <f t="shared" si="451"/>
        <v>0</v>
      </c>
      <c r="BW114" s="48">
        <f t="shared" si="451"/>
        <v>0</v>
      </c>
      <c r="BX114" s="48">
        <f t="shared" si="451"/>
        <v>0</v>
      </c>
      <c r="BY114" s="48">
        <f t="shared" si="451"/>
        <v>0</v>
      </c>
      <c r="BZ114" s="48">
        <f t="shared" si="451"/>
        <v>38089.893224780448</v>
      </c>
      <c r="CA114" s="48">
        <f t="shared" si="451"/>
        <v>0</v>
      </c>
      <c r="CB114" s="48">
        <f t="shared" si="451"/>
        <v>0</v>
      </c>
      <c r="CC114" s="48">
        <f t="shared" si="451"/>
        <v>0</v>
      </c>
      <c r="CD114" s="48">
        <f t="shared" si="451"/>
        <v>0</v>
      </c>
      <c r="CE114" s="48">
        <f t="shared" si="451"/>
        <v>0</v>
      </c>
      <c r="CF114" s="48">
        <f t="shared" si="451"/>
        <v>0</v>
      </c>
      <c r="CG114" s="48">
        <f t="shared" si="451"/>
        <v>0</v>
      </c>
      <c r="CH114" s="48">
        <f t="shared" si="451"/>
        <v>0</v>
      </c>
      <c r="CI114" s="48">
        <f t="shared" si="451"/>
        <v>0</v>
      </c>
      <c r="CJ114" s="48">
        <f t="shared" si="451"/>
        <v>0</v>
      </c>
      <c r="CK114" s="48">
        <f t="shared" si="451"/>
        <v>0</v>
      </c>
      <c r="CL114" s="48">
        <f t="shared" si="451"/>
        <v>38458.217694519088</v>
      </c>
      <c r="CM114" s="48">
        <f t="shared" si="451"/>
        <v>0</v>
      </c>
      <c r="CN114" s="48">
        <f t="shared" si="451"/>
        <v>0</v>
      </c>
      <c r="CO114" s="48">
        <f t="shared" si="451"/>
        <v>0</v>
      </c>
      <c r="CP114" s="48">
        <f t="shared" si="451"/>
        <v>0</v>
      </c>
      <c r="CQ114" s="48">
        <f t="shared" si="451"/>
        <v>0</v>
      </c>
      <c r="CR114" s="48">
        <f t="shared" si="451"/>
        <v>0</v>
      </c>
      <c r="CS114" s="48">
        <f t="shared" si="451"/>
        <v>0</v>
      </c>
      <c r="CT114" s="48">
        <f t="shared" si="451"/>
        <v>0</v>
      </c>
      <c r="CU114" s="48">
        <f t="shared" si="451"/>
        <v>0</v>
      </c>
      <c r="CV114" s="48">
        <f t="shared" si="451"/>
        <v>0</v>
      </c>
      <c r="CW114" s="48">
        <f t="shared" si="451"/>
        <v>0</v>
      </c>
      <c r="CX114" s="48">
        <f t="shared" si="451"/>
        <v>38829.851949336007</v>
      </c>
      <c r="CY114" s="48">
        <f t="shared" ref="CY114:ED114" si="452">CY$113-CX$113</f>
        <v>0</v>
      </c>
      <c r="CZ114" s="48">
        <f t="shared" si="452"/>
        <v>0</v>
      </c>
      <c r="DA114" s="48">
        <f t="shared" si="452"/>
        <v>0</v>
      </c>
      <c r="DB114" s="48">
        <f t="shared" si="452"/>
        <v>0</v>
      </c>
      <c r="DC114" s="48">
        <f t="shared" si="452"/>
        <v>0</v>
      </c>
      <c r="DD114" s="48">
        <f t="shared" si="452"/>
        <v>0</v>
      </c>
      <c r="DE114" s="48">
        <f t="shared" si="452"/>
        <v>0</v>
      </c>
      <c r="DF114" s="48">
        <f t="shared" si="452"/>
        <v>0</v>
      </c>
      <c r="DG114" s="48">
        <f t="shared" si="452"/>
        <v>0</v>
      </c>
      <c r="DH114" s="48">
        <f t="shared" si="452"/>
        <v>0</v>
      </c>
      <c r="DI114" s="48">
        <f t="shared" si="452"/>
        <v>0</v>
      </c>
      <c r="DJ114" s="48">
        <f t="shared" si="452"/>
        <v>39204.81795877777</v>
      </c>
      <c r="DK114" s="48">
        <f t="shared" si="452"/>
        <v>0</v>
      </c>
      <c r="DL114" s="48">
        <f t="shared" si="452"/>
        <v>0</v>
      </c>
      <c r="DM114" s="48">
        <f t="shared" si="452"/>
        <v>0</v>
      </c>
      <c r="DN114" s="48">
        <f t="shared" si="452"/>
        <v>0</v>
      </c>
      <c r="DO114" s="48">
        <f t="shared" si="452"/>
        <v>0</v>
      </c>
      <c r="DP114" s="48">
        <f t="shared" si="452"/>
        <v>0</v>
      </c>
      <c r="DQ114" s="48">
        <f t="shared" si="452"/>
        <v>0</v>
      </c>
      <c r="DR114" s="48">
        <f t="shared" si="452"/>
        <v>0</v>
      </c>
      <c r="DS114" s="48">
        <f t="shared" si="452"/>
        <v>0</v>
      </c>
      <c r="DT114" s="48">
        <f t="shared" si="452"/>
        <v>0</v>
      </c>
      <c r="DU114" s="48">
        <f t="shared" si="452"/>
        <v>0</v>
      </c>
      <c r="DV114" s="48">
        <f t="shared" si="452"/>
        <v>0</v>
      </c>
      <c r="DW114" s="48">
        <f t="shared" si="452"/>
        <v>0</v>
      </c>
      <c r="DX114" s="48">
        <f t="shared" si="452"/>
        <v>0</v>
      </c>
      <c r="DY114" s="48">
        <f t="shared" si="452"/>
        <v>0</v>
      </c>
      <c r="DZ114" s="48">
        <f t="shared" si="452"/>
        <v>0</v>
      </c>
      <c r="EA114" s="48">
        <f t="shared" si="452"/>
        <v>0</v>
      </c>
      <c r="EB114" s="48">
        <f t="shared" si="452"/>
        <v>0</v>
      </c>
      <c r="EC114" s="48">
        <f t="shared" si="452"/>
        <v>0</v>
      </c>
      <c r="ED114" s="48">
        <f t="shared" si="452"/>
        <v>0</v>
      </c>
      <c r="EE114" s="48">
        <f t="shared" ref="EE114:ES114" si="453">EE$113-ED$113</f>
        <v>0</v>
      </c>
      <c r="EF114" s="48">
        <f t="shared" si="453"/>
        <v>0</v>
      </c>
      <c r="EG114" s="48">
        <f t="shared" si="453"/>
        <v>0</v>
      </c>
      <c r="EH114" s="48">
        <f t="shared" si="453"/>
        <v>0</v>
      </c>
      <c r="EI114" s="48">
        <f t="shared" si="453"/>
        <v>0</v>
      </c>
      <c r="EJ114" s="48">
        <f t="shared" si="453"/>
        <v>0</v>
      </c>
      <c r="EK114" s="48">
        <f t="shared" si="453"/>
        <v>0</v>
      </c>
      <c r="EL114" s="48">
        <f t="shared" si="453"/>
        <v>0</v>
      </c>
      <c r="EM114" s="48">
        <f t="shared" si="453"/>
        <v>0</v>
      </c>
      <c r="EN114" s="48">
        <f t="shared" si="453"/>
        <v>0</v>
      </c>
      <c r="EO114" s="48">
        <f t="shared" si="453"/>
        <v>0</v>
      </c>
      <c r="EP114" s="48">
        <f t="shared" si="453"/>
        <v>0</v>
      </c>
      <c r="EQ114" s="48">
        <f t="shared" si="453"/>
        <v>0</v>
      </c>
      <c r="ER114" s="48">
        <f t="shared" si="453"/>
        <v>0</v>
      </c>
      <c r="ES114" s="48">
        <f t="shared" si="453"/>
        <v>0</v>
      </c>
    </row>
    <row r="115" spans="1:149" x14ac:dyDescent="0.3">
      <c r="A115" s="16"/>
      <c r="B115" s="15" t="s">
        <v>1129</v>
      </c>
      <c r="C115" s="16"/>
      <c r="D115" s="16"/>
      <c r="E115" s="16"/>
    </row>
    <row r="116" spans="1:149" x14ac:dyDescent="0.3">
      <c r="A116" s="14" t="s">
        <v>1130</v>
      </c>
      <c r="B116" s="68" t="s">
        <v>1131</v>
      </c>
      <c r="C116" s="18" t="s">
        <v>439</v>
      </c>
      <c r="E116" s="54">
        <f>SUM(F116:ES116)</f>
        <v>11809741.498938736</v>
      </c>
      <c r="F116" s="22">
        <f t="shared" ref="F116:AK116" si="454">(F$102-F$106-F$114)*F$9</f>
        <v>-2345566.3868834404</v>
      </c>
      <c r="G116" s="22">
        <f t="shared" si="454"/>
        <v>42497.500475589746</v>
      </c>
      <c r="H116" s="22">
        <f t="shared" si="454"/>
        <v>42497.500475589746</v>
      </c>
      <c r="I116" s="22">
        <f t="shared" si="454"/>
        <v>42497.500475589746</v>
      </c>
      <c r="J116" s="22">
        <f t="shared" si="454"/>
        <v>42497.500475589746</v>
      </c>
      <c r="K116" s="22">
        <f t="shared" si="454"/>
        <v>42497.500475589746</v>
      </c>
      <c r="L116" s="22">
        <f t="shared" si="454"/>
        <v>42497.500475589746</v>
      </c>
      <c r="M116" s="22">
        <f t="shared" si="454"/>
        <v>42497.500475589746</v>
      </c>
      <c r="N116" s="22">
        <f t="shared" si="454"/>
        <v>42497.500475589746</v>
      </c>
      <c r="O116" s="22">
        <f t="shared" si="454"/>
        <v>42497.500475589746</v>
      </c>
      <c r="P116" s="22">
        <f t="shared" si="454"/>
        <v>42497.500475589746</v>
      </c>
      <c r="Q116" s="22">
        <f t="shared" si="454"/>
        <v>42497.500475589746</v>
      </c>
      <c r="R116" s="22">
        <f t="shared" si="454"/>
        <v>-574649.04140167939</v>
      </c>
      <c r="S116" s="22">
        <f t="shared" si="454"/>
        <v>80496.402993964788</v>
      </c>
      <c r="T116" s="22">
        <f t="shared" si="454"/>
        <v>80496.402993964788</v>
      </c>
      <c r="U116" s="22">
        <f t="shared" si="454"/>
        <v>80496.402993964788</v>
      </c>
      <c r="V116" s="22">
        <f t="shared" si="454"/>
        <v>80496.402993964788</v>
      </c>
      <c r="W116" s="22">
        <f t="shared" si="454"/>
        <v>80496.402993964788</v>
      </c>
      <c r="X116" s="22">
        <f t="shared" si="454"/>
        <v>80496.402993964788</v>
      </c>
      <c r="Y116" s="22">
        <f t="shared" si="454"/>
        <v>80496.402993964788</v>
      </c>
      <c r="Z116" s="22">
        <f t="shared" si="454"/>
        <v>80496.402993964788</v>
      </c>
      <c r="AA116" s="22">
        <f t="shared" si="454"/>
        <v>80496.402993964788</v>
      </c>
      <c r="AB116" s="22">
        <f t="shared" si="454"/>
        <v>80496.402993964788</v>
      </c>
      <c r="AC116" s="22">
        <f t="shared" si="454"/>
        <v>80496.402993964788</v>
      </c>
      <c r="AD116" s="22">
        <f t="shared" si="454"/>
        <v>-550241.89976729802</v>
      </c>
      <c r="AE116" s="22">
        <f t="shared" si="454"/>
        <v>117085.03086512467</v>
      </c>
      <c r="AF116" s="22">
        <f t="shared" si="454"/>
        <v>117085.03086512467</v>
      </c>
      <c r="AG116" s="22">
        <f t="shared" si="454"/>
        <v>117085.03086512467</v>
      </c>
      <c r="AH116" s="22">
        <f t="shared" si="454"/>
        <v>117085.03086512467</v>
      </c>
      <c r="AI116" s="22">
        <f t="shared" si="454"/>
        <v>117085.03086512467</v>
      </c>
      <c r="AJ116" s="22">
        <f t="shared" si="454"/>
        <v>117085.03086512467</v>
      </c>
      <c r="AK116" s="22">
        <f t="shared" si="454"/>
        <v>117085.03086512467</v>
      </c>
      <c r="AL116" s="22">
        <f t="shared" ref="AL116:BQ116" si="455">(AL$102-AL$106-AL$114)*AL$9</f>
        <v>117085.03086512467</v>
      </c>
      <c r="AM116" s="22">
        <f t="shared" si="455"/>
        <v>117085.03086512467</v>
      </c>
      <c r="AN116" s="22">
        <f t="shared" si="455"/>
        <v>117085.03086512467</v>
      </c>
      <c r="AO116" s="22">
        <f t="shared" si="455"/>
        <v>117085.03086512467</v>
      </c>
      <c r="AP116" s="22">
        <f t="shared" si="455"/>
        <v>-408915.49005345465</v>
      </c>
      <c r="AQ116" s="22">
        <f t="shared" si="455"/>
        <v>149893.57987985833</v>
      </c>
      <c r="AR116" s="22">
        <f t="shared" si="455"/>
        <v>149893.57987985833</v>
      </c>
      <c r="AS116" s="22">
        <f t="shared" si="455"/>
        <v>149893.57987985833</v>
      </c>
      <c r="AT116" s="22">
        <f t="shared" si="455"/>
        <v>149893.57987985833</v>
      </c>
      <c r="AU116" s="22">
        <f t="shared" si="455"/>
        <v>149893.57987985833</v>
      </c>
      <c r="AV116" s="22">
        <f t="shared" si="455"/>
        <v>149893.57987985833</v>
      </c>
      <c r="AW116" s="22">
        <f t="shared" si="455"/>
        <v>149893.57987985833</v>
      </c>
      <c r="AX116" s="22">
        <f t="shared" si="455"/>
        <v>149893.57987985833</v>
      </c>
      <c r="AY116" s="22">
        <f t="shared" si="455"/>
        <v>149893.57987985833</v>
      </c>
      <c r="AZ116" s="22">
        <f t="shared" si="455"/>
        <v>149893.57987985833</v>
      </c>
      <c r="BA116" s="22">
        <f t="shared" si="455"/>
        <v>149893.57987985833</v>
      </c>
      <c r="BB116" s="22">
        <f t="shared" si="455"/>
        <v>113103.61717051381</v>
      </c>
      <c r="BC116" s="22">
        <f t="shared" si="455"/>
        <v>151213.16487637369</v>
      </c>
      <c r="BD116" s="22">
        <f t="shared" si="455"/>
        <v>151213.16487637369</v>
      </c>
      <c r="BE116" s="22">
        <f t="shared" si="455"/>
        <v>151213.16487637369</v>
      </c>
      <c r="BF116" s="22">
        <f t="shared" si="455"/>
        <v>151213.16487637369</v>
      </c>
      <c r="BG116" s="22">
        <f t="shared" si="455"/>
        <v>151213.16487637369</v>
      </c>
      <c r="BH116" s="22">
        <f t="shared" si="455"/>
        <v>151213.16487637369</v>
      </c>
      <c r="BI116" s="22">
        <f t="shared" si="455"/>
        <v>151213.16487637369</v>
      </c>
      <c r="BJ116" s="22">
        <f t="shared" si="455"/>
        <v>151213.16487637369</v>
      </c>
      <c r="BK116" s="22">
        <f t="shared" si="455"/>
        <v>151213.16487637369</v>
      </c>
      <c r="BL116" s="22">
        <f t="shared" si="455"/>
        <v>151213.16487637369</v>
      </c>
      <c r="BM116" s="22">
        <f t="shared" si="455"/>
        <v>151213.16487637369</v>
      </c>
      <c r="BN116" s="22">
        <f t="shared" si="455"/>
        <v>117575.58532922962</v>
      </c>
      <c r="BO116" s="22">
        <f t="shared" si="455"/>
        <v>155300.44179782612</v>
      </c>
      <c r="BP116" s="22">
        <f t="shared" si="455"/>
        <v>155300.44179782612</v>
      </c>
      <c r="BQ116" s="22">
        <f t="shared" si="455"/>
        <v>155300.44179782612</v>
      </c>
      <c r="BR116" s="22">
        <f t="shared" ref="BR116:CW116" si="456">(BR$102-BR$106-BR$114)*BR$9</f>
        <v>155300.44179782612</v>
      </c>
      <c r="BS116" s="22">
        <f t="shared" si="456"/>
        <v>155300.44179782612</v>
      </c>
      <c r="BT116" s="22">
        <f t="shared" si="456"/>
        <v>155300.44179782612</v>
      </c>
      <c r="BU116" s="22">
        <f t="shared" si="456"/>
        <v>155300.44179782612</v>
      </c>
      <c r="BV116" s="22">
        <f t="shared" si="456"/>
        <v>155300.44179782612</v>
      </c>
      <c r="BW116" s="22">
        <f t="shared" si="456"/>
        <v>155300.44179782612</v>
      </c>
      <c r="BX116" s="22">
        <f t="shared" si="456"/>
        <v>155300.44179782612</v>
      </c>
      <c r="BY116" s="22">
        <f t="shared" si="456"/>
        <v>155300.44179782612</v>
      </c>
      <c r="BZ116" s="22">
        <f t="shared" si="456"/>
        <v>121326.12926461932</v>
      </c>
      <c r="CA116" s="22">
        <f t="shared" si="456"/>
        <v>159416.02248939977</v>
      </c>
      <c r="CB116" s="22">
        <f t="shared" si="456"/>
        <v>159416.02248939977</v>
      </c>
      <c r="CC116" s="22">
        <f t="shared" si="456"/>
        <v>159416.02248939977</v>
      </c>
      <c r="CD116" s="22">
        <f t="shared" si="456"/>
        <v>159416.02248939977</v>
      </c>
      <c r="CE116" s="22">
        <f t="shared" si="456"/>
        <v>159416.02248939977</v>
      </c>
      <c r="CF116" s="22">
        <f t="shared" si="456"/>
        <v>159416.02248939977</v>
      </c>
      <c r="CG116" s="22">
        <f t="shared" si="456"/>
        <v>159416.02248939977</v>
      </c>
      <c r="CH116" s="22">
        <f t="shared" si="456"/>
        <v>159416.02248939977</v>
      </c>
      <c r="CI116" s="22">
        <f t="shared" si="456"/>
        <v>159416.02248939977</v>
      </c>
      <c r="CJ116" s="22">
        <f t="shared" si="456"/>
        <v>159416.02248939977</v>
      </c>
      <c r="CK116" s="22">
        <f t="shared" si="456"/>
        <v>159416.02248939977</v>
      </c>
      <c r="CL116" s="22">
        <f t="shared" si="456"/>
        <v>125101.60085176842</v>
      </c>
      <c r="CM116" s="22">
        <f t="shared" si="456"/>
        <v>163559.81854628751</v>
      </c>
      <c r="CN116" s="22">
        <f t="shared" si="456"/>
        <v>163559.81854628751</v>
      </c>
      <c r="CO116" s="22">
        <f t="shared" si="456"/>
        <v>163559.81854628751</v>
      </c>
      <c r="CP116" s="22">
        <f t="shared" si="456"/>
        <v>163559.81854628751</v>
      </c>
      <c r="CQ116" s="22">
        <f t="shared" si="456"/>
        <v>163559.81854628751</v>
      </c>
      <c r="CR116" s="22">
        <f t="shared" si="456"/>
        <v>163559.81854628751</v>
      </c>
      <c r="CS116" s="22">
        <f t="shared" si="456"/>
        <v>163559.81854628751</v>
      </c>
      <c r="CT116" s="22">
        <f t="shared" si="456"/>
        <v>163559.81854628751</v>
      </c>
      <c r="CU116" s="22">
        <f t="shared" si="456"/>
        <v>163559.81854628751</v>
      </c>
      <c r="CV116" s="22">
        <f t="shared" si="456"/>
        <v>163559.81854628751</v>
      </c>
      <c r="CW116" s="22">
        <f t="shared" si="456"/>
        <v>163559.81854628751</v>
      </c>
      <c r="CX116" s="22">
        <f t="shared" ref="CX116:EC116" si="457">(CX$102-CX$106-CX$114)*CX$9</f>
        <v>128901.87769957155</v>
      </c>
      <c r="CY116" s="22">
        <f t="shared" si="457"/>
        <v>167731.72964890755</v>
      </c>
      <c r="CZ116" s="22">
        <f t="shared" si="457"/>
        <v>167731.72964890755</v>
      </c>
      <c r="DA116" s="22">
        <f t="shared" si="457"/>
        <v>167731.72964890755</v>
      </c>
      <c r="DB116" s="22">
        <f t="shared" si="457"/>
        <v>167731.72964890755</v>
      </c>
      <c r="DC116" s="22">
        <f t="shared" si="457"/>
        <v>167731.72964890755</v>
      </c>
      <c r="DD116" s="22">
        <f t="shared" si="457"/>
        <v>167731.72964890755</v>
      </c>
      <c r="DE116" s="22">
        <f t="shared" si="457"/>
        <v>167731.72964890755</v>
      </c>
      <c r="DF116" s="22">
        <f t="shared" si="457"/>
        <v>167731.72964890755</v>
      </c>
      <c r="DG116" s="22">
        <f t="shared" si="457"/>
        <v>167731.72964890755</v>
      </c>
      <c r="DH116" s="22">
        <f t="shared" si="457"/>
        <v>167731.72964890755</v>
      </c>
      <c r="DI116" s="22">
        <f t="shared" si="457"/>
        <v>167731.72964890755</v>
      </c>
      <c r="DJ116" s="22">
        <f t="shared" si="457"/>
        <v>132726.82515630833</v>
      </c>
      <c r="DK116" s="22">
        <f t="shared" si="457"/>
        <v>171931.6431150861</v>
      </c>
      <c r="DL116" s="22">
        <f t="shared" si="457"/>
        <v>171931.6431150861</v>
      </c>
      <c r="DM116" s="22">
        <f t="shared" si="457"/>
        <v>171931.6431150861</v>
      </c>
      <c r="DN116" s="22">
        <f t="shared" si="457"/>
        <v>171931.6431150861</v>
      </c>
      <c r="DO116" s="22">
        <f t="shared" si="457"/>
        <v>171931.6431150861</v>
      </c>
      <c r="DP116" s="22">
        <f t="shared" si="457"/>
        <v>171931.6431150861</v>
      </c>
      <c r="DQ116" s="22">
        <f t="shared" si="457"/>
        <v>171931.6431150861</v>
      </c>
      <c r="DR116" s="22">
        <f t="shared" si="457"/>
        <v>171931.6431150861</v>
      </c>
      <c r="DS116" s="22">
        <f t="shared" si="457"/>
        <v>171931.6431150861</v>
      </c>
      <c r="DT116" s="22">
        <f t="shared" si="457"/>
        <v>171931.6431150861</v>
      </c>
      <c r="DU116" s="22">
        <f t="shared" si="457"/>
        <v>171931.6431150861</v>
      </c>
      <c r="DV116" s="22">
        <f t="shared" si="457"/>
        <v>0</v>
      </c>
      <c r="DW116" s="22">
        <f t="shared" si="457"/>
        <v>0</v>
      </c>
      <c r="DX116" s="22">
        <f t="shared" si="457"/>
        <v>0</v>
      </c>
      <c r="DY116" s="22">
        <f t="shared" si="457"/>
        <v>0</v>
      </c>
      <c r="DZ116" s="22">
        <f t="shared" si="457"/>
        <v>0</v>
      </c>
      <c r="EA116" s="22">
        <f t="shared" si="457"/>
        <v>0</v>
      </c>
      <c r="EB116" s="22">
        <f t="shared" si="457"/>
        <v>0</v>
      </c>
      <c r="EC116" s="22">
        <f t="shared" si="457"/>
        <v>0</v>
      </c>
      <c r="ED116" s="22">
        <f t="shared" ref="ED116:ES116" si="458">(ED$102-ED$106-ED$114)*ED$9</f>
        <v>0</v>
      </c>
      <c r="EE116" s="22">
        <f t="shared" si="458"/>
        <v>0</v>
      </c>
      <c r="EF116" s="22">
        <f t="shared" si="458"/>
        <v>0</v>
      </c>
      <c r="EG116" s="22">
        <f t="shared" si="458"/>
        <v>0</v>
      </c>
      <c r="EH116" s="22">
        <f t="shared" si="458"/>
        <v>0</v>
      </c>
      <c r="EI116" s="22">
        <f t="shared" si="458"/>
        <v>0</v>
      </c>
      <c r="EJ116" s="22">
        <f t="shared" si="458"/>
        <v>0</v>
      </c>
      <c r="EK116" s="22">
        <f t="shared" si="458"/>
        <v>0</v>
      </c>
      <c r="EL116" s="22">
        <f t="shared" si="458"/>
        <v>0</v>
      </c>
      <c r="EM116" s="22">
        <f t="shared" si="458"/>
        <v>0</v>
      </c>
      <c r="EN116" s="22">
        <f t="shared" si="458"/>
        <v>0</v>
      </c>
      <c r="EO116" s="22">
        <f t="shared" si="458"/>
        <v>0</v>
      </c>
      <c r="EP116" s="22">
        <f t="shared" si="458"/>
        <v>0</v>
      </c>
      <c r="EQ116" s="22">
        <f t="shared" si="458"/>
        <v>0</v>
      </c>
      <c r="ER116" s="22">
        <f t="shared" si="458"/>
        <v>0</v>
      </c>
      <c r="ES116" s="22">
        <f t="shared" si="458"/>
        <v>0</v>
      </c>
    </row>
    <row r="117" spans="1:149" x14ac:dyDescent="0.3">
      <c r="A117" s="14" t="s">
        <v>1132</v>
      </c>
      <c r="B117" s="18" t="s">
        <v>946</v>
      </c>
      <c r="C117" s="18" t="s">
        <v>439</v>
      </c>
      <c r="E117" s="54">
        <f>SUM(F117:ES117)</f>
        <v>755044.08999999985</v>
      </c>
      <c r="F117" s="48">
        <f>SUMIF(Inv_E,1,Inv_D)*F$9</f>
        <v>655044.08999999985</v>
      </c>
      <c r="G117" s="48">
        <f>SUMIF(Inv_E,2,Inv_D)*G$9</f>
        <v>0</v>
      </c>
      <c r="H117" s="48">
        <f>SUMIF(Inv_E,3,Inv_D)*H$9</f>
        <v>0</v>
      </c>
      <c r="I117" s="48">
        <f>SUMIF(Inv_E,4,Inv_D)*I$9</f>
        <v>0</v>
      </c>
      <c r="J117" s="48">
        <f>SUMIF(Inv_E,5,Inv_D)*J$9</f>
        <v>0</v>
      </c>
      <c r="K117" s="48">
        <f>SUMIF(Inv_E,6,Inv_D)*K$9</f>
        <v>0</v>
      </c>
      <c r="L117" s="48">
        <f>SUMIF(Inv_E,7,Inv_D)*L$9</f>
        <v>0</v>
      </c>
      <c r="M117" s="48">
        <f>SUMIF(Inv_E,8,Inv_D)*M$9</f>
        <v>0</v>
      </c>
      <c r="N117" s="48">
        <f>SUMIF(Inv_E,9,Inv_D)*N$9</f>
        <v>0</v>
      </c>
      <c r="O117" s="48">
        <f>SUMIF(Inv_E,10,Inv_D)*O$9</f>
        <v>0</v>
      </c>
      <c r="P117" s="48">
        <f>SUMIF(Inv_E,11,Inv_D)*P$9</f>
        <v>0</v>
      </c>
      <c r="Q117" s="48">
        <f>SUMIF(Inv_E,12,Inv_D)*Q$9</f>
        <v>0</v>
      </c>
      <c r="R117" s="48">
        <f>SUMIF(Inv_E,13,Inv_D)*R$9</f>
        <v>100000</v>
      </c>
      <c r="S117" s="48">
        <f>SUMIF(Inv_E,14,Inv_D)*S$9</f>
        <v>0</v>
      </c>
      <c r="T117" s="48">
        <f>SUMIF(Inv_E,15,Inv_D)*T$9</f>
        <v>0</v>
      </c>
      <c r="U117" s="48">
        <f>SUMIF(Inv_E,16,Inv_D)*U$9</f>
        <v>0</v>
      </c>
      <c r="V117" s="48">
        <f>SUMIF(Inv_E,17,Inv_D)*V$9</f>
        <v>0</v>
      </c>
      <c r="W117" s="48">
        <f>SUMIF(Inv_E,18,Inv_D)*W$9</f>
        <v>0</v>
      </c>
      <c r="X117" s="48">
        <f>SUMIF(Inv_E,19,Inv_D)*X$9</f>
        <v>0</v>
      </c>
      <c r="Y117" s="48">
        <f>SUMIF(Inv_E,20,Inv_D)*Y$9</f>
        <v>0</v>
      </c>
      <c r="Z117" s="48">
        <f>SUMIF(Inv_E,21,Inv_D)*Z$9</f>
        <v>0</v>
      </c>
      <c r="AA117" s="48">
        <f>SUMIF(Inv_E,22,Inv_D)*AA$9</f>
        <v>0</v>
      </c>
      <c r="AB117" s="48">
        <f>SUMIF(Inv_E,23,Inv_D)*AB$9</f>
        <v>0</v>
      </c>
      <c r="AC117" s="48">
        <f>SUMIF(Inv_E,24,Inv_D)*AC$9</f>
        <v>0</v>
      </c>
      <c r="AD117" s="48">
        <f>SUMIF(Inv_E,25,Inv_D)*AD$9</f>
        <v>0</v>
      </c>
      <c r="AE117" s="48">
        <f>SUMIF(Inv_E,26,Inv_D)*AE$9</f>
        <v>0</v>
      </c>
      <c r="AF117" s="48">
        <f>SUMIF(Inv_E,27,Inv_D)*AF$9</f>
        <v>0</v>
      </c>
      <c r="AG117" s="48">
        <f>SUMIF(Inv_E,28,Inv_D)*AG$9</f>
        <v>0</v>
      </c>
      <c r="AH117" s="48">
        <f>SUMIF(Inv_E,29,Inv_D)*AH$9</f>
        <v>0</v>
      </c>
      <c r="AI117" s="48">
        <f>SUMIF(Inv_E,30,Inv_D)*AI$9</f>
        <v>0</v>
      </c>
      <c r="AJ117" s="48">
        <f>SUMIF(Inv_E,31,Inv_D)*AJ$9</f>
        <v>0</v>
      </c>
      <c r="AK117" s="48">
        <f>SUMIF(Inv_E,32,Inv_D)*AK$9</f>
        <v>0</v>
      </c>
      <c r="AL117" s="48">
        <f>SUMIF(Inv_E,33,Inv_D)*AL$9</f>
        <v>0</v>
      </c>
      <c r="AM117" s="48">
        <f>SUMIF(Inv_E,34,Inv_D)*AM$9</f>
        <v>0</v>
      </c>
      <c r="AN117" s="48">
        <f>SUMIF(Inv_E,35,Inv_D)*AN$9</f>
        <v>0</v>
      </c>
      <c r="AO117" s="48">
        <f>SUMIF(Inv_E,36,Inv_D)*AO$9</f>
        <v>0</v>
      </c>
      <c r="AP117" s="48">
        <f>SUMIF(Inv_E,37,Inv_D)*AP$9</f>
        <v>0</v>
      </c>
      <c r="AQ117" s="48">
        <f>SUMIF(Inv_E,38,Inv_D)*AQ$9</f>
        <v>0</v>
      </c>
      <c r="AR117" s="48">
        <f>SUMIF(Inv_E,39,Inv_D)*AR$9</f>
        <v>0</v>
      </c>
      <c r="AS117" s="48">
        <f>SUMIF(Inv_E,40,Inv_D)*AS$9</f>
        <v>0</v>
      </c>
      <c r="AT117" s="48">
        <f>SUMIF(Inv_E,41,Inv_D)*AT$9</f>
        <v>0</v>
      </c>
      <c r="AU117" s="48">
        <f>SUMIF(Inv_E,42,Inv_D)*AU$9</f>
        <v>0</v>
      </c>
      <c r="AV117" s="48">
        <f>SUMIF(Inv_E,43,Inv_D)*AV$9</f>
        <v>0</v>
      </c>
      <c r="AW117" s="48">
        <f>SUMIF(Inv_E,44,Inv_D)*AW$9</f>
        <v>0</v>
      </c>
      <c r="AX117" s="48">
        <f>SUMIF(Inv_E,45,Inv_D)*AX$9</f>
        <v>0</v>
      </c>
      <c r="AY117" s="48">
        <f>SUMIF(Inv_E,46,Inv_D)*AY$9</f>
        <v>0</v>
      </c>
      <c r="AZ117" s="48">
        <f>SUMIF(Inv_E,47,Inv_D)*AZ$9</f>
        <v>0</v>
      </c>
      <c r="BA117" s="48">
        <f>SUMIF(Inv_E,48,Inv_D)*BA$9</f>
        <v>0</v>
      </c>
      <c r="BB117" s="48">
        <f>SUMIF(Inv_E,49,Inv_D)*BB$9</f>
        <v>0</v>
      </c>
      <c r="BC117" s="48">
        <f>SUMIF(Inv_E,50,Inv_D)*BC$9</f>
        <v>0</v>
      </c>
      <c r="BD117" s="48">
        <f>SUMIF(Inv_E,51,Inv_D)*BD$9</f>
        <v>0</v>
      </c>
      <c r="BE117" s="48">
        <f>SUMIF(Inv_E,52,Inv_D)*BE$9</f>
        <v>0</v>
      </c>
      <c r="BF117" s="48">
        <f>SUMIF(Inv_E,53,Inv_D)*BF$9</f>
        <v>0</v>
      </c>
      <c r="BG117" s="48">
        <f>SUMIF(Inv_E,54,Inv_D)*BG$9</f>
        <v>0</v>
      </c>
      <c r="BH117" s="48">
        <f>SUMIF(Inv_E,55,Inv_D)*BH$9</f>
        <v>0</v>
      </c>
      <c r="BI117" s="48">
        <f>SUMIF(Inv_E,56,Inv_D)*BI$9</f>
        <v>0</v>
      </c>
      <c r="BJ117" s="48">
        <f>SUMIF(Inv_E,57,Inv_D)*BJ$9</f>
        <v>0</v>
      </c>
      <c r="BK117" s="48">
        <f>SUMIF(Inv_E,58,Inv_D)*BK$9</f>
        <v>0</v>
      </c>
      <c r="BL117" s="48">
        <f>SUMIF(Inv_E,59,Inv_D)*BL$9</f>
        <v>0</v>
      </c>
      <c r="BM117" s="48">
        <f>SUMIF(Inv_E,60,Inv_D)*BM$9</f>
        <v>0</v>
      </c>
      <c r="BN117" s="48">
        <f>SUMIF(Inv_E,61,Inv_D)*BN$9</f>
        <v>0</v>
      </c>
      <c r="BO117" s="48">
        <f>SUMIF(Inv_E,62,Inv_D)*BO$9</f>
        <v>0</v>
      </c>
      <c r="BP117" s="48">
        <f>SUMIF(Inv_E,63,Inv_D)*BP$9</f>
        <v>0</v>
      </c>
      <c r="BQ117" s="48">
        <f>SUMIF(Inv_E,64,Inv_D)*BQ$9</f>
        <v>0</v>
      </c>
      <c r="BR117" s="48">
        <f>SUMIF(Inv_E,65,Inv_D)*BR$9</f>
        <v>0</v>
      </c>
      <c r="BS117" s="48">
        <f>SUMIF(Inv_E,66,Inv_D)*BS$9</f>
        <v>0</v>
      </c>
      <c r="BT117" s="48">
        <f>SUMIF(Inv_E,67,Inv_D)*BT$9</f>
        <v>0</v>
      </c>
      <c r="BU117" s="48">
        <f>SUMIF(Inv_E,68,Inv_D)*BU$9</f>
        <v>0</v>
      </c>
      <c r="BV117" s="48">
        <f>SUMIF(Inv_E,69,Inv_D)*BV$9</f>
        <v>0</v>
      </c>
      <c r="BW117" s="48">
        <f>SUMIF(Inv_E,70,Inv_D)*BW$9</f>
        <v>0</v>
      </c>
      <c r="BX117" s="48">
        <f>SUMIF(Inv_E,71,Inv_D)*BX$9</f>
        <v>0</v>
      </c>
      <c r="BY117" s="48">
        <f>SUMIF(Inv_E,72,Inv_D)*BY$9</f>
        <v>0</v>
      </c>
      <c r="BZ117" s="48">
        <f>SUMIF(Inv_E,73,Inv_D)*BZ$9</f>
        <v>0</v>
      </c>
      <c r="CA117" s="48">
        <f>SUMIF(Inv_E,74,Inv_D)*CA$9</f>
        <v>0</v>
      </c>
      <c r="CB117" s="48">
        <f>SUMIF(Inv_E,75,Inv_D)*CB$9</f>
        <v>0</v>
      </c>
      <c r="CC117" s="48">
        <f>SUMIF(Inv_E,76,Inv_D)*CC$9</f>
        <v>0</v>
      </c>
      <c r="CD117" s="48">
        <f>SUMIF(Inv_E,77,Inv_D)*CD$9</f>
        <v>0</v>
      </c>
      <c r="CE117" s="48">
        <f>SUMIF(Inv_E,78,Inv_D)*CE$9</f>
        <v>0</v>
      </c>
      <c r="CF117" s="48">
        <f>SUMIF(Inv_E,79,Inv_D)*CF$9</f>
        <v>0</v>
      </c>
      <c r="CG117" s="48">
        <f>SUMIF(Inv_E,80,Inv_D)*CG$9</f>
        <v>0</v>
      </c>
      <c r="CH117" s="48">
        <f>SUMIF(Inv_E,81,Inv_D)*CH$9</f>
        <v>0</v>
      </c>
      <c r="CI117" s="48">
        <f>SUMIF(Inv_E,82,Inv_D)*CI$9</f>
        <v>0</v>
      </c>
      <c r="CJ117" s="48">
        <f>SUMIF(Inv_E,83,Inv_D)*CJ$9</f>
        <v>0</v>
      </c>
      <c r="CK117" s="48">
        <f>SUMIF(Inv_E,84,Inv_D)*CK$9</f>
        <v>0</v>
      </c>
      <c r="CL117" s="48">
        <f>SUMIF(Inv_E,85,Inv_D)*CL$9</f>
        <v>0</v>
      </c>
      <c r="CM117" s="48">
        <f>SUMIF(Inv_E,86,Inv_D)*CM$9</f>
        <v>0</v>
      </c>
      <c r="CN117" s="48">
        <f>SUMIF(Inv_E,87,Inv_D)*CN$9</f>
        <v>0</v>
      </c>
      <c r="CO117" s="48">
        <f>SUMIF(Inv_E,88,Inv_D)*CO$9</f>
        <v>0</v>
      </c>
      <c r="CP117" s="48">
        <f>SUMIF(Inv_E,89,Inv_D)*CP$9</f>
        <v>0</v>
      </c>
      <c r="CQ117" s="48">
        <f>SUMIF(Inv_E,90,Inv_D)*CQ$9</f>
        <v>0</v>
      </c>
      <c r="CR117" s="48">
        <f>SUMIF(Inv_E,91,Inv_D)*CR$9</f>
        <v>0</v>
      </c>
      <c r="CS117" s="48">
        <f>SUMIF(Inv_E,92,Inv_D)*CS$9</f>
        <v>0</v>
      </c>
      <c r="CT117" s="48">
        <f>SUMIF(Inv_E,93,Inv_D)*CT$9</f>
        <v>0</v>
      </c>
      <c r="CU117" s="48">
        <f>SUMIF(Inv_E,94,Inv_D)*CU$9</f>
        <v>0</v>
      </c>
      <c r="CV117" s="48">
        <f>SUMIF(Inv_E,95,Inv_D)*CV$9</f>
        <v>0</v>
      </c>
      <c r="CW117" s="48">
        <f>SUMIF(Inv_E,96,Inv_D)*CW$9</f>
        <v>0</v>
      </c>
      <c r="CX117" s="48">
        <f>SUMIF(Inv_E,97,Inv_D)*CX$9</f>
        <v>0</v>
      </c>
      <c r="CY117" s="48">
        <f>SUMIF(Inv_E,98,Inv_D)*CY$9</f>
        <v>0</v>
      </c>
      <c r="CZ117" s="48">
        <f>SUMIF(Inv_E,99,Inv_D)*CZ$9</f>
        <v>0</v>
      </c>
      <c r="DA117" s="48">
        <f>SUMIF(Inv_E,100,Inv_D)*DA$9</f>
        <v>0</v>
      </c>
      <c r="DB117" s="48">
        <f>SUMIF(Inv_E,101,Inv_D)*DB$9</f>
        <v>0</v>
      </c>
      <c r="DC117" s="48">
        <f>SUMIF(Inv_E,102,Inv_D)*DC$9</f>
        <v>0</v>
      </c>
      <c r="DD117" s="48">
        <f>SUMIF(Inv_E,103,Inv_D)*DD$9</f>
        <v>0</v>
      </c>
      <c r="DE117" s="48">
        <f>SUMIF(Inv_E,104,Inv_D)*DE$9</f>
        <v>0</v>
      </c>
      <c r="DF117" s="48">
        <f>SUMIF(Inv_E,105,Inv_D)*DF$9</f>
        <v>0</v>
      </c>
      <c r="DG117" s="48">
        <f>SUMIF(Inv_E,106,Inv_D)*DG$9</f>
        <v>0</v>
      </c>
      <c r="DH117" s="48">
        <f>SUMIF(Inv_E,107,Inv_D)*DH$9</f>
        <v>0</v>
      </c>
      <c r="DI117" s="48">
        <f>SUMIF(Inv_E,108,Inv_D)*DI$9</f>
        <v>0</v>
      </c>
      <c r="DJ117" s="48">
        <f>SUMIF(Inv_E,109,Inv_D)*DJ$9</f>
        <v>0</v>
      </c>
      <c r="DK117" s="48">
        <f>SUMIF(Inv_E,110,Inv_D)*DK$9</f>
        <v>0</v>
      </c>
      <c r="DL117" s="48">
        <f>SUMIF(Inv_E,111,Inv_D)*DL$9</f>
        <v>0</v>
      </c>
      <c r="DM117" s="48">
        <f>SUMIF(Inv_E,112,Inv_D)*DM$9</f>
        <v>0</v>
      </c>
      <c r="DN117" s="48">
        <f>SUMIF(Inv_E,113,Inv_D)*DN$9</f>
        <v>0</v>
      </c>
      <c r="DO117" s="48">
        <f>SUMIF(Inv_E,114,Inv_D)*DO$9</f>
        <v>0</v>
      </c>
      <c r="DP117" s="48">
        <f>SUMIF(Inv_E,115,Inv_D)*DP$9</f>
        <v>0</v>
      </c>
      <c r="DQ117" s="48">
        <f>SUMIF(Inv_E,116,Inv_D)*DQ$9</f>
        <v>0</v>
      </c>
      <c r="DR117" s="48">
        <f>SUMIF(Inv_E,117,Inv_D)*DR$9</f>
        <v>0</v>
      </c>
      <c r="DS117" s="48">
        <f>SUMIF(Inv_E,118,Inv_D)*DS$9</f>
        <v>0</v>
      </c>
      <c r="DT117" s="48">
        <f>SUMIF(Inv_E,119,Inv_D)*DT$9</f>
        <v>0</v>
      </c>
      <c r="DU117" s="48">
        <f>SUMIF(Inv_E,120,Inv_D)*DU$9</f>
        <v>0</v>
      </c>
      <c r="DV117" s="48">
        <f>SUMIF(Inv_E,121,Inv_D)*DV$9</f>
        <v>0</v>
      </c>
      <c r="DW117" s="48">
        <f>SUMIF(Inv_E,122,Inv_D)*DW$9</f>
        <v>0</v>
      </c>
      <c r="DX117" s="48">
        <f>SUMIF(Inv_E,123,Inv_D)*DX$9</f>
        <v>0</v>
      </c>
      <c r="DY117" s="48">
        <f>SUMIF(Inv_E,124,Inv_D)*DY$9</f>
        <v>0</v>
      </c>
      <c r="DZ117" s="48">
        <f>SUMIF(Inv_E,125,Inv_D)*DZ$9</f>
        <v>0</v>
      </c>
      <c r="EA117" s="48">
        <f>SUMIF(Inv_E,126,Inv_D)*EA$9</f>
        <v>0</v>
      </c>
      <c r="EB117" s="48">
        <f>SUMIF(Inv_E,127,Inv_D)*EB$9</f>
        <v>0</v>
      </c>
      <c r="EC117" s="48">
        <f>SUMIF(Inv_E,128,Inv_D)*EC$9</f>
        <v>0</v>
      </c>
      <c r="ED117" s="48">
        <f>SUMIF(Inv_E,129,Inv_D)*ED$9</f>
        <v>0</v>
      </c>
      <c r="EE117" s="48">
        <f>SUMIF(Inv_E,130,Inv_D)*EE$9</f>
        <v>0</v>
      </c>
      <c r="EF117" s="48">
        <f>SUMIF(Inv_E,131,Inv_D)*EF$9</f>
        <v>0</v>
      </c>
      <c r="EG117" s="48">
        <f>SUMIF(Inv_E,132,Inv_D)*EG$9</f>
        <v>0</v>
      </c>
      <c r="EH117" s="48">
        <f>SUMIF(Inv_E,133,Inv_D)*EH$9</f>
        <v>0</v>
      </c>
      <c r="EI117" s="48">
        <f>SUMIF(Inv_E,134,Inv_D)*EI$9</f>
        <v>0</v>
      </c>
      <c r="EJ117" s="48">
        <f>SUMIF(Inv_E,135,Inv_D)*EJ$9</f>
        <v>0</v>
      </c>
      <c r="EK117" s="48">
        <f>SUMIF(Inv_E,136,Inv_D)*EK$9</f>
        <v>0</v>
      </c>
      <c r="EL117" s="48">
        <f>SUMIF(Inv_E,137,Inv_D)*EL$9</f>
        <v>0</v>
      </c>
      <c r="EM117" s="48">
        <f>SUMIF(Inv_E,138,Inv_D)*EM$9</f>
        <v>0</v>
      </c>
      <c r="EN117" s="48">
        <f>SUMIF(Inv_E,139,Inv_D)*EN$9</f>
        <v>0</v>
      </c>
      <c r="EO117" s="48">
        <f>SUMIF(Inv_E,140,Inv_D)*EO$9</f>
        <v>0</v>
      </c>
      <c r="EP117" s="48">
        <f>SUMIF(Inv_E,141,Inv_D)*EP$9</f>
        <v>0</v>
      </c>
      <c r="EQ117" s="48">
        <f>SUMIF(Inv_E,142,Inv_D)*EQ$9</f>
        <v>0</v>
      </c>
      <c r="ER117" s="48">
        <f>SUMIF(Inv_E,143,Inv_D)*ER$9</f>
        <v>0</v>
      </c>
      <c r="ES117" s="48">
        <f>SUMIF(Inv_E,144,Inv_D)*ES$9</f>
        <v>0</v>
      </c>
    </row>
    <row r="118" spans="1:149" x14ac:dyDescent="0.3">
      <c r="A118" s="14" t="s">
        <v>1133</v>
      </c>
      <c r="B118" s="18" t="s">
        <v>1134</v>
      </c>
      <c r="C118" s="18" t="s">
        <v>439</v>
      </c>
      <c r="E118" s="54">
        <f>INDEX(F118:ES118,1,MIN(144,Fin))</f>
        <v>10000.000000000771</v>
      </c>
      <c r="F118" s="48">
        <f>0+F$117-F$103</f>
        <v>649078.07258333324</v>
      </c>
      <c r="G118" s="48">
        <f t="shared" ref="G118:AL118" si="459">F$118+G$117-G$103</f>
        <v>643112.05516666663</v>
      </c>
      <c r="H118" s="48">
        <f t="shared" si="459"/>
        <v>637146.03775000002</v>
      </c>
      <c r="I118" s="48">
        <f t="shared" si="459"/>
        <v>631180.02033333341</v>
      </c>
      <c r="J118" s="48">
        <f t="shared" si="459"/>
        <v>625214.0029166668</v>
      </c>
      <c r="K118" s="48">
        <f t="shared" si="459"/>
        <v>619247.98550000018</v>
      </c>
      <c r="L118" s="48">
        <f t="shared" si="459"/>
        <v>613281.96808333357</v>
      </c>
      <c r="M118" s="48">
        <f t="shared" si="459"/>
        <v>607315.95066666696</v>
      </c>
      <c r="N118" s="48">
        <f t="shared" si="459"/>
        <v>601349.93325000035</v>
      </c>
      <c r="O118" s="48">
        <f t="shared" si="459"/>
        <v>595383.91583333374</v>
      </c>
      <c r="P118" s="48">
        <f t="shared" si="459"/>
        <v>589417.89841666713</v>
      </c>
      <c r="Q118" s="48">
        <f t="shared" si="459"/>
        <v>583451.88100000052</v>
      </c>
      <c r="R118" s="48">
        <f t="shared" si="459"/>
        <v>676652.53025000053</v>
      </c>
      <c r="S118" s="48">
        <f t="shared" si="459"/>
        <v>669853.17950000055</v>
      </c>
      <c r="T118" s="48">
        <f t="shared" si="459"/>
        <v>663053.82875000057</v>
      </c>
      <c r="U118" s="48">
        <f t="shared" si="459"/>
        <v>656254.47800000058</v>
      </c>
      <c r="V118" s="48">
        <f t="shared" si="459"/>
        <v>649455.1272500006</v>
      </c>
      <c r="W118" s="48">
        <f t="shared" si="459"/>
        <v>642655.77650000062</v>
      </c>
      <c r="X118" s="48">
        <f t="shared" si="459"/>
        <v>635856.42575000064</v>
      </c>
      <c r="Y118" s="48">
        <f t="shared" si="459"/>
        <v>629057.07500000065</v>
      </c>
      <c r="Z118" s="48">
        <f t="shared" si="459"/>
        <v>622257.72425000067</v>
      </c>
      <c r="AA118" s="48">
        <f t="shared" si="459"/>
        <v>615458.37350000069</v>
      </c>
      <c r="AB118" s="48">
        <f t="shared" si="459"/>
        <v>608659.0227500007</v>
      </c>
      <c r="AC118" s="48">
        <f t="shared" si="459"/>
        <v>601859.67200000072</v>
      </c>
      <c r="AD118" s="48">
        <f t="shared" si="459"/>
        <v>595060.32125000074</v>
      </c>
      <c r="AE118" s="48">
        <f t="shared" si="459"/>
        <v>588260.97050000075</v>
      </c>
      <c r="AF118" s="48">
        <f t="shared" si="459"/>
        <v>581461.61975000077</v>
      </c>
      <c r="AG118" s="48">
        <f t="shared" si="459"/>
        <v>574662.26900000079</v>
      </c>
      <c r="AH118" s="48">
        <f t="shared" si="459"/>
        <v>567862.9182500008</v>
      </c>
      <c r="AI118" s="48">
        <f t="shared" si="459"/>
        <v>561063.56750000082</v>
      </c>
      <c r="AJ118" s="48">
        <f t="shared" si="459"/>
        <v>554264.21675000084</v>
      </c>
      <c r="AK118" s="48">
        <f t="shared" si="459"/>
        <v>547464.86600000085</v>
      </c>
      <c r="AL118" s="48">
        <f t="shared" si="459"/>
        <v>540665.51525000087</v>
      </c>
      <c r="AM118" s="48">
        <f t="shared" ref="AM118:BR118" si="460">AL$118+AM$117-AM$103</f>
        <v>533866.16450000089</v>
      </c>
      <c r="AN118" s="48">
        <f t="shared" si="460"/>
        <v>527066.8137500009</v>
      </c>
      <c r="AO118" s="48">
        <f t="shared" si="460"/>
        <v>520267.46300000092</v>
      </c>
      <c r="AP118" s="48">
        <f t="shared" si="460"/>
        <v>513468.11225000094</v>
      </c>
      <c r="AQ118" s="48">
        <f t="shared" si="460"/>
        <v>506668.76150000095</v>
      </c>
      <c r="AR118" s="48">
        <f t="shared" si="460"/>
        <v>499869.41075000097</v>
      </c>
      <c r="AS118" s="48">
        <f t="shared" si="460"/>
        <v>493070.06000000099</v>
      </c>
      <c r="AT118" s="48">
        <f t="shared" si="460"/>
        <v>486270.709250001</v>
      </c>
      <c r="AU118" s="48">
        <f t="shared" si="460"/>
        <v>479471.35850000102</v>
      </c>
      <c r="AV118" s="48">
        <f t="shared" si="460"/>
        <v>472672.00775000104</v>
      </c>
      <c r="AW118" s="48">
        <f t="shared" si="460"/>
        <v>465872.65700000105</v>
      </c>
      <c r="AX118" s="48">
        <f t="shared" si="460"/>
        <v>459073.30625000107</v>
      </c>
      <c r="AY118" s="48">
        <f t="shared" si="460"/>
        <v>452273.95550000109</v>
      </c>
      <c r="AZ118" s="48">
        <f t="shared" si="460"/>
        <v>445474.6047500011</v>
      </c>
      <c r="BA118" s="48">
        <f t="shared" si="460"/>
        <v>438675.25400000112</v>
      </c>
      <c r="BB118" s="48">
        <f t="shared" si="460"/>
        <v>431875.90325000114</v>
      </c>
      <c r="BC118" s="48">
        <f t="shared" si="460"/>
        <v>425076.55250000115</v>
      </c>
      <c r="BD118" s="48">
        <f t="shared" si="460"/>
        <v>418277.20175000117</v>
      </c>
      <c r="BE118" s="48">
        <f t="shared" si="460"/>
        <v>411477.85100000119</v>
      </c>
      <c r="BF118" s="48">
        <f t="shared" si="460"/>
        <v>404678.50025000121</v>
      </c>
      <c r="BG118" s="48">
        <f t="shared" si="460"/>
        <v>397879.14950000122</v>
      </c>
      <c r="BH118" s="48">
        <f t="shared" si="460"/>
        <v>391079.79875000124</v>
      </c>
      <c r="BI118" s="48">
        <f t="shared" si="460"/>
        <v>384280.44800000126</v>
      </c>
      <c r="BJ118" s="48">
        <f t="shared" si="460"/>
        <v>377481.09725000127</v>
      </c>
      <c r="BK118" s="48">
        <f t="shared" si="460"/>
        <v>370681.74650000129</v>
      </c>
      <c r="BL118" s="48">
        <f t="shared" si="460"/>
        <v>363882.39575000131</v>
      </c>
      <c r="BM118" s="48">
        <f t="shared" si="460"/>
        <v>357083.04500000132</v>
      </c>
      <c r="BN118" s="48">
        <f t="shared" si="460"/>
        <v>351298.32758333464</v>
      </c>
      <c r="BO118" s="48">
        <f t="shared" si="460"/>
        <v>345513.61016666796</v>
      </c>
      <c r="BP118" s="48">
        <f t="shared" si="460"/>
        <v>339728.89275000128</v>
      </c>
      <c r="BQ118" s="48">
        <f t="shared" si="460"/>
        <v>333944.1753333346</v>
      </c>
      <c r="BR118" s="48">
        <f t="shared" si="460"/>
        <v>328159.45791666792</v>
      </c>
      <c r="BS118" s="48">
        <f t="shared" ref="BS118:CX118" si="461">BR$118+BS$117-BS$103</f>
        <v>322374.74050000124</v>
      </c>
      <c r="BT118" s="48">
        <f t="shared" si="461"/>
        <v>316590.02308333456</v>
      </c>
      <c r="BU118" s="48">
        <f t="shared" si="461"/>
        <v>310805.30566666787</v>
      </c>
      <c r="BV118" s="48">
        <f t="shared" si="461"/>
        <v>305020.58825000119</v>
      </c>
      <c r="BW118" s="48">
        <f t="shared" si="461"/>
        <v>299235.87083333451</v>
      </c>
      <c r="BX118" s="48">
        <f t="shared" si="461"/>
        <v>293451.15341666783</v>
      </c>
      <c r="BY118" s="48">
        <f t="shared" si="461"/>
        <v>287666.43600000115</v>
      </c>
      <c r="BZ118" s="48">
        <f t="shared" si="461"/>
        <v>281881.71858333447</v>
      </c>
      <c r="CA118" s="48">
        <f t="shared" si="461"/>
        <v>276097.00116666779</v>
      </c>
      <c r="CB118" s="48">
        <f t="shared" si="461"/>
        <v>270312.28375000111</v>
      </c>
      <c r="CC118" s="48">
        <f t="shared" si="461"/>
        <v>264527.56633333443</v>
      </c>
      <c r="CD118" s="48">
        <f t="shared" si="461"/>
        <v>258742.84891666775</v>
      </c>
      <c r="CE118" s="48">
        <f t="shared" si="461"/>
        <v>252958.13150000107</v>
      </c>
      <c r="CF118" s="48">
        <f t="shared" si="461"/>
        <v>247173.41408333438</v>
      </c>
      <c r="CG118" s="48">
        <f t="shared" si="461"/>
        <v>241388.6966666677</v>
      </c>
      <c r="CH118" s="48">
        <f t="shared" si="461"/>
        <v>235603.97925000102</v>
      </c>
      <c r="CI118" s="48">
        <f t="shared" si="461"/>
        <v>229819.26183333434</v>
      </c>
      <c r="CJ118" s="48">
        <f t="shared" si="461"/>
        <v>224034.54441666766</v>
      </c>
      <c r="CK118" s="48">
        <f t="shared" si="461"/>
        <v>218249.82700000098</v>
      </c>
      <c r="CL118" s="48">
        <f t="shared" si="461"/>
        <v>212465.1095833343</v>
      </c>
      <c r="CM118" s="48">
        <f t="shared" si="461"/>
        <v>206680.39216666762</v>
      </c>
      <c r="CN118" s="48">
        <f t="shared" si="461"/>
        <v>200895.67475000094</v>
      </c>
      <c r="CO118" s="48">
        <f t="shared" si="461"/>
        <v>195110.95733333426</v>
      </c>
      <c r="CP118" s="48">
        <f t="shared" si="461"/>
        <v>189326.23991666758</v>
      </c>
      <c r="CQ118" s="48">
        <f t="shared" si="461"/>
        <v>183541.52250000089</v>
      </c>
      <c r="CR118" s="48">
        <f t="shared" si="461"/>
        <v>177756.80508333421</v>
      </c>
      <c r="CS118" s="48">
        <f t="shared" si="461"/>
        <v>171972.08766666753</v>
      </c>
      <c r="CT118" s="48">
        <f t="shared" si="461"/>
        <v>166187.37025000085</v>
      </c>
      <c r="CU118" s="48">
        <f t="shared" si="461"/>
        <v>160402.65283333417</v>
      </c>
      <c r="CV118" s="48">
        <f t="shared" si="461"/>
        <v>154617.93541666749</v>
      </c>
      <c r="CW118" s="48">
        <f t="shared" si="461"/>
        <v>148833.21800000081</v>
      </c>
      <c r="CX118" s="48">
        <f t="shared" si="461"/>
        <v>143048.50058333413</v>
      </c>
      <c r="CY118" s="48">
        <f t="shared" ref="CY118:ED118" si="462">CX$118+CY$117-CY$103</f>
        <v>137263.78316666745</v>
      </c>
      <c r="CZ118" s="48">
        <f t="shared" si="462"/>
        <v>131479.06575000077</v>
      </c>
      <c r="DA118" s="48">
        <f t="shared" si="462"/>
        <v>125694.3483333341</v>
      </c>
      <c r="DB118" s="48">
        <f t="shared" si="462"/>
        <v>119909.63091666743</v>
      </c>
      <c r="DC118" s="48">
        <f t="shared" si="462"/>
        <v>114124.91350000077</v>
      </c>
      <c r="DD118" s="48">
        <f t="shared" si="462"/>
        <v>108340.1960833341</v>
      </c>
      <c r="DE118" s="48">
        <f t="shared" si="462"/>
        <v>102555.47866666743</v>
      </c>
      <c r="DF118" s="48">
        <f t="shared" si="462"/>
        <v>96770.761250000767</v>
      </c>
      <c r="DG118" s="48">
        <f t="shared" si="462"/>
        <v>90986.043833334101</v>
      </c>
      <c r="DH118" s="48">
        <f t="shared" si="462"/>
        <v>85201.326416667434</v>
      </c>
      <c r="DI118" s="48">
        <f t="shared" si="462"/>
        <v>79416.609000000768</v>
      </c>
      <c r="DJ118" s="48">
        <f t="shared" si="462"/>
        <v>73631.891583334102</v>
      </c>
      <c r="DK118" s="48">
        <f t="shared" si="462"/>
        <v>67847.174166667435</v>
      </c>
      <c r="DL118" s="48">
        <f t="shared" si="462"/>
        <v>62062.456750000769</v>
      </c>
      <c r="DM118" s="48">
        <f t="shared" si="462"/>
        <v>56277.739333334102</v>
      </c>
      <c r="DN118" s="48">
        <f t="shared" si="462"/>
        <v>50493.021916667436</v>
      </c>
      <c r="DO118" s="48">
        <f t="shared" si="462"/>
        <v>44708.30450000077</v>
      </c>
      <c r="DP118" s="48">
        <f t="shared" si="462"/>
        <v>38923.587083334103</v>
      </c>
      <c r="DQ118" s="48">
        <f t="shared" si="462"/>
        <v>33138.869666667437</v>
      </c>
      <c r="DR118" s="48">
        <f t="shared" si="462"/>
        <v>27354.15225000077</v>
      </c>
      <c r="DS118" s="48">
        <f t="shared" si="462"/>
        <v>21569.434833334104</v>
      </c>
      <c r="DT118" s="48">
        <f t="shared" si="462"/>
        <v>15784.717416667438</v>
      </c>
      <c r="DU118" s="48">
        <f t="shared" si="462"/>
        <v>10000.000000000771</v>
      </c>
      <c r="DV118" s="48">
        <f t="shared" si="462"/>
        <v>10000.000000000771</v>
      </c>
      <c r="DW118" s="48">
        <f t="shared" si="462"/>
        <v>10000.000000000771</v>
      </c>
      <c r="DX118" s="48">
        <f t="shared" si="462"/>
        <v>10000.000000000771</v>
      </c>
      <c r="DY118" s="48">
        <f t="shared" si="462"/>
        <v>10000.000000000771</v>
      </c>
      <c r="DZ118" s="48">
        <f t="shared" si="462"/>
        <v>10000.000000000771</v>
      </c>
      <c r="EA118" s="48">
        <f t="shared" si="462"/>
        <v>10000.000000000771</v>
      </c>
      <c r="EB118" s="48">
        <f t="shared" si="462"/>
        <v>10000.000000000771</v>
      </c>
      <c r="EC118" s="48">
        <f t="shared" si="462"/>
        <v>10000.000000000771</v>
      </c>
      <c r="ED118" s="48">
        <f t="shared" si="462"/>
        <v>10000.000000000771</v>
      </c>
      <c r="EE118" s="48">
        <f t="shared" ref="EE118:ES118" si="463">ED$118+EE$117-EE$103</f>
        <v>10000.000000000771</v>
      </c>
      <c r="EF118" s="48">
        <f t="shared" si="463"/>
        <v>10000.000000000771</v>
      </c>
      <c r="EG118" s="48">
        <f t="shared" si="463"/>
        <v>10000.000000000771</v>
      </c>
      <c r="EH118" s="48">
        <f t="shared" si="463"/>
        <v>10000.000000000771</v>
      </c>
      <c r="EI118" s="48">
        <f t="shared" si="463"/>
        <v>10000.000000000771</v>
      </c>
      <c r="EJ118" s="48">
        <f t="shared" si="463"/>
        <v>10000.000000000771</v>
      </c>
      <c r="EK118" s="48">
        <f t="shared" si="463"/>
        <v>10000.000000000771</v>
      </c>
      <c r="EL118" s="48">
        <f t="shared" si="463"/>
        <v>10000.000000000771</v>
      </c>
      <c r="EM118" s="48">
        <f t="shared" si="463"/>
        <v>10000.000000000771</v>
      </c>
      <c r="EN118" s="48">
        <f t="shared" si="463"/>
        <v>10000.000000000771</v>
      </c>
      <c r="EO118" s="48">
        <f t="shared" si="463"/>
        <v>10000.000000000771</v>
      </c>
      <c r="EP118" s="48">
        <f t="shared" si="463"/>
        <v>10000.000000000771</v>
      </c>
      <c r="EQ118" s="48">
        <f t="shared" si="463"/>
        <v>10000.000000000771</v>
      </c>
      <c r="ER118" s="48">
        <f t="shared" si="463"/>
        <v>10000.000000000771</v>
      </c>
      <c r="ES118" s="48">
        <f t="shared" si="463"/>
        <v>10000.000000000771</v>
      </c>
    </row>
    <row r="119" spans="1:149" x14ac:dyDescent="0.3">
      <c r="A119" s="14" t="s">
        <v>1135</v>
      </c>
      <c r="B119" s="18" t="s">
        <v>1136</v>
      </c>
      <c r="C119" s="18" t="s">
        <v>439</v>
      </c>
      <c r="E119" s="54">
        <f>SUM(F119:ES119)</f>
        <v>4509762.5173222804</v>
      </c>
      <c r="F119" s="48">
        <f>IF(1=Fin,F$113*P_RealCT+F$118*P_RealAF,0)</f>
        <v>0</v>
      </c>
      <c r="G119" s="48">
        <f>IF(2=Fin,G$113*P_RealCT+G$118*P_RealAF,0)</f>
        <v>0</v>
      </c>
      <c r="H119" s="48">
        <f>IF(3=Fin,H$113*P_RealCT+H$118*P_RealAF,0)</f>
        <v>0</v>
      </c>
      <c r="I119" s="48">
        <f>IF(4=Fin,I$113*P_RealCT+I$118*P_RealAF,0)</f>
        <v>0</v>
      </c>
      <c r="J119" s="48">
        <f>IF(5=Fin,J$113*P_RealCT+J$118*P_RealAF,0)</f>
        <v>0</v>
      </c>
      <c r="K119" s="48">
        <f>IF(6=Fin,K$113*P_RealCT+K$118*P_RealAF,0)</f>
        <v>0</v>
      </c>
      <c r="L119" s="48">
        <f>IF(7=Fin,L$113*P_RealCT+L$118*P_RealAF,0)</f>
        <v>0</v>
      </c>
      <c r="M119" s="48">
        <f>IF(8=Fin,M$113*P_RealCT+M$118*P_RealAF,0)</f>
        <v>0</v>
      </c>
      <c r="N119" s="48">
        <f>IF(9=Fin,N$113*P_RealCT+N$118*P_RealAF,0)</f>
        <v>0</v>
      </c>
      <c r="O119" s="48">
        <f>IF(10=Fin,O$113*P_RealCT+O$118*P_RealAF,0)</f>
        <v>0</v>
      </c>
      <c r="P119" s="48">
        <f>IF(11=Fin,P$113*P_RealCT+P$118*P_RealAF,0)</f>
        <v>0</v>
      </c>
      <c r="Q119" s="48">
        <f>IF(12=Fin,Q$113*P_RealCT+Q$118*P_RealAF,0)</f>
        <v>0</v>
      </c>
      <c r="R119" s="48">
        <f>IF(13=Fin,R$113*P_RealCT+R$118*P_RealAF,0)</f>
        <v>0</v>
      </c>
      <c r="S119" s="48">
        <f>IF(14=Fin,S$113*P_RealCT+S$118*P_RealAF,0)</f>
        <v>0</v>
      </c>
      <c r="T119" s="48">
        <f>IF(15=Fin,T$113*P_RealCT+T$118*P_RealAF,0)</f>
        <v>0</v>
      </c>
      <c r="U119" s="48">
        <f>IF(16=Fin,U$113*P_RealCT+U$118*P_RealAF,0)</f>
        <v>0</v>
      </c>
      <c r="V119" s="48">
        <f>IF(17=Fin,V$113*P_RealCT+V$118*P_RealAF,0)</f>
        <v>0</v>
      </c>
      <c r="W119" s="48">
        <f>IF(18=Fin,W$113*P_RealCT+W$118*P_RealAF,0)</f>
        <v>0</v>
      </c>
      <c r="X119" s="48">
        <f>IF(19=Fin,X$113*P_RealCT+X$118*P_RealAF,0)</f>
        <v>0</v>
      </c>
      <c r="Y119" s="48">
        <f>IF(20=Fin,Y$113*P_RealCT+Y$118*P_RealAF,0)</f>
        <v>0</v>
      </c>
      <c r="Z119" s="48">
        <f>IF(21=Fin,Z$113*P_RealCT+Z$118*P_RealAF,0)</f>
        <v>0</v>
      </c>
      <c r="AA119" s="48">
        <f>IF(22=Fin,AA$113*P_RealCT+AA$118*P_RealAF,0)</f>
        <v>0</v>
      </c>
      <c r="AB119" s="48">
        <f>IF(23=Fin,AB$113*P_RealCT+AB$118*P_RealAF,0)</f>
        <v>0</v>
      </c>
      <c r="AC119" s="48">
        <f>IF(24=Fin,AC$113*P_RealCT+AC$118*P_RealAF,0)</f>
        <v>0</v>
      </c>
      <c r="AD119" s="48">
        <f>IF(25=Fin,AD$113*P_RealCT+AD$118*P_RealAF,0)</f>
        <v>0</v>
      </c>
      <c r="AE119" s="48">
        <f>IF(26=Fin,AE$113*P_RealCT+AE$118*P_RealAF,0)</f>
        <v>0</v>
      </c>
      <c r="AF119" s="48">
        <f>IF(27=Fin,AF$113*P_RealCT+AF$118*P_RealAF,0)</f>
        <v>0</v>
      </c>
      <c r="AG119" s="48">
        <f>IF(28=Fin,AG$113*P_RealCT+AG$118*P_RealAF,0)</f>
        <v>0</v>
      </c>
      <c r="AH119" s="48">
        <f>IF(29=Fin,AH$113*P_RealCT+AH$118*P_RealAF,0)</f>
        <v>0</v>
      </c>
      <c r="AI119" s="48">
        <f>IF(30=Fin,AI$113*P_RealCT+AI$118*P_RealAF,0)</f>
        <v>0</v>
      </c>
      <c r="AJ119" s="48">
        <f>IF(31=Fin,AJ$113*P_RealCT+AJ$118*P_RealAF,0)</f>
        <v>0</v>
      </c>
      <c r="AK119" s="48">
        <f>IF(32=Fin,AK$113*P_RealCT+AK$118*P_RealAF,0)</f>
        <v>0</v>
      </c>
      <c r="AL119" s="48">
        <f>IF(33=Fin,AL$113*P_RealCT+AL$118*P_RealAF,0)</f>
        <v>0</v>
      </c>
      <c r="AM119" s="48">
        <f>IF(34=Fin,AM$113*P_RealCT+AM$118*P_RealAF,0)</f>
        <v>0</v>
      </c>
      <c r="AN119" s="48">
        <f>IF(35=Fin,AN$113*P_RealCT+AN$118*P_RealAF,0)</f>
        <v>0</v>
      </c>
      <c r="AO119" s="48">
        <f>IF(36=Fin,AO$113*P_RealCT+AO$118*P_RealAF,0)</f>
        <v>0</v>
      </c>
      <c r="AP119" s="48">
        <f>IF(37=Fin,AP$113*P_RealCT+AP$118*P_RealAF,0)</f>
        <v>0</v>
      </c>
      <c r="AQ119" s="48">
        <f>IF(38=Fin,AQ$113*P_RealCT+AQ$118*P_RealAF,0)</f>
        <v>0</v>
      </c>
      <c r="AR119" s="48">
        <f>IF(39=Fin,AR$113*P_RealCT+AR$118*P_RealAF,0)</f>
        <v>0</v>
      </c>
      <c r="AS119" s="48">
        <f>IF(40=Fin,AS$113*P_RealCT+AS$118*P_RealAF,0)</f>
        <v>0</v>
      </c>
      <c r="AT119" s="48">
        <f>IF(41=Fin,AT$113*P_RealCT+AT$118*P_RealAF,0)</f>
        <v>0</v>
      </c>
      <c r="AU119" s="48">
        <f>IF(42=Fin,AU$113*P_RealCT+AU$118*P_RealAF,0)</f>
        <v>0</v>
      </c>
      <c r="AV119" s="48">
        <f>IF(43=Fin,AV$113*P_RealCT+AV$118*P_RealAF,0)</f>
        <v>0</v>
      </c>
      <c r="AW119" s="48">
        <f>IF(44=Fin,AW$113*P_RealCT+AW$118*P_RealAF,0)</f>
        <v>0</v>
      </c>
      <c r="AX119" s="48">
        <f>IF(45=Fin,AX$113*P_RealCT+AX$118*P_RealAF,0)</f>
        <v>0</v>
      </c>
      <c r="AY119" s="48">
        <f>IF(46=Fin,AY$113*P_RealCT+AY$118*P_RealAF,0)</f>
        <v>0</v>
      </c>
      <c r="AZ119" s="48">
        <f>IF(47=Fin,AZ$113*P_RealCT+AZ$118*P_RealAF,0)</f>
        <v>0</v>
      </c>
      <c r="BA119" s="48">
        <f>IF(48=Fin,BA$113*P_RealCT+BA$118*P_RealAF,0)</f>
        <v>0</v>
      </c>
      <c r="BB119" s="48">
        <f>IF(49=Fin,BB$113*P_RealCT+BB$118*P_RealAF,0)</f>
        <v>0</v>
      </c>
      <c r="BC119" s="48">
        <f>IF(50=Fin,BC$113*P_RealCT+BC$118*P_RealAF,0)</f>
        <v>0</v>
      </c>
      <c r="BD119" s="48">
        <f>IF(51=Fin,BD$113*P_RealCT+BD$118*P_RealAF,0)</f>
        <v>0</v>
      </c>
      <c r="BE119" s="48">
        <f>IF(52=Fin,BE$113*P_RealCT+BE$118*P_RealAF,0)</f>
        <v>0</v>
      </c>
      <c r="BF119" s="48">
        <f>IF(53=Fin,BF$113*P_RealCT+BF$118*P_RealAF,0)</f>
        <v>0</v>
      </c>
      <c r="BG119" s="48">
        <f>IF(54=Fin,BG$113*P_RealCT+BG$118*P_RealAF,0)</f>
        <v>0</v>
      </c>
      <c r="BH119" s="48">
        <f>IF(55=Fin,BH$113*P_RealCT+BH$118*P_RealAF,0)</f>
        <v>0</v>
      </c>
      <c r="BI119" s="48">
        <f>IF(56=Fin,BI$113*P_RealCT+BI$118*P_RealAF,0)</f>
        <v>0</v>
      </c>
      <c r="BJ119" s="48">
        <f>IF(57=Fin,BJ$113*P_RealCT+BJ$118*P_RealAF,0)</f>
        <v>0</v>
      </c>
      <c r="BK119" s="48">
        <f>IF(58=Fin,BK$113*P_RealCT+BK$118*P_RealAF,0)</f>
        <v>0</v>
      </c>
      <c r="BL119" s="48">
        <f>IF(59=Fin,BL$113*P_RealCT+BL$118*P_RealAF,0)</f>
        <v>0</v>
      </c>
      <c r="BM119" s="48">
        <f>IF(60=Fin,BM$113*P_RealCT+BM$118*P_RealAF,0)</f>
        <v>0</v>
      </c>
      <c r="BN119" s="48">
        <f>IF(61=Fin,BN$113*P_RealCT+BN$118*P_RealAF,0)</f>
        <v>0</v>
      </c>
      <c r="BO119" s="48">
        <f>IF(62=Fin,BO$113*P_RealCT+BO$118*P_RealAF,0)</f>
        <v>0</v>
      </c>
      <c r="BP119" s="48">
        <f>IF(63=Fin,BP$113*P_RealCT+BP$118*P_RealAF,0)</f>
        <v>0</v>
      </c>
      <c r="BQ119" s="48">
        <f>IF(64=Fin,BQ$113*P_RealCT+BQ$118*P_RealAF,0)</f>
        <v>0</v>
      </c>
      <c r="BR119" s="48">
        <f>IF(65=Fin,BR$113*P_RealCT+BR$118*P_RealAF,0)</f>
        <v>0</v>
      </c>
      <c r="BS119" s="48">
        <f>IF(66=Fin,BS$113*P_RealCT+BS$118*P_RealAF,0)</f>
        <v>0</v>
      </c>
      <c r="BT119" s="48">
        <f>IF(67=Fin,BT$113*P_RealCT+BT$118*P_RealAF,0)</f>
        <v>0</v>
      </c>
      <c r="BU119" s="48">
        <f>IF(68=Fin,BU$113*P_RealCT+BU$118*P_RealAF,0)</f>
        <v>0</v>
      </c>
      <c r="BV119" s="48">
        <f>IF(69=Fin,BV$113*P_RealCT+BV$118*P_RealAF,0)</f>
        <v>0</v>
      </c>
      <c r="BW119" s="48">
        <f>IF(70=Fin,BW$113*P_RealCT+BW$118*P_RealAF,0)</f>
        <v>0</v>
      </c>
      <c r="BX119" s="48">
        <f>IF(71=Fin,BX$113*P_RealCT+BX$118*P_RealAF,0)</f>
        <v>0</v>
      </c>
      <c r="BY119" s="48">
        <f>IF(72=Fin,BY$113*P_RealCT+BY$118*P_RealAF,0)</f>
        <v>0</v>
      </c>
      <c r="BZ119" s="48">
        <f>IF(73=Fin,BZ$113*P_RealCT+BZ$118*P_RealAF,0)</f>
        <v>0</v>
      </c>
      <c r="CA119" s="48">
        <f>IF(74=Fin,CA$113*P_RealCT+CA$118*P_RealAF,0)</f>
        <v>0</v>
      </c>
      <c r="CB119" s="48">
        <f>IF(75=Fin,CB$113*P_RealCT+CB$118*P_RealAF,0)</f>
        <v>0</v>
      </c>
      <c r="CC119" s="48">
        <f>IF(76=Fin,CC$113*P_RealCT+CC$118*P_RealAF,0)</f>
        <v>0</v>
      </c>
      <c r="CD119" s="48">
        <f>IF(77=Fin,CD$113*P_RealCT+CD$118*P_RealAF,0)</f>
        <v>0</v>
      </c>
      <c r="CE119" s="48">
        <f>IF(78=Fin,CE$113*P_RealCT+CE$118*P_RealAF,0)</f>
        <v>0</v>
      </c>
      <c r="CF119" s="48">
        <f>IF(79=Fin,CF$113*P_RealCT+CF$118*P_RealAF,0)</f>
        <v>0</v>
      </c>
      <c r="CG119" s="48">
        <f>IF(80=Fin,CG$113*P_RealCT+CG$118*P_RealAF,0)</f>
        <v>0</v>
      </c>
      <c r="CH119" s="48">
        <f>IF(81=Fin,CH$113*P_RealCT+CH$118*P_RealAF,0)</f>
        <v>0</v>
      </c>
      <c r="CI119" s="48">
        <f>IF(82=Fin,CI$113*P_RealCT+CI$118*P_RealAF,0)</f>
        <v>0</v>
      </c>
      <c r="CJ119" s="48">
        <f>IF(83=Fin,CJ$113*P_RealCT+CJ$118*P_RealAF,0)</f>
        <v>0</v>
      </c>
      <c r="CK119" s="48">
        <f>IF(84=Fin,CK$113*P_RealCT+CK$118*P_RealAF,0)</f>
        <v>0</v>
      </c>
      <c r="CL119" s="48">
        <f>IF(85=Fin,CL$113*P_RealCT+CL$118*P_RealAF,0)</f>
        <v>0</v>
      </c>
      <c r="CM119" s="48">
        <f>IF(86=Fin,CM$113*P_RealCT+CM$118*P_RealAF,0)</f>
        <v>0</v>
      </c>
      <c r="CN119" s="48">
        <f>IF(87=Fin,CN$113*P_RealCT+CN$118*P_RealAF,0)</f>
        <v>0</v>
      </c>
      <c r="CO119" s="48">
        <f>IF(88=Fin,CO$113*P_RealCT+CO$118*P_RealAF,0)</f>
        <v>0</v>
      </c>
      <c r="CP119" s="48">
        <f>IF(89=Fin,CP$113*P_RealCT+CP$118*P_RealAF,0)</f>
        <v>0</v>
      </c>
      <c r="CQ119" s="48">
        <f>IF(90=Fin,CQ$113*P_RealCT+CQ$118*P_RealAF,0)</f>
        <v>0</v>
      </c>
      <c r="CR119" s="48">
        <f>IF(91=Fin,CR$113*P_RealCT+CR$118*P_RealAF,0)</f>
        <v>0</v>
      </c>
      <c r="CS119" s="48">
        <f>IF(92=Fin,CS$113*P_RealCT+CS$118*P_RealAF,0)</f>
        <v>0</v>
      </c>
      <c r="CT119" s="48">
        <f>IF(93=Fin,CT$113*P_RealCT+CT$118*P_RealAF,0)</f>
        <v>0</v>
      </c>
      <c r="CU119" s="48">
        <f>IF(94=Fin,CU$113*P_RealCT+CU$118*P_RealAF,0)</f>
        <v>0</v>
      </c>
      <c r="CV119" s="48">
        <f>IF(95=Fin,CV$113*P_RealCT+CV$118*P_RealAF,0)</f>
        <v>0</v>
      </c>
      <c r="CW119" s="48">
        <f>IF(96=Fin,CW$113*P_RealCT+CW$118*P_RealAF,0)</f>
        <v>0</v>
      </c>
      <c r="CX119" s="48">
        <f>IF(97=Fin,CX$113*P_RealCT+CX$118*P_RealAF,0)</f>
        <v>0</v>
      </c>
      <c r="CY119" s="48">
        <f>IF(98=Fin,CY$113*P_RealCT+CY$118*P_RealAF,0)</f>
        <v>0</v>
      </c>
      <c r="CZ119" s="48">
        <f>IF(99=Fin,CZ$113*P_RealCT+CZ$118*P_RealAF,0)</f>
        <v>0</v>
      </c>
      <c r="DA119" s="48">
        <f>IF(100=Fin,DA$113*P_RealCT+DA$118*P_RealAF,0)</f>
        <v>0</v>
      </c>
      <c r="DB119" s="48">
        <f>IF(101=Fin,DB$113*P_RealCT+DB$118*P_RealAF,0)</f>
        <v>0</v>
      </c>
      <c r="DC119" s="48">
        <f>IF(102=Fin,DC$113*P_RealCT+DC$118*P_RealAF,0)</f>
        <v>0</v>
      </c>
      <c r="DD119" s="48">
        <f>IF(103=Fin,DD$113*P_RealCT+DD$118*P_RealAF,0)</f>
        <v>0</v>
      </c>
      <c r="DE119" s="48">
        <f>IF(104=Fin,DE$113*P_RealCT+DE$118*P_RealAF,0)</f>
        <v>0</v>
      </c>
      <c r="DF119" s="48">
        <f>IF(105=Fin,DF$113*P_RealCT+DF$118*P_RealAF,0)</f>
        <v>0</v>
      </c>
      <c r="DG119" s="48">
        <f>IF(106=Fin,DG$113*P_RealCT+DG$118*P_RealAF,0)</f>
        <v>0</v>
      </c>
      <c r="DH119" s="48">
        <f>IF(107=Fin,DH$113*P_RealCT+DH$118*P_RealAF,0)</f>
        <v>0</v>
      </c>
      <c r="DI119" s="48">
        <f>IF(108=Fin,DI$113*P_RealCT+DI$118*P_RealAF,0)</f>
        <v>0</v>
      </c>
      <c r="DJ119" s="48">
        <f>IF(109=Fin,DJ$113*P_RealCT+DJ$118*P_RealAF,0)</f>
        <v>0</v>
      </c>
      <c r="DK119" s="48">
        <f>IF(110=Fin,DK$113*P_RealCT+DK$118*P_RealAF,0)</f>
        <v>0</v>
      </c>
      <c r="DL119" s="48">
        <f>IF(111=Fin,DL$113*P_RealCT+DL$118*P_RealAF,0)</f>
        <v>0</v>
      </c>
      <c r="DM119" s="48">
        <f>IF(112=Fin,DM$113*P_RealCT+DM$118*P_RealAF,0)</f>
        <v>0</v>
      </c>
      <c r="DN119" s="48">
        <f>IF(113=Fin,DN$113*P_RealCT+DN$118*P_RealAF,0)</f>
        <v>0</v>
      </c>
      <c r="DO119" s="48">
        <f>IF(114=Fin,DO$113*P_RealCT+DO$118*P_RealAF,0)</f>
        <v>0</v>
      </c>
      <c r="DP119" s="48">
        <f>IF(115=Fin,DP$113*P_RealCT+DP$118*P_RealAF,0)</f>
        <v>0</v>
      </c>
      <c r="DQ119" s="48">
        <f>IF(116=Fin,DQ$113*P_RealCT+DQ$118*P_RealAF,0)</f>
        <v>0</v>
      </c>
      <c r="DR119" s="48">
        <f>IF(117=Fin,DR$113*P_RealCT+DR$118*P_RealAF,0)</f>
        <v>0</v>
      </c>
      <c r="DS119" s="48">
        <f>IF(118=Fin,DS$113*P_RealCT+DS$118*P_RealAF,0)</f>
        <v>0</v>
      </c>
      <c r="DT119" s="48">
        <f>IF(119=Fin,DT$113*P_RealCT+DT$118*P_RealAF,0)</f>
        <v>0</v>
      </c>
      <c r="DU119" s="48">
        <f>IF(120=Fin,DU$113*P_RealCT+DU$118*P_RealAF,0)</f>
        <v>4509762.5173222804</v>
      </c>
      <c r="DV119" s="48">
        <f>IF(121=Fin,DV$113*P_RealCT+DV$118*P_RealAF,0)</f>
        <v>0</v>
      </c>
      <c r="DW119" s="48">
        <f>IF(122=Fin,DW$113*P_RealCT+DW$118*P_RealAF,0)</f>
        <v>0</v>
      </c>
      <c r="DX119" s="48">
        <f>IF(123=Fin,DX$113*P_RealCT+DX$118*P_RealAF,0)</f>
        <v>0</v>
      </c>
      <c r="DY119" s="48">
        <f>IF(124=Fin,DY$113*P_RealCT+DY$118*P_RealAF,0)</f>
        <v>0</v>
      </c>
      <c r="DZ119" s="48">
        <f>IF(125=Fin,DZ$113*P_RealCT+DZ$118*P_RealAF,0)</f>
        <v>0</v>
      </c>
      <c r="EA119" s="48">
        <f>IF(126=Fin,EA$113*P_RealCT+EA$118*P_RealAF,0)</f>
        <v>0</v>
      </c>
      <c r="EB119" s="48">
        <f>IF(127=Fin,EB$113*P_RealCT+EB$118*P_RealAF,0)</f>
        <v>0</v>
      </c>
      <c r="EC119" s="48">
        <f>IF(128=Fin,EC$113*P_RealCT+EC$118*P_RealAF,0)</f>
        <v>0</v>
      </c>
      <c r="ED119" s="48">
        <f>IF(129=Fin,ED$113*P_RealCT+ED$118*P_RealAF,0)</f>
        <v>0</v>
      </c>
      <c r="EE119" s="48">
        <f>IF(130=Fin,EE$113*P_RealCT+EE$118*P_RealAF,0)</f>
        <v>0</v>
      </c>
      <c r="EF119" s="48">
        <f>IF(131=Fin,EF$113*P_RealCT+EF$118*P_RealAF,0)</f>
        <v>0</v>
      </c>
      <c r="EG119" s="48">
        <f>IF(132=Fin,EG$113*P_RealCT+EG$118*P_RealAF,0)</f>
        <v>0</v>
      </c>
      <c r="EH119" s="48">
        <f>IF(133=Fin,EH$113*P_RealCT+EH$118*P_RealAF,0)</f>
        <v>0</v>
      </c>
      <c r="EI119" s="48">
        <f>IF(134=Fin,EI$113*P_RealCT+EI$118*P_RealAF,0)</f>
        <v>0</v>
      </c>
      <c r="EJ119" s="48">
        <f>IF(135=Fin,EJ$113*P_RealCT+EJ$118*P_RealAF,0)</f>
        <v>0</v>
      </c>
      <c r="EK119" s="48">
        <f>IF(136=Fin,EK$113*P_RealCT+EK$118*P_RealAF,0)</f>
        <v>0</v>
      </c>
      <c r="EL119" s="48">
        <f>IF(137=Fin,EL$113*P_RealCT+EL$118*P_RealAF,0)</f>
        <v>0</v>
      </c>
      <c r="EM119" s="48">
        <f>IF(138=Fin,EM$113*P_RealCT+EM$118*P_RealAF,0)</f>
        <v>0</v>
      </c>
      <c r="EN119" s="48">
        <f>IF(139=Fin,EN$113*P_RealCT+EN$118*P_RealAF,0)</f>
        <v>0</v>
      </c>
      <c r="EO119" s="48">
        <f>IF(140=Fin,EO$113*P_RealCT+EO$118*P_RealAF,0)</f>
        <v>0</v>
      </c>
      <c r="EP119" s="48">
        <f>IF(141=Fin,EP$113*P_RealCT+EP$118*P_RealAF,0)</f>
        <v>0</v>
      </c>
      <c r="EQ119" s="48">
        <f>IF(142=Fin,EQ$113*P_RealCT+EQ$118*P_RealAF,0)</f>
        <v>0</v>
      </c>
      <c r="ER119" s="48">
        <f>IF(143=Fin,ER$113*P_RealCT+ER$118*P_RealAF,0)</f>
        <v>0</v>
      </c>
      <c r="ES119" s="48">
        <f>IF(144=Fin,ES$113*P_RealCT+ES$118*P_RealAF,0)</f>
        <v>0</v>
      </c>
    </row>
    <row r="120" spans="1:149" x14ac:dyDescent="0.3">
      <c r="A120" s="14" t="s">
        <v>1137</v>
      </c>
      <c r="B120" s="68" t="s">
        <v>1138</v>
      </c>
      <c r="C120" s="18" t="s">
        <v>439</v>
      </c>
      <c r="E120" s="54">
        <f>SUM(F120:ES120)</f>
        <v>15564459.926261026</v>
      </c>
      <c r="F120" s="22">
        <f t="shared" ref="F120:AK120" si="464">F$116-F$117+F$119</f>
        <v>-3000610.4768834403</v>
      </c>
      <c r="G120" s="22">
        <f t="shared" si="464"/>
        <v>42497.500475589746</v>
      </c>
      <c r="H120" s="22">
        <f t="shared" si="464"/>
        <v>42497.500475589746</v>
      </c>
      <c r="I120" s="22">
        <f t="shared" si="464"/>
        <v>42497.500475589746</v>
      </c>
      <c r="J120" s="22">
        <f t="shared" si="464"/>
        <v>42497.500475589746</v>
      </c>
      <c r="K120" s="22">
        <f t="shared" si="464"/>
        <v>42497.500475589746</v>
      </c>
      <c r="L120" s="22">
        <f t="shared" si="464"/>
        <v>42497.500475589746</v>
      </c>
      <c r="M120" s="22">
        <f t="shared" si="464"/>
        <v>42497.500475589746</v>
      </c>
      <c r="N120" s="22">
        <f t="shared" si="464"/>
        <v>42497.500475589746</v>
      </c>
      <c r="O120" s="22">
        <f t="shared" si="464"/>
        <v>42497.500475589746</v>
      </c>
      <c r="P120" s="22">
        <f t="shared" si="464"/>
        <v>42497.500475589746</v>
      </c>
      <c r="Q120" s="22">
        <f t="shared" si="464"/>
        <v>42497.500475589746</v>
      </c>
      <c r="R120" s="22">
        <f t="shared" si="464"/>
        <v>-674649.04140167939</v>
      </c>
      <c r="S120" s="22">
        <f t="shared" si="464"/>
        <v>80496.402993964788</v>
      </c>
      <c r="T120" s="22">
        <f t="shared" si="464"/>
        <v>80496.402993964788</v>
      </c>
      <c r="U120" s="22">
        <f t="shared" si="464"/>
        <v>80496.402993964788</v>
      </c>
      <c r="V120" s="22">
        <f t="shared" si="464"/>
        <v>80496.402993964788</v>
      </c>
      <c r="W120" s="22">
        <f t="shared" si="464"/>
        <v>80496.402993964788</v>
      </c>
      <c r="X120" s="22">
        <f t="shared" si="464"/>
        <v>80496.402993964788</v>
      </c>
      <c r="Y120" s="22">
        <f t="shared" si="464"/>
        <v>80496.402993964788</v>
      </c>
      <c r="Z120" s="22">
        <f t="shared" si="464"/>
        <v>80496.402993964788</v>
      </c>
      <c r="AA120" s="22">
        <f t="shared" si="464"/>
        <v>80496.402993964788</v>
      </c>
      <c r="AB120" s="22">
        <f t="shared" si="464"/>
        <v>80496.402993964788</v>
      </c>
      <c r="AC120" s="22">
        <f t="shared" si="464"/>
        <v>80496.402993964788</v>
      </c>
      <c r="AD120" s="22">
        <f t="shared" si="464"/>
        <v>-550241.89976729802</v>
      </c>
      <c r="AE120" s="22">
        <f t="shared" si="464"/>
        <v>117085.03086512467</v>
      </c>
      <c r="AF120" s="22">
        <f t="shared" si="464"/>
        <v>117085.03086512467</v>
      </c>
      <c r="AG120" s="22">
        <f t="shared" si="464"/>
        <v>117085.03086512467</v>
      </c>
      <c r="AH120" s="22">
        <f t="shared" si="464"/>
        <v>117085.03086512467</v>
      </c>
      <c r="AI120" s="22">
        <f t="shared" si="464"/>
        <v>117085.03086512467</v>
      </c>
      <c r="AJ120" s="22">
        <f t="shared" si="464"/>
        <v>117085.03086512467</v>
      </c>
      <c r="AK120" s="22">
        <f t="shared" si="464"/>
        <v>117085.03086512467</v>
      </c>
      <c r="AL120" s="22">
        <f t="shared" ref="AL120:BQ120" si="465">AL$116-AL$117+AL$119</f>
        <v>117085.03086512467</v>
      </c>
      <c r="AM120" s="22">
        <f t="shared" si="465"/>
        <v>117085.03086512467</v>
      </c>
      <c r="AN120" s="22">
        <f t="shared" si="465"/>
        <v>117085.03086512467</v>
      </c>
      <c r="AO120" s="22">
        <f t="shared" si="465"/>
        <v>117085.03086512467</v>
      </c>
      <c r="AP120" s="22">
        <f t="shared" si="465"/>
        <v>-408915.49005345465</v>
      </c>
      <c r="AQ120" s="22">
        <f t="shared" si="465"/>
        <v>149893.57987985833</v>
      </c>
      <c r="AR120" s="22">
        <f t="shared" si="465"/>
        <v>149893.57987985833</v>
      </c>
      <c r="AS120" s="22">
        <f t="shared" si="465"/>
        <v>149893.57987985833</v>
      </c>
      <c r="AT120" s="22">
        <f t="shared" si="465"/>
        <v>149893.57987985833</v>
      </c>
      <c r="AU120" s="22">
        <f t="shared" si="465"/>
        <v>149893.57987985833</v>
      </c>
      <c r="AV120" s="22">
        <f t="shared" si="465"/>
        <v>149893.57987985833</v>
      </c>
      <c r="AW120" s="22">
        <f t="shared" si="465"/>
        <v>149893.57987985833</v>
      </c>
      <c r="AX120" s="22">
        <f t="shared" si="465"/>
        <v>149893.57987985833</v>
      </c>
      <c r="AY120" s="22">
        <f t="shared" si="465"/>
        <v>149893.57987985833</v>
      </c>
      <c r="AZ120" s="22">
        <f t="shared" si="465"/>
        <v>149893.57987985833</v>
      </c>
      <c r="BA120" s="22">
        <f t="shared" si="465"/>
        <v>149893.57987985833</v>
      </c>
      <c r="BB120" s="22">
        <f t="shared" si="465"/>
        <v>113103.61717051381</v>
      </c>
      <c r="BC120" s="22">
        <f t="shared" si="465"/>
        <v>151213.16487637369</v>
      </c>
      <c r="BD120" s="22">
        <f t="shared" si="465"/>
        <v>151213.16487637369</v>
      </c>
      <c r="BE120" s="22">
        <f t="shared" si="465"/>
        <v>151213.16487637369</v>
      </c>
      <c r="BF120" s="22">
        <f t="shared" si="465"/>
        <v>151213.16487637369</v>
      </c>
      <c r="BG120" s="22">
        <f t="shared" si="465"/>
        <v>151213.16487637369</v>
      </c>
      <c r="BH120" s="22">
        <f t="shared" si="465"/>
        <v>151213.16487637369</v>
      </c>
      <c r="BI120" s="22">
        <f t="shared" si="465"/>
        <v>151213.16487637369</v>
      </c>
      <c r="BJ120" s="22">
        <f t="shared" si="465"/>
        <v>151213.16487637369</v>
      </c>
      <c r="BK120" s="22">
        <f t="shared" si="465"/>
        <v>151213.16487637369</v>
      </c>
      <c r="BL120" s="22">
        <f t="shared" si="465"/>
        <v>151213.16487637369</v>
      </c>
      <c r="BM120" s="22">
        <f t="shared" si="465"/>
        <v>151213.16487637369</v>
      </c>
      <c r="BN120" s="22">
        <f t="shared" si="465"/>
        <v>117575.58532922962</v>
      </c>
      <c r="BO120" s="22">
        <f t="shared" si="465"/>
        <v>155300.44179782612</v>
      </c>
      <c r="BP120" s="22">
        <f t="shared" si="465"/>
        <v>155300.44179782612</v>
      </c>
      <c r="BQ120" s="22">
        <f t="shared" si="465"/>
        <v>155300.44179782612</v>
      </c>
      <c r="BR120" s="22">
        <f t="shared" ref="BR120:CW120" si="466">BR$116-BR$117+BR$119</f>
        <v>155300.44179782612</v>
      </c>
      <c r="BS120" s="22">
        <f t="shared" si="466"/>
        <v>155300.44179782612</v>
      </c>
      <c r="BT120" s="22">
        <f t="shared" si="466"/>
        <v>155300.44179782612</v>
      </c>
      <c r="BU120" s="22">
        <f t="shared" si="466"/>
        <v>155300.44179782612</v>
      </c>
      <c r="BV120" s="22">
        <f t="shared" si="466"/>
        <v>155300.44179782612</v>
      </c>
      <c r="BW120" s="22">
        <f t="shared" si="466"/>
        <v>155300.44179782612</v>
      </c>
      <c r="BX120" s="22">
        <f t="shared" si="466"/>
        <v>155300.44179782612</v>
      </c>
      <c r="BY120" s="22">
        <f t="shared" si="466"/>
        <v>155300.44179782612</v>
      </c>
      <c r="BZ120" s="22">
        <f t="shared" si="466"/>
        <v>121326.12926461932</v>
      </c>
      <c r="CA120" s="22">
        <f t="shared" si="466"/>
        <v>159416.02248939977</v>
      </c>
      <c r="CB120" s="22">
        <f t="shared" si="466"/>
        <v>159416.02248939977</v>
      </c>
      <c r="CC120" s="22">
        <f t="shared" si="466"/>
        <v>159416.02248939977</v>
      </c>
      <c r="CD120" s="22">
        <f t="shared" si="466"/>
        <v>159416.02248939977</v>
      </c>
      <c r="CE120" s="22">
        <f t="shared" si="466"/>
        <v>159416.02248939977</v>
      </c>
      <c r="CF120" s="22">
        <f t="shared" si="466"/>
        <v>159416.02248939977</v>
      </c>
      <c r="CG120" s="22">
        <f t="shared" si="466"/>
        <v>159416.02248939977</v>
      </c>
      <c r="CH120" s="22">
        <f t="shared" si="466"/>
        <v>159416.02248939977</v>
      </c>
      <c r="CI120" s="22">
        <f t="shared" si="466"/>
        <v>159416.02248939977</v>
      </c>
      <c r="CJ120" s="22">
        <f t="shared" si="466"/>
        <v>159416.02248939977</v>
      </c>
      <c r="CK120" s="22">
        <f t="shared" si="466"/>
        <v>159416.02248939977</v>
      </c>
      <c r="CL120" s="22">
        <f t="shared" si="466"/>
        <v>125101.60085176842</v>
      </c>
      <c r="CM120" s="22">
        <f t="shared" si="466"/>
        <v>163559.81854628751</v>
      </c>
      <c r="CN120" s="22">
        <f t="shared" si="466"/>
        <v>163559.81854628751</v>
      </c>
      <c r="CO120" s="22">
        <f t="shared" si="466"/>
        <v>163559.81854628751</v>
      </c>
      <c r="CP120" s="22">
        <f t="shared" si="466"/>
        <v>163559.81854628751</v>
      </c>
      <c r="CQ120" s="22">
        <f t="shared" si="466"/>
        <v>163559.81854628751</v>
      </c>
      <c r="CR120" s="22">
        <f t="shared" si="466"/>
        <v>163559.81854628751</v>
      </c>
      <c r="CS120" s="22">
        <f t="shared" si="466"/>
        <v>163559.81854628751</v>
      </c>
      <c r="CT120" s="22">
        <f t="shared" si="466"/>
        <v>163559.81854628751</v>
      </c>
      <c r="CU120" s="22">
        <f t="shared" si="466"/>
        <v>163559.81854628751</v>
      </c>
      <c r="CV120" s="22">
        <f t="shared" si="466"/>
        <v>163559.81854628751</v>
      </c>
      <c r="CW120" s="22">
        <f t="shared" si="466"/>
        <v>163559.81854628751</v>
      </c>
      <c r="CX120" s="22">
        <f t="shared" ref="CX120:EC120" si="467">CX$116-CX$117+CX$119</f>
        <v>128901.87769957155</v>
      </c>
      <c r="CY120" s="22">
        <f t="shared" si="467"/>
        <v>167731.72964890755</v>
      </c>
      <c r="CZ120" s="22">
        <f t="shared" si="467"/>
        <v>167731.72964890755</v>
      </c>
      <c r="DA120" s="22">
        <f t="shared" si="467"/>
        <v>167731.72964890755</v>
      </c>
      <c r="DB120" s="22">
        <f t="shared" si="467"/>
        <v>167731.72964890755</v>
      </c>
      <c r="DC120" s="22">
        <f t="shared" si="467"/>
        <v>167731.72964890755</v>
      </c>
      <c r="DD120" s="22">
        <f t="shared" si="467"/>
        <v>167731.72964890755</v>
      </c>
      <c r="DE120" s="22">
        <f t="shared" si="467"/>
        <v>167731.72964890755</v>
      </c>
      <c r="DF120" s="22">
        <f t="shared" si="467"/>
        <v>167731.72964890755</v>
      </c>
      <c r="DG120" s="22">
        <f t="shared" si="467"/>
        <v>167731.72964890755</v>
      </c>
      <c r="DH120" s="22">
        <f t="shared" si="467"/>
        <v>167731.72964890755</v>
      </c>
      <c r="DI120" s="22">
        <f t="shared" si="467"/>
        <v>167731.72964890755</v>
      </c>
      <c r="DJ120" s="22">
        <f t="shared" si="467"/>
        <v>132726.82515630833</v>
      </c>
      <c r="DK120" s="22">
        <f t="shared" si="467"/>
        <v>171931.6431150861</v>
      </c>
      <c r="DL120" s="22">
        <f t="shared" si="467"/>
        <v>171931.6431150861</v>
      </c>
      <c r="DM120" s="22">
        <f t="shared" si="467"/>
        <v>171931.6431150861</v>
      </c>
      <c r="DN120" s="22">
        <f t="shared" si="467"/>
        <v>171931.6431150861</v>
      </c>
      <c r="DO120" s="22">
        <f t="shared" si="467"/>
        <v>171931.6431150861</v>
      </c>
      <c r="DP120" s="22">
        <f t="shared" si="467"/>
        <v>171931.6431150861</v>
      </c>
      <c r="DQ120" s="22">
        <f t="shared" si="467"/>
        <v>171931.6431150861</v>
      </c>
      <c r="DR120" s="22">
        <f t="shared" si="467"/>
        <v>171931.6431150861</v>
      </c>
      <c r="DS120" s="22">
        <f t="shared" si="467"/>
        <v>171931.6431150861</v>
      </c>
      <c r="DT120" s="22">
        <f t="shared" si="467"/>
        <v>171931.6431150861</v>
      </c>
      <c r="DU120" s="22">
        <f t="shared" si="467"/>
        <v>4681694.1604373669</v>
      </c>
      <c r="DV120" s="22">
        <f t="shared" si="467"/>
        <v>0</v>
      </c>
      <c r="DW120" s="22">
        <f t="shared" si="467"/>
        <v>0</v>
      </c>
      <c r="DX120" s="22">
        <f t="shared" si="467"/>
        <v>0</v>
      </c>
      <c r="DY120" s="22">
        <f t="shared" si="467"/>
        <v>0</v>
      </c>
      <c r="DZ120" s="22">
        <f t="shared" si="467"/>
        <v>0</v>
      </c>
      <c r="EA120" s="22">
        <f t="shared" si="467"/>
        <v>0</v>
      </c>
      <c r="EB120" s="22">
        <f t="shared" si="467"/>
        <v>0</v>
      </c>
      <c r="EC120" s="22">
        <f t="shared" si="467"/>
        <v>0</v>
      </c>
      <c r="ED120" s="22">
        <f t="shared" ref="ED120:ES120" si="468">ED$116-ED$117+ED$119</f>
        <v>0</v>
      </c>
      <c r="EE120" s="22">
        <f t="shared" si="468"/>
        <v>0</v>
      </c>
      <c r="EF120" s="22">
        <f t="shared" si="468"/>
        <v>0</v>
      </c>
      <c r="EG120" s="22">
        <f t="shared" si="468"/>
        <v>0</v>
      </c>
      <c r="EH120" s="22">
        <f t="shared" si="468"/>
        <v>0</v>
      </c>
      <c r="EI120" s="22">
        <f t="shared" si="468"/>
        <v>0</v>
      </c>
      <c r="EJ120" s="22">
        <f t="shared" si="468"/>
        <v>0</v>
      </c>
      <c r="EK120" s="22">
        <f t="shared" si="468"/>
        <v>0</v>
      </c>
      <c r="EL120" s="22">
        <f t="shared" si="468"/>
        <v>0</v>
      </c>
      <c r="EM120" s="22">
        <f t="shared" si="468"/>
        <v>0</v>
      </c>
      <c r="EN120" s="22">
        <f t="shared" si="468"/>
        <v>0</v>
      </c>
      <c r="EO120" s="22">
        <f t="shared" si="468"/>
        <v>0</v>
      </c>
      <c r="EP120" s="22">
        <f t="shared" si="468"/>
        <v>0</v>
      </c>
      <c r="EQ120" s="22">
        <f t="shared" si="468"/>
        <v>0</v>
      </c>
      <c r="ER120" s="22">
        <f t="shared" si="468"/>
        <v>0</v>
      </c>
      <c r="ES120" s="22">
        <f t="shared" si="468"/>
        <v>0</v>
      </c>
    </row>
    <row r="121" spans="1:149" x14ac:dyDescent="0.3">
      <c r="A121" s="14" t="s">
        <v>1139</v>
      </c>
      <c r="B121" s="18" t="s">
        <v>1140</v>
      </c>
      <c r="C121" s="18" t="s">
        <v>439</v>
      </c>
      <c r="E121" s="54">
        <f>MIN(F121:ES121)</f>
        <v>-3207787.0130536333</v>
      </c>
      <c r="F121" s="48">
        <f>0+F$116-F$117</f>
        <v>-3000610.4768834403</v>
      </c>
      <c r="G121" s="48">
        <f t="shared" ref="G121:AL121" si="469">F$121+G$116-G$117</f>
        <v>-2958112.9764078506</v>
      </c>
      <c r="H121" s="48">
        <f t="shared" si="469"/>
        <v>-2915615.475932261</v>
      </c>
      <c r="I121" s="48">
        <f t="shared" si="469"/>
        <v>-2873117.9754566713</v>
      </c>
      <c r="J121" s="48">
        <f t="shared" si="469"/>
        <v>-2830620.4749810817</v>
      </c>
      <c r="K121" s="48">
        <f t="shared" si="469"/>
        <v>-2788122.974505492</v>
      </c>
      <c r="L121" s="48">
        <f t="shared" si="469"/>
        <v>-2745625.4740299024</v>
      </c>
      <c r="M121" s="48">
        <f t="shared" si="469"/>
        <v>-2703127.9735543127</v>
      </c>
      <c r="N121" s="48">
        <f t="shared" si="469"/>
        <v>-2660630.4730787231</v>
      </c>
      <c r="O121" s="48">
        <f t="shared" si="469"/>
        <v>-2618132.9726031334</v>
      </c>
      <c r="P121" s="48">
        <f t="shared" si="469"/>
        <v>-2575635.4721275438</v>
      </c>
      <c r="Q121" s="48">
        <f t="shared" si="469"/>
        <v>-2533137.9716519541</v>
      </c>
      <c r="R121" s="48">
        <f t="shared" si="469"/>
        <v>-3207787.0130536333</v>
      </c>
      <c r="S121" s="48">
        <f t="shared" si="469"/>
        <v>-3127290.6100596683</v>
      </c>
      <c r="T121" s="48">
        <f t="shared" si="469"/>
        <v>-3046794.2070657033</v>
      </c>
      <c r="U121" s="48">
        <f t="shared" si="469"/>
        <v>-2966297.8040717384</v>
      </c>
      <c r="V121" s="48">
        <f t="shared" si="469"/>
        <v>-2885801.4010777734</v>
      </c>
      <c r="W121" s="48">
        <f t="shared" si="469"/>
        <v>-2805304.9980838085</v>
      </c>
      <c r="X121" s="48">
        <f t="shared" si="469"/>
        <v>-2724808.5950898435</v>
      </c>
      <c r="Y121" s="48">
        <f t="shared" si="469"/>
        <v>-2644312.1920958785</v>
      </c>
      <c r="Z121" s="48">
        <f t="shared" si="469"/>
        <v>-2563815.7891019136</v>
      </c>
      <c r="AA121" s="48">
        <f t="shared" si="469"/>
        <v>-2483319.3861079486</v>
      </c>
      <c r="AB121" s="48">
        <f t="shared" si="469"/>
        <v>-2402822.9831139836</v>
      </c>
      <c r="AC121" s="48">
        <f t="shared" si="469"/>
        <v>-2322326.5801200187</v>
      </c>
      <c r="AD121" s="48">
        <f t="shared" si="469"/>
        <v>-2872568.4798873169</v>
      </c>
      <c r="AE121" s="48">
        <f t="shared" si="469"/>
        <v>-2755483.449022192</v>
      </c>
      <c r="AF121" s="48">
        <f t="shared" si="469"/>
        <v>-2638398.4181570671</v>
      </c>
      <c r="AG121" s="48">
        <f t="shared" si="469"/>
        <v>-2521313.3872919423</v>
      </c>
      <c r="AH121" s="48">
        <f t="shared" si="469"/>
        <v>-2404228.3564268174</v>
      </c>
      <c r="AI121" s="48">
        <f t="shared" si="469"/>
        <v>-2287143.3255616925</v>
      </c>
      <c r="AJ121" s="48">
        <f t="shared" si="469"/>
        <v>-2170058.2946965676</v>
      </c>
      <c r="AK121" s="48">
        <f t="shared" si="469"/>
        <v>-2052973.2638314429</v>
      </c>
      <c r="AL121" s="48">
        <f t="shared" si="469"/>
        <v>-1935888.2329663183</v>
      </c>
      <c r="AM121" s="48">
        <f t="shared" ref="AM121:BR121" si="470">AL$121+AM$116-AM$117</f>
        <v>-1818803.2021011936</v>
      </c>
      <c r="AN121" s="48">
        <f t="shared" si="470"/>
        <v>-1701718.1712360689</v>
      </c>
      <c r="AO121" s="48">
        <f t="shared" si="470"/>
        <v>-1584633.1403709443</v>
      </c>
      <c r="AP121" s="48">
        <f t="shared" si="470"/>
        <v>-1993548.6304243989</v>
      </c>
      <c r="AQ121" s="48">
        <f t="shared" si="470"/>
        <v>-1843655.0505445406</v>
      </c>
      <c r="AR121" s="48">
        <f t="shared" si="470"/>
        <v>-1693761.4706646823</v>
      </c>
      <c r="AS121" s="48">
        <f t="shared" si="470"/>
        <v>-1543867.890784824</v>
      </c>
      <c r="AT121" s="48">
        <f t="shared" si="470"/>
        <v>-1393974.3109049657</v>
      </c>
      <c r="AU121" s="48">
        <f t="shared" si="470"/>
        <v>-1244080.7310251074</v>
      </c>
      <c r="AV121" s="48">
        <f t="shared" si="470"/>
        <v>-1094187.1511452491</v>
      </c>
      <c r="AW121" s="48">
        <f t="shared" si="470"/>
        <v>-944293.57126539084</v>
      </c>
      <c r="AX121" s="48">
        <f t="shared" si="470"/>
        <v>-794399.99138553254</v>
      </c>
      <c r="AY121" s="48">
        <f t="shared" si="470"/>
        <v>-644506.41150567424</v>
      </c>
      <c r="AZ121" s="48">
        <f t="shared" si="470"/>
        <v>-494612.83162581595</v>
      </c>
      <c r="BA121" s="48">
        <f t="shared" si="470"/>
        <v>-344719.25174595765</v>
      </c>
      <c r="BB121" s="48">
        <f t="shared" si="470"/>
        <v>-231615.63457544384</v>
      </c>
      <c r="BC121" s="48">
        <f t="shared" si="470"/>
        <v>-80402.469699070149</v>
      </c>
      <c r="BD121" s="48">
        <f t="shared" si="470"/>
        <v>70810.69517730354</v>
      </c>
      <c r="BE121" s="48">
        <f t="shared" si="470"/>
        <v>222023.86005367723</v>
      </c>
      <c r="BF121" s="48">
        <f t="shared" si="470"/>
        <v>373237.02493005095</v>
      </c>
      <c r="BG121" s="48">
        <f t="shared" si="470"/>
        <v>524450.18980642466</v>
      </c>
      <c r="BH121" s="48">
        <f t="shared" si="470"/>
        <v>675663.35468279838</v>
      </c>
      <c r="BI121" s="48">
        <f t="shared" si="470"/>
        <v>826876.5195591721</v>
      </c>
      <c r="BJ121" s="48">
        <f t="shared" si="470"/>
        <v>978089.68443554582</v>
      </c>
      <c r="BK121" s="48">
        <f t="shared" si="470"/>
        <v>1129302.8493119194</v>
      </c>
      <c r="BL121" s="48">
        <f t="shared" si="470"/>
        <v>1280516.0141882931</v>
      </c>
      <c r="BM121" s="48">
        <f t="shared" si="470"/>
        <v>1431729.1790646669</v>
      </c>
      <c r="BN121" s="48">
        <f t="shared" si="470"/>
        <v>1549304.7643938966</v>
      </c>
      <c r="BO121" s="48">
        <f t="shared" si="470"/>
        <v>1704605.2061917228</v>
      </c>
      <c r="BP121" s="48">
        <f t="shared" si="470"/>
        <v>1859905.647989549</v>
      </c>
      <c r="BQ121" s="48">
        <f t="shared" si="470"/>
        <v>2015206.0897873752</v>
      </c>
      <c r="BR121" s="48">
        <f t="shared" si="470"/>
        <v>2170506.5315852012</v>
      </c>
      <c r="BS121" s="48">
        <f t="shared" ref="BS121:CX121" si="471">BR$121+BS$116-BS$117</f>
        <v>2325806.9733830271</v>
      </c>
      <c r="BT121" s="48">
        <f t="shared" si="471"/>
        <v>2481107.4151808531</v>
      </c>
      <c r="BU121" s="48">
        <f t="shared" si="471"/>
        <v>2636407.8569786791</v>
      </c>
      <c r="BV121" s="48">
        <f t="shared" si="471"/>
        <v>2791708.298776505</v>
      </c>
      <c r="BW121" s="48">
        <f t="shared" si="471"/>
        <v>2947008.740574331</v>
      </c>
      <c r="BX121" s="48">
        <f t="shared" si="471"/>
        <v>3102309.182372157</v>
      </c>
      <c r="BY121" s="48">
        <f t="shared" si="471"/>
        <v>3257609.624169983</v>
      </c>
      <c r="BZ121" s="48">
        <f t="shared" si="471"/>
        <v>3378935.7534346022</v>
      </c>
      <c r="CA121" s="48">
        <f t="shared" si="471"/>
        <v>3538351.7759240018</v>
      </c>
      <c r="CB121" s="48">
        <f t="shared" si="471"/>
        <v>3697767.7984134015</v>
      </c>
      <c r="CC121" s="48">
        <f t="shared" si="471"/>
        <v>3857183.8209028011</v>
      </c>
      <c r="CD121" s="48">
        <f t="shared" si="471"/>
        <v>4016599.8433922008</v>
      </c>
      <c r="CE121" s="48">
        <f t="shared" si="471"/>
        <v>4176015.8658816004</v>
      </c>
      <c r="CF121" s="48">
        <f t="shared" si="471"/>
        <v>4335431.8883710001</v>
      </c>
      <c r="CG121" s="48">
        <f t="shared" si="471"/>
        <v>4494847.9108603997</v>
      </c>
      <c r="CH121" s="48">
        <f t="shared" si="471"/>
        <v>4654263.9333497994</v>
      </c>
      <c r="CI121" s="48">
        <f t="shared" si="471"/>
        <v>4813679.955839199</v>
      </c>
      <c r="CJ121" s="48">
        <f t="shared" si="471"/>
        <v>4973095.9783285987</v>
      </c>
      <c r="CK121" s="48">
        <f t="shared" si="471"/>
        <v>5132512.0008179983</v>
      </c>
      <c r="CL121" s="48">
        <f t="shared" si="471"/>
        <v>5257613.6016697669</v>
      </c>
      <c r="CM121" s="48">
        <f t="shared" si="471"/>
        <v>5421173.4202160547</v>
      </c>
      <c r="CN121" s="48">
        <f t="shared" si="471"/>
        <v>5584733.2387623424</v>
      </c>
      <c r="CO121" s="48">
        <f t="shared" si="471"/>
        <v>5748293.0573086301</v>
      </c>
      <c r="CP121" s="48">
        <f t="shared" si="471"/>
        <v>5911852.8758549178</v>
      </c>
      <c r="CQ121" s="48">
        <f t="shared" si="471"/>
        <v>6075412.6944012055</v>
      </c>
      <c r="CR121" s="48">
        <f t="shared" si="471"/>
        <v>6238972.5129474932</v>
      </c>
      <c r="CS121" s="48">
        <f t="shared" si="471"/>
        <v>6402532.3314937809</v>
      </c>
      <c r="CT121" s="48">
        <f t="shared" si="471"/>
        <v>6566092.1500400687</v>
      </c>
      <c r="CU121" s="48">
        <f t="shared" si="471"/>
        <v>6729651.9685863564</v>
      </c>
      <c r="CV121" s="48">
        <f t="shared" si="471"/>
        <v>6893211.7871326441</v>
      </c>
      <c r="CW121" s="48">
        <f t="shared" si="471"/>
        <v>7056771.6056789318</v>
      </c>
      <c r="CX121" s="48">
        <f t="shared" si="471"/>
        <v>7185673.4833785035</v>
      </c>
      <c r="CY121" s="48">
        <f t="shared" ref="CY121:ED121" si="472">CX$121+CY$116-CY$117</f>
        <v>7353405.2130274111</v>
      </c>
      <c r="CZ121" s="48">
        <f t="shared" si="472"/>
        <v>7521136.9426763188</v>
      </c>
      <c r="DA121" s="48">
        <f t="shared" si="472"/>
        <v>7688868.6723252265</v>
      </c>
      <c r="DB121" s="48">
        <f t="shared" si="472"/>
        <v>7856600.4019741341</v>
      </c>
      <c r="DC121" s="48">
        <f t="shared" si="472"/>
        <v>8024332.1316230418</v>
      </c>
      <c r="DD121" s="48">
        <f t="shared" si="472"/>
        <v>8192063.8612719495</v>
      </c>
      <c r="DE121" s="48">
        <f t="shared" si="472"/>
        <v>8359795.5909208572</v>
      </c>
      <c r="DF121" s="48">
        <f t="shared" si="472"/>
        <v>8527527.3205697648</v>
      </c>
      <c r="DG121" s="48">
        <f t="shared" si="472"/>
        <v>8695259.0502186716</v>
      </c>
      <c r="DH121" s="48">
        <f t="shared" si="472"/>
        <v>8862990.7798675783</v>
      </c>
      <c r="DI121" s="48">
        <f t="shared" si="472"/>
        <v>9030722.509516485</v>
      </c>
      <c r="DJ121" s="48">
        <f t="shared" si="472"/>
        <v>9163449.3346727937</v>
      </c>
      <c r="DK121" s="48">
        <f t="shared" si="472"/>
        <v>9335380.9777878802</v>
      </c>
      <c r="DL121" s="48">
        <f t="shared" si="472"/>
        <v>9507312.6209029667</v>
      </c>
      <c r="DM121" s="48">
        <f t="shared" si="472"/>
        <v>9679244.2640180532</v>
      </c>
      <c r="DN121" s="48">
        <f t="shared" si="472"/>
        <v>9851175.9071331397</v>
      </c>
      <c r="DO121" s="48">
        <f t="shared" si="472"/>
        <v>10023107.550248226</v>
      </c>
      <c r="DP121" s="48">
        <f t="shared" si="472"/>
        <v>10195039.193363313</v>
      </c>
      <c r="DQ121" s="48">
        <f t="shared" si="472"/>
        <v>10366970.836478399</v>
      </c>
      <c r="DR121" s="48">
        <f t="shared" si="472"/>
        <v>10538902.479593486</v>
      </c>
      <c r="DS121" s="48">
        <f t="shared" si="472"/>
        <v>10710834.122708572</v>
      </c>
      <c r="DT121" s="48">
        <f t="shared" si="472"/>
        <v>10882765.765823659</v>
      </c>
      <c r="DU121" s="48">
        <f t="shared" si="472"/>
        <v>11054697.408938745</v>
      </c>
      <c r="DV121" s="48">
        <f t="shared" si="472"/>
        <v>11054697.408938745</v>
      </c>
      <c r="DW121" s="48">
        <f t="shared" si="472"/>
        <v>11054697.408938745</v>
      </c>
      <c r="DX121" s="48">
        <f t="shared" si="472"/>
        <v>11054697.408938745</v>
      </c>
      <c r="DY121" s="48">
        <f t="shared" si="472"/>
        <v>11054697.408938745</v>
      </c>
      <c r="DZ121" s="48">
        <f t="shared" si="472"/>
        <v>11054697.408938745</v>
      </c>
      <c r="EA121" s="48">
        <f t="shared" si="472"/>
        <v>11054697.408938745</v>
      </c>
      <c r="EB121" s="48">
        <f t="shared" si="472"/>
        <v>11054697.408938745</v>
      </c>
      <c r="EC121" s="48">
        <f t="shared" si="472"/>
        <v>11054697.408938745</v>
      </c>
      <c r="ED121" s="48">
        <f t="shared" si="472"/>
        <v>11054697.408938745</v>
      </c>
      <c r="EE121" s="48">
        <f t="shared" ref="EE121:ES121" si="473">ED$121+EE$116-EE$117</f>
        <v>11054697.408938745</v>
      </c>
      <c r="EF121" s="48">
        <f t="shared" si="473"/>
        <v>11054697.408938745</v>
      </c>
      <c r="EG121" s="48">
        <f t="shared" si="473"/>
        <v>11054697.408938745</v>
      </c>
      <c r="EH121" s="48">
        <f t="shared" si="473"/>
        <v>11054697.408938745</v>
      </c>
      <c r="EI121" s="48">
        <f t="shared" si="473"/>
        <v>11054697.408938745</v>
      </c>
      <c r="EJ121" s="48">
        <f t="shared" si="473"/>
        <v>11054697.408938745</v>
      </c>
      <c r="EK121" s="48">
        <f t="shared" si="473"/>
        <v>11054697.408938745</v>
      </c>
      <c r="EL121" s="48">
        <f t="shared" si="473"/>
        <v>11054697.408938745</v>
      </c>
      <c r="EM121" s="48">
        <f t="shared" si="473"/>
        <v>11054697.408938745</v>
      </c>
      <c r="EN121" s="48">
        <f t="shared" si="473"/>
        <v>11054697.408938745</v>
      </c>
      <c r="EO121" s="48">
        <f t="shared" si="473"/>
        <v>11054697.408938745</v>
      </c>
      <c r="EP121" s="48">
        <f t="shared" si="473"/>
        <v>11054697.408938745</v>
      </c>
      <c r="EQ121" s="48">
        <f t="shared" si="473"/>
        <v>11054697.408938745</v>
      </c>
      <c r="ER121" s="48">
        <f t="shared" si="473"/>
        <v>11054697.408938745</v>
      </c>
      <c r="ES121" s="48">
        <f t="shared" si="473"/>
        <v>11054697.408938745</v>
      </c>
    </row>
    <row r="122" spans="1:149" x14ac:dyDescent="0.3">
      <c r="A122" s="16"/>
      <c r="B122" s="15" t="s">
        <v>1141</v>
      </c>
      <c r="C122" s="16"/>
      <c r="D122" s="16"/>
      <c r="E122" s="16"/>
    </row>
    <row r="123" spans="1:149" x14ac:dyDescent="0.3">
      <c r="A123" s="14" t="s">
        <v>1142</v>
      </c>
      <c r="B123" s="18" t="s">
        <v>1143</v>
      </c>
      <c r="C123" s="18" t="s">
        <v>439</v>
      </c>
      <c r="E123" s="54">
        <f>SUM(F123:ES123)</f>
        <v>2791587</v>
      </c>
      <c r="F123" s="48">
        <f>IF((1-N(P_L1_Mes)+1)=1,N(P_L1_Monto),0)*F$9</f>
        <v>2791587</v>
      </c>
      <c r="G123" s="48">
        <f>IF((2-N(P_L1_Mes)+1)=1,N(P_L1_Monto),0)*G$9</f>
        <v>0</v>
      </c>
      <c r="H123" s="48">
        <f>IF((3-N(P_L1_Mes)+1)=1,N(P_L1_Monto),0)*H$9</f>
        <v>0</v>
      </c>
      <c r="I123" s="48">
        <f>IF((4-N(P_L1_Mes)+1)=1,N(P_L1_Monto),0)*I$9</f>
        <v>0</v>
      </c>
      <c r="J123" s="48">
        <f>IF((5-N(P_L1_Mes)+1)=1,N(P_L1_Monto),0)*J$9</f>
        <v>0</v>
      </c>
      <c r="K123" s="48">
        <f>IF((6-N(P_L1_Mes)+1)=1,N(P_L1_Monto),0)*K$9</f>
        <v>0</v>
      </c>
      <c r="L123" s="48">
        <f>IF((7-N(P_L1_Mes)+1)=1,N(P_L1_Monto),0)*L$9</f>
        <v>0</v>
      </c>
      <c r="M123" s="48">
        <f>IF((8-N(P_L1_Mes)+1)=1,N(P_L1_Monto),0)*M$9</f>
        <v>0</v>
      </c>
      <c r="N123" s="48">
        <f>IF((9-N(P_L1_Mes)+1)=1,N(P_L1_Monto),0)*N$9</f>
        <v>0</v>
      </c>
      <c r="O123" s="48">
        <f>IF((10-N(P_L1_Mes)+1)=1,N(P_L1_Monto),0)*O$9</f>
        <v>0</v>
      </c>
      <c r="P123" s="48">
        <f>IF((11-N(P_L1_Mes)+1)=1,N(P_L1_Monto),0)*P$9</f>
        <v>0</v>
      </c>
      <c r="Q123" s="48">
        <f>IF((12-N(P_L1_Mes)+1)=1,N(P_L1_Monto),0)*Q$9</f>
        <v>0</v>
      </c>
      <c r="R123" s="48">
        <f>IF((13-N(P_L1_Mes)+1)=1,N(P_L1_Monto),0)*R$9</f>
        <v>0</v>
      </c>
      <c r="S123" s="48">
        <f>IF((14-N(P_L1_Mes)+1)=1,N(P_L1_Monto),0)*S$9</f>
        <v>0</v>
      </c>
      <c r="T123" s="48">
        <f>IF((15-N(P_L1_Mes)+1)=1,N(P_L1_Monto),0)*T$9</f>
        <v>0</v>
      </c>
      <c r="U123" s="48">
        <f>IF((16-N(P_L1_Mes)+1)=1,N(P_L1_Monto),0)*U$9</f>
        <v>0</v>
      </c>
      <c r="V123" s="48">
        <f>IF((17-N(P_L1_Mes)+1)=1,N(P_L1_Monto),0)*V$9</f>
        <v>0</v>
      </c>
      <c r="W123" s="48">
        <f>IF((18-N(P_L1_Mes)+1)=1,N(P_L1_Monto),0)*W$9</f>
        <v>0</v>
      </c>
      <c r="X123" s="48">
        <f>IF((19-N(P_L1_Mes)+1)=1,N(P_L1_Monto),0)*X$9</f>
        <v>0</v>
      </c>
      <c r="Y123" s="48">
        <f>IF((20-N(P_L1_Mes)+1)=1,N(P_L1_Monto),0)*Y$9</f>
        <v>0</v>
      </c>
      <c r="Z123" s="48">
        <f>IF((21-N(P_L1_Mes)+1)=1,N(P_L1_Monto),0)*Z$9</f>
        <v>0</v>
      </c>
      <c r="AA123" s="48">
        <f>IF((22-N(P_L1_Mes)+1)=1,N(P_L1_Monto),0)*AA$9</f>
        <v>0</v>
      </c>
      <c r="AB123" s="48">
        <f>IF((23-N(P_L1_Mes)+1)=1,N(P_L1_Monto),0)*AB$9</f>
        <v>0</v>
      </c>
      <c r="AC123" s="48">
        <f>IF((24-N(P_L1_Mes)+1)=1,N(P_L1_Monto),0)*AC$9</f>
        <v>0</v>
      </c>
      <c r="AD123" s="48">
        <f>IF((25-N(P_L1_Mes)+1)=1,N(P_L1_Monto),0)*AD$9</f>
        <v>0</v>
      </c>
      <c r="AE123" s="48">
        <f>IF((26-N(P_L1_Mes)+1)=1,N(P_L1_Monto),0)*AE$9</f>
        <v>0</v>
      </c>
      <c r="AF123" s="48">
        <f>IF((27-N(P_L1_Mes)+1)=1,N(P_L1_Monto),0)*AF$9</f>
        <v>0</v>
      </c>
      <c r="AG123" s="48">
        <f>IF((28-N(P_L1_Mes)+1)=1,N(P_L1_Monto),0)*AG$9</f>
        <v>0</v>
      </c>
      <c r="AH123" s="48">
        <f>IF((29-N(P_L1_Mes)+1)=1,N(P_L1_Monto),0)*AH$9</f>
        <v>0</v>
      </c>
      <c r="AI123" s="48">
        <f>IF((30-N(P_L1_Mes)+1)=1,N(P_L1_Monto),0)*AI$9</f>
        <v>0</v>
      </c>
      <c r="AJ123" s="48">
        <f>IF((31-N(P_L1_Mes)+1)=1,N(P_L1_Monto),0)*AJ$9</f>
        <v>0</v>
      </c>
      <c r="AK123" s="48">
        <f>IF((32-N(P_L1_Mes)+1)=1,N(P_L1_Monto),0)*AK$9</f>
        <v>0</v>
      </c>
      <c r="AL123" s="48">
        <f>IF((33-N(P_L1_Mes)+1)=1,N(P_L1_Monto),0)*AL$9</f>
        <v>0</v>
      </c>
      <c r="AM123" s="48">
        <f>IF((34-N(P_L1_Mes)+1)=1,N(P_L1_Monto),0)*AM$9</f>
        <v>0</v>
      </c>
      <c r="AN123" s="48">
        <f>IF((35-N(P_L1_Mes)+1)=1,N(P_L1_Monto),0)*AN$9</f>
        <v>0</v>
      </c>
      <c r="AO123" s="48">
        <f>IF((36-N(P_L1_Mes)+1)=1,N(P_L1_Monto),0)*AO$9</f>
        <v>0</v>
      </c>
      <c r="AP123" s="48">
        <f>IF((37-N(P_L1_Mes)+1)=1,N(P_L1_Monto),0)*AP$9</f>
        <v>0</v>
      </c>
      <c r="AQ123" s="48">
        <f>IF((38-N(P_L1_Mes)+1)=1,N(P_L1_Monto),0)*AQ$9</f>
        <v>0</v>
      </c>
      <c r="AR123" s="48">
        <f>IF((39-N(P_L1_Mes)+1)=1,N(P_L1_Monto),0)*AR$9</f>
        <v>0</v>
      </c>
      <c r="AS123" s="48">
        <f>IF((40-N(P_L1_Mes)+1)=1,N(P_L1_Monto),0)*AS$9</f>
        <v>0</v>
      </c>
      <c r="AT123" s="48">
        <f>IF((41-N(P_L1_Mes)+1)=1,N(P_L1_Monto),0)*AT$9</f>
        <v>0</v>
      </c>
      <c r="AU123" s="48">
        <f>IF((42-N(P_L1_Mes)+1)=1,N(P_L1_Monto),0)*AU$9</f>
        <v>0</v>
      </c>
      <c r="AV123" s="48">
        <f>IF((43-N(P_L1_Mes)+1)=1,N(P_L1_Monto),0)*AV$9</f>
        <v>0</v>
      </c>
      <c r="AW123" s="48">
        <f>IF((44-N(P_L1_Mes)+1)=1,N(P_L1_Monto),0)*AW$9</f>
        <v>0</v>
      </c>
      <c r="AX123" s="48">
        <f>IF((45-N(P_L1_Mes)+1)=1,N(P_L1_Monto),0)*AX$9</f>
        <v>0</v>
      </c>
      <c r="AY123" s="48">
        <f>IF((46-N(P_L1_Mes)+1)=1,N(P_L1_Monto),0)*AY$9</f>
        <v>0</v>
      </c>
      <c r="AZ123" s="48">
        <f>IF((47-N(P_L1_Mes)+1)=1,N(P_L1_Monto),0)*AZ$9</f>
        <v>0</v>
      </c>
      <c r="BA123" s="48">
        <f>IF((48-N(P_L1_Mes)+1)=1,N(P_L1_Monto),0)*BA$9</f>
        <v>0</v>
      </c>
      <c r="BB123" s="48">
        <f>IF((49-N(P_L1_Mes)+1)=1,N(P_L1_Monto),0)*BB$9</f>
        <v>0</v>
      </c>
      <c r="BC123" s="48">
        <f>IF((50-N(P_L1_Mes)+1)=1,N(P_L1_Monto),0)*BC$9</f>
        <v>0</v>
      </c>
      <c r="BD123" s="48">
        <f>IF((51-N(P_L1_Mes)+1)=1,N(P_L1_Monto),0)*BD$9</f>
        <v>0</v>
      </c>
      <c r="BE123" s="48">
        <f>IF((52-N(P_L1_Mes)+1)=1,N(P_L1_Monto),0)*BE$9</f>
        <v>0</v>
      </c>
      <c r="BF123" s="48">
        <f>IF((53-N(P_L1_Mes)+1)=1,N(P_L1_Monto),0)*BF$9</f>
        <v>0</v>
      </c>
      <c r="BG123" s="48">
        <f>IF((54-N(P_L1_Mes)+1)=1,N(P_L1_Monto),0)*BG$9</f>
        <v>0</v>
      </c>
      <c r="BH123" s="48">
        <f>IF((55-N(P_L1_Mes)+1)=1,N(P_L1_Monto),0)*BH$9</f>
        <v>0</v>
      </c>
      <c r="BI123" s="48">
        <f>IF((56-N(P_L1_Mes)+1)=1,N(P_L1_Monto),0)*BI$9</f>
        <v>0</v>
      </c>
      <c r="BJ123" s="48">
        <f>IF((57-N(P_L1_Mes)+1)=1,N(P_L1_Monto),0)*BJ$9</f>
        <v>0</v>
      </c>
      <c r="BK123" s="48">
        <f>IF((58-N(P_L1_Mes)+1)=1,N(P_L1_Monto),0)*BK$9</f>
        <v>0</v>
      </c>
      <c r="BL123" s="48">
        <f>IF((59-N(P_L1_Mes)+1)=1,N(P_L1_Monto),0)*BL$9</f>
        <v>0</v>
      </c>
      <c r="BM123" s="48">
        <f>IF((60-N(P_L1_Mes)+1)=1,N(P_L1_Monto),0)*BM$9</f>
        <v>0</v>
      </c>
      <c r="BN123" s="48">
        <f>IF((61-N(P_L1_Mes)+1)=1,N(P_L1_Monto),0)*BN$9</f>
        <v>0</v>
      </c>
      <c r="BO123" s="48">
        <f>IF((62-N(P_L1_Mes)+1)=1,N(P_L1_Monto),0)*BO$9</f>
        <v>0</v>
      </c>
      <c r="BP123" s="48">
        <f>IF((63-N(P_L1_Mes)+1)=1,N(P_L1_Monto),0)*BP$9</f>
        <v>0</v>
      </c>
      <c r="BQ123" s="48">
        <f>IF((64-N(P_L1_Mes)+1)=1,N(P_L1_Monto),0)*BQ$9</f>
        <v>0</v>
      </c>
      <c r="BR123" s="48">
        <f>IF((65-N(P_L1_Mes)+1)=1,N(P_L1_Monto),0)*BR$9</f>
        <v>0</v>
      </c>
      <c r="BS123" s="48">
        <f>IF((66-N(P_L1_Mes)+1)=1,N(P_L1_Monto),0)*BS$9</f>
        <v>0</v>
      </c>
      <c r="BT123" s="48">
        <f>IF((67-N(P_L1_Mes)+1)=1,N(P_L1_Monto),0)*BT$9</f>
        <v>0</v>
      </c>
      <c r="BU123" s="48">
        <f>IF((68-N(P_L1_Mes)+1)=1,N(P_L1_Monto),0)*BU$9</f>
        <v>0</v>
      </c>
      <c r="BV123" s="48">
        <f>IF((69-N(P_L1_Mes)+1)=1,N(P_L1_Monto),0)*BV$9</f>
        <v>0</v>
      </c>
      <c r="BW123" s="48">
        <f>IF((70-N(P_L1_Mes)+1)=1,N(P_L1_Monto),0)*BW$9</f>
        <v>0</v>
      </c>
      <c r="BX123" s="48">
        <f>IF((71-N(P_L1_Mes)+1)=1,N(P_L1_Monto),0)*BX$9</f>
        <v>0</v>
      </c>
      <c r="BY123" s="48">
        <f>IF((72-N(P_L1_Mes)+1)=1,N(P_L1_Monto),0)*BY$9</f>
        <v>0</v>
      </c>
      <c r="BZ123" s="48">
        <f>IF((73-N(P_L1_Mes)+1)=1,N(P_L1_Monto),0)*BZ$9</f>
        <v>0</v>
      </c>
      <c r="CA123" s="48">
        <f>IF((74-N(P_L1_Mes)+1)=1,N(P_L1_Monto),0)*CA$9</f>
        <v>0</v>
      </c>
      <c r="CB123" s="48">
        <f>IF((75-N(P_L1_Mes)+1)=1,N(P_L1_Monto),0)*CB$9</f>
        <v>0</v>
      </c>
      <c r="CC123" s="48">
        <f>IF((76-N(P_L1_Mes)+1)=1,N(P_L1_Monto),0)*CC$9</f>
        <v>0</v>
      </c>
      <c r="CD123" s="48">
        <f>IF((77-N(P_L1_Mes)+1)=1,N(P_L1_Monto),0)*CD$9</f>
        <v>0</v>
      </c>
      <c r="CE123" s="48">
        <f>IF((78-N(P_L1_Mes)+1)=1,N(P_L1_Monto),0)*CE$9</f>
        <v>0</v>
      </c>
      <c r="CF123" s="48">
        <f>IF((79-N(P_L1_Mes)+1)=1,N(P_L1_Monto),0)*CF$9</f>
        <v>0</v>
      </c>
      <c r="CG123" s="48">
        <f>IF((80-N(P_L1_Mes)+1)=1,N(P_L1_Monto),0)*CG$9</f>
        <v>0</v>
      </c>
      <c r="CH123" s="48">
        <f>IF((81-N(P_L1_Mes)+1)=1,N(P_L1_Monto),0)*CH$9</f>
        <v>0</v>
      </c>
      <c r="CI123" s="48">
        <f>IF((82-N(P_L1_Mes)+1)=1,N(P_L1_Monto),0)*CI$9</f>
        <v>0</v>
      </c>
      <c r="CJ123" s="48">
        <f>IF((83-N(P_L1_Mes)+1)=1,N(P_L1_Monto),0)*CJ$9</f>
        <v>0</v>
      </c>
      <c r="CK123" s="48">
        <f>IF((84-N(P_L1_Mes)+1)=1,N(P_L1_Monto),0)*CK$9</f>
        <v>0</v>
      </c>
      <c r="CL123" s="48">
        <f>IF((85-N(P_L1_Mes)+1)=1,N(P_L1_Monto),0)*CL$9</f>
        <v>0</v>
      </c>
      <c r="CM123" s="48">
        <f>IF((86-N(P_L1_Mes)+1)=1,N(P_L1_Monto),0)*CM$9</f>
        <v>0</v>
      </c>
      <c r="CN123" s="48">
        <f>IF((87-N(P_L1_Mes)+1)=1,N(P_L1_Monto),0)*CN$9</f>
        <v>0</v>
      </c>
      <c r="CO123" s="48">
        <f>IF((88-N(P_L1_Mes)+1)=1,N(P_L1_Monto),0)*CO$9</f>
        <v>0</v>
      </c>
      <c r="CP123" s="48">
        <f>IF((89-N(P_L1_Mes)+1)=1,N(P_L1_Monto),0)*CP$9</f>
        <v>0</v>
      </c>
      <c r="CQ123" s="48">
        <f>IF((90-N(P_L1_Mes)+1)=1,N(P_L1_Monto),0)*CQ$9</f>
        <v>0</v>
      </c>
      <c r="CR123" s="48">
        <f>IF((91-N(P_L1_Mes)+1)=1,N(P_L1_Monto),0)*CR$9</f>
        <v>0</v>
      </c>
      <c r="CS123" s="48">
        <f>IF((92-N(P_L1_Mes)+1)=1,N(P_L1_Monto),0)*CS$9</f>
        <v>0</v>
      </c>
      <c r="CT123" s="48">
        <f>IF((93-N(P_L1_Mes)+1)=1,N(P_L1_Monto),0)*CT$9</f>
        <v>0</v>
      </c>
      <c r="CU123" s="48">
        <f>IF((94-N(P_L1_Mes)+1)=1,N(P_L1_Monto),0)*CU$9</f>
        <v>0</v>
      </c>
      <c r="CV123" s="48">
        <f>IF((95-N(P_L1_Mes)+1)=1,N(P_L1_Monto),0)*CV$9</f>
        <v>0</v>
      </c>
      <c r="CW123" s="48">
        <f>IF((96-N(P_L1_Mes)+1)=1,N(P_L1_Monto),0)*CW$9</f>
        <v>0</v>
      </c>
      <c r="CX123" s="48">
        <f>IF((97-N(P_L1_Mes)+1)=1,N(P_L1_Monto),0)*CX$9</f>
        <v>0</v>
      </c>
      <c r="CY123" s="48">
        <f>IF((98-N(P_L1_Mes)+1)=1,N(P_L1_Monto),0)*CY$9</f>
        <v>0</v>
      </c>
      <c r="CZ123" s="48">
        <f>IF((99-N(P_L1_Mes)+1)=1,N(P_L1_Monto),0)*CZ$9</f>
        <v>0</v>
      </c>
      <c r="DA123" s="48">
        <f>IF((100-N(P_L1_Mes)+1)=1,N(P_L1_Monto),0)*DA$9</f>
        <v>0</v>
      </c>
      <c r="DB123" s="48">
        <f>IF((101-N(P_L1_Mes)+1)=1,N(P_L1_Monto),0)*DB$9</f>
        <v>0</v>
      </c>
      <c r="DC123" s="48">
        <f>IF((102-N(P_L1_Mes)+1)=1,N(P_L1_Monto),0)*DC$9</f>
        <v>0</v>
      </c>
      <c r="DD123" s="48">
        <f>IF((103-N(P_L1_Mes)+1)=1,N(P_L1_Monto),0)*DD$9</f>
        <v>0</v>
      </c>
      <c r="DE123" s="48">
        <f>IF((104-N(P_L1_Mes)+1)=1,N(P_L1_Monto),0)*DE$9</f>
        <v>0</v>
      </c>
      <c r="DF123" s="48">
        <f>IF((105-N(P_L1_Mes)+1)=1,N(P_L1_Monto),0)*DF$9</f>
        <v>0</v>
      </c>
      <c r="DG123" s="48">
        <f>IF((106-N(P_L1_Mes)+1)=1,N(P_L1_Monto),0)*DG$9</f>
        <v>0</v>
      </c>
      <c r="DH123" s="48">
        <f>IF((107-N(P_L1_Mes)+1)=1,N(P_L1_Monto),0)*DH$9</f>
        <v>0</v>
      </c>
      <c r="DI123" s="48">
        <f>IF((108-N(P_L1_Mes)+1)=1,N(P_L1_Monto),0)*DI$9</f>
        <v>0</v>
      </c>
      <c r="DJ123" s="48">
        <f>IF((109-N(P_L1_Mes)+1)=1,N(P_L1_Monto),0)*DJ$9</f>
        <v>0</v>
      </c>
      <c r="DK123" s="48">
        <f>IF((110-N(P_L1_Mes)+1)=1,N(P_L1_Monto),0)*DK$9</f>
        <v>0</v>
      </c>
      <c r="DL123" s="48">
        <f>IF((111-N(P_L1_Mes)+1)=1,N(P_L1_Monto),0)*DL$9</f>
        <v>0</v>
      </c>
      <c r="DM123" s="48">
        <f>IF((112-N(P_L1_Mes)+1)=1,N(P_L1_Monto),0)*DM$9</f>
        <v>0</v>
      </c>
      <c r="DN123" s="48">
        <f>IF((113-N(P_L1_Mes)+1)=1,N(P_L1_Monto),0)*DN$9</f>
        <v>0</v>
      </c>
      <c r="DO123" s="48">
        <f>IF((114-N(P_L1_Mes)+1)=1,N(P_L1_Monto),0)*DO$9</f>
        <v>0</v>
      </c>
      <c r="DP123" s="48">
        <f>IF((115-N(P_L1_Mes)+1)=1,N(P_L1_Monto),0)*DP$9</f>
        <v>0</v>
      </c>
      <c r="DQ123" s="48">
        <f>IF((116-N(P_L1_Mes)+1)=1,N(P_L1_Monto),0)*DQ$9</f>
        <v>0</v>
      </c>
      <c r="DR123" s="48">
        <f>IF((117-N(P_L1_Mes)+1)=1,N(P_L1_Monto),0)*DR$9</f>
        <v>0</v>
      </c>
      <c r="DS123" s="48">
        <f>IF((118-N(P_L1_Mes)+1)=1,N(P_L1_Monto),0)*DS$9</f>
        <v>0</v>
      </c>
      <c r="DT123" s="48">
        <f>IF((119-N(P_L1_Mes)+1)=1,N(P_L1_Monto),0)*DT$9</f>
        <v>0</v>
      </c>
      <c r="DU123" s="48">
        <f>IF((120-N(P_L1_Mes)+1)=1,N(P_L1_Monto),0)*DU$9</f>
        <v>0</v>
      </c>
      <c r="DV123" s="48">
        <f>IF((121-N(P_L1_Mes)+1)=1,N(P_L1_Monto),0)*DV$9</f>
        <v>0</v>
      </c>
      <c r="DW123" s="48">
        <f>IF((122-N(P_L1_Mes)+1)=1,N(P_L1_Monto),0)*DW$9</f>
        <v>0</v>
      </c>
      <c r="DX123" s="48">
        <f>IF((123-N(P_L1_Mes)+1)=1,N(P_L1_Monto),0)*DX$9</f>
        <v>0</v>
      </c>
      <c r="DY123" s="48">
        <f>IF((124-N(P_L1_Mes)+1)=1,N(P_L1_Monto),0)*DY$9</f>
        <v>0</v>
      </c>
      <c r="DZ123" s="48">
        <f>IF((125-N(P_L1_Mes)+1)=1,N(P_L1_Monto),0)*DZ$9</f>
        <v>0</v>
      </c>
      <c r="EA123" s="48">
        <f>IF((126-N(P_L1_Mes)+1)=1,N(P_L1_Monto),0)*EA$9</f>
        <v>0</v>
      </c>
      <c r="EB123" s="48">
        <f>IF((127-N(P_L1_Mes)+1)=1,N(P_L1_Monto),0)*EB$9</f>
        <v>0</v>
      </c>
      <c r="EC123" s="48">
        <f>IF((128-N(P_L1_Mes)+1)=1,N(P_L1_Monto),0)*EC$9</f>
        <v>0</v>
      </c>
      <c r="ED123" s="48">
        <f>IF((129-N(P_L1_Mes)+1)=1,N(P_L1_Monto),0)*ED$9</f>
        <v>0</v>
      </c>
      <c r="EE123" s="48">
        <f>IF((130-N(P_L1_Mes)+1)=1,N(P_L1_Monto),0)*EE$9</f>
        <v>0</v>
      </c>
      <c r="EF123" s="48">
        <f>IF((131-N(P_L1_Mes)+1)=1,N(P_L1_Monto),0)*EF$9</f>
        <v>0</v>
      </c>
      <c r="EG123" s="48">
        <f>IF((132-N(P_L1_Mes)+1)=1,N(P_L1_Monto),0)*EG$9</f>
        <v>0</v>
      </c>
      <c r="EH123" s="48">
        <f>IF((133-N(P_L1_Mes)+1)=1,N(P_L1_Monto),0)*EH$9</f>
        <v>0</v>
      </c>
      <c r="EI123" s="48">
        <f>IF((134-N(P_L1_Mes)+1)=1,N(P_L1_Monto),0)*EI$9</f>
        <v>0</v>
      </c>
      <c r="EJ123" s="48">
        <f>IF((135-N(P_L1_Mes)+1)=1,N(P_L1_Monto),0)*EJ$9</f>
        <v>0</v>
      </c>
      <c r="EK123" s="48">
        <f>IF((136-N(P_L1_Mes)+1)=1,N(P_L1_Monto),0)*EK$9</f>
        <v>0</v>
      </c>
      <c r="EL123" s="48">
        <f>IF((137-N(P_L1_Mes)+1)=1,N(P_L1_Monto),0)*EL$9</f>
        <v>0</v>
      </c>
      <c r="EM123" s="48">
        <f>IF((138-N(P_L1_Mes)+1)=1,N(P_L1_Monto),0)*EM$9</f>
        <v>0</v>
      </c>
      <c r="EN123" s="48">
        <f>IF((139-N(P_L1_Mes)+1)=1,N(P_L1_Monto),0)*EN$9</f>
        <v>0</v>
      </c>
      <c r="EO123" s="48">
        <f>IF((140-N(P_L1_Mes)+1)=1,N(P_L1_Monto),0)*EO$9</f>
        <v>0</v>
      </c>
      <c r="EP123" s="48">
        <f>IF((141-N(P_L1_Mes)+1)=1,N(P_L1_Monto),0)*EP$9</f>
        <v>0</v>
      </c>
      <c r="EQ123" s="48">
        <f>IF((142-N(P_L1_Mes)+1)=1,N(P_L1_Monto),0)*EQ$9</f>
        <v>0</v>
      </c>
      <c r="ER123" s="48">
        <f>IF((143-N(P_L1_Mes)+1)=1,N(P_L1_Monto),0)*ER$9</f>
        <v>0</v>
      </c>
      <c r="ES123" s="48">
        <f>IF((144-N(P_L1_Mes)+1)=1,N(P_L1_Monto),0)*ES$9</f>
        <v>0</v>
      </c>
    </row>
    <row r="124" spans="1:149" x14ac:dyDescent="0.3">
      <c r="A124" s="14" t="s">
        <v>1144</v>
      </c>
      <c r="B124" s="18" t="s">
        <v>1145</v>
      </c>
      <c r="C124" s="18" t="s">
        <v>439</v>
      </c>
      <c r="E124" s="54">
        <f>SUM(F124:ES124)</f>
        <v>739285.57111313939</v>
      </c>
      <c r="F124" s="48">
        <f>IF((1-N(P_L1_Mes)+1)&gt;=1,IF((1-N(P_L1_Mes)+1)=1,N(P_L1_Monto),0)*N(P_L1_Tasa)/12,0)*F$9</f>
        <v>20936.9025</v>
      </c>
      <c r="G124" s="48">
        <f>IF((2-N(P_L1_Mes)+1)&gt;=1,IF((2-N(P_L1_Mes)+1)=1,N(P_L1_Monto),F$126)*N(P_L1_Tasa)/12,0)*G$9</f>
        <v>20936.9025</v>
      </c>
      <c r="H124" s="48">
        <f>IF((3-N(P_L1_Mes)+1)&gt;=1,IF((3-N(P_L1_Mes)+1)=1,N(P_L1_Monto),G$126)*N(P_L1_Tasa)/12,0)*H$9</f>
        <v>20936.9025</v>
      </c>
      <c r="I124" s="48">
        <f>IF((4-N(P_L1_Mes)+1)&gt;=1,IF((4-N(P_L1_Mes)+1)=1,N(P_L1_Monto),H$126)*N(P_L1_Tasa)/12,0)*I$9</f>
        <v>20936.9025</v>
      </c>
      <c r="J124" s="48">
        <f>IF((5-N(P_L1_Mes)+1)&gt;=1,IF((5-N(P_L1_Mes)+1)=1,N(P_L1_Monto),I$126)*N(P_L1_Tasa)/12,0)*J$9</f>
        <v>20936.9025</v>
      </c>
      <c r="K124" s="48">
        <f>IF((6-N(P_L1_Mes)+1)&gt;=1,IF((6-N(P_L1_Mes)+1)=1,N(P_L1_Monto),J$126)*N(P_L1_Tasa)/12,0)*K$9</f>
        <v>20936.9025</v>
      </c>
      <c r="L124" s="48">
        <f>IF((7-N(P_L1_Mes)+1)&gt;=1,IF((7-N(P_L1_Mes)+1)=1,N(P_L1_Monto),K$126)*N(P_L1_Tasa)/12,0)*L$9</f>
        <v>20936.9025</v>
      </c>
      <c r="M124" s="48">
        <f>IF((8-N(P_L1_Mes)+1)&gt;=1,IF((8-N(P_L1_Mes)+1)=1,N(P_L1_Monto),L$126)*N(P_L1_Tasa)/12,0)*M$9</f>
        <v>20620.977719289844</v>
      </c>
      <c r="N124" s="48">
        <f>IF((9-N(P_L1_Mes)+1)&gt;=1,IF((9-N(P_L1_Mes)+1)=1,N(P_L1_Monto),M$126)*N(P_L1_Tasa)/12,0)*N$9</f>
        <v>20302.683502724361</v>
      </c>
      <c r="O124" s="48">
        <f>IF((10-N(P_L1_Mes)+1)&gt;=1,IF((10-N(P_L1_Mes)+1)=1,N(P_L1_Monto),N$126)*N(P_L1_Tasa)/12,0)*O$9</f>
        <v>19982.002079534632</v>
      </c>
      <c r="P124" s="48">
        <f>IF((11-N(P_L1_Mes)+1)&gt;=1,IF((11-N(P_L1_Mes)+1)=1,N(P_L1_Monto),O$126)*N(P_L1_Tasa)/12,0)*P$9</f>
        <v>19658.915545670985</v>
      </c>
      <c r="Q124" s="48">
        <f>IF((12-N(P_L1_Mes)+1)&gt;=1,IF((12-N(P_L1_Mes)+1)=1,N(P_L1_Monto),P$126)*N(P_L1_Tasa)/12,0)*Q$9</f>
        <v>19333.40586280336</v>
      </c>
      <c r="R124" s="48">
        <f>IF((13-N(P_L1_Mes)+1)&gt;=1,IF((13-N(P_L1_Mes)+1)=1,N(P_L1_Monto),Q$126)*N(P_L1_Tasa)/12,0)*R$9</f>
        <v>19005.454857314227</v>
      </c>
      <c r="S124" s="48">
        <f>IF((14-N(P_L1_Mes)+1)&gt;=1,IF((14-N(P_L1_Mes)+1)=1,N(P_L1_Monto),R$126)*N(P_L1_Tasa)/12,0)*S$9</f>
        <v>18675.044219283929</v>
      </c>
      <c r="T124" s="48">
        <f>IF((15-N(P_L1_Mes)+1)&gt;=1,IF((15-N(P_L1_Mes)+1)=1,N(P_L1_Monto),S$126)*N(P_L1_Tasa)/12,0)*T$9</f>
        <v>18342.155501468398</v>
      </c>
      <c r="U124" s="48">
        <f>IF((16-N(P_L1_Mes)+1)&gt;=1,IF((16-N(P_L1_Mes)+1)=1,N(P_L1_Monto),T$126)*N(P_L1_Tasa)/12,0)*U$9</f>
        <v>18006.770118269251</v>
      </c>
      <c r="V124" s="48">
        <f>IF((17-N(P_L1_Mes)+1)&gt;=1,IF((17-N(P_L1_Mes)+1)=1,N(P_L1_Monto),U$126)*N(P_L1_Tasa)/12,0)*V$9</f>
        <v>17668.869344696115</v>
      </c>
      <c r="W124" s="48">
        <f>IF((18-N(P_L1_Mes)+1)&gt;=1,IF((18-N(P_L1_Mes)+1)=1,N(P_L1_Monto),V$126)*N(P_L1_Tasa)/12,0)*W$9</f>
        <v>17328.434315321178</v>
      </c>
      <c r="X124" s="48">
        <f>IF((19-N(P_L1_Mes)+1)&gt;=1,IF((19-N(P_L1_Mes)+1)=1,N(P_L1_Monto),W$126)*N(P_L1_Tasa)/12,0)*X$9</f>
        <v>16985.446023225933</v>
      </c>
      <c r="Y124" s="48">
        <f>IF((20-N(P_L1_Mes)+1)&gt;=1,IF((20-N(P_L1_Mes)+1)=1,N(P_L1_Monto),X$126)*N(P_L1_Tasa)/12,0)*Y$9</f>
        <v>16639.885318939971</v>
      </c>
      <c r="Z124" s="48">
        <f>IF((21-N(P_L1_Mes)+1)&gt;=1,IF((21-N(P_L1_Mes)+1)=1,N(P_L1_Monto),Y$126)*N(P_L1_Tasa)/12,0)*Z$9</f>
        <v>16291.73290937186</v>
      </c>
      <c r="AA124" s="48">
        <f>IF((22-N(P_L1_Mes)+1)&gt;=1,IF((22-N(P_L1_Mes)+1)=1,N(P_L1_Monto),Z$126)*N(P_L1_Tasa)/12,0)*AA$9</f>
        <v>15940.969356731992</v>
      </c>
      <c r="AB124" s="48">
        <f>IF((23-N(P_L1_Mes)+1)&gt;=1,IF((23-N(P_L1_Mes)+1)=1,N(P_L1_Monto),AA$126)*N(P_L1_Tasa)/12,0)*AB$9</f>
        <v>15587.575077447325</v>
      </c>
      <c r="AC124" s="48">
        <f>IF((24-N(P_L1_Mes)+1)&gt;=1,IF((24-N(P_L1_Mes)+1)=1,N(P_L1_Monto),AB$126)*N(P_L1_Tasa)/12,0)*AC$9</f>
        <v>15231.530341068021</v>
      </c>
      <c r="AD124" s="48">
        <f>IF((25-N(P_L1_Mes)+1)&gt;=1,IF((25-N(P_L1_Mes)+1)=1,N(P_L1_Monto),AC$126)*N(P_L1_Tasa)/12,0)*AD$9</f>
        <v>14872.815269165871</v>
      </c>
      <c r="AE124" s="48">
        <f>IF((26-N(P_L1_Mes)+1)&gt;=1,IF((26-N(P_L1_Mes)+1)=1,N(P_L1_Monto),AD$126)*N(P_L1_Tasa)/12,0)*AE$9</f>
        <v>14511.409834224456</v>
      </c>
      <c r="AF124" s="48">
        <f>IF((27-N(P_L1_Mes)+1)&gt;=1,IF((27-N(P_L1_Mes)+1)=1,N(P_L1_Monto),AE$126)*N(P_L1_Tasa)/12,0)*AF$9</f>
        <v>14147.293858520979</v>
      </c>
      <c r="AG124" s="48">
        <f>IF((28-N(P_L1_Mes)+1)&gt;=1,IF((28-N(P_L1_Mes)+1)=1,N(P_L1_Monto),AF$126)*N(P_L1_Tasa)/12,0)*AG$9</f>
        <v>13780.44701299973</v>
      </c>
      <c r="AH124" s="48">
        <f>IF((29-N(P_L1_Mes)+1)&gt;=1,IF((29-N(P_L1_Mes)+1)=1,N(P_L1_Monto),AG$126)*N(P_L1_Tasa)/12,0)*AH$9</f>
        <v>13410.84881613707</v>
      </c>
      <c r="AI124" s="48">
        <f>IF((30-N(P_L1_Mes)+1)&gt;=1,IF((30-N(P_L1_Mes)+1)=1,N(P_L1_Monto),AH$126)*N(P_L1_Tasa)/12,0)*AI$9</f>
        <v>13038.47863279794</v>
      </c>
      <c r="AJ124" s="48">
        <f>IF((31-N(P_L1_Mes)+1)&gt;=1,IF((31-N(P_L1_Mes)+1)=1,N(P_L1_Monto),AI$126)*N(P_L1_Tasa)/12,0)*AJ$9</f>
        <v>12663.315673083765</v>
      </c>
      <c r="AK124" s="48">
        <f>IF((32-N(P_L1_Mes)+1)&gt;=1,IF((32-N(P_L1_Mes)+1)=1,N(P_L1_Monto),AJ$126)*N(P_L1_Tasa)/12,0)*AK$9</f>
        <v>12285.338991171737</v>
      </c>
      <c r="AL124" s="48">
        <f>IF((33-N(P_L1_Mes)+1)&gt;=1,IF((33-N(P_L1_Mes)+1)=1,N(P_L1_Monto),AK$126)*N(P_L1_Tasa)/12,0)*AL$9</f>
        <v>11904.527484145367</v>
      </c>
      <c r="AM124" s="48">
        <f>IF((34-N(P_L1_Mes)+1)&gt;=1,IF((34-N(P_L1_Mes)+1)=1,N(P_L1_Monto),AL$126)*N(P_L1_Tasa)/12,0)*AM$9</f>
        <v>11520.859890816299</v>
      </c>
      <c r="AN124" s="48">
        <f>IF((35-N(P_L1_Mes)+1)&gt;=1,IF((35-N(P_L1_Mes)+1)=1,N(P_L1_Monto),AM$126)*N(P_L1_Tasa)/12,0)*AN$9</f>
        <v>11134.314790537263</v>
      </c>
      <c r="AO124" s="48">
        <f>IF((36-N(P_L1_Mes)+1)&gt;=1,IF((36-N(P_L1_Mes)+1)=1,N(P_L1_Monto),AN$126)*N(P_L1_Tasa)/12,0)*AO$9</f>
        <v>10744.870602006135</v>
      </c>
      <c r="AP124" s="48">
        <f>IF((37-N(P_L1_Mes)+1)&gt;=1,IF((37-N(P_L1_Mes)+1)=1,N(P_L1_Monto),AO$126)*N(P_L1_Tasa)/12,0)*AP$9</f>
        <v>10352.505582061023</v>
      </c>
      <c r="AQ124" s="48">
        <f>IF((38-N(P_L1_Mes)+1)&gt;=1,IF((38-N(P_L1_Mes)+1)=1,N(P_L1_Monto),AP$126)*N(P_L1_Tasa)/12,0)*AQ$9</f>
        <v>9957.1978244663223</v>
      </c>
      <c r="AR124" s="48">
        <f>IF((39-N(P_L1_Mes)+1)&gt;=1,IF((39-N(P_L1_Mes)+1)=1,N(P_L1_Monto),AQ$126)*N(P_L1_Tasa)/12,0)*AR$9</f>
        <v>9558.9252586896619</v>
      </c>
      <c r="AS124" s="48">
        <f>IF((40-N(P_L1_Mes)+1)&gt;=1,IF((40-N(P_L1_Mes)+1)=1,N(P_L1_Monto),AR$126)*N(P_L1_Tasa)/12,0)*AS$9</f>
        <v>9157.6656486696756</v>
      </c>
      <c r="AT124" s="48">
        <f>IF((41-N(P_L1_Mes)+1)&gt;=1,IF((41-N(P_L1_Mes)+1)=1,N(P_L1_Monto),AS$126)*N(P_L1_Tasa)/12,0)*AT$9</f>
        <v>8753.3965915745412</v>
      </c>
      <c r="AU124" s="48">
        <f>IF((42-N(P_L1_Mes)+1)&gt;=1,IF((42-N(P_L1_Mes)+1)=1,N(P_L1_Monto),AT$126)*N(P_L1_Tasa)/12,0)*AU$9</f>
        <v>8346.0955165511914</v>
      </c>
      <c r="AV124" s="48">
        <f>IF((43-N(P_L1_Mes)+1)&gt;=1,IF((43-N(P_L1_Mes)+1)=1,N(P_L1_Monto),AU$126)*N(P_L1_Tasa)/12,0)*AV$9</f>
        <v>7935.7396834651663</v>
      </c>
      <c r="AW124" s="48">
        <f>IF((44-N(P_L1_Mes)+1)&gt;=1,IF((44-N(P_L1_Mes)+1)=1,N(P_L1_Monto),AV$126)*N(P_L1_Tasa)/12,0)*AW$9</f>
        <v>7522.3061816309973</v>
      </c>
      <c r="AX124" s="48">
        <f>IF((45-N(P_L1_Mes)+1)&gt;=1,IF((45-N(P_L1_Mes)+1)=1,N(P_L1_Monto),AW$126)*N(P_L1_Tasa)/12,0)*AX$9</f>
        <v>7105.7719285330713</v>
      </c>
      <c r="AY124" s="48">
        <f>IF((46-N(P_L1_Mes)+1)&gt;=1,IF((46-N(P_L1_Mes)+1)=1,N(P_L1_Monto),AX$126)*N(P_L1_Tasa)/12,0)*AY$9</f>
        <v>6686.113668536912</v>
      </c>
      <c r="AZ124" s="48">
        <f>IF((47-N(P_L1_Mes)+1)&gt;=1,IF((47-N(P_L1_Mes)+1)=1,N(P_L1_Monto),AY$126)*N(P_L1_Tasa)/12,0)*AZ$9</f>
        <v>6263.3079715907807</v>
      </c>
      <c r="BA124" s="48">
        <f>IF((48-N(P_L1_Mes)+1)&gt;=1,IF((48-N(P_L1_Mes)+1)=1,N(P_L1_Monto),AZ$126)*N(P_L1_Tasa)/12,0)*BA$9</f>
        <v>5837.3312319175529</v>
      </c>
      <c r="BB124" s="48">
        <f>IF((49-N(P_L1_Mes)+1)&gt;=1,IF((49-N(P_L1_Mes)+1)=1,N(P_L1_Monto),BA$126)*N(P_L1_Tasa)/12,0)*BB$9</f>
        <v>5408.1596666967771</v>
      </c>
      <c r="BC124" s="48">
        <f>IF((50-N(P_L1_Mes)+1)&gt;=1,IF((50-N(P_L1_Mes)+1)=1,N(P_L1_Monto),BB$126)*N(P_L1_Tasa)/12,0)*BC$9</f>
        <v>4975.7693147368436</v>
      </c>
      <c r="BD124" s="48">
        <f>IF((51-N(P_L1_Mes)+1)&gt;=1,IF((51-N(P_L1_Mes)+1)=1,N(P_L1_Monto),BC$126)*N(P_L1_Tasa)/12,0)*BD$9</f>
        <v>4540.1360351372123</v>
      </c>
      <c r="BE124" s="48">
        <f>IF((52-N(P_L1_Mes)+1)&gt;=1,IF((52-N(P_L1_Mes)+1)=1,N(P_L1_Monto),BD$126)*N(P_L1_Tasa)/12,0)*BE$9</f>
        <v>4101.2355059405827</v>
      </c>
      <c r="BF124" s="48">
        <f>IF((53-N(P_L1_Mes)+1)&gt;=1,IF((53-N(P_L1_Mes)+1)=1,N(P_L1_Monto),BE$126)*N(P_L1_Tasa)/12,0)*BF$9</f>
        <v>3659.0432227749793</v>
      </c>
      <c r="BG124" s="48">
        <f>IF((54-N(P_L1_Mes)+1)&gt;=1,IF((54-N(P_L1_Mes)+1)=1,N(P_L1_Monto),BF$126)*N(P_L1_Tasa)/12,0)*BG$9</f>
        <v>3213.5344974856339</v>
      </c>
      <c r="BH124" s="48">
        <f>IF((55-N(P_L1_Mes)+1)&gt;=1,IF((55-N(P_L1_Mes)+1)=1,N(P_L1_Monto),BG$126)*N(P_L1_Tasa)/12,0)*BH$9</f>
        <v>2764.6844567566181</v>
      </c>
      <c r="BI124" s="48">
        <f>IF((56-N(P_L1_Mes)+1)&gt;=1,IF((56-N(P_L1_Mes)+1)=1,N(P_L1_Monto),BH$126)*N(P_L1_Tasa)/12,0)*BI$9</f>
        <v>2312.4680407221344</v>
      </c>
      <c r="BJ124" s="48">
        <f>IF((57-N(P_L1_Mes)+1)&gt;=1,IF((57-N(P_L1_Mes)+1)=1,N(P_L1_Monto),BI$126)*N(P_L1_Tasa)/12,0)*BJ$9</f>
        <v>1856.8600015673921</v>
      </c>
      <c r="BK124" s="48">
        <f>IF((58-N(P_L1_Mes)+1)&gt;=1,IF((58-N(P_L1_Mes)+1)=1,N(P_L1_Monto),BJ$126)*N(P_L1_Tasa)/12,0)*BK$9</f>
        <v>1397.8349021189895</v>
      </c>
      <c r="BL124" s="48">
        <f>IF((59-N(P_L1_Mes)+1)&gt;=1,IF((59-N(P_L1_Mes)+1)=1,N(P_L1_Monto),BK$126)*N(P_L1_Tasa)/12,0)*BL$9</f>
        <v>935.3671144247237</v>
      </c>
      <c r="BM124" s="48">
        <f>IF((60-N(P_L1_Mes)+1)&gt;=1,IF((60-N(P_L1_Mes)+1)=1,N(P_L1_Monto),BL$126)*N(P_L1_Tasa)/12,0)*BM$9</f>
        <v>469.43081832275089</v>
      </c>
      <c r="BN124" s="48">
        <f>IF((61-N(P_L1_Mes)+1)&gt;=1,IF((61-N(P_L1_Mes)+1)=1,N(P_L1_Monto),BM$126)*N(P_L1_Tasa)/12,0)*BN$9</f>
        <v>0</v>
      </c>
      <c r="BO124" s="48">
        <f>IF((62-N(P_L1_Mes)+1)&gt;=1,IF((62-N(P_L1_Mes)+1)=1,N(P_L1_Monto),BN$126)*N(P_L1_Tasa)/12,0)*BO$9</f>
        <v>0</v>
      </c>
      <c r="BP124" s="48">
        <f>IF((63-N(P_L1_Mes)+1)&gt;=1,IF((63-N(P_L1_Mes)+1)=1,N(P_L1_Monto),BO$126)*N(P_L1_Tasa)/12,0)*BP$9</f>
        <v>0</v>
      </c>
      <c r="BQ124" s="48">
        <f>IF((64-N(P_L1_Mes)+1)&gt;=1,IF((64-N(P_L1_Mes)+1)=1,N(P_L1_Monto),BP$126)*N(P_L1_Tasa)/12,0)*BQ$9</f>
        <v>0</v>
      </c>
      <c r="BR124" s="48">
        <f>IF((65-N(P_L1_Mes)+1)&gt;=1,IF((65-N(P_L1_Mes)+1)=1,N(P_L1_Monto),BQ$126)*N(P_L1_Tasa)/12,0)*BR$9</f>
        <v>0</v>
      </c>
      <c r="BS124" s="48">
        <f>IF((66-N(P_L1_Mes)+1)&gt;=1,IF((66-N(P_L1_Mes)+1)=1,N(P_L1_Monto),BR$126)*N(P_L1_Tasa)/12,0)*BS$9</f>
        <v>0</v>
      </c>
      <c r="BT124" s="48">
        <f>IF((67-N(P_L1_Mes)+1)&gt;=1,IF((67-N(P_L1_Mes)+1)=1,N(P_L1_Monto),BS$126)*N(P_L1_Tasa)/12,0)*BT$9</f>
        <v>0</v>
      </c>
      <c r="BU124" s="48">
        <f>IF((68-N(P_L1_Mes)+1)&gt;=1,IF((68-N(P_L1_Mes)+1)=1,N(P_L1_Monto),BT$126)*N(P_L1_Tasa)/12,0)*BU$9</f>
        <v>0</v>
      </c>
      <c r="BV124" s="48">
        <f>IF((69-N(P_L1_Mes)+1)&gt;=1,IF((69-N(P_L1_Mes)+1)=1,N(P_L1_Monto),BU$126)*N(P_L1_Tasa)/12,0)*BV$9</f>
        <v>0</v>
      </c>
      <c r="BW124" s="48">
        <f>IF((70-N(P_L1_Mes)+1)&gt;=1,IF((70-N(P_L1_Mes)+1)=1,N(P_L1_Monto),BV$126)*N(P_L1_Tasa)/12,0)*BW$9</f>
        <v>0</v>
      </c>
      <c r="BX124" s="48">
        <f>IF((71-N(P_L1_Mes)+1)&gt;=1,IF((71-N(P_L1_Mes)+1)=1,N(P_L1_Monto),BW$126)*N(P_L1_Tasa)/12,0)*BX$9</f>
        <v>0</v>
      </c>
      <c r="BY124" s="48">
        <f>IF((72-N(P_L1_Mes)+1)&gt;=1,IF((72-N(P_L1_Mes)+1)=1,N(P_L1_Monto),BX$126)*N(P_L1_Tasa)/12,0)*BY$9</f>
        <v>0</v>
      </c>
      <c r="BZ124" s="48">
        <f>IF((73-N(P_L1_Mes)+1)&gt;=1,IF((73-N(P_L1_Mes)+1)=1,N(P_L1_Monto),BY$126)*N(P_L1_Tasa)/12,0)*BZ$9</f>
        <v>0</v>
      </c>
      <c r="CA124" s="48">
        <f>IF((74-N(P_L1_Mes)+1)&gt;=1,IF((74-N(P_L1_Mes)+1)=1,N(P_L1_Monto),BZ$126)*N(P_L1_Tasa)/12,0)*CA$9</f>
        <v>0</v>
      </c>
      <c r="CB124" s="48">
        <f>IF((75-N(P_L1_Mes)+1)&gt;=1,IF((75-N(P_L1_Mes)+1)=1,N(P_L1_Monto),CA$126)*N(P_L1_Tasa)/12,0)*CB$9</f>
        <v>0</v>
      </c>
      <c r="CC124" s="48">
        <f>IF((76-N(P_L1_Mes)+1)&gt;=1,IF((76-N(P_L1_Mes)+1)=1,N(P_L1_Monto),CB$126)*N(P_L1_Tasa)/12,0)*CC$9</f>
        <v>0</v>
      </c>
      <c r="CD124" s="48">
        <f>IF((77-N(P_L1_Mes)+1)&gt;=1,IF((77-N(P_L1_Mes)+1)=1,N(P_L1_Monto),CC$126)*N(P_L1_Tasa)/12,0)*CD$9</f>
        <v>0</v>
      </c>
      <c r="CE124" s="48">
        <f>IF((78-N(P_L1_Mes)+1)&gt;=1,IF((78-N(P_L1_Mes)+1)=1,N(P_L1_Monto),CD$126)*N(P_L1_Tasa)/12,0)*CE$9</f>
        <v>0</v>
      </c>
      <c r="CF124" s="48">
        <f>IF((79-N(P_L1_Mes)+1)&gt;=1,IF((79-N(P_L1_Mes)+1)=1,N(P_L1_Monto),CE$126)*N(P_L1_Tasa)/12,0)*CF$9</f>
        <v>0</v>
      </c>
      <c r="CG124" s="48">
        <f>IF((80-N(P_L1_Mes)+1)&gt;=1,IF((80-N(P_L1_Mes)+1)=1,N(P_L1_Monto),CF$126)*N(P_L1_Tasa)/12,0)*CG$9</f>
        <v>0</v>
      </c>
      <c r="CH124" s="48">
        <f>IF((81-N(P_L1_Mes)+1)&gt;=1,IF((81-N(P_L1_Mes)+1)=1,N(P_L1_Monto),CG$126)*N(P_L1_Tasa)/12,0)*CH$9</f>
        <v>0</v>
      </c>
      <c r="CI124" s="48">
        <f>IF((82-N(P_L1_Mes)+1)&gt;=1,IF((82-N(P_L1_Mes)+1)=1,N(P_L1_Monto),CH$126)*N(P_L1_Tasa)/12,0)*CI$9</f>
        <v>0</v>
      </c>
      <c r="CJ124" s="48">
        <f>IF((83-N(P_L1_Mes)+1)&gt;=1,IF((83-N(P_L1_Mes)+1)=1,N(P_L1_Monto),CI$126)*N(P_L1_Tasa)/12,0)*CJ$9</f>
        <v>0</v>
      </c>
      <c r="CK124" s="48">
        <f>IF((84-N(P_L1_Mes)+1)&gt;=1,IF((84-N(P_L1_Mes)+1)=1,N(P_L1_Monto),CJ$126)*N(P_L1_Tasa)/12,0)*CK$9</f>
        <v>0</v>
      </c>
      <c r="CL124" s="48">
        <f>IF((85-N(P_L1_Mes)+1)&gt;=1,IF((85-N(P_L1_Mes)+1)=1,N(P_L1_Monto),CK$126)*N(P_L1_Tasa)/12,0)*CL$9</f>
        <v>0</v>
      </c>
      <c r="CM124" s="48">
        <f>IF((86-N(P_L1_Mes)+1)&gt;=1,IF((86-N(P_L1_Mes)+1)=1,N(P_L1_Monto),CL$126)*N(P_L1_Tasa)/12,0)*CM$9</f>
        <v>0</v>
      </c>
      <c r="CN124" s="48">
        <f>IF((87-N(P_L1_Mes)+1)&gt;=1,IF((87-N(P_L1_Mes)+1)=1,N(P_L1_Monto),CM$126)*N(P_L1_Tasa)/12,0)*CN$9</f>
        <v>0</v>
      </c>
      <c r="CO124" s="48">
        <f>IF((88-N(P_L1_Mes)+1)&gt;=1,IF((88-N(P_L1_Mes)+1)=1,N(P_L1_Monto),CN$126)*N(P_L1_Tasa)/12,0)*CO$9</f>
        <v>0</v>
      </c>
      <c r="CP124" s="48">
        <f>IF((89-N(P_L1_Mes)+1)&gt;=1,IF((89-N(P_L1_Mes)+1)=1,N(P_L1_Monto),CO$126)*N(P_L1_Tasa)/12,0)*CP$9</f>
        <v>0</v>
      </c>
      <c r="CQ124" s="48">
        <f>IF((90-N(P_L1_Mes)+1)&gt;=1,IF((90-N(P_L1_Mes)+1)=1,N(P_L1_Monto),CP$126)*N(P_L1_Tasa)/12,0)*CQ$9</f>
        <v>0</v>
      </c>
      <c r="CR124" s="48">
        <f>IF((91-N(P_L1_Mes)+1)&gt;=1,IF((91-N(P_L1_Mes)+1)=1,N(P_L1_Monto),CQ$126)*N(P_L1_Tasa)/12,0)*CR$9</f>
        <v>0</v>
      </c>
      <c r="CS124" s="48">
        <f>IF((92-N(P_L1_Mes)+1)&gt;=1,IF((92-N(P_L1_Mes)+1)=1,N(P_L1_Monto),CR$126)*N(P_L1_Tasa)/12,0)*CS$9</f>
        <v>0</v>
      </c>
      <c r="CT124" s="48">
        <f>IF((93-N(P_L1_Mes)+1)&gt;=1,IF((93-N(P_L1_Mes)+1)=1,N(P_L1_Monto),CS$126)*N(P_L1_Tasa)/12,0)*CT$9</f>
        <v>0</v>
      </c>
      <c r="CU124" s="48">
        <f>IF((94-N(P_L1_Mes)+1)&gt;=1,IF((94-N(P_L1_Mes)+1)=1,N(P_L1_Monto),CT$126)*N(P_L1_Tasa)/12,0)*CU$9</f>
        <v>0</v>
      </c>
      <c r="CV124" s="48">
        <f>IF((95-N(P_L1_Mes)+1)&gt;=1,IF((95-N(P_L1_Mes)+1)=1,N(P_L1_Monto),CU$126)*N(P_L1_Tasa)/12,0)*CV$9</f>
        <v>0</v>
      </c>
      <c r="CW124" s="48">
        <f>IF((96-N(P_L1_Mes)+1)&gt;=1,IF((96-N(P_L1_Mes)+1)=1,N(P_L1_Monto),CV$126)*N(P_L1_Tasa)/12,0)*CW$9</f>
        <v>0</v>
      </c>
      <c r="CX124" s="48">
        <f>IF((97-N(P_L1_Mes)+1)&gt;=1,IF((97-N(P_L1_Mes)+1)=1,N(P_L1_Monto),CW$126)*N(P_L1_Tasa)/12,0)*CX$9</f>
        <v>0</v>
      </c>
      <c r="CY124" s="48">
        <f>IF((98-N(P_L1_Mes)+1)&gt;=1,IF((98-N(P_L1_Mes)+1)=1,N(P_L1_Monto),CX$126)*N(P_L1_Tasa)/12,0)*CY$9</f>
        <v>0</v>
      </c>
      <c r="CZ124" s="48">
        <f>IF((99-N(P_L1_Mes)+1)&gt;=1,IF((99-N(P_L1_Mes)+1)=1,N(P_L1_Monto),CY$126)*N(P_L1_Tasa)/12,0)*CZ$9</f>
        <v>0</v>
      </c>
      <c r="DA124" s="48">
        <f>IF((100-N(P_L1_Mes)+1)&gt;=1,IF((100-N(P_L1_Mes)+1)=1,N(P_L1_Monto),CZ$126)*N(P_L1_Tasa)/12,0)*DA$9</f>
        <v>0</v>
      </c>
      <c r="DB124" s="48">
        <f>IF((101-N(P_L1_Mes)+1)&gt;=1,IF((101-N(P_L1_Mes)+1)=1,N(P_L1_Monto),DA$126)*N(P_L1_Tasa)/12,0)*DB$9</f>
        <v>0</v>
      </c>
      <c r="DC124" s="48">
        <f>IF((102-N(P_L1_Mes)+1)&gt;=1,IF((102-N(P_L1_Mes)+1)=1,N(P_L1_Monto),DB$126)*N(P_L1_Tasa)/12,0)*DC$9</f>
        <v>0</v>
      </c>
      <c r="DD124" s="48">
        <f>IF((103-N(P_L1_Mes)+1)&gt;=1,IF((103-N(P_L1_Mes)+1)=1,N(P_L1_Monto),DC$126)*N(P_L1_Tasa)/12,0)*DD$9</f>
        <v>0</v>
      </c>
      <c r="DE124" s="48">
        <f>IF((104-N(P_L1_Mes)+1)&gt;=1,IF((104-N(P_L1_Mes)+1)=1,N(P_L1_Monto),DD$126)*N(P_L1_Tasa)/12,0)*DE$9</f>
        <v>0</v>
      </c>
      <c r="DF124" s="48">
        <f>IF((105-N(P_L1_Mes)+1)&gt;=1,IF((105-N(P_L1_Mes)+1)=1,N(P_L1_Monto),DE$126)*N(P_L1_Tasa)/12,0)*DF$9</f>
        <v>0</v>
      </c>
      <c r="DG124" s="48">
        <f>IF((106-N(P_L1_Mes)+1)&gt;=1,IF((106-N(P_L1_Mes)+1)=1,N(P_L1_Monto),DF$126)*N(P_L1_Tasa)/12,0)*DG$9</f>
        <v>0</v>
      </c>
      <c r="DH124" s="48">
        <f>IF((107-N(P_L1_Mes)+1)&gt;=1,IF((107-N(P_L1_Mes)+1)=1,N(P_L1_Monto),DG$126)*N(P_L1_Tasa)/12,0)*DH$9</f>
        <v>0</v>
      </c>
      <c r="DI124" s="48">
        <f>IF((108-N(P_L1_Mes)+1)&gt;=1,IF((108-N(P_L1_Mes)+1)=1,N(P_L1_Monto),DH$126)*N(P_L1_Tasa)/12,0)*DI$9</f>
        <v>0</v>
      </c>
      <c r="DJ124" s="48">
        <f>IF((109-N(P_L1_Mes)+1)&gt;=1,IF((109-N(P_L1_Mes)+1)=1,N(P_L1_Monto),DI$126)*N(P_L1_Tasa)/12,0)*DJ$9</f>
        <v>0</v>
      </c>
      <c r="DK124" s="48">
        <f>IF((110-N(P_L1_Mes)+1)&gt;=1,IF((110-N(P_L1_Mes)+1)=1,N(P_L1_Monto),DJ$126)*N(P_L1_Tasa)/12,0)*DK$9</f>
        <v>0</v>
      </c>
      <c r="DL124" s="48">
        <f>IF((111-N(P_L1_Mes)+1)&gt;=1,IF((111-N(P_L1_Mes)+1)=1,N(P_L1_Monto),DK$126)*N(P_L1_Tasa)/12,0)*DL$9</f>
        <v>0</v>
      </c>
      <c r="DM124" s="48">
        <f>IF((112-N(P_L1_Mes)+1)&gt;=1,IF((112-N(P_L1_Mes)+1)=1,N(P_L1_Monto),DL$126)*N(P_L1_Tasa)/12,0)*DM$9</f>
        <v>0</v>
      </c>
      <c r="DN124" s="48">
        <f>IF((113-N(P_L1_Mes)+1)&gt;=1,IF((113-N(P_L1_Mes)+1)=1,N(P_L1_Monto),DM$126)*N(P_L1_Tasa)/12,0)*DN$9</f>
        <v>0</v>
      </c>
      <c r="DO124" s="48">
        <f>IF((114-N(P_L1_Mes)+1)&gt;=1,IF((114-N(P_L1_Mes)+1)=1,N(P_L1_Monto),DN$126)*N(P_L1_Tasa)/12,0)*DO$9</f>
        <v>0</v>
      </c>
      <c r="DP124" s="48">
        <f>IF((115-N(P_L1_Mes)+1)&gt;=1,IF((115-N(P_L1_Mes)+1)=1,N(P_L1_Monto),DO$126)*N(P_L1_Tasa)/12,0)*DP$9</f>
        <v>0</v>
      </c>
      <c r="DQ124" s="48">
        <f>IF((116-N(P_L1_Mes)+1)&gt;=1,IF((116-N(P_L1_Mes)+1)=1,N(P_L1_Monto),DP$126)*N(P_L1_Tasa)/12,0)*DQ$9</f>
        <v>0</v>
      </c>
      <c r="DR124" s="48">
        <f>IF((117-N(P_L1_Mes)+1)&gt;=1,IF((117-N(P_L1_Mes)+1)=1,N(P_L1_Monto),DQ$126)*N(P_L1_Tasa)/12,0)*DR$9</f>
        <v>0</v>
      </c>
      <c r="DS124" s="48">
        <f>IF((118-N(P_L1_Mes)+1)&gt;=1,IF((118-N(P_L1_Mes)+1)=1,N(P_L1_Monto),DR$126)*N(P_L1_Tasa)/12,0)*DS$9</f>
        <v>0</v>
      </c>
      <c r="DT124" s="48">
        <f>IF((119-N(P_L1_Mes)+1)&gt;=1,IF((119-N(P_L1_Mes)+1)=1,N(P_L1_Monto),DS$126)*N(P_L1_Tasa)/12,0)*DT$9</f>
        <v>0</v>
      </c>
      <c r="DU124" s="48">
        <f>IF((120-N(P_L1_Mes)+1)&gt;=1,IF((120-N(P_L1_Mes)+1)=1,N(P_L1_Monto),DT$126)*N(P_L1_Tasa)/12,0)*DU$9</f>
        <v>0</v>
      </c>
      <c r="DV124" s="48">
        <f>IF((121-N(P_L1_Mes)+1)&gt;=1,IF((121-N(P_L1_Mes)+1)=1,N(P_L1_Monto),DU$126)*N(P_L1_Tasa)/12,0)*DV$9</f>
        <v>0</v>
      </c>
      <c r="DW124" s="48">
        <f>IF((122-N(P_L1_Mes)+1)&gt;=1,IF((122-N(P_L1_Mes)+1)=1,N(P_L1_Monto),DV$126)*N(P_L1_Tasa)/12,0)*DW$9</f>
        <v>0</v>
      </c>
      <c r="DX124" s="48">
        <f>IF((123-N(P_L1_Mes)+1)&gt;=1,IF((123-N(P_L1_Mes)+1)=1,N(P_L1_Monto),DW$126)*N(P_L1_Tasa)/12,0)*DX$9</f>
        <v>0</v>
      </c>
      <c r="DY124" s="48">
        <f>IF((124-N(P_L1_Mes)+1)&gt;=1,IF((124-N(P_L1_Mes)+1)=1,N(P_L1_Monto),DX$126)*N(P_L1_Tasa)/12,0)*DY$9</f>
        <v>0</v>
      </c>
      <c r="DZ124" s="48">
        <f>IF((125-N(P_L1_Mes)+1)&gt;=1,IF((125-N(P_L1_Mes)+1)=1,N(P_L1_Monto),DY$126)*N(P_L1_Tasa)/12,0)*DZ$9</f>
        <v>0</v>
      </c>
      <c r="EA124" s="48">
        <f>IF((126-N(P_L1_Mes)+1)&gt;=1,IF((126-N(P_L1_Mes)+1)=1,N(P_L1_Monto),DZ$126)*N(P_L1_Tasa)/12,0)*EA$9</f>
        <v>0</v>
      </c>
      <c r="EB124" s="48">
        <f>IF((127-N(P_L1_Mes)+1)&gt;=1,IF((127-N(P_L1_Mes)+1)=1,N(P_L1_Monto),EA$126)*N(P_L1_Tasa)/12,0)*EB$9</f>
        <v>0</v>
      </c>
      <c r="EC124" s="48">
        <f>IF((128-N(P_L1_Mes)+1)&gt;=1,IF((128-N(P_L1_Mes)+1)=1,N(P_L1_Monto),EB$126)*N(P_L1_Tasa)/12,0)*EC$9</f>
        <v>0</v>
      </c>
      <c r="ED124" s="48">
        <f>IF((129-N(P_L1_Mes)+1)&gt;=1,IF((129-N(P_L1_Mes)+1)=1,N(P_L1_Monto),EC$126)*N(P_L1_Tasa)/12,0)*ED$9</f>
        <v>0</v>
      </c>
      <c r="EE124" s="48">
        <f>IF((130-N(P_L1_Mes)+1)&gt;=1,IF((130-N(P_L1_Mes)+1)=1,N(P_L1_Monto),ED$126)*N(P_L1_Tasa)/12,0)*EE$9</f>
        <v>0</v>
      </c>
      <c r="EF124" s="48">
        <f>IF((131-N(P_L1_Mes)+1)&gt;=1,IF((131-N(P_L1_Mes)+1)=1,N(P_L1_Monto),EE$126)*N(P_L1_Tasa)/12,0)*EF$9</f>
        <v>0</v>
      </c>
      <c r="EG124" s="48">
        <f>IF((132-N(P_L1_Mes)+1)&gt;=1,IF((132-N(P_L1_Mes)+1)=1,N(P_L1_Monto),EF$126)*N(P_L1_Tasa)/12,0)*EG$9</f>
        <v>0</v>
      </c>
      <c r="EH124" s="48">
        <f>IF((133-N(P_L1_Mes)+1)&gt;=1,IF((133-N(P_L1_Mes)+1)=1,N(P_L1_Monto),EG$126)*N(P_L1_Tasa)/12,0)*EH$9</f>
        <v>0</v>
      </c>
      <c r="EI124" s="48">
        <f>IF((134-N(P_L1_Mes)+1)&gt;=1,IF((134-N(P_L1_Mes)+1)=1,N(P_L1_Monto),EH$126)*N(P_L1_Tasa)/12,0)*EI$9</f>
        <v>0</v>
      </c>
      <c r="EJ124" s="48">
        <f>IF((135-N(P_L1_Mes)+1)&gt;=1,IF((135-N(P_L1_Mes)+1)=1,N(P_L1_Monto),EI$126)*N(P_L1_Tasa)/12,0)*EJ$9</f>
        <v>0</v>
      </c>
      <c r="EK124" s="48">
        <f>IF((136-N(P_L1_Mes)+1)&gt;=1,IF((136-N(P_L1_Mes)+1)=1,N(P_L1_Monto),EJ$126)*N(P_L1_Tasa)/12,0)*EK$9</f>
        <v>0</v>
      </c>
      <c r="EL124" s="48">
        <f>IF((137-N(P_L1_Mes)+1)&gt;=1,IF((137-N(P_L1_Mes)+1)=1,N(P_L1_Monto),EK$126)*N(P_L1_Tasa)/12,0)*EL$9</f>
        <v>0</v>
      </c>
      <c r="EM124" s="48">
        <f>IF((138-N(P_L1_Mes)+1)&gt;=1,IF((138-N(P_L1_Mes)+1)=1,N(P_L1_Monto),EL$126)*N(P_L1_Tasa)/12,0)*EM$9</f>
        <v>0</v>
      </c>
      <c r="EN124" s="48">
        <f>IF((139-N(P_L1_Mes)+1)&gt;=1,IF((139-N(P_L1_Mes)+1)=1,N(P_L1_Monto),EM$126)*N(P_L1_Tasa)/12,0)*EN$9</f>
        <v>0</v>
      </c>
      <c r="EO124" s="48">
        <f>IF((140-N(P_L1_Mes)+1)&gt;=1,IF((140-N(P_L1_Mes)+1)=1,N(P_L1_Monto),EN$126)*N(P_L1_Tasa)/12,0)*EO$9</f>
        <v>0</v>
      </c>
      <c r="EP124" s="48">
        <f>IF((141-N(P_L1_Mes)+1)&gt;=1,IF((141-N(P_L1_Mes)+1)=1,N(P_L1_Monto),EO$126)*N(P_L1_Tasa)/12,0)*EP$9</f>
        <v>0</v>
      </c>
      <c r="EQ124" s="48">
        <f>IF((142-N(P_L1_Mes)+1)&gt;=1,IF((142-N(P_L1_Mes)+1)=1,N(P_L1_Monto),EP$126)*N(P_L1_Tasa)/12,0)*EQ$9</f>
        <v>0</v>
      </c>
      <c r="ER124" s="48">
        <f>IF((143-N(P_L1_Mes)+1)&gt;=1,IF((143-N(P_L1_Mes)+1)=1,N(P_L1_Monto),EQ$126)*N(P_L1_Tasa)/12,0)*ER$9</f>
        <v>0</v>
      </c>
      <c r="ES124" s="48">
        <f>IF((144-N(P_L1_Mes)+1)&gt;=1,IF((144-N(P_L1_Mes)+1)=1,N(P_L1_Monto),ER$126)*N(P_L1_Tasa)/12,0)*ES$9</f>
        <v>0</v>
      </c>
    </row>
    <row r="125" spans="1:149" x14ac:dyDescent="0.3">
      <c r="A125" s="14" t="s">
        <v>1146</v>
      </c>
      <c r="B125" s="18" t="s">
        <v>1147</v>
      </c>
      <c r="C125" s="18" t="s">
        <v>439</v>
      </c>
      <c r="E125" s="54">
        <f>SUM(F125:ES125)</f>
        <v>2791587.0000000005</v>
      </c>
      <c r="F125" s="48">
        <f>IF(AND((1-N(P_L1_Mes)+1)&gt;N(P_L1_Gracia),(1-N(P_L1_Mes)+1)&lt;=N(P_L1_Gracia)+N(P_L1_Cuotas),N(P_L1_Cuotas)&gt;0),IF((1-N(P_L1_Mes)+1)=N(P_L1_Gracia)+N(P_L1_Cuotas),IF((1-N(P_L1_Mes)+1)=1,N(P_L1_Monto),0),PMT(N(P_L1_Tasa)/12,N(P_L1_Cuotas),-N(P_L1_Monto))-F$124),0)*F$9</f>
        <v>0</v>
      </c>
      <c r="G125" s="48">
        <f>IF(AND((2-N(P_L1_Mes)+1)&gt;N(P_L1_Gracia),(2-N(P_L1_Mes)+1)&lt;=N(P_L1_Gracia)+N(P_L1_Cuotas),N(P_L1_Cuotas)&gt;0),IF((2-N(P_L1_Mes)+1)=N(P_L1_Gracia)+N(P_L1_Cuotas),IF((2-N(P_L1_Mes)+1)=1,N(P_L1_Monto),F$126),PMT(N(P_L1_Tasa)/12,N(P_L1_Cuotas),-N(P_L1_Monto))-G$124),0)*G$9</f>
        <v>0</v>
      </c>
      <c r="H125" s="48">
        <f>IF(AND((3-N(P_L1_Mes)+1)&gt;N(P_L1_Gracia),(3-N(P_L1_Mes)+1)&lt;=N(P_L1_Gracia)+N(P_L1_Cuotas),N(P_L1_Cuotas)&gt;0),IF((3-N(P_L1_Mes)+1)=N(P_L1_Gracia)+N(P_L1_Cuotas),IF((3-N(P_L1_Mes)+1)=1,N(P_L1_Monto),G$126),PMT(N(P_L1_Tasa)/12,N(P_L1_Cuotas),-N(P_L1_Monto))-H$124),0)*H$9</f>
        <v>0</v>
      </c>
      <c r="I125" s="48">
        <f>IF(AND((4-N(P_L1_Mes)+1)&gt;N(P_L1_Gracia),(4-N(P_L1_Mes)+1)&lt;=N(P_L1_Gracia)+N(P_L1_Cuotas),N(P_L1_Cuotas)&gt;0),IF((4-N(P_L1_Mes)+1)=N(P_L1_Gracia)+N(P_L1_Cuotas),IF((4-N(P_L1_Mes)+1)=1,N(P_L1_Monto),H$126),PMT(N(P_L1_Tasa)/12,N(P_L1_Cuotas),-N(P_L1_Monto))-I$124),0)*I$9</f>
        <v>0</v>
      </c>
      <c r="J125" s="48">
        <f>IF(AND((5-N(P_L1_Mes)+1)&gt;N(P_L1_Gracia),(5-N(P_L1_Mes)+1)&lt;=N(P_L1_Gracia)+N(P_L1_Cuotas),N(P_L1_Cuotas)&gt;0),IF((5-N(P_L1_Mes)+1)=N(P_L1_Gracia)+N(P_L1_Cuotas),IF((5-N(P_L1_Mes)+1)=1,N(P_L1_Monto),I$126),PMT(N(P_L1_Tasa)/12,N(P_L1_Cuotas),-N(P_L1_Monto))-J$124),0)*J$9</f>
        <v>0</v>
      </c>
      <c r="K125" s="48">
        <f>IF(AND((6-N(P_L1_Mes)+1)&gt;N(P_L1_Gracia),(6-N(P_L1_Mes)+1)&lt;=N(P_L1_Gracia)+N(P_L1_Cuotas),N(P_L1_Cuotas)&gt;0),IF((6-N(P_L1_Mes)+1)=N(P_L1_Gracia)+N(P_L1_Cuotas),IF((6-N(P_L1_Mes)+1)=1,N(P_L1_Monto),J$126),PMT(N(P_L1_Tasa)/12,N(P_L1_Cuotas),-N(P_L1_Monto))-K$124),0)*K$9</f>
        <v>0</v>
      </c>
      <c r="L125" s="48">
        <f>IF(AND((7-N(P_L1_Mes)+1)&gt;N(P_L1_Gracia),(7-N(P_L1_Mes)+1)&lt;=N(P_L1_Gracia)+N(P_L1_Cuotas),N(P_L1_Cuotas)&gt;0),IF((7-N(P_L1_Mes)+1)=N(P_L1_Gracia)+N(P_L1_Cuotas),IF((7-N(P_L1_Mes)+1)=1,N(P_L1_Monto),K$126),PMT(N(P_L1_Tasa)/12,N(P_L1_Cuotas),-N(P_L1_Monto))-L$124),0)*L$9</f>
        <v>42123.304094687759</v>
      </c>
      <c r="M125" s="48">
        <f>IF(AND((8-N(P_L1_Mes)+1)&gt;N(P_L1_Gracia),(8-N(P_L1_Mes)+1)&lt;=N(P_L1_Gracia)+N(P_L1_Cuotas),N(P_L1_Cuotas)&gt;0),IF((8-N(P_L1_Mes)+1)=N(P_L1_Gracia)+N(P_L1_Cuotas),IF((8-N(P_L1_Mes)+1)=1,N(P_L1_Monto),L$126),PMT(N(P_L1_Tasa)/12,N(P_L1_Cuotas),-N(P_L1_Monto))-M$124),0)*M$9</f>
        <v>42439.228875397908</v>
      </c>
      <c r="N125" s="48">
        <f>IF(AND((9-N(P_L1_Mes)+1)&gt;N(P_L1_Gracia),(9-N(P_L1_Mes)+1)&lt;=N(P_L1_Gracia)+N(P_L1_Cuotas),N(P_L1_Cuotas)&gt;0),IF((9-N(P_L1_Mes)+1)=N(P_L1_Gracia)+N(P_L1_Cuotas),IF((9-N(P_L1_Mes)+1)=1,N(P_L1_Monto),M$126),PMT(N(P_L1_Tasa)/12,N(P_L1_Cuotas),-N(P_L1_Monto))-N$124),0)*N$9</f>
        <v>42757.52309196339</v>
      </c>
      <c r="O125" s="48">
        <f>IF(AND((10-N(P_L1_Mes)+1)&gt;N(P_L1_Gracia),(10-N(P_L1_Mes)+1)&lt;=N(P_L1_Gracia)+N(P_L1_Cuotas),N(P_L1_Cuotas)&gt;0),IF((10-N(P_L1_Mes)+1)=N(P_L1_Gracia)+N(P_L1_Cuotas),IF((10-N(P_L1_Mes)+1)=1,N(P_L1_Monto),N$126),PMT(N(P_L1_Tasa)/12,N(P_L1_Cuotas),-N(P_L1_Monto))-O$124),0)*O$9</f>
        <v>43078.20451515312</v>
      </c>
      <c r="P125" s="48">
        <f>IF(AND((11-N(P_L1_Mes)+1)&gt;N(P_L1_Gracia),(11-N(P_L1_Mes)+1)&lt;=N(P_L1_Gracia)+N(P_L1_Cuotas),N(P_L1_Cuotas)&gt;0),IF((11-N(P_L1_Mes)+1)=N(P_L1_Gracia)+N(P_L1_Cuotas),IF((11-N(P_L1_Mes)+1)=1,N(P_L1_Monto),O$126),PMT(N(P_L1_Tasa)/12,N(P_L1_Cuotas),-N(P_L1_Monto))-P$124),0)*P$9</f>
        <v>43401.291049016771</v>
      </c>
      <c r="Q125" s="48">
        <f>IF(AND((12-N(P_L1_Mes)+1)&gt;N(P_L1_Gracia),(12-N(P_L1_Mes)+1)&lt;=N(P_L1_Gracia)+N(P_L1_Cuotas),N(P_L1_Cuotas)&gt;0),IF((12-N(P_L1_Mes)+1)=N(P_L1_Gracia)+N(P_L1_Cuotas),IF((12-N(P_L1_Mes)+1)=1,N(P_L1_Monto),P$126),PMT(N(P_L1_Tasa)/12,N(P_L1_Cuotas),-N(P_L1_Monto))-Q$124),0)*Q$9</f>
        <v>43726.800731884396</v>
      </c>
      <c r="R125" s="48">
        <f>IF(AND((13-N(P_L1_Mes)+1)&gt;N(P_L1_Gracia),(13-N(P_L1_Mes)+1)&lt;=N(P_L1_Gracia)+N(P_L1_Cuotas),N(P_L1_Cuotas)&gt;0),IF((13-N(P_L1_Mes)+1)=N(P_L1_Gracia)+N(P_L1_Cuotas),IF((13-N(P_L1_Mes)+1)=1,N(P_L1_Monto),Q$126),PMT(N(P_L1_Tasa)/12,N(P_L1_Cuotas),-N(P_L1_Monto))-R$124),0)*R$9</f>
        <v>44054.751737373532</v>
      </c>
      <c r="S125" s="48">
        <f>IF(AND((14-N(P_L1_Mes)+1)&gt;N(P_L1_Gracia),(14-N(P_L1_Mes)+1)&lt;=N(P_L1_Gracia)+N(P_L1_Cuotas),N(P_L1_Cuotas)&gt;0),IF((14-N(P_L1_Mes)+1)=N(P_L1_Gracia)+N(P_L1_Cuotas),IF((14-N(P_L1_Mes)+1)=1,N(P_L1_Monto),R$126),PMT(N(P_L1_Tasa)/12,N(P_L1_Cuotas),-N(P_L1_Monto))-S$124),0)*S$9</f>
        <v>44385.16237540383</v>
      </c>
      <c r="T125" s="48">
        <f>IF(AND((15-N(P_L1_Mes)+1)&gt;N(P_L1_Gracia),(15-N(P_L1_Mes)+1)&lt;=N(P_L1_Gracia)+N(P_L1_Cuotas),N(P_L1_Cuotas)&gt;0),IF((15-N(P_L1_Mes)+1)=N(P_L1_Gracia)+N(P_L1_Cuotas),IF((15-N(P_L1_Mes)+1)=1,N(P_L1_Monto),S$126),PMT(N(P_L1_Tasa)/12,N(P_L1_Cuotas),-N(P_L1_Monto))-T$124),0)*T$9</f>
        <v>44718.051093219357</v>
      </c>
      <c r="U125" s="48">
        <f>IF(AND((16-N(P_L1_Mes)+1)&gt;N(P_L1_Gracia),(16-N(P_L1_Mes)+1)&lt;=N(P_L1_Gracia)+N(P_L1_Cuotas),N(P_L1_Cuotas)&gt;0),IF((16-N(P_L1_Mes)+1)=N(P_L1_Gracia)+N(P_L1_Cuotas),IF((16-N(P_L1_Mes)+1)=1,N(P_L1_Monto),T$126),PMT(N(P_L1_Tasa)/12,N(P_L1_Cuotas),-N(P_L1_Monto))-U$124),0)*U$9</f>
        <v>45053.436476418501</v>
      </c>
      <c r="V125" s="48">
        <f>IF(AND((17-N(P_L1_Mes)+1)&gt;N(P_L1_Gracia),(17-N(P_L1_Mes)+1)&lt;=N(P_L1_Gracia)+N(P_L1_Cuotas),N(P_L1_Cuotas)&gt;0),IF((17-N(P_L1_Mes)+1)=N(P_L1_Gracia)+N(P_L1_Cuotas),IF((17-N(P_L1_Mes)+1)=1,N(P_L1_Monto),U$126),PMT(N(P_L1_Tasa)/12,N(P_L1_Cuotas),-N(P_L1_Monto))-V$124),0)*V$9</f>
        <v>45391.337249991644</v>
      </c>
      <c r="W125" s="48">
        <f>IF(AND((18-N(P_L1_Mes)+1)&gt;N(P_L1_Gracia),(18-N(P_L1_Mes)+1)&lt;=N(P_L1_Gracia)+N(P_L1_Cuotas),N(P_L1_Cuotas)&gt;0),IF((18-N(P_L1_Mes)+1)=N(P_L1_Gracia)+N(P_L1_Cuotas),IF((18-N(P_L1_Mes)+1)=1,N(P_L1_Monto),V$126),PMT(N(P_L1_Tasa)/12,N(P_L1_Cuotas),-N(P_L1_Monto))-W$124),0)*W$9</f>
        <v>45731.772279366574</v>
      </c>
      <c r="X125" s="48">
        <f>IF(AND((19-N(P_L1_Mes)+1)&gt;N(P_L1_Gracia),(19-N(P_L1_Mes)+1)&lt;=N(P_L1_Gracia)+N(P_L1_Cuotas),N(P_L1_Cuotas)&gt;0),IF((19-N(P_L1_Mes)+1)=N(P_L1_Gracia)+N(P_L1_Cuotas),IF((19-N(P_L1_Mes)+1)=1,N(P_L1_Monto),W$126),PMT(N(P_L1_Tasa)/12,N(P_L1_Cuotas),-N(P_L1_Monto))-X$124),0)*X$9</f>
        <v>46074.760571461826</v>
      </c>
      <c r="Y125" s="48">
        <f>IF(AND((20-N(P_L1_Mes)+1)&gt;N(P_L1_Gracia),(20-N(P_L1_Mes)+1)&lt;=N(P_L1_Gracia)+N(P_L1_Cuotas),N(P_L1_Cuotas)&gt;0),IF((20-N(P_L1_Mes)+1)=N(P_L1_Gracia)+N(P_L1_Cuotas),IF((20-N(P_L1_Mes)+1)=1,N(P_L1_Monto),X$126),PMT(N(P_L1_Tasa)/12,N(P_L1_Cuotas),-N(P_L1_Monto))-Y$124),0)*Y$9</f>
        <v>46420.321275747789</v>
      </c>
      <c r="Z125" s="48">
        <f>IF(AND((21-N(P_L1_Mes)+1)&gt;N(P_L1_Gracia),(21-N(P_L1_Mes)+1)&lt;=N(P_L1_Gracia)+N(P_L1_Cuotas),N(P_L1_Cuotas)&gt;0),IF((21-N(P_L1_Mes)+1)=N(P_L1_Gracia)+N(P_L1_Cuotas),IF((21-N(P_L1_Mes)+1)=1,N(P_L1_Monto),Y$126),PMT(N(P_L1_Tasa)/12,N(P_L1_Cuotas),-N(P_L1_Monto))-Z$124),0)*Z$9</f>
        <v>46768.473685315897</v>
      </c>
      <c r="AA125" s="48">
        <f>IF(AND((22-N(P_L1_Mes)+1)&gt;N(P_L1_Gracia),(22-N(P_L1_Mes)+1)&lt;=N(P_L1_Gracia)+N(P_L1_Cuotas),N(P_L1_Cuotas)&gt;0),IF((22-N(P_L1_Mes)+1)=N(P_L1_Gracia)+N(P_L1_Cuotas),IF((22-N(P_L1_Mes)+1)=1,N(P_L1_Monto),Z$126),PMT(N(P_L1_Tasa)/12,N(P_L1_Cuotas),-N(P_L1_Monto))-AA$124),0)*AA$9</f>
        <v>47119.237237955764</v>
      </c>
      <c r="AB125" s="48">
        <f>IF(AND((23-N(P_L1_Mes)+1)&gt;N(P_L1_Gracia),(23-N(P_L1_Mes)+1)&lt;=N(P_L1_Gracia)+N(P_L1_Cuotas),N(P_L1_Cuotas)&gt;0),IF((23-N(P_L1_Mes)+1)=N(P_L1_Gracia)+N(P_L1_Cuotas),IF((23-N(P_L1_Mes)+1)=1,N(P_L1_Monto),AA$126),PMT(N(P_L1_Tasa)/12,N(P_L1_Cuotas),-N(P_L1_Monto))-AB$124),0)*AB$9</f>
        <v>47472.631517240428</v>
      </c>
      <c r="AC125" s="48">
        <f>IF(AND((24-N(P_L1_Mes)+1)&gt;N(P_L1_Gracia),(24-N(P_L1_Mes)+1)&lt;=N(P_L1_Gracia)+N(P_L1_Cuotas),N(P_L1_Cuotas)&gt;0),IF((24-N(P_L1_Mes)+1)=N(P_L1_Gracia)+N(P_L1_Cuotas),IF((24-N(P_L1_Mes)+1)=1,N(P_L1_Monto),AB$126),PMT(N(P_L1_Tasa)/12,N(P_L1_Cuotas),-N(P_L1_Monto))-AC$124),0)*AC$9</f>
        <v>47828.676253619735</v>
      </c>
      <c r="AD125" s="48">
        <f>IF(AND((25-N(P_L1_Mes)+1)&gt;N(P_L1_Gracia),(25-N(P_L1_Mes)+1)&lt;=N(P_L1_Gracia)+N(P_L1_Cuotas),N(P_L1_Cuotas)&gt;0),IF((25-N(P_L1_Mes)+1)=N(P_L1_Gracia)+N(P_L1_Cuotas),IF((25-N(P_L1_Mes)+1)=1,N(P_L1_Monto),AC$126),PMT(N(P_L1_Tasa)/12,N(P_L1_Cuotas),-N(P_L1_Monto))-AD$124),0)*AD$9</f>
        <v>48187.391325521887</v>
      </c>
      <c r="AE125" s="48">
        <f>IF(AND((26-N(P_L1_Mes)+1)&gt;N(P_L1_Gracia),(26-N(P_L1_Mes)+1)&lt;=N(P_L1_Gracia)+N(P_L1_Cuotas),N(P_L1_Cuotas)&gt;0),IF((26-N(P_L1_Mes)+1)=N(P_L1_Gracia)+N(P_L1_Cuotas),IF((26-N(P_L1_Mes)+1)=1,N(P_L1_Monto),AD$126),PMT(N(P_L1_Tasa)/12,N(P_L1_Cuotas),-N(P_L1_Monto))-AE$124),0)*AE$9</f>
        <v>48548.796760463301</v>
      </c>
      <c r="AF125" s="48">
        <f>IF(AND((27-N(P_L1_Mes)+1)&gt;N(P_L1_Gracia),(27-N(P_L1_Mes)+1)&lt;=N(P_L1_Gracia)+N(P_L1_Cuotas),N(P_L1_Cuotas)&gt;0),IF((27-N(P_L1_Mes)+1)=N(P_L1_Gracia)+N(P_L1_Cuotas),IF((27-N(P_L1_Mes)+1)=1,N(P_L1_Monto),AE$126),PMT(N(P_L1_Tasa)/12,N(P_L1_Cuotas),-N(P_L1_Monto))-AF$124),0)*AF$9</f>
        <v>48912.912736166778</v>
      </c>
      <c r="AG125" s="48">
        <f>IF(AND((28-N(P_L1_Mes)+1)&gt;N(P_L1_Gracia),(28-N(P_L1_Mes)+1)&lt;=N(P_L1_Gracia)+N(P_L1_Cuotas),N(P_L1_Cuotas)&gt;0),IF((28-N(P_L1_Mes)+1)=N(P_L1_Gracia)+N(P_L1_Cuotas),IF((28-N(P_L1_Mes)+1)=1,N(P_L1_Monto),AF$126),PMT(N(P_L1_Tasa)/12,N(P_L1_Cuotas),-N(P_L1_Monto))-AG$124),0)*AG$9</f>
        <v>49279.759581688028</v>
      </c>
      <c r="AH125" s="48">
        <f>IF(AND((29-N(P_L1_Mes)+1)&gt;N(P_L1_Gracia),(29-N(P_L1_Mes)+1)&lt;=N(P_L1_Gracia)+N(P_L1_Cuotas),N(P_L1_Cuotas)&gt;0),IF((29-N(P_L1_Mes)+1)=N(P_L1_Gracia)+N(P_L1_Cuotas),IF((29-N(P_L1_Mes)+1)=1,N(P_L1_Monto),AG$126),PMT(N(P_L1_Tasa)/12,N(P_L1_Cuotas),-N(P_L1_Monto))-AH$124),0)*AH$9</f>
        <v>49649.357778550686</v>
      </c>
      <c r="AI125" s="48">
        <f>IF(AND((30-N(P_L1_Mes)+1)&gt;N(P_L1_Gracia),(30-N(P_L1_Mes)+1)&lt;=N(P_L1_Gracia)+N(P_L1_Cuotas),N(P_L1_Cuotas)&gt;0),IF((30-N(P_L1_Mes)+1)=N(P_L1_Gracia)+N(P_L1_Cuotas),IF((30-N(P_L1_Mes)+1)=1,N(P_L1_Monto),AH$126),PMT(N(P_L1_Tasa)/12,N(P_L1_Cuotas),-N(P_L1_Monto))-AI$124),0)*AI$9</f>
        <v>50021.727961889817</v>
      </c>
      <c r="AJ125" s="48">
        <f>IF(AND((31-N(P_L1_Mes)+1)&gt;N(P_L1_Gracia),(31-N(P_L1_Mes)+1)&lt;=N(P_L1_Gracia)+N(P_L1_Cuotas),N(P_L1_Cuotas)&gt;0),IF((31-N(P_L1_Mes)+1)=N(P_L1_Gracia)+N(P_L1_Cuotas),IF((31-N(P_L1_Mes)+1)=1,N(P_L1_Monto),AI$126),PMT(N(P_L1_Tasa)/12,N(P_L1_Cuotas),-N(P_L1_Monto))-AJ$124),0)*AJ$9</f>
        <v>50396.89092160399</v>
      </c>
      <c r="AK125" s="48">
        <f>IF(AND((32-N(P_L1_Mes)+1)&gt;N(P_L1_Gracia),(32-N(P_L1_Mes)+1)&lt;=N(P_L1_Gracia)+N(P_L1_Cuotas),N(P_L1_Cuotas)&gt;0),IF((32-N(P_L1_Mes)+1)=N(P_L1_Gracia)+N(P_L1_Cuotas),IF((32-N(P_L1_Mes)+1)=1,N(P_L1_Monto),AJ$126),PMT(N(P_L1_Tasa)/12,N(P_L1_Cuotas),-N(P_L1_Monto))-AK$124),0)*AK$9</f>
        <v>50774.867603516017</v>
      </c>
      <c r="AL125" s="48">
        <f>IF(AND((33-N(P_L1_Mes)+1)&gt;N(P_L1_Gracia),(33-N(P_L1_Mes)+1)&lt;=N(P_L1_Gracia)+N(P_L1_Cuotas),N(P_L1_Cuotas)&gt;0),IF((33-N(P_L1_Mes)+1)=N(P_L1_Gracia)+N(P_L1_Cuotas),IF((33-N(P_L1_Mes)+1)=1,N(P_L1_Monto),AK$126),PMT(N(P_L1_Tasa)/12,N(P_L1_Cuotas),-N(P_L1_Monto))-AL$124),0)*AL$9</f>
        <v>51155.679110542391</v>
      </c>
      <c r="AM125" s="48">
        <f>IF(AND((34-N(P_L1_Mes)+1)&gt;N(P_L1_Gracia),(34-N(P_L1_Mes)+1)&lt;=N(P_L1_Gracia)+N(P_L1_Cuotas),N(P_L1_Cuotas)&gt;0),IF((34-N(P_L1_Mes)+1)=N(P_L1_Gracia)+N(P_L1_Cuotas),IF((34-N(P_L1_Mes)+1)=1,N(P_L1_Monto),AL$126),PMT(N(P_L1_Tasa)/12,N(P_L1_Cuotas),-N(P_L1_Monto))-AM$124),0)*AM$9</f>
        <v>51539.346703871459</v>
      </c>
      <c r="AN125" s="48">
        <f>IF(AND((35-N(P_L1_Mes)+1)&gt;N(P_L1_Gracia),(35-N(P_L1_Mes)+1)&lt;=N(P_L1_Gracia)+N(P_L1_Cuotas),N(P_L1_Cuotas)&gt;0),IF((35-N(P_L1_Mes)+1)=N(P_L1_Gracia)+N(P_L1_Cuotas),IF((35-N(P_L1_Mes)+1)=1,N(P_L1_Monto),AM$126),PMT(N(P_L1_Tasa)/12,N(P_L1_Cuotas),-N(P_L1_Monto))-AN$124),0)*AN$9</f>
        <v>51925.891804150495</v>
      </c>
      <c r="AO125" s="48">
        <f>IF(AND((36-N(P_L1_Mes)+1)&gt;N(P_L1_Gracia),(36-N(P_L1_Mes)+1)&lt;=N(P_L1_Gracia)+N(P_L1_Cuotas),N(P_L1_Cuotas)&gt;0),IF((36-N(P_L1_Mes)+1)=N(P_L1_Gracia)+N(P_L1_Cuotas),IF((36-N(P_L1_Mes)+1)=1,N(P_L1_Monto),AN$126),PMT(N(P_L1_Tasa)/12,N(P_L1_Cuotas),-N(P_L1_Monto))-AO$124),0)*AO$9</f>
        <v>52315.335992681619</v>
      </c>
      <c r="AP125" s="48">
        <f>IF(AND((37-N(P_L1_Mes)+1)&gt;N(P_L1_Gracia),(37-N(P_L1_Mes)+1)&lt;=N(P_L1_Gracia)+N(P_L1_Cuotas),N(P_L1_Cuotas)&gt;0),IF((37-N(P_L1_Mes)+1)=N(P_L1_Gracia)+N(P_L1_Cuotas),IF((37-N(P_L1_Mes)+1)=1,N(P_L1_Monto),AO$126),PMT(N(P_L1_Tasa)/12,N(P_L1_Cuotas),-N(P_L1_Monto))-AP$124),0)*AP$9</f>
        <v>52707.701012626734</v>
      </c>
      <c r="AQ125" s="48">
        <f>IF(AND((38-N(P_L1_Mes)+1)&gt;N(P_L1_Gracia),(38-N(P_L1_Mes)+1)&lt;=N(P_L1_Gracia)+N(P_L1_Cuotas),N(P_L1_Cuotas)&gt;0),IF((38-N(P_L1_Mes)+1)=N(P_L1_Gracia)+N(P_L1_Cuotas),IF((38-N(P_L1_Mes)+1)=1,N(P_L1_Monto),AP$126),PMT(N(P_L1_Tasa)/12,N(P_L1_Cuotas),-N(P_L1_Monto))-AQ$124),0)*AQ$9</f>
        <v>53103.008770221437</v>
      </c>
      <c r="AR125" s="48">
        <f>IF(AND((39-N(P_L1_Mes)+1)&gt;N(P_L1_Gracia),(39-N(P_L1_Mes)+1)&lt;=N(P_L1_Gracia)+N(P_L1_Cuotas),N(P_L1_Cuotas)&gt;0),IF((39-N(P_L1_Mes)+1)=N(P_L1_Gracia)+N(P_L1_Cuotas),IF((39-N(P_L1_Mes)+1)=1,N(P_L1_Monto),AQ$126),PMT(N(P_L1_Tasa)/12,N(P_L1_Cuotas),-N(P_L1_Monto))-AR$124),0)*AR$9</f>
        <v>53501.281335998094</v>
      </c>
      <c r="AS125" s="48">
        <f>IF(AND((40-N(P_L1_Mes)+1)&gt;N(P_L1_Gracia),(40-N(P_L1_Mes)+1)&lt;=N(P_L1_Gracia)+N(P_L1_Cuotas),N(P_L1_Cuotas)&gt;0),IF((40-N(P_L1_Mes)+1)=N(P_L1_Gracia)+N(P_L1_Cuotas),IF((40-N(P_L1_Mes)+1)=1,N(P_L1_Monto),AR$126),PMT(N(P_L1_Tasa)/12,N(P_L1_Cuotas),-N(P_L1_Monto))-AS$124),0)*AS$9</f>
        <v>53902.540946018082</v>
      </c>
      <c r="AT125" s="48">
        <f>IF(AND((41-N(P_L1_Mes)+1)&gt;N(P_L1_Gracia),(41-N(P_L1_Mes)+1)&lt;=N(P_L1_Gracia)+N(P_L1_Cuotas),N(P_L1_Cuotas)&gt;0),IF((41-N(P_L1_Mes)+1)=N(P_L1_Gracia)+N(P_L1_Cuotas),IF((41-N(P_L1_Mes)+1)=1,N(P_L1_Monto),AS$126),PMT(N(P_L1_Tasa)/12,N(P_L1_Cuotas),-N(P_L1_Monto))-AT$124),0)*AT$9</f>
        <v>54306.810003113213</v>
      </c>
      <c r="AU125" s="48">
        <f>IF(AND((42-N(P_L1_Mes)+1)&gt;N(P_L1_Gracia),(42-N(P_L1_Mes)+1)&lt;=N(P_L1_Gracia)+N(P_L1_Cuotas),N(P_L1_Cuotas)&gt;0),IF((42-N(P_L1_Mes)+1)=N(P_L1_Gracia)+N(P_L1_Cuotas),IF((42-N(P_L1_Mes)+1)=1,N(P_L1_Monto),AT$126),PMT(N(P_L1_Tasa)/12,N(P_L1_Cuotas),-N(P_L1_Monto))-AU$124),0)*AU$9</f>
        <v>54714.111078136564</v>
      </c>
      <c r="AV125" s="48">
        <f>IF(AND((43-N(P_L1_Mes)+1)&gt;N(P_L1_Gracia),(43-N(P_L1_Mes)+1)&lt;=N(P_L1_Gracia)+N(P_L1_Cuotas),N(P_L1_Cuotas)&gt;0),IF((43-N(P_L1_Mes)+1)=N(P_L1_Gracia)+N(P_L1_Cuotas),IF((43-N(P_L1_Mes)+1)=1,N(P_L1_Monto),AU$126),PMT(N(P_L1_Tasa)/12,N(P_L1_Cuotas),-N(P_L1_Monto))-AV$124),0)*AV$9</f>
        <v>55124.466911222589</v>
      </c>
      <c r="AW125" s="48">
        <f>IF(AND((44-N(P_L1_Mes)+1)&gt;N(P_L1_Gracia),(44-N(P_L1_Mes)+1)&lt;=N(P_L1_Gracia)+N(P_L1_Cuotas),N(P_L1_Cuotas)&gt;0),IF((44-N(P_L1_Mes)+1)=N(P_L1_Gracia)+N(P_L1_Cuotas),IF((44-N(P_L1_Mes)+1)=1,N(P_L1_Monto),AV$126),PMT(N(P_L1_Tasa)/12,N(P_L1_Cuotas),-N(P_L1_Monto))-AW$124),0)*AW$9</f>
        <v>55537.900413056755</v>
      </c>
      <c r="AX125" s="48">
        <f>IF(AND((45-N(P_L1_Mes)+1)&gt;N(P_L1_Gracia),(45-N(P_L1_Mes)+1)&lt;=N(P_L1_Gracia)+N(P_L1_Cuotas),N(P_L1_Cuotas)&gt;0),IF((45-N(P_L1_Mes)+1)=N(P_L1_Gracia)+N(P_L1_Cuotas),IF((45-N(P_L1_Mes)+1)=1,N(P_L1_Monto),AW$126),PMT(N(P_L1_Tasa)/12,N(P_L1_Cuotas),-N(P_L1_Monto))-AX$124),0)*AX$9</f>
        <v>55954.434666154688</v>
      </c>
      <c r="AY125" s="48">
        <f>IF(AND((46-N(P_L1_Mes)+1)&gt;N(P_L1_Gracia),(46-N(P_L1_Mes)+1)&lt;=N(P_L1_Gracia)+N(P_L1_Cuotas),N(P_L1_Cuotas)&gt;0),IF((46-N(P_L1_Mes)+1)=N(P_L1_Gracia)+N(P_L1_Cuotas),IF((46-N(P_L1_Mes)+1)=1,N(P_L1_Monto),AX$126),PMT(N(P_L1_Tasa)/12,N(P_L1_Cuotas),-N(P_L1_Monto))-AY$124),0)*AY$9</f>
        <v>56374.092926150843</v>
      </c>
      <c r="AZ125" s="48">
        <f>IF(AND((47-N(P_L1_Mes)+1)&gt;N(P_L1_Gracia),(47-N(P_L1_Mes)+1)&lt;=N(P_L1_Gracia)+N(P_L1_Cuotas),N(P_L1_Cuotas)&gt;0),IF((47-N(P_L1_Mes)+1)=N(P_L1_Gracia)+N(P_L1_Cuotas),IF((47-N(P_L1_Mes)+1)=1,N(P_L1_Monto),AY$126),PMT(N(P_L1_Tasa)/12,N(P_L1_Cuotas),-N(P_L1_Monto))-AZ$124),0)*AZ$9</f>
        <v>56796.898623096975</v>
      </c>
      <c r="BA125" s="48">
        <f>IF(AND((48-N(P_L1_Mes)+1)&gt;N(P_L1_Gracia),(48-N(P_L1_Mes)+1)&lt;=N(P_L1_Gracia)+N(P_L1_Cuotas),N(P_L1_Cuotas)&gt;0),IF((48-N(P_L1_Mes)+1)=N(P_L1_Gracia)+N(P_L1_Cuotas),IF((48-N(P_L1_Mes)+1)=1,N(P_L1_Monto),AZ$126),PMT(N(P_L1_Tasa)/12,N(P_L1_Cuotas),-N(P_L1_Monto))-BA$124),0)*BA$9</f>
        <v>57222.875362770203</v>
      </c>
      <c r="BB125" s="48">
        <f>IF(AND((49-N(P_L1_Mes)+1)&gt;N(P_L1_Gracia),(49-N(P_L1_Mes)+1)&lt;=N(P_L1_Gracia)+N(P_L1_Cuotas),N(P_L1_Cuotas)&gt;0),IF((49-N(P_L1_Mes)+1)=N(P_L1_Gracia)+N(P_L1_Cuotas),IF((49-N(P_L1_Mes)+1)=1,N(P_L1_Monto),BA$126),PMT(N(P_L1_Tasa)/12,N(P_L1_Cuotas),-N(P_L1_Monto))-BB$124),0)*BB$9</f>
        <v>57652.046927990981</v>
      </c>
      <c r="BC125" s="48">
        <f>IF(AND((50-N(P_L1_Mes)+1)&gt;N(P_L1_Gracia),(50-N(P_L1_Mes)+1)&lt;=N(P_L1_Gracia)+N(P_L1_Cuotas),N(P_L1_Cuotas)&gt;0),IF((50-N(P_L1_Mes)+1)=N(P_L1_Gracia)+N(P_L1_Cuotas),IF((50-N(P_L1_Mes)+1)=1,N(P_L1_Monto),BB$126),PMT(N(P_L1_Tasa)/12,N(P_L1_Cuotas),-N(P_L1_Monto))-BC$124),0)*BC$9</f>
        <v>58084.437279950915</v>
      </c>
      <c r="BD125" s="48">
        <f>IF(AND((51-N(P_L1_Mes)+1)&gt;N(P_L1_Gracia),(51-N(P_L1_Mes)+1)&lt;=N(P_L1_Gracia)+N(P_L1_Cuotas),N(P_L1_Cuotas)&gt;0),IF((51-N(P_L1_Mes)+1)=N(P_L1_Gracia)+N(P_L1_Cuotas),IF((51-N(P_L1_Mes)+1)=1,N(P_L1_Monto),BC$126),PMT(N(P_L1_Tasa)/12,N(P_L1_Cuotas),-N(P_L1_Monto))-BD$124),0)*BD$9</f>
        <v>58520.070559550542</v>
      </c>
      <c r="BE125" s="48">
        <f>IF(AND((52-N(P_L1_Mes)+1)&gt;N(P_L1_Gracia),(52-N(P_L1_Mes)+1)&lt;=N(P_L1_Gracia)+N(P_L1_Cuotas),N(P_L1_Cuotas)&gt;0),IF((52-N(P_L1_Mes)+1)=N(P_L1_Gracia)+N(P_L1_Cuotas),IF((52-N(P_L1_Mes)+1)=1,N(P_L1_Monto),BD$126),PMT(N(P_L1_Tasa)/12,N(P_L1_Cuotas),-N(P_L1_Monto))-BE$124),0)*BE$9</f>
        <v>58958.971088747174</v>
      </c>
      <c r="BF125" s="48">
        <f>IF(AND((53-N(P_L1_Mes)+1)&gt;N(P_L1_Gracia),(53-N(P_L1_Mes)+1)&lt;=N(P_L1_Gracia)+N(P_L1_Cuotas),N(P_L1_Cuotas)&gt;0),IF((53-N(P_L1_Mes)+1)=N(P_L1_Gracia)+N(P_L1_Cuotas),IF((53-N(P_L1_Mes)+1)=1,N(P_L1_Monto),BE$126),PMT(N(P_L1_Tasa)/12,N(P_L1_Cuotas),-N(P_L1_Monto))-BF$124),0)*BF$9</f>
        <v>59401.163371912779</v>
      </c>
      <c r="BG125" s="48">
        <f>IF(AND((54-N(P_L1_Mes)+1)&gt;N(P_L1_Gracia),(54-N(P_L1_Mes)+1)&lt;=N(P_L1_Gracia)+N(P_L1_Cuotas),N(P_L1_Cuotas)&gt;0),IF((54-N(P_L1_Mes)+1)=N(P_L1_Gracia)+N(P_L1_Cuotas),IF((54-N(P_L1_Mes)+1)=1,N(P_L1_Monto),BF$126),PMT(N(P_L1_Tasa)/12,N(P_L1_Cuotas),-N(P_L1_Monto))-BG$124),0)*BG$9</f>
        <v>59846.672097202121</v>
      </c>
      <c r="BH125" s="48">
        <f>IF(AND((55-N(P_L1_Mes)+1)&gt;N(P_L1_Gracia),(55-N(P_L1_Mes)+1)&lt;=N(P_L1_Gracia)+N(P_L1_Cuotas),N(P_L1_Cuotas)&gt;0),IF((55-N(P_L1_Mes)+1)=N(P_L1_Gracia)+N(P_L1_Cuotas),IF((55-N(P_L1_Mes)+1)=1,N(P_L1_Monto),BG$126),PMT(N(P_L1_Tasa)/12,N(P_L1_Cuotas),-N(P_L1_Monto))-BH$124),0)*BH$9</f>
        <v>60295.522137931141</v>
      </c>
      <c r="BI125" s="48">
        <f>IF(AND((56-N(P_L1_Mes)+1)&gt;N(P_L1_Gracia),(56-N(P_L1_Mes)+1)&lt;=N(P_L1_Gracia)+N(P_L1_Cuotas),N(P_L1_Cuotas)&gt;0),IF((56-N(P_L1_Mes)+1)=N(P_L1_Gracia)+N(P_L1_Cuotas),IF((56-N(P_L1_Mes)+1)=1,N(P_L1_Monto),BH$126),PMT(N(P_L1_Tasa)/12,N(P_L1_Cuotas),-N(P_L1_Monto))-BI$124),0)*BI$9</f>
        <v>60747.738553965624</v>
      </c>
      <c r="BJ125" s="48">
        <f>IF(AND((57-N(P_L1_Mes)+1)&gt;N(P_L1_Gracia),(57-N(P_L1_Mes)+1)&lt;=N(P_L1_Gracia)+N(P_L1_Cuotas),N(P_L1_Cuotas)&gt;0),IF((57-N(P_L1_Mes)+1)=N(P_L1_Gracia)+N(P_L1_Cuotas),IF((57-N(P_L1_Mes)+1)=1,N(P_L1_Monto),BI$126),PMT(N(P_L1_Tasa)/12,N(P_L1_Cuotas),-N(P_L1_Monto))-BJ$124),0)*BJ$9</f>
        <v>61203.346593120361</v>
      </c>
      <c r="BK125" s="48">
        <f>IF(AND((58-N(P_L1_Mes)+1)&gt;N(P_L1_Gracia),(58-N(P_L1_Mes)+1)&lt;=N(P_L1_Gracia)+N(P_L1_Cuotas),N(P_L1_Cuotas)&gt;0),IF((58-N(P_L1_Mes)+1)=N(P_L1_Gracia)+N(P_L1_Cuotas),IF((58-N(P_L1_Mes)+1)=1,N(P_L1_Monto),BJ$126),PMT(N(P_L1_Tasa)/12,N(P_L1_Cuotas),-N(P_L1_Monto))-BK$124),0)*BK$9</f>
        <v>61662.37169256877</v>
      </c>
      <c r="BL125" s="48">
        <f>IF(AND((59-N(P_L1_Mes)+1)&gt;N(P_L1_Gracia),(59-N(P_L1_Mes)+1)&lt;=N(P_L1_Gracia)+N(P_L1_Cuotas),N(P_L1_Cuotas)&gt;0),IF((59-N(P_L1_Mes)+1)=N(P_L1_Gracia)+N(P_L1_Cuotas),IF((59-N(P_L1_Mes)+1)=1,N(P_L1_Monto),BK$126),PMT(N(P_L1_Tasa)/12,N(P_L1_Cuotas),-N(P_L1_Monto))-BL$124),0)*BL$9</f>
        <v>62124.839480263036</v>
      </c>
      <c r="BM125" s="48">
        <f>IF(AND((60-N(P_L1_Mes)+1)&gt;N(P_L1_Gracia),(60-N(P_L1_Mes)+1)&lt;=N(P_L1_Gracia)+N(P_L1_Cuotas),N(P_L1_Cuotas)&gt;0),IF((60-N(P_L1_Mes)+1)=N(P_L1_Gracia)+N(P_L1_Cuotas),IF((60-N(P_L1_Mes)+1)=1,N(P_L1_Monto),BL$126),PMT(N(P_L1_Tasa)/12,N(P_L1_Cuotas),-N(P_L1_Monto))-BM$124),0)*BM$9</f>
        <v>62590.775776366791</v>
      </c>
      <c r="BN125" s="48">
        <f>IF(AND((61-N(P_L1_Mes)+1)&gt;N(P_L1_Gracia),(61-N(P_L1_Mes)+1)&lt;=N(P_L1_Gracia)+N(P_L1_Cuotas),N(P_L1_Cuotas)&gt;0),IF((61-N(P_L1_Mes)+1)=N(P_L1_Gracia)+N(P_L1_Cuotas),IF((61-N(P_L1_Mes)+1)=1,N(P_L1_Monto),BM$126),PMT(N(P_L1_Tasa)/12,N(P_L1_Cuotas),-N(P_L1_Monto))-BN$124),0)*BN$9</f>
        <v>0</v>
      </c>
      <c r="BO125" s="48">
        <f>IF(AND((62-N(P_L1_Mes)+1)&gt;N(P_L1_Gracia),(62-N(P_L1_Mes)+1)&lt;=N(P_L1_Gracia)+N(P_L1_Cuotas),N(P_L1_Cuotas)&gt;0),IF((62-N(P_L1_Mes)+1)=N(P_L1_Gracia)+N(P_L1_Cuotas),IF((62-N(P_L1_Mes)+1)=1,N(P_L1_Monto),BN$126),PMT(N(P_L1_Tasa)/12,N(P_L1_Cuotas),-N(P_L1_Monto))-BO$124),0)*BO$9</f>
        <v>0</v>
      </c>
      <c r="BP125" s="48">
        <f>IF(AND((63-N(P_L1_Mes)+1)&gt;N(P_L1_Gracia),(63-N(P_L1_Mes)+1)&lt;=N(P_L1_Gracia)+N(P_L1_Cuotas),N(P_L1_Cuotas)&gt;0),IF((63-N(P_L1_Mes)+1)=N(P_L1_Gracia)+N(P_L1_Cuotas),IF((63-N(P_L1_Mes)+1)=1,N(P_L1_Monto),BO$126),PMT(N(P_L1_Tasa)/12,N(P_L1_Cuotas),-N(P_L1_Monto))-BP$124),0)*BP$9</f>
        <v>0</v>
      </c>
      <c r="BQ125" s="48">
        <f>IF(AND((64-N(P_L1_Mes)+1)&gt;N(P_L1_Gracia),(64-N(P_L1_Mes)+1)&lt;=N(P_L1_Gracia)+N(P_L1_Cuotas),N(P_L1_Cuotas)&gt;0),IF((64-N(P_L1_Mes)+1)=N(P_L1_Gracia)+N(P_L1_Cuotas),IF((64-N(P_L1_Mes)+1)=1,N(P_L1_Monto),BP$126),PMT(N(P_L1_Tasa)/12,N(P_L1_Cuotas),-N(P_L1_Monto))-BQ$124),0)*BQ$9</f>
        <v>0</v>
      </c>
      <c r="BR125" s="48">
        <f>IF(AND((65-N(P_L1_Mes)+1)&gt;N(P_L1_Gracia),(65-N(P_L1_Mes)+1)&lt;=N(P_L1_Gracia)+N(P_L1_Cuotas),N(P_L1_Cuotas)&gt;0),IF((65-N(P_L1_Mes)+1)=N(P_L1_Gracia)+N(P_L1_Cuotas),IF((65-N(P_L1_Mes)+1)=1,N(P_L1_Monto),BQ$126),PMT(N(P_L1_Tasa)/12,N(P_L1_Cuotas),-N(P_L1_Monto))-BR$124),0)*BR$9</f>
        <v>0</v>
      </c>
      <c r="BS125" s="48">
        <f>IF(AND((66-N(P_L1_Mes)+1)&gt;N(P_L1_Gracia),(66-N(P_L1_Mes)+1)&lt;=N(P_L1_Gracia)+N(P_L1_Cuotas),N(P_L1_Cuotas)&gt;0),IF((66-N(P_L1_Mes)+1)=N(P_L1_Gracia)+N(P_L1_Cuotas),IF((66-N(P_L1_Mes)+1)=1,N(P_L1_Monto),BR$126),PMT(N(P_L1_Tasa)/12,N(P_L1_Cuotas),-N(P_L1_Monto))-BS$124),0)*BS$9</f>
        <v>0</v>
      </c>
      <c r="BT125" s="48">
        <f>IF(AND((67-N(P_L1_Mes)+1)&gt;N(P_L1_Gracia),(67-N(P_L1_Mes)+1)&lt;=N(P_L1_Gracia)+N(P_L1_Cuotas),N(P_L1_Cuotas)&gt;0),IF((67-N(P_L1_Mes)+1)=N(P_L1_Gracia)+N(P_L1_Cuotas),IF((67-N(P_L1_Mes)+1)=1,N(P_L1_Monto),BS$126),PMT(N(P_L1_Tasa)/12,N(P_L1_Cuotas),-N(P_L1_Monto))-BT$124),0)*BT$9</f>
        <v>0</v>
      </c>
      <c r="BU125" s="48">
        <f>IF(AND((68-N(P_L1_Mes)+1)&gt;N(P_L1_Gracia),(68-N(P_L1_Mes)+1)&lt;=N(P_L1_Gracia)+N(P_L1_Cuotas),N(P_L1_Cuotas)&gt;0),IF((68-N(P_L1_Mes)+1)=N(P_L1_Gracia)+N(P_L1_Cuotas),IF((68-N(P_L1_Mes)+1)=1,N(P_L1_Monto),BT$126),PMT(N(P_L1_Tasa)/12,N(P_L1_Cuotas),-N(P_L1_Monto))-BU$124),0)*BU$9</f>
        <v>0</v>
      </c>
      <c r="BV125" s="48">
        <f>IF(AND((69-N(P_L1_Mes)+1)&gt;N(P_L1_Gracia),(69-N(P_L1_Mes)+1)&lt;=N(P_L1_Gracia)+N(P_L1_Cuotas),N(P_L1_Cuotas)&gt;0),IF((69-N(P_L1_Mes)+1)=N(P_L1_Gracia)+N(P_L1_Cuotas),IF((69-N(P_L1_Mes)+1)=1,N(P_L1_Monto),BU$126),PMT(N(P_L1_Tasa)/12,N(P_L1_Cuotas),-N(P_L1_Monto))-BV$124),0)*BV$9</f>
        <v>0</v>
      </c>
      <c r="BW125" s="48">
        <f>IF(AND((70-N(P_L1_Mes)+1)&gt;N(P_L1_Gracia),(70-N(P_L1_Mes)+1)&lt;=N(P_L1_Gracia)+N(P_L1_Cuotas),N(P_L1_Cuotas)&gt;0),IF((70-N(P_L1_Mes)+1)=N(P_L1_Gracia)+N(P_L1_Cuotas),IF((70-N(P_L1_Mes)+1)=1,N(P_L1_Monto),BV$126),PMT(N(P_L1_Tasa)/12,N(P_L1_Cuotas),-N(P_L1_Monto))-BW$124),0)*BW$9</f>
        <v>0</v>
      </c>
      <c r="BX125" s="48">
        <f>IF(AND((71-N(P_L1_Mes)+1)&gt;N(P_L1_Gracia),(71-N(P_L1_Mes)+1)&lt;=N(P_L1_Gracia)+N(P_L1_Cuotas),N(P_L1_Cuotas)&gt;0),IF((71-N(P_L1_Mes)+1)=N(P_L1_Gracia)+N(P_L1_Cuotas),IF((71-N(P_L1_Mes)+1)=1,N(P_L1_Monto),BW$126),PMT(N(P_L1_Tasa)/12,N(P_L1_Cuotas),-N(P_L1_Monto))-BX$124),0)*BX$9</f>
        <v>0</v>
      </c>
      <c r="BY125" s="48">
        <f>IF(AND((72-N(P_L1_Mes)+1)&gt;N(P_L1_Gracia),(72-N(P_L1_Mes)+1)&lt;=N(P_L1_Gracia)+N(P_L1_Cuotas),N(P_L1_Cuotas)&gt;0),IF((72-N(P_L1_Mes)+1)=N(P_L1_Gracia)+N(P_L1_Cuotas),IF((72-N(P_L1_Mes)+1)=1,N(P_L1_Monto),BX$126),PMT(N(P_L1_Tasa)/12,N(P_L1_Cuotas),-N(P_L1_Monto))-BY$124),0)*BY$9</f>
        <v>0</v>
      </c>
      <c r="BZ125" s="48">
        <f>IF(AND((73-N(P_L1_Mes)+1)&gt;N(P_L1_Gracia),(73-N(P_L1_Mes)+1)&lt;=N(P_L1_Gracia)+N(P_L1_Cuotas),N(P_L1_Cuotas)&gt;0),IF((73-N(P_L1_Mes)+1)=N(P_L1_Gracia)+N(P_L1_Cuotas),IF((73-N(P_L1_Mes)+1)=1,N(P_L1_Monto),BY$126),PMT(N(P_L1_Tasa)/12,N(P_L1_Cuotas),-N(P_L1_Monto))-BZ$124),0)*BZ$9</f>
        <v>0</v>
      </c>
      <c r="CA125" s="48">
        <f>IF(AND((74-N(P_L1_Mes)+1)&gt;N(P_L1_Gracia),(74-N(P_L1_Mes)+1)&lt;=N(P_L1_Gracia)+N(P_L1_Cuotas),N(P_L1_Cuotas)&gt;0),IF((74-N(P_L1_Mes)+1)=N(P_L1_Gracia)+N(P_L1_Cuotas),IF((74-N(P_L1_Mes)+1)=1,N(P_L1_Monto),BZ$126),PMT(N(P_L1_Tasa)/12,N(P_L1_Cuotas),-N(P_L1_Monto))-CA$124),0)*CA$9</f>
        <v>0</v>
      </c>
      <c r="CB125" s="48">
        <f>IF(AND((75-N(P_L1_Mes)+1)&gt;N(P_L1_Gracia),(75-N(P_L1_Mes)+1)&lt;=N(P_L1_Gracia)+N(P_L1_Cuotas),N(P_L1_Cuotas)&gt;0),IF((75-N(P_L1_Mes)+1)=N(P_L1_Gracia)+N(P_L1_Cuotas),IF((75-N(P_L1_Mes)+1)=1,N(P_L1_Monto),CA$126),PMT(N(P_L1_Tasa)/12,N(P_L1_Cuotas),-N(P_L1_Monto))-CB$124),0)*CB$9</f>
        <v>0</v>
      </c>
      <c r="CC125" s="48">
        <f>IF(AND((76-N(P_L1_Mes)+1)&gt;N(P_L1_Gracia),(76-N(P_L1_Mes)+1)&lt;=N(P_L1_Gracia)+N(P_L1_Cuotas),N(P_L1_Cuotas)&gt;0),IF((76-N(P_L1_Mes)+1)=N(P_L1_Gracia)+N(P_L1_Cuotas),IF((76-N(P_L1_Mes)+1)=1,N(P_L1_Monto),CB$126),PMT(N(P_L1_Tasa)/12,N(P_L1_Cuotas),-N(P_L1_Monto))-CC$124),0)*CC$9</f>
        <v>0</v>
      </c>
      <c r="CD125" s="48">
        <f>IF(AND((77-N(P_L1_Mes)+1)&gt;N(P_L1_Gracia),(77-N(P_L1_Mes)+1)&lt;=N(P_L1_Gracia)+N(P_L1_Cuotas),N(P_L1_Cuotas)&gt;0),IF((77-N(P_L1_Mes)+1)=N(P_L1_Gracia)+N(P_L1_Cuotas),IF((77-N(P_L1_Mes)+1)=1,N(P_L1_Monto),CC$126),PMT(N(P_L1_Tasa)/12,N(P_L1_Cuotas),-N(P_L1_Monto))-CD$124),0)*CD$9</f>
        <v>0</v>
      </c>
      <c r="CE125" s="48">
        <f>IF(AND((78-N(P_L1_Mes)+1)&gt;N(P_L1_Gracia),(78-N(P_L1_Mes)+1)&lt;=N(P_L1_Gracia)+N(P_L1_Cuotas),N(P_L1_Cuotas)&gt;0),IF((78-N(P_L1_Mes)+1)=N(P_L1_Gracia)+N(P_L1_Cuotas),IF((78-N(P_L1_Mes)+1)=1,N(P_L1_Monto),CD$126),PMT(N(P_L1_Tasa)/12,N(P_L1_Cuotas),-N(P_L1_Monto))-CE$124),0)*CE$9</f>
        <v>0</v>
      </c>
      <c r="CF125" s="48">
        <f>IF(AND((79-N(P_L1_Mes)+1)&gt;N(P_L1_Gracia),(79-N(P_L1_Mes)+1)&lt;=N(P_L1_Gracia)+N(P_L1_Cuotas),N(P_L1_Cuotas)&gt;0),IF((79-N(P_L1_Mes)+1)=N(P_L1_Gracia)+N(P_L1_Cuotas),IF((79-N(P_L1_Mes)+1)=1,N(P_L1_Monto),CE$126),PMT(N(P_L1_Tasa)/12,N(P_L1_Cuotas),-N(P_L1_Monto))-CF$124),0)*CF$9</f>
        <v>0</v>
      </c>
      <c r="CG125" s="48">
        <f>IF(AND((80-N(P_L1_Mes)+1)&gt;N(P_L1_Gracia),(80-N(P_L1_Mes)+1)&lt;=N(P_L1_Gracia)+N(P_L1_Cuotas),N(P_L1_Cuotas)&gt;0),IF((80-N(P_L1_Mes)+1)=N(P_L1_Gracia)+N(P_L1_Cuotas),IF((80-N(P_L1_Mes)+1)=1,N(P_L1_Monto),CF$126),PMT(N(P_L1_Tasa)/12,N(P_L1_Cuotas),-N(P_L1_Monto))-CG$124),0)*CG$9</f>
        <v>0</v>
      </c>
      <c r="CH125" s="48">
        <f>IF(AND((81-N(P_L1_Mes)+1)&gt;N(P_L1_Gracia),(81-N(P_L1_Mes)+1)&lt;=N(P_L1_Gracia)+N(P_L1_Cuotas),N(P_L1_Cuotas)&gt;0),IF((81-N(P_L1_Mes)+1)=N(P_L1_Gracia)+N(P_L1_Cuotas),IF((81-N(P_L1_Mes)+1)=1,N(P_L1_Monto),CG$126),PMT(N(P_L1_Tasa)/12,N(P_L1_Cuotas),-N(P_L1_Monto))-CH$124),0)*CH$9</f>
        <v>0</v>
      </c>
      <c r="CI125" s="48">
        <f>IF(AND((82-N(P_L1_Mes)+1)&gt;N(P_L1_Gracia),(82-N(P_L1_Mes)+1)&lt;=N(P_L1_Gracia)+N(P_L1_Cuotas),N(P_L1_Cuotas)&gt;0),IF((82-N(P_L1_Mes)+1)=N(P_L1_Gracia)+N(P_L1_Cuotas),IF((82-N(P_L1_Mes)+1)=1,N(P_L1_Monto),CH$126),PMT(N(P_L1_Tasa)/12,N(P_L1_Cuotas),-N(P_L1_Monto))-CI$124),0)*CI$9</f>
        <v>0</v>
      </c>
      <c r="CJ125" s="48">
        <f>IF(AND((83-N(P_L1_Mes)+1)&gt;N(P_L1_Gracia),(83-N(P_L1_Mes)+1)&lt;=N(P_L1_Gracia)+N(P_L1_Cuotas),N(P_L1_Cuotas)&gt;0),IF((83-N(P_L1_Mes)+1)=N(P_L1_Gracia)+N(P_L1_Cuotas),IF((83-N(P_L1_Mes)+1)=1,N(P_L1_Monto),CI$126),PMT(N(P_L1_Tasa)/12,N(P_L1_Cuotas),-N(P_L1_Monto))-CJ$124),0)*CJ$9</f>
        <v>0</v>
      </c>
      <c r="CK125" s="48">
        <f>IF(AND((84-N(P_L1_Mes)+1)&gt;N(P_L1_Gracia),(84-N(P_L1_Mes)+1)&lt;=N(P_L1_Gracia)+N(P_L1_Cuotas),N(P_L1_Cuotas)&gt;0),IF((84-N(P_L1_Mes)+1)=N(P_L1_Gracia)+N(P_L1_Cuotas),IF((84-N(P_L1_Mes)+1)=1,N(P_L1_Monto),CJ$126),PMT(N(P_L1_Tasa)/12,N(P_L1_Cuotas),-N(P_L1_Monto))-CK$124),0)*CK$9</f>
        <v>0</v>
      </c>
      <c r="CL125" s="48">
        <f>IF(AND((85-N(P_L1_Mes)+1)&gt;N(P_L1_Gracia),(85-N(P_L1_Mes)+1)&lt;=N(P_L1_Gracia)+N(P_L1_Cuotas),N(P_L1_Cuotas)&gt;0),IF((85-N(P_L1_Mes)+1)=N(P_L1_Gracia)+N(P_L1_Cuotas),IF((85-N(P_L1_Mes)+1)=1,N(P_L1_Monto),CK$126),PMT(N(P_L1_Tasa)/12,N(P_L1_Cuotas),-N(P_L1_Monto))-CL$124),0)*CL$9</f>
        <v>0</v>
      </c>
      <c r="CM125" s="48">
        <f>IF(AND((86-N(P_L1_Mes)+1)&gt;N(P_L1_Gracia),(86-N(P_L1_Mes)+1)&lt;=N(P_L1_Gracia)+N(P_L1_Cuotas),N(P_L1_Cuotas)&gt;0),IF((86-N(P_L1_Mes)+1)=N(P_L1_Gracia)+N(P_L1_Cuotas),IF((86-N(P_L1_Mes)+1)=1,N(P_L1_Monto),CL$126),PMT(N(P_L1_Tasa)/12,N(P_L1_Cuotas),-N(P_L1_Monto))-CM$124),0)*CM$9</f>
        <v>0</v>
      </c>
      <c r="CN125" s="48">
        <f>IF(AND((87-N(P_L1_Mes)+1)&gt;N(P_L1_Gracia),(87-N(P_L1_Mes)+1)&lt;=N(P_L1_Gracia)+N(P_L1_Cuotas),N(P_L1_Cuotas)&gt;0),IF((87-N(P_L1_Mes)+1)=N(P_L1_Gracia)+N(P_L1_Cuotas),IF((87-N(P_L1_Mes)+1)=1,N(P_L1_Monto),CM$126),PMT(N(P_L1_Tasa)/12,N(P_L1_Cuotas),-N(P_L1_Monto))-CN$124),0)*CN$9</f>
        <v>0</v>
      </c>
      <c r="CO125" s="48">
        <f>IF(AND((88-N(P_L1_Mes)+1)&gt;N(P_L1_Gracia),(88-N(P_L1_Mes)+1)&lt;=N(P_L1_Gracia)+N(P_L1_Cuotas),N(P_L1_Cuotas)&gt;0),IF((88-N(P_L1_Mes)+1)=N(P_L1_Gracia)+N(P_L1_Cuotas),IF((88-N(P_L1_Mes)+1)=1,N(P_L1_Monto),CN$126),PMT(N(P_L1_Tasa)/12,N(P_L1_Cuotas),-N(P_L1_Monto))-CO$124),0)*CO$9</f>
        <v>0</v>
      </c>
      <c r="CP125" s="48">
        <f>IF(AND((89-N(P_L1_Mes)+1)&gt;N(P_L1_Gracia),(89-N(P_L1_Mes)+1)&lt;=N(P_L1_Gracia)+N(P_L1_Cuotas),N(P_L1_Cuotas)&gt;0),IF((89-N(P_L1_Mes)+1)=N(P_L1_Gracia)+N(P_L1_Cuotas),IF((89-N(P_L1_Mes)+1)=1,N(P_L1_Monto),CO$126),PMT(N(P_L1_Tasa)/12,N(P_L1_Cuotas),-N(P_L1_Monto))-CP$124),0)*CP$9</f>
        <v>0</v>
      </c>
      <c r="CQ125" s="48">
        <f>IF(AND((90-N(P_L1_Mes)+1)&gt;N(P_L1_Gracia),(90-N(P_L1_Mes)+1)&lt;=N(P_L1_Gracia)+N(P_L1_Cuotas),N(P_L1_Cuotas)&gt;0),IF((90-N(P_L1_Mes)+1)=N(P_L1_Gracia)+N(P_L1_Cuotas),IF((90-N(P_L1_Mes)+1)=1,N(P_L1_Monto),CP$126),PMT(N(P_L1_Tasa)/12,N(P_L1_Cuotas),-N(P_L1_Monto))-CQ$124),0)*CQ$9</f>
        <v>0</v>
      </c>
      <c r="CR125" s="48">
        <f>IF(AND((91-N(P_L1_Mes)+1)&gt;N(P_L1_Gracia),(91-N(P_L1_Mes)+1)&lt;=N(P_L1_Gracia)+N(P_L1_Cuotas),N(P_L1_Cuotas)&gt;0),IF((91-N(P_L1_Mes)+1)=N(P_L1_Gracia)+N(P_L1_Cuotas),IF((91-N(P_L1_Mes)+1)=1,N(P_L1_Monto),CQ$126),PMT(N(P_L1_Tasa)/12,N(P_L1_Cuotas),-N(P_L1_Monto))-CR$124),0)*CR$9</f>
        <v>0</v>
      </c>
      <c r="CS125" s="48">
        <f>IF(AND((92-N(P_L1_Mes)+1)&gt;N(P_L1_Gracia),(92-N(P_L1_Mes)+1)&lt;=N(P_L1_Gracia)+N(P_L1_Cuotas),N(P_L1_Cuotas)&gt;0),IF((92-N(P_L1_Mes)+1)=N(P_L1_Gracia)+N(P_L1_Cuotas),IF((92-N(P_L1_Mes)+1)=1,N(P_L1_Monto),CR$126),PMT(N(P_L1_Tasa)/12,N(P_L1_Cuotas),-N(P_L1_Monto))-CS$124),0)*CS$9</f>
        <v>0</v>
      </c>
      <c r="CT125" s="48">
        <f>IF(AND((93-N(P_L1_Mes)+1)&gt;N(P_L1_Gracia),(93-N(P_L1_Mes)+1)&lt;=N(P_L1_Gracia)+N(P_L1_Cuotas),N(P_L1_Cuotas)&gt;0),IF((93-N(P_L1_Mes)+1)=N(P_L1_Gracia)+N(P_L1_Cuotas),IF((93-N(P_L1_Mes)+1)=1,N(P_L1_Monto),CS$126),PMT(N(P_L1_Tasa)/12,N(P_L1_Cuotas),-N(P_L1_Monto))-CT$124),0)*CT$9</f>
        <v>0</v>
      </c>
      <c r="CU125" s="48">
        <f>IF(AND((94-N(P_L1_Mes)+1)&gt;N(P_L1_Gracia),(94-N(P_L1_Mes)+1)&lt;=N(P_L1_Gracia)+N(P_L1_Cuotas),N(P_L1_Cuotas)&gt;0),IF((94-N(P_L1_Mes)+1)=N(P_L1_Gracia)+N(P_L1_Cuotas),IF((94-N(P_L1_Mes)+1)=1,N(P_L1_Monto),CT$126),PMT(N(P_L1_Tasa)/12,N(P_L1_Cuotas),-N(P_L1_Monto))-CU$124),0)*CU$9</f>
        <v>0</v>
      </c>
      <c r="CV125" s="48">
        <f>IF(AND((95-N(P_L1_Mes)+1)&gt;N(P_L1_Gracia),(95-N(P_L1_Mes)+1)&lt;=N(P_L1_Gracia)+N(P_L1_Cuotas),N(P_L1_Cuotas)&gt;0),IF((95-N(P_L1_Mes)+1)=N(P_L1_Gracia)+N(P_L1_Cuotas),IF((95-N(P_L1_Mes)+1)=1,N(P_L1_Monto),CU$126),PMT(N(P_L1_Tasa)/12,N(P_L1_Cuotas),-N(P_L1_Monto))-CV$124),0)*CV$9</f>
        <v>0</v>
      </c>
      <c r="CW125" s="48">
        <f>IF(AND((96-N(P_L1_Mes)+1)&gt;N(P_L1_Gracia),(96-N(P_L1_Mes)+1)&lt;=N(P_L1_Gracia)+N(P_L1_Cuotas),N(P_L1_Cuotas)&gt;0),IF((96-N(P_L1_Mes)+1)=N(P_L1_Gracia)+N(P_L1_Cuotas),IF((96-N(P_L1_Mes)+1)=1,N(P_L1_Monto),CV$126),PMT(N(P_L1_Tasa)/12,N(P_L1_Cuotas),-N(P_L1_Monto))-CW$124),0)*CW$9</f>
        <v>0</v>
      </c>
      <c r="CX125" s="48">
        <f>IF(AND((97-N(P_L1_Mes)+1)&gt;N(P_L1_Gracia),(97-N(P_L1_Mes)+1)&lt;=N(P_L1_Gracia)+N(P_L1_Cuotas),N(P_L1_Cuotas)&gt;0),IF((97-N(P_L1_Mes)+1)=N(P_L1_Gracia)+N(P_L1_Cuotas),IF((97-N(P_L1_Mes)+1)=1,N(P_L1_Monto),CW$126),PMT(N(P_L1_Tasa)/12,N(P_L1_Cuotas),-N(P_L1_Monto))-CX$124),0)*CX$9</f>
        <v>0</v>
      </c>
      <c r="CY125" s="48">
        <f>IF(AND((98-N(P_L1_Mes)+1)&gt;N(P_L1_Gracia),(98-N(P_L1_Mes)+1)&lt;=N(P_L1_Gracia)+N(P_L1_Cuotas),N(P_L1_Cuotas)&gt;0),IF((98-N(P_L1_Mes)+1)=N(P_L1_Gracia)+N(P_L1_Cuotas),IF((98-N(P_L1_Mes)+1)=1,N(P_L1_Monto),CX$126),PMT(N(P_L1_Tasa)/12,N(P_L1_Cuotas),-N(P_L1_Monto))-CY$124),0)*CY$9</f>
        <v>0</v>
      </c>
      <c r="CZ125" s="48">
        <f>IF(AND((99-N(P_L1_Mes)+1)&gt;N(P_L1_Gracia),(99-N(P_L1_Mes)+1)&lt;=N(P_L1_Gracia)+N(P_L1_Cuotas),N(P_L1_Cuotas)&gt;0),IF((99-N(P_L1_Mes)+1)=N(P_L1_Gracia)+N(P_L1_Cuotas),IF((99-N(P_L1_Mes)+1)=1,N(P_L1_Monto),CY$126),PMT(N(P_L1_Tasa)/12,N(P_L1_Cuotas),-N(P_L1_Monto))-CZ$124),0)*CZ$9</f>
        <v>0</v>
      </c>
      <c r="DA125" s="48">
        <f>IF(AND((100-N(P_L1_Mes)+1)&gt;N(P_L1_Gracia),(100-N(P_L1_Mes)+1)&lt;=N(P_L1_Gracia)+N(P_L1_Cuotas),N(P_L1_Cuotas)&gt;0),IF((100-N(P_L1_Mes)+1)=N(P_L1_Gracia)+N(P_L1_Cuotas),IF((100-N(P_L1_Mes)+1)=1,N(P_L1_Monto),CZ$126),PMT(N(P_L1_Tasa)/12,N(P_L1_Cuotas),-N(P_L1_Monto))-DA$124),0)*DA$9</f>
        <v>0</v>
      </c>
      <c r="DB125" s="48">
        <f>IF(AND((101-N(P_L1_Mes)+1)&gt;N(P_L1_Gracia),(101-N(P_L1_Mes)+1)&lt;=N(P_L1_Gracia)+N(P_L1_Cuotas),N(P_L1_Cuotas)&gt;0),IF((101-N(P_L1_Mes)+1)=N(P_L1_Gracia)+N(P_L1_Cuotas),IF((101-N(P_L1_Mes)+1)=1,N(P_L1_Monto),DA$126),PMT(N(P_L1_Tasa)/12,N(P_L1_Cuotas),-N(P_L1_Monto))-DB$124),0)*DB$9</f>
        <v>0</v>
      </c>
      <c r="DC125" s="48">
        <f>IF(AND((102-N(P_L1_Mes)+1)&gt;N(P_L1_Gracia),(102-N(P_L1_Mes)+1)&lt;=N(P_L1_Gracia)+N(P_L1_Cuotas),N(P_L1_Cuotas)&gt;0),IF((102-N(P_L1_Mes)+1)=N(P_L1_Gracia)+N(P_L1_Cuotas),IF((102-N(P_L1_Mes)+1)=1,N(P_L1_Monto),DB$126),PMT(N(P_L1_Tasa)/12,N(P_L1_Cuotas),-N(P_L1_Monto))-DC$124),0)*DC$9</f>
        <v>0</v>
      </c>
      <c r="DD125" s="48">
        <f>IF(AND((103-N(P_L1_Mes)+1)&gt;N(P_L1_Gracia),(103-N(P_L1_Mes)+1)&lt;=N(P_L1_Gracia)+N(P_L1_Cuotas),N(P_L1_Cuotas)&gt;0),IF((103-N(P_L1_Mes)+1)=N(P_L1_Gracia)+N(P_L1_Cuotas),IF((103-N(P_L1_Mes)+1)=1,N(P_L1_Monto),DC$126),PMT(N(P_L1_Tasa)/12,N(P_L1_Cuotas),-N(P_L1_Monto))-DD$124),0)*DD$9</f>
        <v>0</v>
      </c>
      <c r="DE125" s="48">
        <f>IF(AND((104-N(P_L1_Mes)+1)&gt;N(P_L1_Gracia),(104-N(P_L1_Mes)+1)&lt;=N(P_L1_Gracia)+N(P_L1_Cuotas),N(P_L1_Cuotas)&gt;0),IF((104-N(P_L1_Mes)+1)=N(P_L1_Gracia)+N(P_L1_Cuotas),IF((104-N(P_L1_Mes)+1)=1,N(P_L1_Monto),DD$126),PMT(N(P_L1_Tasa)/12,N(P_L1_Cuotas),-N(P_L1_Monto))-DE$124),0)*DE$9</f>
        <v>0</v>
      </c>
      <c r="DF125" s="48">
        <f>IF(AND((105-N(P_L1_Mes)+1)&gt;N(P_L1_Gracia),(105-N(P_L1_Mes)+1)&lt;=N(P_L1_Gracia)+N(P_L1_Cuotas),N(P_L1_Cuotas)&gt;0),IF((105-N(P_L1_Mes)+1)=N(P_L1_Gracia)+N(P_L1_Cuotas),IF((105-N(P_L1_Mes)+1)=1,N(P_L1_Monto),DE$126),PMT(N(P_L1_Tasa)/12,N(P_L1_Cuotas),-N(P_L1_Monto))-DF$124),0)*DF$9</f>
        <v>0</v>
      </c>
      <c r="DG125" s="48">
        <f>IF(AND((106-N(P_L1_Mes)+1)&gt;N(P_L1_Gracia),(106-N(P_L1_Mes)+1)&lt;=N(P_L1_Gracia)+N(P_L1_Cuotas),N(P_L1_Cuotas)&gt;0),IF((106-N(P_L1_Mes)+1)=N(P_L1_Gracia)+N(P_L1_Cuotas),IF((106-N(P_L1_Mes)+1)=1,N(P_L1_Monto),DF$126),PMT(N(P_L1_Tasa)/12,N(P_L1_Cuotas),-N(P_L1_Monto))-DG$124),0)*DG$9</f>
        <v>0</v>
      </c>
      <c r="DH125" s="48">
        <f>IF(AND((107-N(P_L1_Mes)+1)&gt;N(P_L1_Gracia),(107-N(P_L1_Mes)+1)&lt;=N(P_L1_Gracia)+N(P_L1_Cuotas),N(P_L1_Cuotas)&gt;0),IF((107-N(P_L1_Mes)+1)=N(P_L1_Gracia)+N(P_L1_Cuotas),IF((107-N(P_L1_Mes)+1)=1,N(P_L1_Monto),DG$126),PMT(N(P_L1_Tasa)/12,N(P_L1_Cuotas),-N(P_L1_Monto))-DH$124),0)*DH$9</f>
        <v>0</v>
      </c>
      <c r="DI125" s="48">
        <f>IF(AND((108-N(P_L1_Mes)+1)&gt;N(P_L1_Gracia),(108-N(P_L1_Mes)+1)&lt;=N(P_L1_Gracia)+N(P_L1_Cuotas),N(P_L1_Cuotas)&gt;0),IF((108-N(P_L1_Mes)+1)=N(P_L1_Gracia)+N(P_L1_Cuotas),IF((108-N(P_L1_Mes)+1)=1,N(P_L1_Monto),DH$126),PMT(N(P_L1_Tasa)/12,N(P_L1_Cuotas),-N(P_L1_Monto))-DI$124),0)*DI$9</f>
        <v>0</v>
      </c>
      <c r="DJ125" s="48">
        <f>IF(AND((109-N(P_L1_Mes)+1)&gt;N(P_L1_Gracia),(109-N(P_L1_Mes)+1)&lt;=N(P_L1_Gracia)+N(P_L1_Cuotas),N(P_L1_Cuotas)&gt;0),IF((109-N(P_L1_Mes)+1)=N(P_L1_Gracia)+N(P_L1_Cuotas),IF((109-N(P_L1_Mes)+1)=1,N(P_L1_Monto),DI$126),PMT(N(P_L1_Tasa)/12,N(P_L1_Cuotas),-N(P_L1_Monto))-DJ$124),0)*DJ$9</f>
        <v>0</v>
      </c>
      <c r="DK125" s="48">
        <f>IF(AND((110-N(P_L1_Mes)+1)&gt;N(P_L1_Gracia),(110-N(P_L1_Mes)+1)&lt;=N(P_L1_Gracia)+N(P_L1_Cuotas),N(P_L1_Cuotas)&gt;0),IF((110-N(P_L1_Mes)+1)=N(P_L1_Gracia)+N(P_L1_Cuotas),IF((110-N(P_L1_Mes)+1)=1,N(P_L1_Monto),DJ$126),PMT(N(P_L1_Tasa)/12,N(P_L1_Cuotas),-N(P_L1_Monto))-DK$124),0)*DK$9</f>
        <v>0</v>
      </c>
      <c r="DL125" s="48">
        <f>IF(AND((111-N(P_L1_Mes)+1)&gt;N(P_L1_Gracia),(111-N(P_L1_Mes)+1)&lt;=N(P_L1_Gracia)+N(P_L1_Cuotas),N(P_L1_Cuotas)&gt;0),IF((111-N(P_L1_Mes)+1)=N(P_L1_Gracia)+N(P_L1_Cuotas),IF((111-N(P_L1_Mes)+1)=1,N(P_L1_Monto),DK$126),PMT(N(P_L1_Tasa)/12,N(P_L1_Cuotas),-N(P_L1_Monto))-DL$124),0)*DL$9</f>
        <v>0</v>
      </c>
      <c r="DM125" s="48">
        <f>IF(AND((112-N(P_L1_Mes)+1)&gt;N(P_L1_Gracia),(112-N(P_L1_Mes)+1)&lt;=N(P_L1_Gracia)+N(P_L1_Cuotas),N(P_L1_Cuotas)&gt;0),IF((112-N(P_L1_Mes)+1)=N(P_L1_Gracia)+N(P_L1_Cuotas),IF((112-N(P_L1_Mes)+1)=1,N(P_L1_Monto),DL$126),PMT(N(P_L1_Tasa)/12,N(P_L1_Cuotas),-N(P_L1_Monto))-DM$124),0)*DM$9</f>
        <v>0</v>
      </c>
      <c r="DN125" s="48">
        <f>IF(AND((113-N(P_L1_Mes)+1)&gt;N(P_L1_Gracia),(113-N(P_L1_Mes)+1)&lt;=N(P_L1_Gracia)+N(P_L1_Cuotas),N(P_L1_Cuotas)&gt;0),IF((113-N(P_L1_Mes)+1)=N(P_L1_Gracia)+N(P_L1_Cuotas),IF((113-N(P_L1_Mes)+1)=1,N(P_L1_Monto),DM$126),PMT(N(P_L1_Tasa)/12,N(P_L1_Cuotas),-N(P_L1_Monto))-DN$124),0)*DN$9</f>
        <v>0</v>
      </c>
      <c r="DO125" s="48">
        <f>IF(AND((114-N(P_L1_Mes)+1)&gt;N(P_L1_Gracia),(114-N(P_L1_Mes)+1)&lt;=N(P_L1_Gracia)+N(P_L1_Cuotas),N(P_L1_Cuotas)&gt;0),IF((114-N(P_L1_Mes)+1)=N(P_L1_Gracia)+N(P_L1_Cuotas),IF((114-N(P_L1_Mes)+1)=1,N(P_L1_Monto),DN$126),PMT(N(P_L1_Tasa)/12,N(P_L1_Cuotas),-N(P_L1_Monto))-DO$124),0)*DO$9</f>
        <v>0</v>
      </c>
      <c r="DP125" s="48">
        <f>IF(AND((115-N(P_L1_Mes)+1)&gt;N(P_L1_Gracia),(115-N(P_L1_Mes)+1)&lt;=N(P_L1_Gracia)+N(P_L1_Cuotas),N(P_L1_Cuotas)&gt;0),IF((115-N(P_L1_Mes)+1)=N(P_L1_Gracia)+N(P_L1_Cuotas),IF((115-N(P_L1_Mes)+1)=1,N(P_L1_Monto),DO$126),PMT(N(P_L1_Tasa)/12,N(P_L1_Cuotas),-N(P_L1_Monto))-DP$124),0)*DP$9</f>
        <v>0</v>
      </c>
      <c r="DQ125" s="48">
        <f>IF(AND((116-N(P_L1_Mes)+1)&gt;N(P_L1_Gracia),(116-N(P_L1_Mes)+1)&lt;=N(P_L1_Gracia)+N(P_L1_Cuotas),N(P_L1_Cuotas)&gt;0),IF((116-N(P_L1_Mes)+1)=N(P_L1_Gracia)+N(P_L1_Cuotas),IF((116-N(P_L1_Mes)+1)=1,N(P_L1_Monto),DP$126),PMT(N(P_L1_Tasa)/12,N(P_L1_Cuotas),-N(P_L1_Monto))-DQ$124),0)*DQ$9</f>
        <v>0</v>
      </c>
      <c r="DR125" s="48">
        <f>IF(AND((117-N(P_L1_Mes)+1)&gt;N(P_L1_Gracia),(117-N(P_L1_Mes)+1)&lt;=N(P_L1_Gracia)+N(P_L1_Cuotas),N(P_L1_Cuotas)&gt;0),IF((117-N(P_L1_Mes)+1)=N(P_L1_Gracia)+N(P_L1_Cuotas),IF((117-N(P_L1_Mes)+1)=1,N(P_L1_Monto),DQ$126),PMT(N(P_L1_Tasa)/12,N(P_L1_Cuotas),-N(P_L1_Monto))-DR$124),0)*DR$9</f>
        <v>0</v>
      </c>
      <c r="DS125" s="48">
        <f>IF(AND((118-N(P_L1_Mes)+1)&gt;N(P_L1_Gracia),(118-N(P_L1_Mes)+1)&lt;=N(P_L1_Gracia)+N(P_L1_Cuotas),N(P_L1_Cuotas)&gt;0),IF((118-N(P_L1_Mes)+1)=N(P_L1_Gracia)+N(P_L1_Cuotas),IF((118-N(P_L1_Mes)+1)=1,N(P_L1_Monto),DR$126),PMT(N(P_L1_Tasa)/12,N(P_L1_Cuotas),-N(P_L1_Monto))-DS$124),0)*DS$9</f>
        <v>0</v>
      </c>
      <c r="DT125" s="48">
        <f>IF(AND((119-N(P_L1_Mes)+1)&gt;N(P_L1_Gracia),(119-N(P_L1_Mes)+1)&lt;=N(P_L1_Gracia)+N(P_L1_Cuotas),N(P_L1_Cuotas)&gt;0),IF((119-N(P_L1_Mes)+1)=N(P_L1_Gracia)+N(P_L1_Cuotas),IF((119-N(P_L1_Mes)+1)=1,N(P_L1_Monto),DS$126),PMT(N(P_L1_Tasa)/12,N(P_L1_Cuotas),-N(P_L1_Monto))-DT$124),0)*DT$9</f>
        <v>0</v>
      </c>
      <c r="DU125" s="48">
        <f>IF(AND((120-N(P_L1_Mes)+1)&gt;N(P_L1_Gracia),(120-N(P_L1_Mes)+1)&lt;=N(P_L1_Gracia)+N(P_L1_Cuotas),N(P_L1_Cuotas)&gt;0),IF((120-N(P_L1_Mes)+1)=N(P_L1_Gracia)+N(P_L1_Cuotas),IF((120-N(P_L1_Mes)+1)=1,N(P_L1_Monto),DT$126),PMT(N(P_L1_Tasa)/12,N(P_L1_Cuotas),-N(P_L1_Monto))-DU$124),0)*DU$9</f>
        <v>0</v>
      </c>
      <c r="DV125" s="48">
        <f>IF(AND((121-N(P_L1_Mes)+1)&gt;N(P_L1_Gracia),(121-N(P_L1_Mes)+1)&lt;=N(P_L1_Gracia)+N(P_L1_Cuotas),N(P_L1_Cuotas)&gt;0),IF((121-N(P_L1_Mes)+1)=N(P_L1_Gracia)+N(P_L1_Cuotas),IF((121-N(P_L1_Mes)+1)=1,N(P_L1_Monto),DU$126),PMT(N(P_L1_Tasa)/12,N(P_L1_Cuotas),-N(P_L1_Monto))-DV$124),0)*DV$9</f>
        <v>0</v>
      </c>
      <c r="DW125" s="48">
        <f>IF(AND((122-N(P_L1_Mes)+1)&gt;N(P_L1_Gracia),(122-N(P_L1_Mes)+1)&lt;=N(P_L1_Gracia)+N(P_L1_Cuotas),N(P_L1_Cuotas)&gt;0),IF((122-N(P_L1_Mes)+1)=N(P_L1_Gracia)+N(P_L1_Cuotas),IF((122-N(P_L1_Mes)+1)=1,N(P_L1_Monto),DV$126),PMT(N(P_L1_Tasa)/12,N(P_L1_Cuotas),-N(P_L1_Monto))-DW$124),0)*DW$9</f>
        <v>0</v>
      </c>
      <c r="DX125" s="48">
        <f>IF(AND((123-N(P_L1_Mes)+1)&gt;N(P_L1_Gracia),(123-N(P_L1_Mes)+1)&lt;=N(P_L1_Gracia)+N(P_L1_Cuotas),N(P_L1_Cuotas)&gt;0),IF((123-N(P_L1_Mes)+1)=N(P_L1_Gracia)+N(P_L1_Cuotas),IF((123-N(P_L1_Mes)+1)=1,N(P_L1_Monto),DW$126),PMT(N(P_L1_Tasa)/12,N(P_L1_Cuotas),-N(P_L1_Monto))-DX$124),0)*DX$9</f>
        <v>0</v>
      </c>
      <c r="DY125" s="48">
        <f>IF(AND((124-N(P_L1_Mes)+1)&gt;N(P_L1_Gracia),(124-N(P_L1_Mes)+1)&lt;=N(P_L1_Gracia)+N(P_L1_Cuotas),N(P_L1_Cuotas)&gt;0),IF((124-N(P_L1_Mes)+1)=N(P_L1_Gracia)+N(P_L1_Cuotas),IF((124-N(P_L1_Mes)+1)=1,N(P_L1_Monto),DX$126),PMT(N(P_L1_Tasa)/12,N(P_L1_Cuotas),-N(P_L1_Monto))-DY$124),0)*DY$9</f>
        <v>0</v>
      </c>
      <c r="DZ125" s="48">
        <f>IF(AND((125-N(P_L1_Mes)+1)&gt;N(P_L1_Gracia),(125-N(P_L1_Mes)+1)&lt;=N(P_L1_Gracia)+N(P_L1_Cuotas),N(P_L1_Cuotas)&gt;0),IF((125-N(P_L1_Mes)+1)=N(P_L1_Gracia)+N(P_L1_Cuotas),IF((125-N(P_L1_Mes)+1)=1,N(P_L1_Monto),DY$126),PMT(N(P_L1_Tasa)/12,N(P_L1_Cuotas),-N(P_L1_Monto))-DZ$124),0)*DZ$9</f>
        <v>0</v>
      </c>
      <c r="EA125" s="48">
        <f>IF(AND((126-N(P_L1_Mes)+1)&gt;N(P_L1_Gracia),(126-N(P_L1_Mes)+1)&lt;=N(P_L1_Gracia)+N(P_L1_Cuotas),N(P_L1_Cuotas)&gt;0),IF((126-N(P_L1_Mes)+1)=N(P_L1_Gracia)+N(P_L1_Cuotas),IF((126-N(P_L1_Mes)+1)=1,N(P_L1_Monto),DZ$126),PMT(N(P_L1_Tasa)/12,N(P_L1_Cuotas),-N(P_L1_Monto))-EA$124),0)*EA$9</f>
        <v>0</v>
      </c>
      <c r="EB125" s="48">
        <f>IF(AND((127-N(P_L1_Mes)+1)&gt;N(P_L1_Gracia),(127-N(P_L1_Mes)+1)&lt;=N(P_L1_Gracia)+N(P_L1_Cuotas),N(P_L1_Cuotas)&gt;0),IF((127-N(P_L1_Mes)+1)=N(P_L1_Gracia)+N(P_L1_Cuotas),IF((127-N(P_L1_Mes)+1)=1,N(P_L1_Monto),EA$126),PMT(N(P_L1_Tasa)/12,N(P_L1_Cuotas),-N(P_L1_Monto))-EB$124),0)*EB$9</f>
        <v>0</v>
      </c>
      <c r="EC125" s="48">
        <f>IF(AND((128-N(P_L1_Mes)+1)&gt;N(P_L1_Gracia),(128-N(P_L1_Mes)+1)&lt;=N(P_L1_Gracia)+N(P_L1_Cuotas),N(P_L1_Cuotas)&gt;0),IF((128-N(P_L1_Mes)+1)=N(P_L1_Gracia)+N(P_L1_Cuotas),IF((128-N(P_L1_Mes)+1)=1,N(P_L1_Monto),EB$126),PMT(N(P_L1_Tasa)/12,N(P_L1_Cuotas),-N(P_L1_Monto))-EC$124),0)*EC$9</f>
        <v>0</v>
      </c>
      <c r="ED125" s="48">
        <f>IF(AND((129-N(P_L1_Mes)+1)&gt;N(P_L1_Gracia),(129-N(P_L1_Mes)+1)&lt;=N(P_L1_Gracia)+N(P_L1_Cuotas),N(P_L1_Cuotas)&gt;0),IF((129-N(P_L1_Mes)+1)=N(P_L1_Gracia)+N(P_L1_Cuotas),IF((129-N(P_L1_Mes)+1)=1,N(P_L1_Monto),EC$126),PMT(N(P_L1_Tasa)/12,N(P_L1_Cuotas),-N(P_L1_Monto))-ED$124),0)*ED$9</f>
        <v>0</v>
      </c>
      <c r="EE125" s="48">
        <f>IF(AND((130-N(P_L1_Mes)+1)&gt;N(P_L1_Gracia),(130-N(P_L1_Mes)+1)&lt;=N(P_L1_Gracia)+N(P_L1_Cuotas),N(P_L1_Cuotas)&gt;0),IF((130-N(P_L1_Mes)+1)=N(P_L1_Gracia)+N(P_L1_Cuotas),IF((130-N(P_L1_Mes)+1)=1,N(P_L1_Monto),ED$126),PMT(N(P_L1_Tasa)/12,N(P_L1_Cuotas),-N(P_L1_Monto))-EE$124),0)*EE$9</f>
        <v>0</v>
      </c>
      <c r="EF125" s="48">
        <f>IF(AND((131-N(P_L1_Mes)+1)&gt;N(P_L1_Gracia),(131-N(P_L1_Mes)+1)&lt;=N(P_L1_Gracia)+N(P_L1_Cuotas),N(P_L1_Cuotas)&gt;0),IF((131-N(P_L1_Mes)+1)=N(P_L1_Gracia)+N(P_L1_Cuotas),IF((131-N(P_L1_Mes)+1)=1,N(P_L1_Monto),EE$126),PMT(N(P_L1_Tasa)/12,N(P_L1_Cuotas),-N(P_L1_Monto))-EF$124),0)*EF$9</f>
        <v>0</v>
      </c>
      <c r="EG125" s="48">
        <f>IF(AND((132-N(P_L1_Mes)+1)&gt;N(P_L1_Gracia),(132-N(P_L1_Mes)+1)&lt;=N(P_L1_Gracia)+N(P_L1_Cuotas),N(P_L1_Cuotas)&gt;0),IF((132-N(P_L1_Mes)+1)=N(P_L1_Gracia)+N(P_L1_Cuotas),IF((132-N(P_L1_Mes)+1)=1,N(P_L1_Monto),EF$126),PMT(N(P_L1_Tasa)/12,N(P_L1_Cuotas),-N(P_L1_Monto))-EG$124),0)*EG$9</f>
        <v>0</v>
      </c>
      <c r="EH125" s="48">
        <f>IF(AND((133-N(P_L1_Mes)+1)&gt;N(P_L1_Gracia),(133-N(P_L1_Mes)+1)&lt;=N(P_L1_Gracia)+N(P_L1_Cuotas),N(P_L1_Cuotas)&gt;0),IF((133-N(P_L1_Mes)+1)=N(P_L1_Gracia)+N(P_L1_Cuotas),IF((133-N(P_L1_Mes)+1)=1,N(P_L1_Monto),EG$126),PMT(N(P_L1_Tasa)/12,N(P_L1_Cuotas),-N(P_L1_Monto))-EH$124),0)*EH$9</f>
        <v>0</v>
      </c>
      <c r="EI125" s="48">
        <f>IF(AND((134-N(P_L1_Mes)+1)&gt;N(P_L1_Gracia),(134-N(P_L1_Mes)+1)&lt;=N(P_L1_Gracia)+N(P_L1_Cuotas),N(P_L1_Cuotas)&gt;0),IF((134-N(P_L1_Mes)+1)=N(P_L1_Gracia)+N(P_L1_Cuotas),IF((134-N(P_L1_Mes)+1)=1,N(P_L1_Monto),EH$126),PMT(N(P_L1_Tasa)/12,N(P_L1_Cuotas),-N(P_L1_Monto))-EI$124),0)*EI$9</f>
        <v>0</v>
      </c>
      <c r="EJ125" s="48">
        <f>IF(AND((135-N(P_L1_Mes)+1)&gt;N(P_L1_Gracia),(135-N(P_L1_Mes)+1)&lt;=N(P_L1_Gracia)+N(P_L1_Cuotas),N(P_L1_Cuotas)&gt;0),IF((135-N(P_L1_Mes)+1)=N(P_L1_Gracia)+N(P_L1_Cuotas),IF((135-N(P_L1_Mes)+1)=1,N(P_L1_Monto),EI$126),PMT(N(P_L1_Tasa)/12,N(P_L1_Cuotas),-N(P_L1_Monto))-EJ$124),0)*EJ$9</f>
        <v>0</v>
      </c>
      <c r="EK125" s="48">
        <f>IF(AND((136-N(P_L1_Mes)+1)&gt;N(P_L1_Gracia),(136-N(P_L1_Mes)+1)&lt;=N(P_L1_Gracia)+N(P_L1_Cuotas),N(P_L1_Cuotas)&gt;0),IF((136-N(P_L1_Mes)+1)=N(P_L1_Gracia)+N(P_L1_Cuotas),IF((136-N(P_L1_Mes)+1)=1,N(P_L1_Monto),EJ$126),PMT(N(P_L1_Tasa)/12,N(P_L1_Cuotas),-N(P_L1_Monto))-EK$124),0)*EK$9</f>
        <v>0</v>
      </c>
      <c r="EL125" s="48">
        <f>IF(AND((137-N(P_L1_Mes)+1)&gt;N(P_L1_Gracia),(137-N(P_L1_Mes)+1)&lt;=N(P_L1_Gracia)+N(P_L1_Cuotas),N(P_L1_Cuotas)&gt;0),IF((137-N(P_L1_Mes)+1)=N(P_L1_Gracia)+N(P_L1_Cuotas),IF((137-N(P_L1_Mes)+1)=1,N(P_L1_Monto),EK$126),PMT(N(P_L1_Tasa)/12,N(P_L1_Cuotas),-N(P_L1_Monto))-EL$124),0)*EL$9</f>
        <v>0</v>
      </c>
      <c r="EM125" s="48">
        <f>IF(AND((138-N(P_L1_Mes)+1)&gt;N(P_L1_Gracia),(138-N(P_L1_Mes)+1)&lt;=N(P_L1_Gracia)+N(P_L1_Cuotas),N(P_L1_Cuotas)&gt;0),IF((138-N(P_L1_Mes)+1)=N(P_L1_Gracia)+N(P_L1_Cuotas),IF((138-N(P_L1_Mes)+1)=1,N(P_L1_Monto),EL$126),PMT(N(P_L1_Tasa)/12,N(P_L1_Cuotas),-N(P_L1_Monto))-EM$124),0)*EM$9</f>
        <v>0</v>
      </c>
      <c r="EN125" s="48">
        <f>IF(AND((139-N(P_L1_Mes)+1)&gt;N(P_L1_Gracia),(139-N(P_L1_Mes)+1)&lt;=N(P_L1_Gracia)+N(P_L1_Cuotas),N(P_L1_Cuotas)&gt;0),IF((139-N(P_L1_Mes)+1)=N(P_L1_Gracia)+N(P_L1_Cuotas),IF((139-N(P_L1_Mes)+1)=1,N(P_L1_Monto),EM$126),PMT(N(P_L1_Tasa)/12,N(P_L1_Cuotas),-N(P_L1_Monto))-EN$124),0)*EN$9</f>
        <v>0</v>
      </c>
      <c r="EO125" s="48">
        <f>IF(AND((140-N(P_L1_Mes)+1)&gt;N(P_L1_Gracia),(140-N(P_L1_Mes)+1)&lt;=N(P_L1_Gracia)+N(P_L1_Cuotas),N(P_L1_Cuotas)&gt;0),IF((140-N(P_L1_Mes)+1)=N(P_L1_Gracia)+N(P_L1_Cuotas),IF((140-N(P_L1_Mes)+1)=1,N(P_L1_Monto),EN$126),PMT(N(P_L1_Tasa)/12,N(P_L1_Cuotas),-N(P_L1_Monto))-EO$124),0)*EO$9</f>
        <v>0</v>
      </c>
      <c r="EP125" s="48">
        <f>IF(AND((141-N(P_L1_Mes)+1)&gt;N(P_L1_Gracia),(141-N(P_L1_Mes)+1)&lt;=N(P_L1_Gracia)+N(P_L1_Cuotas),N(P_L1_Cuotas)&gt;0),IF((141-N(P_L1_Mes)+1)=N(P_L1_Gracia)+N(P_L1_Cuotas),IF((141-N(P_L1_Mes)+1)=1,N(P_L1_Monto),EO$126),PMT(N(P_L1_Tasa)/12,N(P_L1_Cuotas),-N(P_L1_Monto))-EP$124),0)*EP$9</f>
        <v>0</v>
      </c>
      <c r="EQ125" s="48">
        <f>IF(AND((142-N(P_L1_Mes)+1)&gt;N(P_L1_Gracia),(142-N(P_L1_Mes)+1)&lt;=N(P_L1_Gracia)+N(P_L1_Cuotas),N(P_L1_Cuotas)&gt;0),IF((142-N(P_L1_Mes)+1)=N(P_L1_Gracia)+N(P_L1_Cuotas),IF((142-N(P_L1_Mes)+1)=1,N(P_L1_Monto),EP$126),PMT(N(P_L1_Tasa)/12,N(P_L1_Cuotas),-N(P_L1_Monto))-EQ$124),0)*EQ$9</f>
        <v>0</v>
      </c>
      <c r="ER125" s="48">
        <f>IF(AND((143-N(P_L1_Mes)+1)&gt;N(P_L1_Gracia),(143-N(P_L1_Mes)+1)&lt;=N(P_L1_Gracia)+N(P_L1_Cuotas),N(P_L1_Cuotas)&gt;0),IF((143-N(P_L1_Mes)+1)=N(P_L1_Gracia)+N(P_L1_Cuotas),IF((143-N(P_L1_Mes)+1)=1,N(P_L1_Monto),EQ$126),PMT(N(P_L1_Tasa)/12,N(P_L1_Cuotas),-N(P_L1_Monto))-ER$124),0)*ER$9</f>
        <v>0</v>
      </c>
      <c r="ES125" s="48">
        <f>IF(AND((144-N(P_L1_Mes)+1)&gt;N(P_L1_Gracia),(144-N(P_L1_Mes)+1)&lt;=N(P_L1_Gracia)+N(P_L1_Cuotas),N(P_L1_Cuotas)&gt;0),IF((144-N(P_L1_Mes)+1)=N(P_L1_Gracia)+N(P_L1_Cuotas),IF((144-N(P_L1_Mes)+1)=1,N(P_L1_Monto),ER$126),PMT(N(P_L1_Tasa)/12,N(P_L1_Cuotas),-N(P_L1_Monto))-ES$124),0)*ES$9</f>
        <v>0</v>
      </c>
    </row>
    <row r="126" spans="1:149" x14ac:dyDescent="0.3">
      <c r="A126" s="14" t="s">
        <v>1148</v>
      </c>
      <c r="B126" s="18" t="s">
        <v>1149</v>
      </c>
      <c r="C126" s="18" t="s">
        <v>439</v>
      </c>
      <c r="E126" s="54">
        <f>INDEX(F126:ES126,1,MIN(144,Fin))</f>
        <v>0</v>
      </c>
      <c r="F126" s="48">
        <f>IF((1-N(P_L1_Mes)+1)&lt;1,0,IF((1-N(P_L1_Mes)+1)=1,N(P_L1_Monto),0)-F$125)</f>
        <v>2791587</v>
      </c>
      <c r="G126" s="48">
        <f>IF((2-N(P_L1_Mes)+1)&lt;1,0,IF((2-N(P_L1_Mes)+1)=1,N(P_L1_Monto),F$126)-G$125)</f>
        <v>2791587</v>
      </c>
      <c r="H126" s="48">
        <f>IF((3-N(P_L1_Mes)+1)&lt;1,0,IF((3-N(P_L1_Mes)+1)=1,N(P_L1_Monto),G$126)-H$125)</f>
        <v>2791587</v>
      </c>
      <c r="I126" s="48">
        <f>IF((4-N(P_L1_Mes)+1)&lt;1,0,IF((4-N(P_L1_Mes)+1)=1,N(P_L1_Monto),H$126)-I$125)</f>
        <v>2791587</v>
      </c>
      <c r="J126" s="48">
        <f>IF((5-N(P_L1_Mes)+1)&lt;1,0,IF((5-N(P_L1_Mes)+1)=1,N(P_L1_Monto),I$126)-J$125)</f>
        <v>2791587</v>
      </c>
      <c r="K126" s="48">
        <f>IF((6-N(P_L1_Mes)+1)&lt;1,0,IF((6-N(P_L1_Mes)+1)=1,N(P_L1_Monto),J$126)-K$125)</f>
        <v>2791587</v>
      </c>
      <c r="L126" s="48">
        <f>IF((7-N(P_L1_Mes)+1)&lt;1,0,IF((7-N(P_L1_Mes)+1)=1,N(P_L1_Monto),K$126)-L$125)</f>
        <v>2749463.6959053124</v>
      </c>
      <c r="M126" s="48">
        <f>IF((8-N(P_L1_Mes)+1)&lt;1,0,IF((8-N(P_L1_Mes)+1)=1,N(P_L1_Monto),L$126)-M$125)</f>
        <v>2707024.4670299147</v>
      </c>
      <c r="N126" s="48">
        <f>IF((9-N(P_L1_Mes)+1)&lt;1,0,IF((9-N(P_L1_Mes)+1)=1,N(P_L1_Monto),M$126)-N$125)</f>
        <v>2664266.9439379512</v>
      </c>
      <c r="O126" s="48">
        <f>IF((10-N(P_L1_Mes)+1)&lt;1,0,IF((10-N(P_L1_Mes)+1)=1,N(P_L1_Monto),N$126)-O$125)</f>
        <v>2621188.7394227982</v>
      </c>
      <c r="P126" s="48">
        <f>IF((11-N(P_L1_Mes)+1)&lt;1,0,IF((11-N(P_L1_Mes)+1)=1,N(P_L1_Monto),O$126)-P$125)</f>
        <v>2577787.4483737815</v>
      </c>
      <c r="Q126" s="48">
        <f>IF((12-N(P_L1_Mes)+1)&lt;1,0,IF((12-N(P_L1_Mes)+1)=1,N(P_L1_Monto),P$126)-Q$125)</f>
        <v>2534060.6476418972</v>
      </c>
      <c r="R126" s="48">
        <f>IF((13-N(P_L1_Mes)+1)&lt;1,0,IF((13-N(P_L1_Mes)+1)=1,N(P_L1_Monto),Q$126)-R$125)</f>
        <v>2490005.8959045238</v>
      </c>
      <c r="S126" s="48">
        <f>IF((14-N(P_L1_Mes)+1)&lt;1,0,IF((14-N(P_L1_Mes)+1)=1,N(P_L1_Monto),R$126)-S$125)</f>
        <v>2445620.7335291198</v>
      </c>
      <c r="T126" s="48">
        <f>IF((15-N(P_L1_Mes)+1)&lt;1,0,IF((15-N(P_L1_Mes)+1)=1,N(P_L1_Monto),S$126)-T$125)</f>
        <v>2400902.6824359004</v>
      </c>
      <c r="U126" s="48">
        <f>IF((16-N(P_L1_Mes)+1)&lt;1,0,IF((16-N(P_L1_Mes)+1)=1,N(P_L1_Monto),T$126)-U$125)</f>
        <v>2355849.2459594822</v>
      </c>
      <c r="V126" s="48">
        <f>IF((17-N(P_L1_Mes)+1)&lt;1,0,IF((17-N(P_L1_Mes)+1)=1,N(P_L1_Monto),U$126)-V$125)</f>
        <v>2310457.9087094907</v>
      </c>
      <c r="W126" s="48">
        <f>IF((18-N(P_L1_Mes)+1)&lt;1,0,IF((18-N(P_L1_Mes)+1)=1,N(P_L1_Monto),V$126)-W$125)</f>
        <v>2264726.1364301243</v>
      </c>
      <c r="X126" s="48">
        <f>IF((19-N(P_L1_Mes)+1)&lt;1,0,IF((19-N(P_L1_Mes)+1)=1,N(P_L1_Monto),W$126)-X$125)</f>
        <v>2218651.3758586626</v>
      </c>
      <c r="Y126" s="48">
        <f>IF((20-N(P_L1_Mes)+1)&lt;1,0,IF((20-N(P_L1_Mes)+1)=1,N(P_L1_Monto),X$126)-Y$125)</f>
        <v>2172231.0545829148</v>
      </c>
      <c r="Z126" s="48">
        <f>IF((21-N(P_L1_Mes)+1)&lt;1,0,IF((21-N(P_L1_Mes)+1)=1,N(P_L1_Monto),Y$126)-Z$125)</f>
        <v>2125462.580897599</v>
      </c>
      <c r="AA126" s="48">
        <f>IF((22-N(P_L1_Mes)+1)&lt;1,0,IF((22-N(P_L1_Mes)+1)=1,N(P_L1_Monto),Z$126)-AA$125)</f>
        <v>2078343.3436596433</v>
      </c>
      <c r="AB126" s="48">
        <f>IF((23-N(P_L1_Mes)+1)&lt;1,0,IF((23-N(P_L1_Mes)+1)=1,N(P_L1_Monto),AA$126)-AB$125)</f>
        <v>2030870.7121424028</v>
      </c>
      <c r="AC126" s="48">
        <f>IF((24-N(P_L1_Mes)+1)&lt;1,0,IF((24-N(P_L1_Mes)+1)=1,N(P_L1_Monto),AB$126)-AC$125)</f>
        <v>1983042.0358887829</v>
      </c>
      <c r="AD126" s="48">
        <f>IF((25-N(P_L1_Mes)+1)&lt;1,0,IF((25-N(P_L1_Mes)+1)=1,N(P_L1_Monto),AC$126)-AD$125)</f>
        <v>1934854.644563261</v>
      </c>
      <c r="AE126" s="48">
        <f>IF((26-N(P_L1_Mes)+1)&lt;1,0,IF((26-N(P_L1_Mes)+1)=1,N(P_L1_Monto),AD$126)-AE$125)</f>
        <v>1886305.8478027976</v>
      </c>
      <c r="AF126" s="48">
        <f>IF((27-N(P_L1_Mes)+1)&lt;1,0,IF((27-N(P_L1_Mes)+1)=1,N(P_L1_Monto),AE$126)-AF$125)</f>
        <v>1837392.9350666308</v>
      </c>
      <c r="AG126" s="48">
        <f>IF((28-N(P_L1_Mes)+1)&lt;1,0,IF((28-N(P_L1_Mes)+1)=1,N(P_L1_Monto),AF$126)-AG$125)</f>
        <v>1788113.1754849427</v>
      </c>
      <c r="AH126" s="48">
        <f>IF((29-N(P_L1_Mes)+1)&lt;1,0,IF((29-N(P_L1_Mes)+1)=1,N(P_L1_Monto),AG$126)-AH$125)</f>
        <v>1738463.8177063921</v>
      </c>
      <c r="AI126" s="48">
        <f>IF((30-N(P_L1_Mes)+1)&lt;1,0,IF((30-N(P_L1_Mes)+1)=1,N(P_L1_Monto),AH$126)-AI$125)</f>
        <v>1688442.0897445022</v>
      </c>
      <c r="AJ126" s="48">
        <f>IF((31-N(P_L1_Mes)+1)&lt;1,0,IF((31-N(P_L1_Mes)+1)=1,N(P_L1_Monto),AI$126)-AJ$125)</f>
        <v>1638045.1988228983</v>
      </c>
      <c r="AK126" s="48">
        <f>IF((32-N(P_L1_Mes)+1)&lt;1,0,IF((32-N(P_L1_Mes)+1)=1,N(P_L1_Monto),AJ$126)-AK$125)</f>
        <v>1587270.3312193824</v>
      </c>
      <c r="AL126" s="48">
        <f>IF((33-N(P_L1_Mes)+1)&lt;1,0,IF((33-N(P_L1_Mes)+1)=1,N(P_L1_Monto),AK$126)-AL$125)</f>
        <v>1536114.6521088399</v>
      </c>
      <c r="AM126" s="48">
        <f>IF((34-N(P_L1_Mes)+1)&lt;1,0,IF((34-N(P_L1_Mes)+1)=1,N(P_L1_Monto),AL$126)-AM$125)</f>
        <v>1484575.3054049686</v>
      </c>
      <c r="AN126" s="48">
        <f>IF((35-N(P_L1_Mes)+1)&lt;1,0,IF((35-N(P_L1_Mes)+1)=1,N(P_L1_Monto),AM$126)-AN$125)</f>
        <v>1432649.413600818</v>
      </c>
      <c r="AO126" s="48">
        <f>IF((36-N(P_L1_Mes)+1)&lt;1,0,IF((36-N(P_L1_Mes)+1)=1,N(P_L1_Monto),AN$126)-AO$125)</f>
        <v>1380334.0776081365</v>
      </c>
      <c r="AP126" s="48">
        <f>IF((37-N(P_L1_Mes)+1)&lt;1,0,IF((37-N(P_L1_Mes)+1)=1,N(P_L1_Monto),AO$126)-AP$125)</f>
        <v>1327626.3765955097</v>
      </c>
      <c r="AQ126" s="48">
        <f>IF((38-N(P_L1_Mes)+1)&lt;1,0,IF((38-N(P_L1_Mes)+1)=1,N(P_L1_Monto),AP$126)-AQ$125)</f>
        <v>1274523.3678252883</v>
      </c>
      <c r="AR126" s="48">
        <f>IF((39-N(P_L1_Mes)+1)&lt;1,0,IF((39-N(P_L1_Mes)+1)=1,N(P_L1_Monto),AQ$126)-AR$125)</f>
        <v>1221022.0864892902</v>
      </c>
      <c r="AS126" s="48">
        <f>IF((40-N(P_L1_Mes)+1)&lt;1,0,IF((40-N(P_L1_Mes)+1)=1,N(P_L1_Monto),AR$126)-AS$125)</f>
        <v>1167119.545543272</v>
      </c>
      <c r="AT126" s="48">
        <f>IF((41-N(P_L1_Mes)+1)&lt;1,0,IF((41-N(P_L1_Mes)+1)=1,N(P_L1_Monto),AS$126)-AT$125)</f>
        <v>1112812.7355401588</v>
      </c>
      <c r="AU126" s="48">
        <f>IF((42-N(P_L1_Mes)+1)&lt;1,0,IF((42-N(P_L1_Mes)+1)=1,N(P_L1_Monto),AT$126)-AU$125)</f>
        <v>1058098.6244620222</v>
      </c>
      <c r="AV126" s="48">
        <f>IF((43-N(P_L1_Mes)+1)&lt;1,0,IF((43-N(P_L1_Mes)+1)=1,N(P_L1_Monto),AU$126)-AV$125)</f>
        <v>1002974.1575507997</v>
      </c>
      <c r="AW126" s="48">
        <f>IF((44-N(P_L1_Mes)+1)&lt;1,0,IF((44-N(P_L1_Mes)+1)=1,N(P_L1_Monto),AV$126)-AW$125)</f>
        <v>947436.25713774294</v>
      </c>
      <c r="AX126" s="48">
        <f>IF((45-N(P_L1_Mes)+1)&lt;1,0,IF((45-N(P_L1_Mes)+1)=1,N(P_L1_Monto),AW$126)-AX$125)</f>
        <v>891481.82247158827</v>
      </c>
      <c r="AY126" s="48">
        <f>IF((46-N(P_L1_Mes)+1)&lt;1,0,IF((46-N(P_L1_Mes)+1)=1,N(P_L1_Monto),AX$126)-AY$125)</f>
        <v>835107.72954543738</v>
      </c>
      <c r="AZ126" s="48">
        <f>IF((47-N(P_L1_Mes)+1)&lt;1,0,IF((47-N(P_L1_Mes)+1)=1,N(P_L1_Monto),AY$126)-AZ$125)</f>
        <v>778310.83092234039</v>
      </c>
      <c r="BA126" s="48">
        <f>IF((48-N(P_L1_Mes)+1)&lt;1,0,IF((48-N(P_L1_Mes)+1)=1,N(P_L1_Monto),AZ$126)-BA$125)</f>
        <v>721087.95555957023</v>
      </c>
      <c r="BB126" s="48">
        <f>IF((49-N(P_L1_Mes)+1)&lt;1,0,IF((49-N(P_L1_Mes)+1)=1,N(P_L1_Monto),BA$126)-BB$125)</f>
        <v>663435.90863157925</v>
      </c>
      <c r="BC126" s="48">
        <f>IF((50-N(P_L1_Mes)+1)&lt;1,0,IF((50-N(P_L1_Mes)+1)=1,N(P_L1_Monto),BB$126)-BC$125)</f>
        <v>605351.47135162831</v>
      </c>
      <c r="BD126" s="48">
        <f>IF((51-N(P_L1_Mes)+1)&lt;1,0,IF((51-N(P_L1_Mes)+1)=1,N(P_L1_Monto),BC$126)-BD$125)</f>
        <v>546831.40079207777</v>
      </c>
      <c r="BE126" s="48">
        <f>IF((52-N(P_L1_Mes)+1)&lt;1,0,IF((52-N(P_L1_Mes)+1)=1,N(P_L1_Monto),BD$126)-BE$125)</f>
        <v>487872.42970333062</v>
      </c>
      <c r="BF126" s="48">
        <f>IF((53-N(P_L1_Mes)+1)&lt;1,0,IF((53-N(P_L1_Mes)+1)=1,N(P_L1_Monto),BE$126)-BF$125)</f>
        <v>428471.26633141784</v>
      </c>
      <c r="BG126" s="48">
        <f>IF((54-N(P_L1_Mes)+1)&lt;1,0,IF((54-N(P_L1_Mes)+1)=1,N(P_L1_Monto),BF$126)-BG$125)</f>
        <v>368624.59423421574</v>
      </c>
      <c r="BH126" s="48">
        <f>IF((55-N(P_L1_Mes)+1)&lt;1,0,IF((55-N(P_L1_Mes)+1)=1,N(P_L1_Monto),BG$126)-BH$125)</f>
        <v>308329.0720962846</v>
      </c>
      <c r="BI126" s="48">
        <f>IF((56-N(P_L1_Mes)+1)&lt;1,0,IF((56-N(P_L1_Mes)+1)=1,N(P_L1_Monto),BH$126)-BI$125)</f>
        <v>247581.33354231896</v>
      </c>
      <c r="BJ126" s="48">
        <f>IF((57-N(P_L1_Mes)+1)&lt;1,0,IF((57-N(P_L1_Mes)+1)=1,N(P_L1_Monto),BI$126)-BJ$125)</f>
        <v>186377.98694919859</v>
      </c>
      <c r="BK126" s="48">
        <f>IF((58-N(P_L1_Mes)+1)&lt;1,0,IF((58-N(P_L1_Mes)+1)=1,N(P_L1_Monto),BJ$126)-BK$125)</f>
        <v>124715.61525662983</v>
      </c>
      <c r="BL126" s="48">
        <f>IF((59-N(P_L1_Mes)+1)&lt;1,0,IF((59-N(P_L1_Mes)+1)=1,N(P_L1_Monto),BK$126)-BL$125)</f>
        <v>62590.775776366791</v>
      </c>
      <c r="BM126" s="48">
        <f>IF((60-N(P_L1_Mes)+1)&lt;1,0,IF((60-N(P_L1_Mes)+1)=1,N(P_L1_Monto),BL$126)-BM$125)</f>
        <v>0</v>
      </c>
      <c r="BN126" s="48">
        <f>IF((61-N(P_L1_Mes)+1)&lt;1,0,IF((61-N(P_L1_Mes)+1)=1,N(P_L1_Monto),BM$126)-BN$125)</f>
        <v>0</v>
      </c>
      <c r="BO126" s="48">
        <f>IF((62-N(P_L1_Mes)+1)&lt;1,0,IF((62-N(P_L1_Mes)+1)=1,N(P_L1_Monto),BN$126)-BO$125)</f>
        <v>0</v>
      </c>
      <c r="BP126" s="48">
        <f>IF((63-N(P_L1_Mes)+1)&lt;1,0,IF((63-N(P_L1_Mes)+1)=1,N(P_L1_Monto),BO$126)-BP$125)</f>
        <v>0</v>
      </c>
      <c r="BQ126" s="48">
        <f>IF((64-N(P_L1_Mes)+1)&lt;1,0,IF((64-N(P_L1_Mes)+1)=1,N(P_L1_Monto),BP$126)-BQ$125)</f>
        <v>0</v>
      </c>
      <c r="BR126" s="48">
        <f>IF((65-N(P_L1_Mes)+1)&lt;1,0,IF((65-N(P_L1_Mes)+1)=1,N(P_L1_Monto),BQ$126)-BR$125)</f>
        <v>0</v>
      </c>
      <c r="BS126" s="48">
        <f>IF((66-N(P_L1_Mes)+1)&lt;1,0,IF((66-N(P_L1_Mes)+1)=1,N(P_L1_Monto),BR$126)-BS$125)</f>
        <v>0</v>
      </c>
      <c r="BT126" s="48">
        <f>IF((67-N(P_L1_Mes)+1)&lt;1,0,IF((67-N(P_L1_Mes)+1)=1,N(P_L1_Monto),BS$126)-BT$125)</f>
        <v>0</v>
      </c>
      <c r="BU126" s="48">
        <f>IF((68-N(P_L1_Mes)+1)&lt;1,0,IF((68-N(P_L1_Mes)+1)=1,N(P_L1_Monto),BT$126)-BU$125)</f>
        <v>0</v>
      </c>
      <c r="BV126" s="48">
        <f>IF((69-N(P_L1_Mes)+1)&lt;1,0,IF((69-N(P_L1_Mes)+1)=1,N(P_L1_Monto),BU$126)-BV$125)</f>
        <v>0</v>
      </c>
      <c r="BW126" s="48">
        <f>IF((70-N(P_L1_Mes)+1)&lt;1,0,IF((70-N(P_L1_Mes)+1)=1,N(P_L1_Monto),BV$126)-BW$125)</f>
        <v>0</v>
      </c>
      <c r="BX126" s="48">
        <f>IF((71-N(P_L1_Mes)+1)&lt;1,0,IF((71-N(P_L1_Mes)+1)=1,N(P_L1_Monto),BW$126)-BX$125)</f>
        <v>0</v>
      </c>
      <c r="BY126" s="48">
        <f>IF((72-N(P_L1_Mes)+1)&lt;1,0,IF((72-N(P_L1_Mes)+1)=1,N(P_L1_Monto),BX$126)-BY$125)</f>
        <v>0</v>
      </c>
      <c r="BZ126" s="48">
        <f>IF((73-N(P_L1_Mes)+1)&lt;1,0,IF((73-N(P_L1_Mes)+1)=1,N(P_L1_Monto),BY$126)-BZ$125)</f>
        <v>0</v>
      </c>
      <c r="CA126" s="48">
        <f>IF((74-N(P_L1_Mes)+1)&lt;1,0,IF((74-N(P_L1_Mes)+1)=1,N(P_L1_Monto),BZ$126)-CA$125)</f>
        <v>0</v>
      </c>
      <c r="CB126" s="48">
        <f>IF((75-N(P_L1_Mes)+1)&lt;1,0,IF((75-N(P_L1_Mes)+1)=1,N(P_L1_Monto),CA$126)-CB$125)</f>
        <v>0</v>
      </c>
      <c r="CC126" s="48">
        <f>IF((76-N(P_L1_Mes)+1)&lt;1,0,IF((76-N(P_L1_Mes)+1)=1,N(P_L1_Monto),CB$126)-CC$125)</f>
        <v>0</v>
      </c>
      <c r="CD126" s="48">
        <f>IF((77-N(P_L1_Mes)+1)&lt;1,0,IF((77-N(P_L1_Mes)+1)=1,N(P_L1_Monto),CC$126)-CD$125)</f>
        <v>0</v>
      </c>
      <c r="CE126" s="48">
        <f>IF((78-N(P_L1_Mes)+1)&lt;1,0,IF((78-N(P_L1_Mes)+1)=1,N(P_L1_Monto),CD$126)-CE$125)</f>
        <v>0</v>
      </c>
      <c r="CF126" s="48">
        <f>IF((79-N(P_L1_Mes)+1)&lt;1,0,IF((79-N(P_L1_Mes)+1)=1,N(P_L1_Monto),CE$126)-CF$125)</f>
        <v>0</v>
      </c>
      <c r="CG126" s="48">
        <f>IF((80-N(P_L1_Mes)+1)&lt;1,0,IF((80-N(P_L1_Mes)+1)=1,N(P_L1_Monto),CF$126)-CG$125)</f>
        <v>0</v>
      </c>
      <c r="CH126" s="48">
        <f>IF((81-N(P_L1_Mes)+1)&lt;1,0,IF((81-N(P_L1_Mes)+1)=1,N(P_L1_Monto),CG$126)-CH$125)</f>
        <v>0</v>
      </c>
      <c r="CI126" s="48">
        <f>IF((82-N(P_L1_Mes)+1)&lt;1,0,IF((82-N(P_L1_Mes)+1)=1,N(P_L1_Monto),CH$126)-CI$125)</f>
        <v>0</v>
      </c>
      <c r="CJ126" s="48">
        <f>IF((83-N(P_L1_Mes)+1)&lt;1,0,IF((83-N(P_L1_Mes)+1)=1,N(P_L1_Monto),CI$126)-CJ$125)</f>
        <v>0</v>
      </c>
      <c r="CK126" s="48">
        <f>IF((84-N(P_L1_Mes)+1)&lt;1,0,IF((84-N(P_L1_Mes)+1)=1,N(P_L1_Monto),CJ$126)-CK$125)</f>
        <v>0</v>
      </c>
      <c r="CL126" s="48">
        <f>IF((85-N(P_L1_Mes)+1)&lt;1,0,IF((85-N(P_L1_Mes)+1)=1,N(P_L1_Monto),CK$126)-CL$125)</f>
        <v>0</v>
      </c>
      <c r="CM126" s="48">
        <f>IF((86-N(P_L1_Mes)+1)&lt;1,0,IF((86-N(P_L1_Mes)+1)=1,N(P_L1_Monto),CL$126)-CM$125)</f>
        <v>0</v>
      </c>
      <c r="CN126" s="48">
        <f>IF((87-N(P_L1_Mes)+1)&lt;1,0,IF((87-N(P_L1_Mes)+1)=1,N(P_L1_Monto),CM$126)-CN$125)</f>
        <v>0</v>
      </c>
      <c r="CO126" s="48">
        <f>IF((88-N(P_L1_Mes)+1)&lt;1,0,IF((88-N(P_L1_Mes)+1)=1,N(P_L1_Monto),CN$126)-CO$125)</f>
        <v>0</v>
      </c>
      <c r="CP126" s="48">
        <f>IF((89-N(P_L1_Mes)+1)&lt;1,0,IF((89-N(P_L1_Mes)+1)=1,N(P_L1_Monto),CO$126)-CP$125)</f>
        <v>0</v>
      </c>
      <c r="CQ126" s="48">
        <f>IF((90-N(P_L1_Mes)+1)&lt;1,0,IF((90-N(P_L1_Mes)+1)=1,N(P_L1_Monto),CP$126)-CQ$125)</f>
        <v>0</v>
      </c>
      <c r="CR126" s="48">
        <f>IF((91-N(P_L1_Mes)+1)&lt;1,0,IF((91-N(P_L1_Mes)+1)=1,N(P_L1_Monto),CQ$126)-CR$125)</f>
        <v>0</v>
      </c>
      <c r="CS126" s="48">
        <f>IF((92-N(P_L1_Mes)+1)&lt;1,0,IF((92-N(P_L1_Mes)+1)=1,N(P_L1_Monto),CR$126)-CS$125)</f>
        <v>0</v>
      </c>
      <c r="CT126" s="48">
        <f>IF((93-N(P_L1_Mes)+1)&lt;1,0,IF((93-N(P_L1_Mes)+1)=1,N(P_L1_Monto),CS$126)-CT$125)</f>
        <v>0</v>
      </c>
      <c r="CU126" s="48">
        <f>IF((94-N(P_L1_Mes)+1)&lt;1,0,IF((94-N(P_L1_Mes)+1)=1,N(P_L1_Monto),CT$126)-CU$125)</f>
        <v>0</v>
      </c>
      <c r="CV126" s="48">
        <f>IF((95-N(P_L1_Mes)+1)&lt;1,0,IF((95-N(P_L1_Mes)+1)=1,N(P_L1_Monto),CU$126)-CV$125)</f>
        <v>0</v>
      </c>
      <c r="CW126" s="48">
        <f>IF((96-N(P_L1_Mes)+1)&lt;1,0,IF((96-N(P_L1_Mes)+1)=1,N(P_L1_Monto),CV$126)-CW$125)</f>
        <v>0</v>
      </c>
      <c r="CX126" s="48">
        <f>IF((97-N(P_L1_Mes)+1)&lt;1,0,IF((97-N(P_L1_Mes)+1)=1,N(P_L1_Monto),CW$126)-CX$125)</f>
        <v>0</v>
      </c>
      <c r="CY126" s="48">
        <f>IF((98-N(P_L1_Mes)+1)&lt;1,0,IF((98-N(P_L1_Mes)+1)=1,N(P_L1_Monto),CX$126)-CY$125)</f>
        <v>0</v>
      </c>
      <c r="CZ126" s="48">
        <f>IF((99-N(P_L1_Mes)+1)&lt;1,0,IF((99-N(P_L1_Mes)+1)=1,N(P_L1_Monto),CY$126)-CZ$125)</f>
        <v>0</v>
      </c>
      <c r="DA126" s="48">
        <f>IF((100-N(P_L1_Mes)+1)&lt;1,0,IF((100-N(P_L1_Mes)+1)=1,N(P_L1_Monto),CZ$126)-DA$125)</f>
        <v>0</v>
      </c>
      <c r="DB126" s="48">
        <f>IF((101-N(P_L1_Mes)+1)&lt;1,0,IF((101-N(P_L1_Mes)+1)=1,N(P_L1_Monto),DA$126)-DB$125)</f>
        <v>0</v>
      </c>
      <c r="DC126" s="48">
        <f>IF((102-N(P_L1_Mes)+1)&lt;1,0,IF((102-N(P_L1_Mes)+1)=1,N(P_L1_Monto),DB$126)-DC$125)</f>
        <v>0</v>
      </c>
      <c r="DD126" s="48">
        <f>IF((103-N(P_L1_Mes)+1)&lt;1,0,IF((103-N(P_L1_Mes)+1)=1,N(P_L1_Monto),DC$126)-DD$125)</f>
        <v>0</v>
      </c>
      <c r="DE126" s="48">
        <f>IF((104-N(P_L1_Mes)+1)&lt;1,0,IF((104-N(P_L1_Mes)+1)=1,N(P_L1_Monto),DD$126)-DE$125)</f>
        <v>0</v>
      </c>
      <c r="DF126" s="48">
        <f>IF((105-N(P_L1_Mes)+1)&lt;1,0,IF((105-N(P_L1_Mes)+1)=1,N(P_L1_Monto),DE$126)-DF$125)</f>
        <v>0</v>
      </c>
      <c r="DG126" s="48">
        <f>IF((106-N(P_L1_Mes)+1)&lt;1,0,IF((106-N(P_L1_Mes)+1)=1,N(P_L1_Monto),DF$126)-DG$125)</f>
        <v>0</v>
      </c>
      <c r="DH126" s="48">
        <f>IF((107-N(P_L1_Mes)+1)&lt;1,0,IF((107-N(P_L1_Mes)+1)=1,N(P_L1_Monto),DG$126)-DH$125)</f>
        <v>0</v>
      </c>
      <c r="DI126" s="48">
        <f>IF((108-N(P_L1_Mes)+1)&lt;1,0,IF((108-N(P_L1_Mes)+1)=1,N(P_L1_Monto),DH$126)-DI$125)</f>
        <v>0</v>
      </c>
      <c r="DJ126" s="48">
        <f>IF((109-N(P_L1_Mes)+1)&lt;1,0,IF((109-N(P_L1_Mes)+1)=1,N(P_L1_Monto),DI$126)-DJ$125)</f>
        <v>0</v>
      </c>
      <c r="DK126" s="48">
        <f>IF((110-N(P_L1_Mes)+1)&lt;1,0,IF((110-N(P_L1_Mes)+1)=1,N(P_L1_Monto),DJ$126)-DK$125)</f>
        <v>0</v>
      </c>
      <c r="DL126" s="48">
        <f>IF((111-N(P_L1_Mes)+1)&lt;1,0,IF((111-N(P_L1_Mes)+1)=1,N(P_L1_Monto),DK$126)-DL$125)</f>
        <v>0</v>
      </c>
      <c r="DM126" s="48">
        <f>IF((112-N(P_L1_Mes)+1)&lt;1,0,IF((112-N(P_L1_Mes)+1)=1,N(P_L1_Monto),DL$126)-DM$125)</f>
        <v>0</v>
      </c>
      <c r="DN126" s="48">
        <f>IF((113-N(P_L1_Mes)+1)&lt;1,0,IF((113-N(P_L1_Mes)+1)=1,N(P_L1_Monto),DM$126)-DN$125)</f>
        <v>0</v>
      </c>
      <c r="DO126" s="48">
        <f>IF((114-N(P_L1_Mes)+1)&lt;1,0,IF((114-N(P_L1_Mes)+1)=1,N(P_L1_Monto),DN$126)-DO$125)</f>
        <v>0</v>
      </c>
      <c r="DP126" s="48">
        <f>IF((115-N(P_L1_Mes)+1)&lt;1,0,IF((115-N(P_L1_Mes)+1)=1,N(P_L1_Monto),DO$126)-DP$125)</f>
        <v>0</v>
      </c>
      <c r="DQ126" s="48">
        <f>IF((116-N(P_L1_Mes)+1)&lt;1,0,IF((116-N(P_L1_Mes)+1)=1,N(P_L1_Monto),DP$126)-DQ$125)</f>
        <v>0</v>
      </c>
      <c r="DR126" s="48">
        <f>IF((117-N(P_L1_Mes)+1)&lt;1,0,IF((117-N(P_L1_Mes)+1)=1,N(P_L1_Monto),DQ$126)-DR$125)</f>
        <v>0</v>
      </c>
      <c r="DS126" s="48">
        <f>IF((118-N(P_L1_Mes)+1)&lt;1,0,IF((118-N(P_L1_Mes)+1)=1,N(P_L1_Monto),DR$126)-DS$125)</f>
        <v>0</v>
      </c>
      <c r="DT126" s="48">
        <f>IF((119-N(P_L1_Mes)+1)&lt;1,0,IF((119-N(P_L1_Mes)+1)=1,N(P_L1_Monto),DS$126)-DT$125)</f>
        <v>0</v>
      </c>
      <c r="DU126" s="48">
        <f>IF((120-N(P_L1_Mes)+1)&lt;1,0,IF((120-N(P_L1_Mes)+1)=1,N(P_L1_Monto),DT$126)-DU$125)</f>
        <v>0</v>
      </c>
      <c r="DV126" s="48">
        <f>IF((121-N(P_L1_Mes)+1)&lt;1,0,IF((121-N(P_L1_Mes)+1)=1,N(P_L1_Monto),DU$126)-DV$125)</f>
        <v>0</v>
      </c>
      <c r="DW126" s="48">
        <f>IF((122-N(P_L1_Mes)+1)&lt;1,0,IF((122-N(P_L1_Mes)+1)=1,N(P_L1_Monto),DV$126)-DW$125)</f>
        <v>0</v>
      </c>
      <c r="DX126" s="48">
        <f>IF((123-N(P_L1_Mes)+1)&lt;1,0,IF((123-N(P_L1_Mes)+1)=1,N(P_L1_Monto),DW$126)-DX$125)</f>
        <v>0</v>
      </c>
      <c r="DY126" s="48">
        <f>IF((124-N(P_L1_Mes)+1)&lt;1,0,IF((124-N(P_L1_Mes)+1)=1,N(P_L1_Monto),DX$126)-DY$125)</f>
        <v>0</v>
      </c>
      <c r="DZ126" s="48">
        <f>IF((125-N(P_L1_Mes)+1)&lt;1,0,IF((125-N(P_L1_Mes)+1)=1,N(P_L1_Monto),DY$126)-DZ$125)</f>
        <v>0</v>
      </c>
      <c r="EA126" s="48">
        <f>IF((126-N(P_L1_Mes)+1)&lt;1,0,IF((126-N(P_L1_Mes)+1)=1,N(P_L1_Monto),DZ$126)-EA$125)</f>
        <v>0</v>
      </c>
      <c r="EB126" s="48">
        <f>IF((127-N(P_L1_Mes)+1)&lt;1,0,IF((127-N(P_L1_Mes)+1)=1,N(P_L1_Monto),EA$126)-EB$125)</f>
        <v>0</v>
      </c>
      <c r="EC126" s="48">
        <f>IF((128-N(P_L1_Mes)+1)&lt;1,0,IF((128-N(P_L1_Mes)+1)=1,N(P_L1_Monto),EB$126)-EC$125)</f>
        <v>0</v>
      </c>
      <c r="ED126" s="48">
        <f>IF((129-N(P_L1_Mes)+1)&lt;1,0,IF((129-N(P_L1_Mes)+1)=1,N(P_L1_Monto),EC$126)-ED$125)</f>
        <v>0</v>
      </c>
      <c r="EE126" s="48">
        <f>IF((130-N(P_L1_Mes)+1)&lt;1,0,IF((130-N(P_L1_Mes)+1)=1,N(P_L1_Monto),ED$126)-EE$125)</f>
        <v>0</v>
      </c>
      <c r="EF126" s="48">
        <f>IF((131-N(P_L1_Mes)+1)&lt;1,0,IF((131-N(P_L1_Mes)+1)=1,N(P_L1_Monto),EE$126)-EF$125)</f>
        <v>0</v>
      </c>
      <c r="EG126" s="48">
        <f>IF((132-N(P_L1_Mes)+1)&lt;1,0,IF((132-N(P_L1_Mes)+1)=1,N(P_L1_Monto),EF$126)-EG$125)</f>
        <v>0</v>
      </c>
      <c r="EH126" s="48">
        <f>IF((133-N(P_L1_Mes)+1)&lt;1,0,IF((133-N(P_L1_Mes)+1)=1,N(P_L1_Monto),EG$126)-EH$125)</f>
        <v>0</v>
      </c>
      <c r="EI126" s="48">
        <f>IF((134-N(P_L1_Mes)+1)&lt;1,0,IF((134-N(P_L1_Mes)+1)=1,N(P_L1_Monto),EH$126)-EI$125)</f>
        <v>0</v>
      </c>
      <c r="EJ126" s="48">
        <f>IF((135-N(P_L1_Mes)+1)&lt;1,0,IF((135-N(P_L1_Mes)+1)=1,N(P_L1_Monto),EI$126)-EJ$125)</f>
        <v>0</v>
      </c>
      <c r="EK126" s="48">
        <f>IF((136-N(P_L1_Mes)+1)&lt;1,0,IF((136-N(P_L1_Mes)+1)=1,N(P_L1_Monto),EJ$126)-EK$125)</f>
        <v>0</v>
      </c>
      <c r="EL126" s="48">
        <f>IF((137-N(P_L1_Mes)+1)&lt;1,0,IF((137-N(P_L1_Mes)+1)=1,N(P_L1_Monto),EK$126)-EL$125)</f>
        <v>0</v>
      </c>
      <c r="EM126" s="48">
        <f>IF((138-N(P_L1_Mes)+1)&lt;1,0,IF((138-N(P_L1_Mes)+1)=1,N(P_L1_Monto),EL$126)-EM$125)</f>
        <v>0</v>
      </c>
      <c r="EN126" s="48">
        <f>IF((139-N(P_L1_Mes)+1)&lt;1,0,IF((139-N(P_L1_Mes)+1)=1,N(P_L1_Monto),EM$126)-EN$125)</f>
        <v>0</v>
      </c>
      <c r="EO126" s="48">
        <f>IF((140-N(P_L1_Mes)+1)&lt;1,0,IF((140-N(P_L1_Mes)+1)=1,N(P_L1_Monto),EN$126)-EO$125)</f>
        <v>0</v>
      </c>
      <c r="EP126" s="48">
        <f>IF((141-N(P_L1_Mes)+1)&lt;1,0,IF((141-N(P_L1_Mes)+1)=1,N(P_L1_Monto),EO$126)-EP$125)</f>
        <v>0</v>
      </c>
      <c r="EQ126" s="48">
        <f>IF((142-N(P_L1_Mes)+1)&lt;1,0,IF((142-N(P_L1_Mes)+1)=1,N(P_L1_Monto),EP$126)-EQ$125)</f>
        <v>0</v>
      </c>
      <c r="ER126" s="48">
        <f>IF((143-N(P_L1_Mes)+1)&lt;1,0,IF((143-N(P_L1_Mes)+1)=1,N(P_L1_Monto),EQ$126)-ER$125)</f>
        <v>0</v>
      </c>
      <c r="ES126" s="48">
        <f>IF((144-N(P_L1_Mes)+1)&lt;1,0,IF((144-N(P_L1_Mes)+1)=1,N(P_L1_Monto),ER$126)-ES$125)</f>
        <v>0</v>
      </c>
    </row>
    <row r="127" spans="1:149" x14ac:dyDescent="0.3">
      <c r="A127" s="14" t="s">
        <v>1150</v>
      </c>
      <c r="B127" s="18" t="s">
        <v>1151</v>
      </c>
      <c r="C127" s="18" t="s">
        <v>439</v>
      </c>
      <c r="E127" s="54">
        <f>SUM(F127:ES127)</f>
        <v>0</v>
      </c>
      <c r="F127" s="48">
        <f>IF((1-N(P_L2_Mes)+1)=1,N(P_L2_Monto),0)*F$9</f>
        <v>0</v>
      </c>
      <c r="G127" s="48">
        <f>IF((2-N(P_L2_Mes)+1)=1,N(P_L2_Monto),0)*G$9</f>
        <v>0</v>
      </c>
      <c r="H127" s="48">
        <f>IF((3-N(P_L2_Mes)+1)=1,N(P_L2_Monto),0)*H$9</f>
        <v>0</v>
      </c>
      <c r="I127" s="48">
        <f>IF((4-N(P_L2_Mes)+1)=1,N(P_L2_Monto),0)*I$9</f>
        <v>0</v>
      </c>
      <c r="J127" s="48">
        <f>IF((5-N(P_L2_Mes)+1)=1,N(P_L2_Monto),0)*J$9</f>
        <v>0</v>
      </c>
      <c r="K127" s="48">
        <f>IF((6-N(P_L2_Mes)+1)=1,N(P_L2_Monto),0)*K$9</f>
        <v>0</v>
      </c>
      <c r="L127" s="48">
        <f>IF((7-N(P_L2_Mes)+1)=1,N(P_L2_Monto),0)*L$9</f>
        <v>0</v>
      </c>
      <c r="M127" s="48">
        <f>IF((8-N(P_L2_Mes)+1)=1,N(P_L2_Monto),0)*M$9</f>
        <v>0</v>
      </c>
      <c r="N127" s="48">
        <f>IF((9-N(P_L2_Mes)+1)=1,N(P_L2_Monto),0)*N$9</f>
        <v>0</v>
      </c>
      <c r="O127" s="48">
        <f>IF((10-N(P_L2_Mes)+1)=1,N(P_L2_Monto),0)*O$9</f>
        <v>0</v>
      </c>
      <c r="P127" s="48">
        <f>IF((11-N(P_L2_Mes)+1)=1,N(P_L2_Monto),0)*P$9</f>
        <v>0</v>
      </c>
      <c r="Q127" s="48">
        <f>IF((12-N(P_L2_Mes)+1)=1,N(P_L2_Monto),0)*Q$9</f>
        <v>0</v>
      </c>
      <c r="R127" s="48">
        <f>IF((13-N(P_L2_Mes)+1)=1,N(P_L2_Monto),0)*R$9</f>
        <v>0</v>
      </c>
      <c r="S127" s="48">
        <f>IF((14-N(P_L2_Mes)+1)=1,N(P_L2_Monto),0)*S$9</f>
        <v>0</v>
      </c>
      <c r="T127" s="48">
        <f>IF((15-N(P_L2_Mes)+1)=1,N(P_L2_Monto),0)*T$9</f>
        <v>0</v>
      </c>
      <c r="U127" s="48">
        <f>IF((16-N(P_L2_Mes)+1)=1,N(P_L2_Monto),0)*U$9</f>
        <v>0</v>
      </c>
      <c r="V127" s="48">
        <f>IF((17-N(P_L2_Mes)+1)=1,N(P_L2_Monto),0)*V$9</f>
        <v>0</v>
      </c>
      <c r="W127" s="48">
        <f>IF((18-N(P_L2_Mes)+1)=1,N(P_L2_Monto),0)*W$9</f>
        <v>0</v>
      </c>
      <c r="X127" s="48">
        <f>IF((19-N(P_L2_Mes)+1)=1,N(P_L2_Monto),0)*X$9</f>
        <v>0</v>
      </c>
      <c r="Y127" s="48">
        <f>IF((20-N(P_L2_Mes)+1)=1,N(P_L2_Monto),0)*Y$9</f>
        <v>0</v>
      </c>
      <c r="Z127" s="48">
        <f>IF((21-N(P_L2_Mes)+1)=1,N(P_L2_Monto),0)*Z$9</f>
        <v>0</v>
      </c>
      <c r="AA127" s="48">
        <f>IF((22-N(P_L2_Mes)+1)=1,N(P_L2_Monto),0)*AA$9</f>
        <v>0</v>
      </c>
      <c r="AB127" s="48">
        <f>IF((23-N(P_L2_Mes)+1)=1,N(P_L2_Monto),0)*AB$9</f>
        <v>0</v>
      </c>
      <c r="AC127" s="48">
        <f>IF((24-N(P_L2_Mes)+1)=1,N(P_L2_Monto),0)*AC$9</f>
        <v>0</v>
      </c>
      <c r="AD127" s="48">
        <f>IF((25-N(P_L2_Mes)+1)=1,N(P_L2_Monto),0)*AD$9</f>
        <v>0</v>
      </c>
      <c r="AE127" s="48">
        <f>IF((26-N(P_L2_Mes)+1)=1,N(P_L2_Monto),0)*AE$9</f>
        <v>0</v>
      </c>
      <c r="AF127" s="48">
        <f>IF((27-N(P_L2_Mes)+1)=1,N(P_L2_Monto),0)*AF$9</f>
        <v>0</v>
      </c>
      <c r="AG127" s="48">
        <f>IF((28-N(P_L2_Mes)+1)=1,N(P_L2_Monto),0)*AG$9</f>
        <v>0</v>
      </c>
      <c r="AH127" s="48">
        <f>IF((29-N(P_L2_Mes)+1)=1,N(P_L2_Monto),0)*AH$9</f>
        <v>0</v>
      </c>
      <c r="AI127" s="48">
        <f>IF((30-N(P_L2_Mes)+1)=1,N(P_L2_Monto),0)*AI$9</f>
        <v>0</v>
      </c>
      <c r="AJ127" s="48">
        <f>IF((31-N(P_L2_Mes)+1)=1,N(P_L2_Monto),0)*AJ$9</f>
        <v>0</v>
      </c>
      <c r="AK127" s="48">
        <f>IF((32-N(P_L2_Mes)+1)=1,N(P_L2_Monto),0)*AK$9</f>
        <v>0</v>
      </c>
      <c r="AL127" s="48">
        <f>IF((33-N(P_L2_Mes)+1)=1,N(P_L2_Monto),0)*AL$9</f>
        <v>0</v>
      </c>
      <c r="AM127" s="48">
        <f>IF((34-N(P_L2_Mes)+1)=1,N(P_L2_Monto),0)*AM$9</f>
        <v>0</v>
      </c>
      <c r="AN127" s="48">
        <f>IF((35-N(P_L2_Mes)+1)=1,N(P_L2_Monto),0)*AN$9</f>
        <v>0</v>
      </c>
      <c r="AO127" s="48">
        <f>IF((36-N(P_L2_Mes)+1)=1,N(P_L2_Monto),0)*AO$9</f>
        <v>0</v>
      </c>
      <c r="AP127" s="48">
        <f>IF((37-N(P_L2_Mes)+1)=1,N(P_L2_Monto),0)*AP$9</f>
        <v>0</v>
      </c>
      <c r="AQ127" s="48">
        <f>IF((38-N(P_L2_Mes)+1)=1,N(P_L2_Monto),0)*AQ$9</f>
        <v>0</v>
      </c>
      <c r="AR127" s="48">
        <f>IF((39-N(P_L2_Mes)+1)=1,N(P_L2_Monto),0)*AR$9</f>
        <v>0</v>
      </c>
      <c r="AS127" s="48">
        <f>IF((40-N(P_L2_Mes)+1)=1,N(P_L2_Monto),0)*AS$9</f>
        <v>0</v>
      </c>
      <c r="AT127" s="48">
        <f>IF((41-N(P_L2_Mes)+1)=1,N(P_L2_Monto),0)*AT$9</f>
        <v>0</v>
      </c>
      <c r="AU127" s="48">
        <f>IF((42-N(P_L2_Mes)+1)=1,N(P_L2_Monto),0)*AU$9</f>
        <v>0</v>
      </c>
      <c r="AV127" s="48">
        <f>IF((43-N(P_L2_Mes)+1)=1,N(P_L2_Monto),0)*AV$9</f>
        <v>0</v>
      </c>
      <c r="AW127" s="48">
        <f>IF((44-N(P_L2_Mes)+1)=1,N(P_L2_Monto),0)*AW$9</f>
        <v>0</v>
      </c>
      <c r="AX127" s="48">
        <f>IF((45-N(P_L2_Mes)+1)=1,N(P_L2_Monto),0)*AX$9</f>
        <v>0</v>
      </c>
      <c r="AY127" s="48">
        <f>IF((46-N(P_L2_Mes)+1)=1,N(P_L2_Monto),0)*AY$9</f>
        <v>0</v>
      </c>
      <c r="AZ127" s="48">
        <f>IF((47-N(P_L2_Mes)+1)=1,N(P_L2_Monto),0)*AZ$9</f>
        <v>0</v>
      </c>
      <c r="BA127" s="48">
        <f>IF((48-N(P_L2_Mes)+1)=1,N(P_L2_Monto),0)*BA$9</f>
        <v>0</v>
      </c>
      <c r="BB127" s="48">
        <f>IF((49-N(P_L2_Mes)+1)=1,N(P_L2_Monto),0)*BB$9</f>
        <v>0</v>
      </c>
      <c r="BC127" s="48">
        <f>IF((50-N(P_L2_Mes)+1)=1,N(P_L2_Monto),0)*BC$9</f>
        <v>0</v>
      </c>
      <c r="BD127" s="48">
        <f>IF((51-N(P_L2_Mes)+1)=1,N(P_L2_Monto),0)*BD$9</f>
        <v>0</v>
      </c>
      <c r="BE127" s="48">
        <f>IF((52-N(P_L2_Mes)+1)=1,N(P_L2_Monto),0)*BE$9</f>
        <v>0</v>
      </c>
      <c r="BF127" s="48">
        <f>IF((53-N(P_L2_Mes)+1)=1,N(P_L2_Monto),0)*BF$9</f>
        <v>0</v>
      </c>
      <c r="BG127" s="48">
        <f>IF((54-N(P_L2_Mes)+1)=1,N(P_L2_Monto),0)*BG$9</f>
        <v>0</v>
      </c>
      <c r="BH127" s="48">
        <f>IF((55-N(P_L2_Mes)+1)=1,N(P_L2_Monto),0)*BH$9</f>
        <v>0</v>
      </c>
      <c r="BI127" s="48">
        <f>IF((56-N(P_L2_Mes)+1)=1,N(P_L2_Monto),0)*BI$9</f>
        <v>0</v>
      </c>
      <c r="BJ127" s="48">
        <f>IF((57-N(P_L2_Mes)+1)=1,N(P_L2_Monto),0)*BJ$9</f>
        <v>0</v>
      </c>
      <c r="BK127" s="48">
        <f>IF((58-N(P_L2_Mes)+1)=1,N(P_L2_Monto),0)*BK$9</f>
        <v>0</v>
      </c>
      <c r="BL127" s="48">
        <f>IF((59-N(P_L2_Mes)+1)=1,N(P_L2_Monto),0)*BL$9</f>
        <v>0</v>
      </c>
      <c r="BM127" s="48">
        <f>IF((60-N(P_L2_Mes)+1)=1,N(P_L2_Monto),0)*BM$9</f>
        <v>0</v>
      </c>
      <c r="BN127" s="48">
        <f>IF((61-N(P_L2_Mes)+1)=1,N(P_L2_Monto),0)*BN$9</f>
        <v>0</v>
      </c>
      <c r="BO127" s="48">
        <f>IF((62-N(P_L2_Mes)+1)=1,N(P_L2_Monto),0)*BO$9</f>
        <v>0</v>
      </c>
      <c r="BP127" s="48">
        <f>IF((63-N(P_L2_Mes)+1)=1,N(P_L2_Monto),0)*BP$9</f>
        <v>0</v>
      </c>
      <c r="BQ127" s="48">
        <f>IF((64-N(P_L2_Mes)+1)=1,N(P_L2_Monto),0)*BQ$9</f>
        <v>0</v>
      </c>
      <c r="BR127" s="48">
        <f>IF((65-N(P_L2_Mes)+1)=1,N(P_L2_Monto),0)*BR$9</f>
        <v>0</v>
      </c>
      <c r="BS127" s="48">
        <f>IF((66-N(P_L2_Mes)+1)=1,N(P_L2_Monto),0)*BS$9</f>
        <v>0</v>
      </c>
      <c r="BT127" s="48">
        <f>IF((67-N(P_L2_Mes)+1)=1,N(P_L2_Monto),0)*BT$9</f>
        <v>0</v>
      </c>
      <c r="BU127" s="48">
        <f>IF((68-N(P_L2_Mes)+1)=1,N(P_L2_Monto),0)*BU$9</f>
        <v>0</v>
      </c>
      <c r="BV127" s="48">
        <f>IF((69-N(P_L2_Mes)+1)=1,N(P_L2_Monto),0)*BV$9</f>
        <v>0</v>
      </c>
      <c r="BW127" s="48">
        <f>IF((70-N(P_L2_Mes)+1)=1,N(P_L2_Monto),0)*BW$9</f>
        <v>0</v>
      </c>
      <c r="BX127" s="48">
        <f>IF((71-N(P_L2_Mes)+1)=1,N(P_L2_Monto),0)*BX$9</f>
        <v>0</v>
      </c>
      <c r="BY127" s="48">
        <f>IF((72-N(P_L2_Mes)+1)=1,N(P_L2_Monto),0)*BY$9</f>
        <v>0</v>
      </c>
      <c r="BZ127" s="48">
        <f>IF((73-N(P_L2_Mes)+1)=1,N(P_L2_Monto),0)*BZ$9</f>
        <v>0</v>
      </c>
      <c r="CA127" s="48">
        <f>IF((74-N(P_L2_Mes)+1)=1,N(P_L2_Monto),0)*CA$9</f>
        <v>0</v>
      </c>
      <c r="CB127" s="48">
        <f>IF((75-N(P_L2_Mes)+1)=1,N(P_L2_Monto),0)*CB$9</f>
        <v>0</v>
      </c>
      <c r="CC127" s="48">
        <f>IF((76-N(P_L2_Mes)+1)=1,N(P_L2_Monto),0)*CC$9</f>
        <v>0</v>
      </c>
      <c r="CD127" s="48">
        <f>IF((77-N(P_L2_Mes)+1)=1,N(P_L2_Monto),0)*CD$9</f>
        <v>0</v>
      </c>
      <c r="CE127" s="48">
        <f>IF((78-N(P_L2_Mes)+1)=1,N(P_L2_Monto),0)*CE$9</f>
        <v>0</v>
      </c>
      <c r="CF127" s="48">
        <f>IF((79-N(P_L2_Mes)+1)=1,N(P_L2_Monto),0)*CF$9</f>
        <v>0</v>
      </c>
      <c r="CG127" s="48">
        <f>IF((80-N(P_L2_Mes)+1)=1,N(P_L2_Monto),0)*CG$9</f>
        <v>0</v>
      </c>
      <c r="CH127" s="48">
        <f>IF((81-N(P_L2_Mes)+1)=1,N(P_L2_Monto),0)*CH$9</f>
        <v>0</v>
      </c>
      <c r="CI127" s="48">
        <f>IF((82-N(P_L2_Mes)+1)=1,N(P_L2_Monto),0)*CI$9</f>
        <v>0</v>
      </c>
      <c r="CJ127" s="48">
        <f>IF((83-N(P_L2_Mes)+1)=1,N(P_L2_Monto),0)*CJ$9</f>
        <v>0</v>
      </c>
      <c r="CK127" s="48">
        <f>IF((84-N(P_L2_Mes)+1)=1,N(P_L2_Monto),0)*CK$9</f>
        <v>0</v>
      </c>
      <c r="CL127" s="48">
        <f>IF((85-N(P_L2_Mes)+1)=1,N(P_L2_Monto),0)*CL$9</f>
        <v>0</v>
      </c>
      <c r="CM127" s="48">
        <f>IF((86-N(P_L2_Mes)+1)=1,N(P_L2_Monto),0)*CM$9</f>
        <v>0</v>
      </c>
      <c r="CN127" s="48">
        <f>IF((87-N(P_L2_Mes)+1)=1,N(P_L2_Monto),0)*CN$9</f>
        <v>0</v>
      </c>
      <c r="CO127" s="48">
        <f>IF((88-N(P_L2_Mes)+1)=1,N(P_L2_Monto),0)*CO$9</f>
        <v>0</v>
      </c>
      <c r="CP127" s="48">
        <f>IF((89-N(P_L2_Mes)+1)=1,N(P_L2_Monto),0)*CP$9</f>
        <v>0</v>
      </c>
      <c r="CQ127" s="48">
        <f>IF((90-N(P_L2_Mes)+1)=1,N(P_L2_Monto),0)*CQ$9</f>
        <v>0</v>
      </c>
      <c r="CR127" s="48">
        <f>IF((91-N(P_L2_Mes)+1)=1,N(P_L2_Monto),0)*CR$9</f>
        <v>0</v>
      </c>
      <c r="CS127" s="48">
        <f>IF((92-N(P_L2_Mes)+1)=1,N(P_L2_Monto),0)*CS$9</f>
        <v>0</v>
      </c>
      <c r="CT127" s="48">
        <f>IF((93-N(P_L2_Mes)+1)=1,N(P_L2_Monto),0)*CT$9</f>
        <v>0</v>
      </c>
      <c r="CU127" s="48">
        <f>IF((94-N(P_L2_Mes)+1)=1,N(P_L2_Monto),0)*CU$9</f>
        <v>0</v>
      </c>
      <c r="CV127" s="48">
        <f>IF((95-N(P_L2_Mes)+1)=1,N(P_L2_Monto),0)*CV$9</f>
        <v>0</v>
      </c>
      <c r="CW127" s="48">
        <f>IF((96-N(P_L2_Mes)+1)=1,N(P_L2_Monto),0)*CW$9</f>
        <v>0</v>
      </c>
      <c r="CX127" s="48">
        <f>IF((97-N(P_L2_Mes)+1)=1,N(P_L2_Monto),0)*CX$9</f>
        <v>0</v>
      </c>
      <c r="CY127" s="48">
        <f>IF((98-N(P_L2_Mes)+1)=1,N(P_L2_Monto),0)*CY$9</f>
        <v>0</v>
      </c>
      <c r="CZ127" s="48">
        <f>IF((99-N(P_L2_Mes)+1)=1,N(P_L2_Monto),0)*CZ$9</f>
        <v>0</v>
      </c>
      <c r="DA127" s="48">
        <f>IF((100-N(P_L2_Mes)+1)=1,N(P_L2_Monto),0)*DA$9</f>
        <v>0</v>
      </c>
      <c r="DB127" s="48">
        <f>IF((101-N(P_L2_Mes)+1)=1,N(P_L2_Monto),0)*DB$9</f>
        <v>0</v>
      </c>
      <c r="DC127" s="48">
        <f>IF((102-N(P_L2_Mes)+1)=1,N(P_L2_Monto),0)*DC$9</f>
        <v>0</v>
      </c>
      <c r="DD127" s="48">
        <f>IF((103-N(P_L2_Mes)+1)=1,N(P_L2_Monto),0)*DD$9</f>
        <v>0</v>
      </c>
      <c r="DE127" s="48">
        <f>IF((104-N(P_L2_Mes)+1)=1,N(P_L2_Monto),0)*DE$9</f>
        <v>0</v>
      </c>
      <c r="DF127" s="48">
        <f>IF((105-N(P_L2_Mes)+1)=1,N(P_L2_Monto),0)*DF$9</f>
        <v>0</v>
      </c>
      <c r="DG127" s="48">
        <f>IF((106-N(P_L2_Mes)+1)=1,N(P_L2_Monto),0)*DG$9</f>
        <v>0</v>
      </c>
      <c r="DH127" s="48">
        <f>IF((107-N(P_L2_Mes)+1)=1,N(P_L2_Monto),0)*DH$9</f>
        <v>0</v>
      </c>
      <c r="DI127" s="48">
        <f>IF((108-N(P_L2_Mes)+1)=1,N(P_L2_Monto),0)*DI$9</f>
        <v>0</v>
      </c>
      <c r="DJ127" s="48">
        <f>IF((109-N(P_L2_Mes)+1)=1,N(P_L2_Monto),0)*DJ$9</f>
        <v>0</v>
      </c>
      <c r="DK127" s="48">
        <f>IF((110-N(P_L2_Mes)+1)=1,N(P_L2_Monto),0)*DK$9</f>
        <v>0</v>
      </c>
      <c r="DL127" s="48">
        <f>IF((111-N(P_L2_Mes)+1)=1,N(P_L2_Monto),0)*DL$9</f>
        <v>0</v>
      </c>
      <c r="DM127" s="48">
        <f>IF((112-N(P_L2_Mes)+1)=1,N(P_L2_Monto),0)*DM$9</f>
        <v>0</v>
      </c>
      <c r="DN127" s="48">
        <f>IF((113-N(P_L2_Mes)+1)=1,N(P_L2_Monto),0)*DN$9</f>
        <v>0</v>
      </c>
      <c r="DO127" s="48">
        <f>IF((114-N(P_L2_Mes)+1)=1,N(P_L2_Monto),0)*DO$9</f>
        <v>0</v>
      </c>
      <c r="DP127" s="48">
        <f>IF((115-N(P_L2_Mes)+1)=1,N(P_L2_Monto),0)*DP$9</f>
        <v>0</v>
      </c>
      <c r="DQ127" s="48">
        <f>IF((116-N(P_L2_Mes)+1)=1,N(P_L2_Monto),0)*DQ$9</f>
        <v>0</v>
      </c>
      <c r="DR127" s="48">
        <f>IF((117-N(P_L2_Mes)+1)=1,N(P_L2_Monto),0)*DR$9</f>
        <v>0</v>
      </c>
      <c r="DS127" s="48">
        <f>IF((118-N(P_L2_Mes)+1)=1,N(P_L2_Monto),0)*DS$9</f>
        <v>0</v>
      </c>
      <c r="DT127" s="48">
        <f>IF((119-N(P_L2_Mes)+1)=1,N(P_L2_Monto),0)*DT$9</f>
        <v>0</v>
      </c>
      <c r="DU127" s="48">
        <f>IF((120-N(P_L2_Mes)+1)=1,N(P_L2_Monto),0)*DU$9</f>
        <v>0</v>
      </c>
      <c r="DV127" s="48">
        <f>IF((121-N(P_L2_Mes)+1)=1,N(P_L2_Monto),0)*DV$9</f>
        <v>0</v>
      </c>
      <c r="DW127" s="48">
        <f>IF((122-N(P_L2_Mes)+1)=1,N(P_L2_Monto),0)*DW$9</f>
        <v>0</v>
      </c>
      <c r="DX127" s="48">
        <f>IF((123-N(P_L2_Mes)+1)=1,N(P_L2_Monto),0)*DX$9</f>
        <v>0</v>
      </c>
      <c r="DY127" s="48">
        <f>IF((124-N(P_L2_Mes)+1)=1,N(P_L2_Monto),0)*DY$9</f>
        <v>0</v>
      </c>
      <c r="DZ127" s="48">
        <f>IF((125-N(P_L2_Mes)+1)=1,N(P_L2_Monto),0)*DZ$9</f>
        <v>0</v>
      </c>
      <c r="EA127" s="48">
        <f>IF((126-N(P_L2_Mes)+1)=1,N(P_L2_Monto),0)*EA$9</f>
        <v>0</v>
      </c>
      <c r="EB127" s="48">
        <f>IF((127-N(P_L2_Mes)+1)=1,N(P_L2_Monto),0)*EB$9</f>
        <v>0</v>
      </c>
      <c r="EC127" s="48">
        <f>IF((128-N(P_L2_Mes)+1)=1,N(P_L2_Monto),0)*EC$9</f>
        <v>0</v>
      </c>
      <c r="ED127" s="48">
        <f>IF((129-N(P_L2_Mes)+1)=1,N(P_L2_Monto),0)*ED$9</f>
        <v>0</v>
      </c>
      <c r="EE127" s="48">
        <f>IF((130-N(P_L2_Mes)+1)=1,N(P_L2_Monto),0)*EE$9</f>
        <v>0</v>
      </c>
      <c r="EF127" s="48">
        <f>IF((131-N(P_L2_Mes)+1)=1,N(P_L2_Monto),0)*EF$9</f>
        <v>0</v>
      </c>
      <c r="EG127" s="48">
        <f>IF((132-N(P_L2_Mes)+1)=1,N(P_L2_Monto),0)*EG$9</f>
        <v>0</v>
      </c>
      <c r="EH127" s="48">
        <f>IF((133-N(P_L2_Mes)+1)=1,N(P_L2_Monto),0)*EH$9</f>
        <v>0</v>
      </c>
      <c r="EI127" s="48">
        <f>IF((134-N(P_L2_Mes)+1)=1,N(P_L2_Monto),0)*EI$9</f>
        <v>0</v>
      </c>
      <c r="EJ127" s="48">
        <f>IF((135-N(P_L2_Mes)+1)=1,N(P_L2_Monto),0)*EJ$9</f>
        <v>0</v>
      </c>
      <c r="EK127" s="48">
        <f>IF((136-N(P_L2_Mes)+1)=1,N(P_L2_Monto),0)*EK$9</f>
        <v>0</v>
      </c>
      <c r="EL127" s="48">
        <f>IF((137-N(P_L2_Mes)+1)=1,N(P_L2_Monto),0)*EL$9</f>
        <v>0</v>
      </c>
      <c r="EM127" s="48">
        <f>IF((138-N(P_L2_Mes)+1)=1,N(P_L2_Monto),0)*EM$9</f>
        <v>0</v>
      </c>
      <c r="EN127" s="48">
        <f>IF((139-N(P_L2_Mes)+1)=1,N(P_L2_Monto),0)*EN$9</f>
        <v>0</v>
      </c>
      <c r="EO127" s="48">
        <f>IF((140-N(P_L2_Mes)+1)=1,N(P_L2_Monto),0)*EO$9</f>
        <v>0</v>
      </c>
      <c r="EP127" s="48">
        <f>IF((141-N(P_L2_Mes)+1)=1,N(P_L2_Monto),0)*EP$9</f>
        <v>0</v>
      </c>
      <c r="EQ127" s="48">
        <f>IF((142-N(P_L2_Mes)+1)=1,N(P_L2_Monto),0)*EQ$9</f>
        <v>0</v>
      </c>
      <c r="ER127" s="48">
        <f>IF((143-N(P_L2_Mes)+1)=1,N(P_L2_Monto),0)*ER$9</f>
        <v>0</v>
      </c>
      <c r="ES127" s="48">
        <f>IF((144-N(P_L2_Mes)+1)=1,N(P_L2_Monto),0)*ES$9</f>
        <v>0</v>
      </c>
    </row>
    <row r="128" spans="1:149" x14ac:dyDescent="0.3">
      <c r="A128" s="14" t="s">
        <v>1152</v>
      </c>
      <c r="B128" s="18" t="s">
        <v>1153</v>
      </c>
      <c r="C128" s="18" t="s">
        <v>439</v>
      </c>
      <c r="E128" s="54">
        <f>SUM(F128:ES128)</f>
        <v>0</v>
      </c>
      <c r="F128" s="48">
        <f>IF((1-N(P_L2_Mes)+1)&gt;=1,IF((1-N(P_L2_Mes)+1)=1,N(P_L2_Monto),0)*N(P_L2_Tasa)/12,0)*F$9</f>
        <v>0</v>
      </c>
      <c r="G128" s="48">
        <f>IF((2-N(P_L2_Mes)+1)&gt;=1,IF((2-N(P_L2_Mes)+1)=1,N(P_L2_Monto),F$130)*N(P_L2_Tasa)/12,0)*G$9</f>
        <v>0</v>
      </c>
      <c r="H128" s="48">
        <f>IF((3-N(P_L2_Mes)+1)&gt;=1,IF((3-N(P_L2_Mes)+1)=1,N(P_L2_Monto),G$130)*N(P_L2_Tasa)/12,0)*H$9</f>
        <v>0</v>
      </c>
      <c r="I128" s="48">
        <f>IF((4-N(P_L2_Mes)+1)&gt;=1,IF((4-N(P_L2_Mes)+1)=1,N(P_L2_Monto),H$130)*N(P_L2_Tasa)/12,0)*I$9</f>
        <v>0</v>
      </c>
      <c r="J128" s="48">
        <f>IF((5-N(P_L2_Mes)+1)&gt;=1,IF((5-N(P_L2_Mes)+1)=1,N(P_L2_Monto),I$130)*N(P_L2_Tasa)/12,0)*J$9</f>
        <v>0</v>
      </c>
      <c r="K128" s="48">
        <f>IF((6-N(P_L2_Mes)+1)&gt;=1,IF((6-N(P_L2_Mes)+1)=1,N(P_L2_Monto),J$130)*N(P_L2_Tasa)/12,0)*K$9</f>
        <v>0</v>
      </c>
      <c r="L128" s="48">
        <f>IF((7-N(P_L2_Mes)+1)&gt;=1,IF((7-N(P_L2_Mes)+1)=1,N(P_L2_Monto),K$130)*N(P_L2_Tasa)/12,0)*L$9</f>
        <v>0</v>
      </c>
      <c r="M128" s="48">
        <f>IF((8-N(P_L2_Mes)+1)&gt;=1,IF((8-N(P_L2_Mes)+1)=1,N(P_L2_Monto),L$130)*N(P_L2_Tasa)/12,0)*M$9</f>
        <v>0</v>
      </c>
      <c r="N128" s="48">
        <f>IF((9-N(P_L2_Mes)+1)&gt;=1,IF((9-N(P_L2_Mes)+1)=1,N(P_L2_Monto),M$130)*N(P_L2_Tasa)/12,0)*N$9</f>
        <v>0</v>
      </c>
      <c r="O128" s="48">
        <f>IF((10-N(P_L2_Mes)+1)&gt;=1,IF((10-N(P_L2_Mes)+1)=1,N(P_L2_Monto),N$130)*N(P_L2_Tasa)/12,0)*O$9</f>
        <v>0</v>
      </c>
      <c r="P128" s="48">
        <f>IF((11-N(P_L2_Mes)+1)&gt;=1,IF((11-N(P_L2_Mes)+1)=1,N(P_L2_Monto),O$130)*N(P_L2_Tasa)/12,0)*P$9</f>
        <v>0</v>
      </c>
      <c r="Q128" s="48">
        <f>IF((12-N(P_L2_Mes)+1)&gt;=1,IF((12-N(P_L2_Mes)+1)=1,N(P_L2_Monto),P$130)*N(P_L2_Tasa)/12,0)*Q$9</f>
        <v>0</v>
      </c>
      <c r="R128" s="48">
        <f>IF((13-N(P_L2_Mes)+1)&gt;=1,IF((13-N(P_L2_Mes)+1)=1,N(P_L2_Monto),Q$130)*N(P_L2_Tasa)/12,0)*R$9</f>
        <v>0</v>
      </c>
      <c r="S128" s="48">
        <f>IF((14-N(P_L2_Mes)+1)&gt;=1,IF((14-N(P_L2_Mes)+1)=1,N(P_L2_Monto),R$130)*N(P_L2_Tasa)/12,0)*S$9</f>
        <v>0</v>
      </c>
      <c r="T128" s="48">
        <f>IF((15-N(P_L2_Mes)+1)&gt;=1,IF((15-N(P_L2_Mes)+1)=1,N(P_L2_Monto),S$130)*N(P_L2_Tasa)/12,0)*T$9</f>
        <v>0</v>
      </c>
      <c r="U128" s="48">
        <f>IF((16-N(P_L2_Mes)+1)&gt;=1,IF((16-N(P_L2_Mes)+1)=1,N(P_L2_Monto),T$130)*N(P_L2_Tasa)/12,0)*U$9</f>
        <v>0</v>
      </c>
      <c r="V128" s="48">
        <f>IF((17-N(P_L2_Mes)+1)&gt;=1,IF((17-N(P_L2_Mes)+1)=1,N(P_L2_Monto),U$130)*N(P_L2_Tasa)/12,0)*V$9</f>
        <v>0</v>
      </c>
      <c r="W128" s="48">
        <f>IF((18-N(P_L2_Mes)+1)&gt;=1,IF((18-N(P_L2_Mes)+1)=1,N(P_L2_Monto),V$130)*N(P_L2_Tasa)/12,0)*W$9</f>
        <v>0</v>
      </c>
      <c r="X128" s="48">
        <f>IF((19-N(P_L2_Mes)+1)&gt;=1,IF((19-N(P_L2_Mes)+1)=1,N(P_L2_Monto),W$130)*N(P_L2_Tasa)/12,0)*X$9</f>
        <v>0</v>
      </c>
      <c r="Y128" s="48">
        <f>IF((20-N(P_L2_Mes)+1)&gt;=1,IF((20-N(P_L2_Mes)+1)=1,N(P_L2_Monto),X$130)*N(P_L2_Tasa)/12,0)*Y$9</f>
        <v>0</v>
      </c>
      <c r="Z128" s="48">
        <f>IF((21-N(P_L2_Mes)+1)&gt;=1,IF((21-N(P_L2_Mes)+1)=1,N(P_L2_Monto),Y$130)*N(P_L2_Tasa)/12,0)*Z$9</f>
        <v>0</v>
      </c>
      <c r="AA128" s="48">
        <f>IF((22-N(P_L2_Mes)+1)&gt;=1,IF((22-N(P_L2_Mes)+1)=1,N(P_L2_Monto),Z$130)*N(P_L2_Tasa)/12,0)*AA$9</f>
        <v>0</v>
      </c>
      <c r="AB128" s="48">
        <f>IF((23-N(P_L2_Mes)+1)&gt;=1,IF((23-N(P_L2_Mes)+1)=1,N(P_L2_Monto),AA$130)*N(P_L2_Tasa)/12,0)*AB$9</f>
        <v>0</v>
      </c>
      <c r="AC128" s="48">
        <f>IF((24-N(P_L2_Mes)+1)&gt;=1,IF((24-N(P_L2_Mes)+1)=1,N(P_L2_Monto),AB$130)*N(P_L2_Tasa)/12,0)*AC$9</f>
        <v>0</v>
      </c>
      <c r="AD128" s="48">
        <f>IF((25-N(P_L2_Mes)+1)&gt;=1,IF((25-N(P_L2_Mes)+1)=1,N(P_L2_Monto),AC$130)*N(P_L2_Tasa)/12,0)*AD$9</f>
        <v>0</v>
      </c>
      <c r="AE128" s="48">
        <f>IF((26-N(P_L2_Mes)+1)&gt;=1,IF((26-N(P_L2_Mes)+1)=1,N(P_L2_Monto),AD$130)*N(P_L2_Tasa)/12,0)*AE$9</f>
        <v>0</v>
      </c>
      <c r="AF128" s="48">
        <f>IF((27-N(P_L2_Mes)+1)&gt;=1,IF((27-N(P_L2_Mes)+1)=1,N(P_L2_Monto),AE$130)*N(P_L2_Tasa)/12,0)*AF$9</f>
        <v>0</v>
      </c>
      <c r="AG128" s="48">
        <f>IF((28-N(P_L2_Mes)+1)&gt;=1,IF((28-N(P_L2_Mes)+1)=1,N(P_L2_Monto),AF$130)*N(P_L2_Tasa)/12,0)*AG$9</f>
        <v>0</v>
      </c>
      <c r="AH128" s="48">
        <f>IF((29-N(P_L2_Mes)+1)&gt;=1,IF((29-N(P_L2_Mes)+1)=1,N(P_L2_Monto),AG$130)*N(P_L2_Tasa)/12,0)*AH$9</f>
        <v>0</v>
      </c>
      <c r="AI128" s="48">
        <f>IF((30-N(P_L2_Mes)+1)&gt;=1,IF((30-N(P_L2_Mes)+1)=1,N(P_L2_Monto),AH$130)*N(P_L2_Tasa)/12,0)*AI$9</f>
        <v>0</v>
      </c>
      <c r="AJ128" s="48">
        <f>IF((31-N(P_L2_Mes)+1)&gt;=1,IF((31-N(P_L2_Mes)+1)=1,N(P_L2_Monto),AI$130)*N(P_L2_Tasa)/12,0)*AJ$9</f>
        <v>0</v>
      </c>
      <c r="AK128" s="48">
        <f>IF((32-N(P_L2_Mes)+1)&gt;=1,IF((32-N(P_L2_Mes)+1)=1,N(P_L2_Monto),AJ$130)*N(P_L2_Tasa)/12,0)*AK$9</f>
        <v>0</v>
      </c>
      <c r="AL128" s="48">
        <f>IF((33-N(P_L2_Mes)+1)&gt;=1,IF((33-N(P_L2_Mes)+1)=1,N(P_L2_Monto),AK$130)*N(P_L2_Tasa)/12,0)*AL$9</f>
        <v>0</v>
      </c>
      <c r="AM128" s="48">
        <f>IF((34-N(P_L2_Mes)+1)&gt;=1,IF((34-N(P_L2_Mes)+1)=1,N(P_L2_Monto),AL$130)*N(P_L2_Tasa)/12,0)*AM$9</f>
        <v>0</v>
      </c>
      <c r="AN128" s="48">
        <f>IF((35-N(P_L2_Mes)+1)&gt;=1,IF((35-N(P_L2_Mes)+1)=1,N(P_L2_Monto),AM$130)*N(P_L2_Tasa)/12,0)*AN$9</f>
        <v>0</v>
      </c>
      <c r="AO128" s="48">
        <f>IF((36-N(P_L2_Mes)+1)&gt;=1,IF((36-N(P_L2_Mes)+1)=1,N(P_L2_Monto),AN$130)*N(P_L2_Tasa)/12,0)*AO$9</f>
        <v>0</v>
      </c>
      <c r="AP128" s="48">
        <f>IF((37-N(P_L2_Mes)+1)&gt;=1,IF((37-N(P_L2_Mes)+1)=1,N(P_L2_Monto),AO$130)*N(P_L2_Tasa)/12,0)*AP$9</f>
        <v>0</v>
      </c>
      <c r="AQ128" s="48">
        <f>IF((38-N(P_L2_Mes)+1)&gt;=1,IF((38-N(P_L2_Mes)+1)=1,N(P_L2_Monto),AP$130)*N(P_L2_Tasa)/12,0)*AQ$9</f>
        <v>0</v>
      </c>
      <c r="AR128" s="48">
        <f>IF((39-N(P_L2_Mes)+1)&gt;=1,IF((39-N(P_L2_Mes)+1)=1,N(P_L2_Monto),AQ$130)*N(P_L2_Tasa)/12,0)*AR$9</f>
        <v>0</v>
      </c>
      <c r="AS128" s="48">
        <f>IF((40-N(P_L2_Mes)+1)&gt;=1,IF((40-N(P_L2_Mes)+1)=1,N(P_L2_Monto),AR$130)*N(P_L2_Tasa)/12,0)*AS$9</f>
        <v>0</v>
      </c>
      <c r="AT128" s="48">
        <f>IF((41-N(P_L2_Mes)+1)&gt;=1,IF((41-N(P_L2_Mes)+1)=1,N(P_L2_Monto),AS$130)*N(P_L2_Tasa)/12,0)*AT$9</f>
        <v>0</v>
      </c>
      <c r="AU128" s="48">
        <f>IF((42-N(P_L2_Mes)+1)&gt;=1,IF((42-N(P_L2_Mes)+1)=1,N(P_L2_Monto),AT$130)*N(P_L2_Tasa)/12,0)*AU$9</f>
        <v>0</v>
      </c>
      <c r="AV128" s="48">
        <f>IF((43-N(P_L2_Mes)+1)&gt;=1,IF((43-N(P_L2_Mes)+1)=1,N(P_L2_Monto),AU$130)*N(P_L2_Tasa)/12,0)*AV$9</f>
        <v>0</v>
      </c>
      <c r="AW128" s="48">
        <f>IF((44-N(P_L2_Mes)+1)&gt;=1,IF((44-N(P_L2_Mes)+1)=1,N(P_L2_Monto),AV$130)*N(P_L2_Tasa)/12,0)*AW$9</f>
        <v>0</v>
      </c>
      <c r="AX128" s="48">
        <f>IF((45-N(P_L2_Mes)+1)&gt;=1,IF((45-N(P_L2_Mes)+1)=1,N(P_L2_Monto),AW$130)*N(P_L2_Tasa)/12,0)*AX$9</f>
        <v>0</v>
      </c>
      <c r="AY128" s="48">
        <f>IF((46-N(P_L2_Mes)+1)&gt;=1,IF((46-N(P_L2_Mes)+1)=1,N(P_L2_Monto),AX$130)*N(P_L2_Tasa)/12,0)*AY$9</f>
        <v>0</v>
      </c>
      <c r="AZ128" s="48">
        <f>IF((47-N(P_L2_Mes)+1)&gt;=1,IF((47-N(P_L2_Mes)+1)=1,N(P_L2_Monto),AY$130)*N(P_L2_Tasa)/12,0)*AZ$9</f>
        <v>0</v>
      </c>
      <c r="BA128" s="48">
        <f>IF((48-N(P_L2_Mes)+1)&gt;=1,IF((48-N(P_L2_Mes)+1)=1,N(P_L2_Monto),AZ$130)*N(P_L2_Tasa)/12,0)*BA$9</f>
        <v>0</v>
      </c>
      <c r="BB128" s="48">
        <f>IF((49-N(P_L2_Mes)+1)&gt;=1,IF((49-N(P_L2_Mes)+1)=1,N(P_L2_Monto),BA$130)*N(P_L2_Tasa)/12,0)*BB$9</f>
        <v>0</v>
      </c>
      <c r="BC128" s="48">
        <f>IF((50-N(P_L2_Mes)+1)&gt;=1,IF((50-N(P_L2_Mes)+1)=1,N(P_L2_Monto),BB$130)*N(P_L2_Tasa)/12,0)*BC$9</f>
        <v>0</v>
      </c>
      <c r="BD128" s="48">
        <f>IF((51-N(P_L2_Mes)+1)&gt;=1,IF((51-N(P_L2_Mes)+1)=1,N(P_L2_Monto),BC$130)*N(P_L2_Tasa)/12,0)*BD$9</f>
        <v>0</v>
      </c>
      <c r="BE128" s="48">
        <f>IF((52-N(P_L2_Mes)+1)&gt;=1,IF((52-N(P_L2_Mes)+1)=1,N(P_L2_Monto),BD$130)*N(P_L2_Tasa)/12,0)*BE$9</f>
        <v>0</v>
      </c>
      <c r="BF128" s="48">
        <f>IF((53-N(P_L2_Mes)+1)&gt;=1,IF((53-N(P_L2_Mes)+1)=1,N(P_L2_Monto),BE$130)*N(P_L2_Tasa)/12,0)*BF$9</f>
        <v>0</v>
      </c>
      <c r="BG128" s="48">
        <f>IF((54-N(P_L2_Mes)+1)&gt;=1,IF((54-N(P_L2_Mes)+1)=1,N(P_L2_Monto),BF$130)*N(P_L2_Tasa)/12,0)*BG$9</f>
        <v>0</v>
      </c>
      <c r="BH128" s="48">
        <f>IF((55-N(P_L2_Mes)+1)&gt;=1,IF((55-N(P_L2_Mes)+1)=1,N(P_L2_Monto),BG$130)*N(P_L2_Tasa)/12,0)*BH$9</f>
        <v>0</v>
      </c>
      <c r="BI128" s="48">
        <f>IF((56-N(P_L2_Mes)+1)&gt;=1,IF((56-N(P_L2_Mes)+1)=1,N(P_L2_Monto),BH$130)*N(P_L2_Tasa)/12,0)*BI$9</f>
        <v>0</v>
      </c>
      <c r="BJ128" s="48">
        <f>IF((57-N(P_L2_Mes)+1)&gt;=1,IF((57-N(P_L2_Mes)+1)=1,N(P_L2_Monto),BI$130)*N(P_L2_Tasa)/12,0)*BJ$9</f>
        <v>0</v>
      </c>
      <c r="BK128" s="48">
        <f>IF((58-N(P_L2_Mes)+1)&gt;=1,IF((58-N(P_L2_Mes)+1)=1,N(P_L2_Monto),BJ$130)*N(P_L2_Tasa)/12,0)*BK$9</f>
        <v>0</v>
      </c>
      <c r="BL128" s="48">
        <f>IF((59-N(P_L2_Mes)+1)&gt;=1,IF((59-N(P_L2_Mes)+1)=1,N(P_L2_Monto),BK$130)*N(P_L2_Tasa)/12,0)*BL$9</f>
        <v>0</v>
      </c>
      <c r="BM128" s="48">
        <f>IF((60-N(P_L2_Mes)+1)&gt;=1,IF((60-N(P_L2_Mes)+1)=1,N(P_L2_Monto),BL$130)*N(P_L2_Tasa)/12,0)*BM$9</f>
        <v>0</v>
      </c>
      <c r="BN128" s="48">
        <f>IF((61-N(P_L2_Mes)+1)&gt;=1,IF((61-N(P_L2_Mes)+1)=1,N(P_L2_Monto),BM$130)*N(P_L2_Tasa)/12,0)*BN$9</f>
        <v>0</v>
      </c>
      <c r="BO128" s="48">
        <f>IF((62-N(P_L2_Mes)+1)&gt;=1,IF((62-N(P_L2_Mes)+1)=1,N(P_L2_Monto),BN$130)*N(P_L2_Tasa)/12,0)*BO$9</f>
        <v>0</v>
      </c>
      <c r="BP128" s="48">
        <f>IF((63-N(P_L2_Mes)+1)&gt;=1,IF((63-N(P_L2_Mes)+1)=1,N(P_L2_Monto),BO$130)*N(P_L2_Tasa)/12,0)*BP$9</f>
        <v>0</v>
      </c>
      <c r="BQ128" s="48">
        <f>IF((64-N(P_L2_Mes)+1)&gt;=1,IF((64-N(P_L2_Mes)+1)=1,N(P_L2_Monto),BP$130)*N(P_L2_Tasa)/12,0)*BQ$9</f>
        <v>0</v>
      </c>
      <c r="BR128" s="48">
        <f>IF((65-N(P_L2_Mes)+1)&gt;=1,IF((65-N(P_L2_Mes)+1)=1,N(P_L2_Monto),BQ$130)*N(P_L2_Tasa)/12,0)*BR$9</f>
        <v>0</v>
      </c>
      <c r="BS128" s="48">
        <f>IF((66-N(P_L2_Mes)+1)&gt;=1,IF((66-N(P_L2_Mes)+1)=1,N(P_L2_Monto),BR$130)*N(P_L2_Tasa)/12,0)*BS$9</f>
        <v>0</v>
      </c>
      <c r="BT128" s="48">
        <f>IF((67-N(P_L2_Mes)+1)&gt;=1,IF((67-N(P_L2_Mes)+1)=1,N(P_L2_Monto),BS$130)*N(P_L2_Tasa)/12,0)*BT$9</f>
        <v>0</v>
      </c>
      <c r="BU128" s="48">
        <f>IF((68-N(P_L2_Mes)+1)&gt;=1,IF((68-N(P_L2_Mes)+1)=1,N(P_L2_Monto),BT$130)*N(P_L2_Tasa)/12,0)*BU$9</f>
        <v>0</v>
      </c>
      <c r="BV128" s="48">
        <f>IF((69-N(P_L2_Mes)+1)&gt;=1,IF((69-N(P_L2_Mes)+1)=1,N(P_L2_Monto),BU$130)*N(P_L2_Tasa)/12,0)*BV$9</f>
        <v>0</v>
      </c>
      <c r="BW128" s="48">
        <f>IF((70-N(P_L2_Mes)+1)&gt;=1,IF((70-N(P_L2_Mes)+1)=1,N(P_L2_Monto),BV$130)*N(P_L2_Tasa)/12,0)*BW$9</f>
        <v>0</v>
      </c>
      <c r="BX128" s="48">
        <f>IF((71-N(P_L2_Mes)+1)&gt;=1,IF((71-N(P_L2_Mes)+1)=1,N(P_L2_Monto),BW$130)*N(P_L2_Tasa)/12,0)*BX$9</f>
        <v>0</v>
      </c>
      <c r="BY128" s="48">
        <f>IF((72-N(P_L2_Mes)+1)&gt;=1,IF((72-N(P_L2_Mes)+1)=1,N(P_L2_Monto),BX$130)*N(P_L2_Tasa)/12,0)*BY$9</f>
        <v>0</v>
      </c>
      <c r="BZ128" s="48">
        <f>IF((73-N(P_L2_Mes)+1)&gt;=1,IF((73-N(P_L2_Mes)+1)=1,N(P_L2_Monto),BY$130)*N(P_L2_Tasa)/12,0)*BZ$9</f>
        <v>0</v>
      </c>
      <c r="CA128" s="48">
        <f>IF((74-N(P_L2_Mes)+1)&gt;=1,IF((74-N(P_L2_Mes)+1)=1,N(P_L2_Monto),BZ$130)*N(P_L2_Tasa)/12,0)*CA$9</f>
        <v>0</v>
      </c>
      <c r="CB128" s="48">
        <f>IF((75-N(P_L2_Mes)+1)&gt;=1,IF((75-N(P_L2_Mes)+1)=1,N(P_L2_Monto),CA$130)*N(P_L2_Tasa)/12,0)*CB$9</f>
        <v>0</v>
      </c>
      <c r="CC128" s="48">
        <f>IF((76-N(P_L2_Mes)+1)&gt;=1,IF((76-N(P_L2_Mes)+1)=1,N(P_L2_Monto),CB$130)*N(P_L2_Tasa)/12,0)*CC$9</f>
        <v>0</v>
      </c>
      <c r="CD128" s="48">
        <f>IF((77-N(P_L2_Mes)+1)&gt;=1,IF((77-N(P_L2_Mes)+1)=1,N(P_L2_Monto),CC$130)*N(P_L2_Tasa)/12,0)*CD$9</f>
        <v>0</v>
      </c>
      <c r="CE128" s="48">
        <f>IF((78-N(P_L2_Mes)+1)&gt;=1,IF((78-N(P_L2_Mes)+1)=1,N(P_L2_Monto),CD$130)*N(P_L2_Tasa)/12,0)*CE$9</f>
        <v>0</v>
      </c>
      <c r="CF128" s="48">
        <f>IF((79-N(P_L2_Mes)+1)&gt;=1,IF((79-N(P_L2_Mes)+1)=1,N(P_L2_Monto),CE$130)*N(P_L2_Tasa)/12,0)*CF$9</f>
        <v>0</v>
      </c>
      <c r="CG128" s="48">
        <f>IF((80-N(P_L2_Mes)+1)&gt;=1,IF((80-N(P_L2_Mes)+1)=1,N(P_L2_Monto),CF$130)*N(P_L2_Tasa)/12,0)*CG$9</f>
        <v>0</v>
      </c>
      <c r="CH128" s="48">
        <f>IF((81-N(P_L2_Mes)+1)&gt;=1,IF((81-N(P_L2_Mes)+1)=1,N(P_L2_Monto),CG$130)*N(P_L2_Tasa)/12,0)*CH$9</f>
        <v>0</v>
      </c>
      <c r="CI128" s="48">
        <f>IF((82-N(P_L2_Mes)+1)&gt;=1,IF((82-N(P_L2_Mes)+1)=1,N(P_L2_Monto),CH$130)*N(P_L2_Tasa)/12,0)*CI$9</f>
        <v>0</v>
      </c>
      <c r="CJ128" s="48">
        <f>IF((83-N(P_L2_Mes)+1)&gt;=1,IF((83-N(P_L2_Mes)+1)=1,N(P_L2_Monto),CI$130)*N(P_L2_Tasa)/12,0)*CJ$9</f>
        <v>0</v>
      </c>
      <c r="CK128" s="48">
        <f>IF((84-N(P_L2_Mes)+1)&gt;=1,IF((84-N(P_L2_Mes)+1)=1,N(P_L2_Monto),CJ$130)*N(P_L2_Tasa)/12,0)*CK$9</f>
        <v>0</v>
      </c>
      <c r="CL128" s="48">
        <f>IF((85-N(P_L2_Mes)+1)&gt;=1,IF((85-N(P_L2_Mes)+1)=1,N(P_L2_Monto),CK$130)*N(P_L2_Tasa)/12,0)*CL$9</f>
        <v>0</v>
      </c>
      <c r="CM128" s="48">
        <f>IF((86-N(P_L2_Mes)+1)&gt;=1,IF((86-N(P_L2_Mes)+1)=1,N(P_L2_Monto),CL$130)*N(P_L2_Tasa)/12,0)*CM$9</f>
        <v>0</v>
      </c>
      <c r="CN128" s="48">
        <f>IF((87-N(P_L2_Mes)+1)&gt;=1,IF((87-N(P_L2_Mes)+1)=1,N(P_L2_Monto),CM$130)*N(P_L2_Tasa)/12,0)*CN$9</f>
        <v>0</v>
      </c>
      <c r="CO128" s="48">
        <f>IF((88-N(P_L2_Mes)+1)&gt;=1,IF((88-N(P_L2_Mes)+1)=1,N(P_L2_Monto),CN$130)*N(P_L2_Tasa)/12,0)*CO$9</f>
        <v>0</v>
      </c>
      <c r="CP128" s="48">
        <f>IF((89-N(P_L2_Mes)+1)&gt;=1,IF((89-N(P_L2_Mes)+1)=1,N(P_L2_Monto),CO$130)*N(P_L2_Tasa)/12,0)*CP$9</f>
        <v>0</v>
      </c>
      <c r="CQ128" s="48">
        <f>IF((90-N(P_L2_Mes)+1)&gt;=1,IF((90-N(P_L2_Mes)+1)=1,N(P_L2_Monto),CP$130)*N(P_L2_Tasa)/12,0)*CQ$9</f>
        <v>0</v>
      </c>
      <c r="CR128" s="48">
        <f>IF((91-N(P_L2_Mes)+1)&gt;=1,IF((91-N(P_L2_Mes)+1)=1,N(P_L2_Monto),CQ$130)*N(P_L2_Tasa)/12,0)*CR$9</f>
        <v>0</v>
      </c>
      <c r="CS128" s="48">
        <f>IF((92-N(P_L2_Mes)+1)&gt;=1,IF((92-N(P_L2_Mes)+1)=1,N(P_L2_Monto),CR$130)*N(P_L2_Tasa)/12,0)*CS$9</f>
        <v>0</v>
      </c>
      <c r="CT128" s="48">
        <f>IF((93-N(P_L2_Mes)+1)&gt;=1,IF((93-N(P_L2_Mes)+1)=1,N(P_L2_Monto),CS$130)*N(P_L2_Tasa)/12,0)*CT$9</f>
        <v>0</v>
      </c>
      <c r="CU128" s="48">
        <f>IF((94-N(P_L2_Mes)+1)&gt;=1,IF((94-N(P_L2_Mes)+1)=1,N(P_L2_Monto),CT$130)*N(P_L2_Tasa)/12,0)*CU$9</f>
        <v>0</v>
      </c>
      <c r="CV128" s="48">
        <f>IF((95-N(P_L2_Mes)+1)&gt;=1,IF((95-N(P_L2_Mes)+1)=1,N(P_L2_Monto),CU$130)*N(P_L2_Tasa)/12,0)*CV$9</f>
        <v>0</v>
      </c>
      <c r="CW128" s="48">
        <f>IF((96-N(P_L2_Mes)+1)&gt;=1,IF((96-N(P_L2_Mes)+1)=1,N(P_L2_Monto),CV$130)*N(P_L2_Tasa)/12,0)*CW$9</f>
        <v>0</v>
      </c>
      <c r="CX128" s="48">
        <f>IF((97-N(P_L2_Mes)+1)&gt;=1,IF((97-N(P_L2_Mes)+1)=1,N(P_L2_Monto),CW$130)*N(P_L2_Tasa)/12,0)*CX$9</f>
        <v>0</v>
      </c>
      <c r="CY128" s="48">
        <f>IF((98-N(P_L2_Mes)+1)&gt;=1,IF((98-N(P_L2_Mes)+1)=1,N(P_L2_Monto),CX$130)*N(P_L2_Tasa)/12,0)*CY$9</f>
        <v>0</v>
      </c>
      <c r="CZ128" s="48">
        <f>IF((99-N(P_L2_Mes)+1)&gt;=1,IF((99-N(P_L2_Mes)+1)=1,N(P_L2_Monto),CY$130)*N(P_L2_Tasa)/12,0)*CZ$9</f>
        <v>0</v>
      </c>
      <c r="DA128" s="48">
        <f>IF((100-N(P_L2_Mes)+1)&gt;=1,IF((100-N(P_L2_Mes)+1)=1,N(P_L2_Monto),CZ$130)*N(P_L2_Tasa)/12,0)*DA$9</f>
        <v>0</v>
      </c>
      <c r="DB128" s="48">
        <f>IF((101-N(P_L2_Mes)+1)&gt;=1,IF((101-N(P_L2_Mes)+1)=1,N(P_L2_Monto),DA$130)*N(P_L2_Tasa)/12,0)*DB$9</f>
        <v>0</v>
      </c>
      <c r="DC128" s="48">
        <f>IF((102-N(P_L2_Mes)+1)&gt;=1,IF((102-N(P_L2_Mes)+1)=1,N(P_L2_Monto),DB$130)*N(P_L2_Tasa)/12,0)*DC$9</f>
        <v>0</v>
      </c>
      <c r="DD128" s="48">
        <f>IF((103-N(P_L2_Mes)+1)&gt;=1,IF((103-N(P_L2_Mes)+1)=1,N(P_L2_Monto),DC$130)*N(P_L2_Tasa)/12,0)*DD$9</f>
        <v>0</v>
      </c>
      <c r="DE128" s="48">
        <f>IF((104-N(P_L2_Mes)+1)&gt;=1,IF((104-N(P_L2_Mes)+1)=1,N(P_L2_Monto),DD$130)*N(P_L2_Tasa)/12,0)*DE$9</f>
        <v>0</v>
      </c>
      <c r="DF128" s="48">
        <f>IF((105-N(P_L2_Mes)+1)&gt;=1,IF((105-N(P_L2_Mes)+1)=1,N(P_L2_Monto),DE$130)*N(P_L2_Tasa)/12,0)*DF$9</f>
        <v>0</v>
      </c>
      <c r="DG128" s="48">
        <f>IF((106-N(P_L2_Mes)+1)&gt;=1,IF((106-N(P_L2_Mes)+1)=1,N(P_L2_Monto),DF$130)*N(P_L2_Tasa)/12,0)*DG$9</f>
        <v>0</v>
      </c>
      <c r="DH128" s="48">
        <f>IF((107-N(P_L2_Mes)+1)&gt;=1,IF((107-N(P_L2_Mes)+1)=1,N(P_L2_Monto),DG$130)*N(P_L2_Tasa)/12,0)*DH$9</f>
        <v>0</v>
      </c>
      <c r="DI128" s="48">
        <f>IF((108-N(P_L2_Mes)+1)&gt;=1,IF((108-N(P_L2_Mes)+1)=1,N(P_L2_Monto),DH$130)*N(P_L2_Tasa)/12,0)*DI$9</f>
        <v>0</v>
      </c>
      <c r="DJ128" s="48">
        <f>IF((109-N(P_L2_Mes)+1)&gt;=1,IF((109-N(P_L2_Mes)+1)=1,N(P_L2_Monto),DI$130)*N(P_L2_Tasa)/12,0)*DJ$9</f>
        <v>0</v>
      </c>
      <c r="DK128" s="48">
        <f>IF((110-N(P_L2_Mes)+1)&gt;=1,IF((110-N(P_L2_Mes)+1)=1,N(P_L2_Monto),DJ$130)*N(P_L2_Tasa)/12,0)*DK$9</f>
        <v>0</v>
      </c>
      <c r="DL128" s="48">
        <f>IF((111-N(P_L2_Mes)+1)&gt;=1,IF((111-N(P_L2_Mes)+1)=1,N(P_L2_Monto),DK$130)*N(P_L2_Tasa)/12,0)*DL$9</f>
        <v>0</v>
      </c>
      <c r="DM128" s="48">
        <f>IF((112-N(P_L2_Mes)+1)&gt;=1,IF((112-N(P_L2_Mes)+1)=1,N(P_L2_Monto),DL$130)*N(P_L2_Tasa)/12,0)*DM$9</f>
        <v>0</v>
      </c>
      <c r="DN128" s="48">
        <f>IF((113-N(P_L2_Mes)+1)&gt;=1,IF((113-N(P_L2_Mes)+1)=1,N(P_L2_Monto),DM$130)*N(P_L2_Tasa)/12,0)*DN$9</f>
        <v>0</v>
      </c>
      <c r="DO128" s="48">
        <f>IF((114-N(P_L2_Mes)+1)&gt;=1,IF((114-N(P_L2_Mes)+1)=1,N(P_L2_Monto),DN$130)*N(P_L2_Tasa)/12,0)*DO$9</f>
        <v>0</v>
      </c>
      <c r="DP128" s="48">
        <f>IF((115-N(P_L2_Mes)+1)&gt;=1,IF((115-N(P_L2_Mes)+1)=1,N(P_L2_Monto),DO$130)*N(P_L2_Tasa)/12,0)*DP$9</f>
        <v>0</v>
      </c>
      <c r="DQ128" s="48">
        <f>IF((116-N(P_L2_Mes)+1)&gt;=1,IF((116-N(P_L2_Mes)+1)=1,N(P_L2_Monto),DP$130)*N(P_L2_Tasa)/12,0)*DQ$9</f>
        <v>0</v>
      </c>
      <c r="DR128" s="48">
        <f>IF((117-N(P_L2_Mes)+1)&gt;=1,IF((117-N(P_L2_Mes)+1)=1,N(P_L2_Monto),DQ$130)*N(P_L2_Tasa)/12,0)*DR$9</f>
        <v>0</v>
      </c>
      <c r="DS128" s="48">
        <f>IF((118-N(P_L2_Mes)+1)&gt;=1,IF((118-N(P_L2_Mes)+1)=1,N(P_L2_Monto),DR$130)*N(P_L2_Tasa)/12,0)*DS$9</f>
        <v>0</v>
      </c>
      <c r="DT128" s="48">
        <f>IF((119-N(P_L2_Mes)+1)&gt;=1,IF((119-N(P_L2_Mes)+1)=1,N(P_L2_Monto),DS$130)*N(P_L2_Tasa)/12,0)*DT$9</f>
        <v>0</v>
      </c>
      <c r="DU128" s="48">
        <f>IF((120-N(P_L2_Mes)+1)&gt;=1,IF((120-N(P_L2_Mes)+1)=1,N(P_L2_Monto),DT$130)*N(P_L2_Tasa)/12,0)*DU$9</f>
        <v>0</v>
      </c>
      <c r="DV128" s="48">
        <f>IF((121-N(P_L2_Mes)+1)&gt;=1,IF((121-N(P_L2_Mes)+1)=1,N(P_L2_Monto),DU$130)*N(P_L2_Tasa)/12,0)*DV$9</f>
        <v>0</v>
      </c>
      <c r="DW128" s="48">
        <f>IF((122-N(P_L2_Mes)+1)&gt;=1,IF((122-N(P_L2_Mes)+1)=1,N(P_L2_Monto),DV$130)*N(P_L2_Tasa)/12,0)*DW$9</f>
        <v>0</v>
      </c>
      <c r="DX128" s="48">
        <f>IF((123-N(P_L2_Mes)+1)&gt;=1,IF((123-N(P_L2_Mes)+1)=1,N(P_L2_Monto),DW$130)*N(P_L2_Tasa)/12,0)*DX$9</f>
        <v>0</v>
      </c>
      <c r="DY128" s="48">
        <f>IF((124-N(P_L2_Mes)+1)&gt;=1,IF((124-N(P_L2_Mes)+1)=1,N(P_L2_Monto),DX$130)*N(P_L2_Tasa)/12,0)*DY$9</f>
        <v>0</v>
      </c>
      <c r="DZ128" s="48">
        <f>IF((125-N(P_L2_Mes)+1)&gt;=1,IF((125-N(P_L2_Mes)+1)=1,N(P_L2_Monto),DY$130)*N(P_L2_Tasa)/12,0)*DZ$9</f>
        <v>0</v>
      </c>
      <c r="EA128" s="48">
        <f>IF((126-N(P_L2_Mes)+1)&gt;=1,IF((126-N(P_L2_Mes)+1)=1,N(P_L2_Monto),DZ$130)*N(P_L2_Tasa)/12,0)*EA$9</f>
        <v>0</v>
      </c>
      <c r="EB128" s="48">
        <f>IF((127-N(P_L2_Mes)+1)&gt;=1,IF((127-N(P_L2_Mes)+1)=1,N(P_L2_Monto),EA$130)*N(P_L2_Tasa)/12,0)*EB$9</f>
        <v>0</v>
      </c>
      <c r="EC128" s="48">
        <f>IF((128-N(P_L2_Mes)+1)&gt;=1,IF((128-N(P_L2_Mes)+1)=1,N(P_L2_Monto),EB$130)*N(P_L2_Tasa)/12,0)*EC$9</f>
        <v>0</v>
      </c>
      <c r="ED128" s="48">
        <f>IF((129-N(P_L2_Mes)+1)&gt;=1,IF((129-N(P_L2_Mes)+1)=1,N(P_L2_Monto),EC$130)*N(P_L2_Tasa)/12,0)*ED$9</f>
        <v>0</v>
      </c>
      <c r="EE128" s="48">
        <f>IF((130-N(P_L2_Mes)+1)&gt;=1,IF((130-N(P_L2_Mes)+1)=1,N(P_L2_Monto),ED$130)*N(P_L2_Tasa)/12,0)*EE$9</f>
        <v>0</v>
      </c>
      <c r="EF128" s="48">
        <f>IF((131-N(P_L2_Mes)+1)&gt;=1,IF((131-N(P_L2_Mes)+1)=1,N(P_L2_Monto),EE$130)*N(P_L2_Tasa)/12,0)*EF$9</f>
        <v>0</v>
      </c>
      <c r="EG128" s="48">
        <f>IF((132-N(P_L2_Mes)+1)&gt;=1,IF((132-N(P_L2_Mes)+1)=1,N(P_L2_Monto),EF$130)*N(P_L2_Tasa)/12,0)*EG$9</f>
        <v>0</v>
      </c>
      <c r="EH128" s="48">
        <f>IF((133-N(P_L2_Mes)+1)&gt;=1,IF((133-N(P_L2_Mes)+1)=1,N(P_L2_Monto),EG$130)*N(P_L2_Tasa)/12,0)*EH$9</f>
        <v>0</v>
      </c>
      <c r="EI128" s="48">
        <f>IF((134-N(P_L2_Mes)+1)&gt;=1,IF((134-N(P_L2_Mes)+1)=1,N(P_L2_Monto),EH$130)*N(P_L2_Tasa)/12,0)*EI$9</f>
        <v>0</v>
      </c>
      <c r="EJ128" s="48">
        <f>IF((135-N(P_L2_Mes)+1)&gt;=1,IF((135-N(P_L2_Mes)+1)=1,N(P_L2_Monto),EI$130)*N(P_L2_Tasa)/12,0)*EJ$9</f>
        <v>0</v>
      </c>
      <c r="EK128" s="48">
        <f>IF((136-N(P_L2_Mes)+1)&gt;=1,IF((136-N(P_L2_Mes)+1)=1,N(P_L2_Monto),EJ$130)*N(P_L2_Tasa)/12,0)*EK$9</f>
        <v>0</v>
      </c>
      <c r="EL128" s="48">
        <f>IF((137-N(P_L2_Mes)+1)&gt;=1,IF((137-N(P_L2_Mes)+1)=1,N(P_L2_Monto),EK$130)*N(P_L2_Tasa)/12,0)*EL$9</f>
        <v>0</v>
      </c>
      <c r="EM128" s="48">
        <f>IF((138-N(P_L2_Mes)+1)&gt;=1,IF((138-N(P_L2_Mes)+1)=1,N(P_L2_Monto),EL$130)*N(P_L2_Tasa)/12,0)*EM$9</f>
        <v>0</v>
      </c>
      <c r="EN128" s="48">
        <f>IF((139-N(P_L2_Mes)+1)&gt;=1,IF((139-N(P_L2_Mes)+1)=1,N(P_L2_Monto),EM$130)*N(P_L2_Tasa)/12,0)*EN$9</f>
        <v>0</v>
      </c>
      <c r="EO128" s="48">
        <f>IF((140-N(P_L2_Mes)+1)&gt;=1,IF((140-N(P_L2_Mes)+1)=1,N(P_L2_Monto),EN$130)*N(P_L2_Tasa)/12,0)*EO$9</f>
        <v>0</v>
      </c>
      <c r="EP128" s="48">
        <f>IF((141-N(P_L2_Mes)+1)&gt;=1,IF((141-N(P_L2_Mes)+1)=1,N(P_L2_Monto),EO$130)*N(P_L2_Tasa)/12,0)*EP$9</f>
        <v>0</v>
      </c>
      <c r="EQ128" s="48">
        <f>IF((142-N(P_L2_Mes)+1)&gt;=1,IF((142-N(P_L2_Mes)+1)=1,N(P_L2_Monto),EP$130)*N(P_L2_Tasa)/12,0)*EQ$9</f>
        <v>0</v>
      </c>
      <c r="ER128" s="48">
        <f>IF((143-N(P_L2_Mes)+1)&gt;=1,IF((143-N(P_L2_Mes)+1)=1,N(P_L2_Monto),EQ$130)*N(P_L2_Tasa)/12,0)*ER$9</f>
        <v>0</v>
      </c>
      <c r="ES128" s="48">
        <f>IF((144-N(P_L2_Mes)+1)&gt;=1,IF((144-N(P_L2_Mes)+1)=1,N(P_L2_Monto),ER$130)*N(P_L2_Tasa)/12,0)*ES$9</f>
        <v>0</v>
      </c>
    </row>
    <row r="129" spans="1:149" x14ac:dyDescent="0.3">
      <c r="A129" s="14" t="s">
        <v>1154</v>
      </c>
      <c r="B129" s="18" t="s">
        <v>1155</v>
      </c>
      <c r="C129" s="18" t="s">
        <v>439</v>
      </c>
      <c r="E129" s="54">
        <f>SUM(F129:ES129)</f>
        <v>0</v>
      </c>
      <c r="F129" s="48">
        <f>IF(AND((1-N(P_L2_Mes)+1)&gt;N(P_L2_Gracia),(1-N(P_L2_Mes)+1)&lt;=N(P_L2_Gracia)+N(P_L2_Cuotas),N(P_L2_Cuotas)&gt;0),IF((1-N(P_L2_Mes)+1)=N(P_L2_Gracia)+N(P_L2_Cuotas),IF((1-N(P_L2_Mes)+1)=1,N(P_L2_Monto),0),PMT(N(P_L2_Tasa)/12,N(P_L2_Cuotas),-N(P_L2_Monto))-F$128),0)*F$9</f>
        <v>0</v>
      </c>
      <c r="G129" s="48">
        <f>IF(AND((2-N(P_L2_Mes)+1)&gt;N(P_L2_Gracia),(2-N(P_L2_Mes)+1)&lt;=N(P_L2_Gracia)+N(P_L2_Cuotas),N(P_L2_Cuotas)&gt;0),IF((2-N(P_L2_Mes)+1)=N(P_L2_Gracia)+N(P_L2_Cuotas),IF((2-N(P_L2_Mes)+1)=1,N(P_L2_Monto),F$130),PMT(N(P_L2_Tasa)/12,N(P_L2_Cuotas),-N(P_L2_Monto))-G$128),0)*G$9</f>
        <v>0</v>
      </c>
      <c r="H129" s="48">
        <f>IF(AND((3-N(P_L2_Mes)+1)&gt;N(P_L2_Gracia),(3-N(P_L2_Mes)+1)&lt;=N(P_L2_Gracia)+N(P_L2_Cuotas),N(P_L2_Cuotas)&gt;0),IF((3-N(P_L2_Mes)+1)=N(P_L2_Gracia)+N(P_L2_Cuotas),IF((3-N(P_L2_Mes)+1)=1,N(P_L2_Monto),G$130),PMT(N(P_L2_Tasa)/12,N(P_L2_Cuotas),-N(P_L2_Monto))-H$128),0)*H$9</f>
        <v>0</v>
      </c>
      <c r="I129" s="48">
        <f>IF(AND((4-N(P_L2_Mes)+1)&gt;N(P_L2_Gracia),(4-N(P_L2_Mes)+1)&lt;=N(P_L2_Gracia)+N(P_L2_Cuotas),N(P_L2_Cuotas)&gt;0),IF((4-N(P_L2_Mes)+1)=N(P_L2_Gracia)+N(P_L2_Cuotas),IF((4-N(P_L2_Mes)+1)=1,N(P_L2_Monto),H$130),PMT(N(P_L2_Tasa)/12,N(P_L2_Cuotas),-N(P_L2_Monto))-I$128),0)*I$9</f>
        <v>0</v>
      </c>
      <c r="J129" s="48">
        <f>IF(AND((5-N(P_L2_Mes)+1)&gt;N(P_L2_Gracia),(5-N(P_L2_Mes)+1)&lt;=N(P_L2_Gracia)+N(P_L2_Cuotas),N(P_L2_Cuotas)&gt;0),IF((5-N(P_L2_Mes)+1)=N(P_L2_Gracia)+N(P_L2_Cuotas),IF((5-N(P_L2_Mes)+1)=1,N(P_L2_Monto),I$130),PMT(N(P_L2_Tasa)/12,N(P_L2_Cuotas),-N(P_L2_Monto))-J$128),0)*J$9</f>
        <v>0</v>
      </c>
      <c r="K129" s="48">
        <f>IF(AND((6-N(P_L2_Mes)+1)&gt;N(P_L2_Gracia),(6-N(P_L2_Mes)+1)&lt;=N(P_L2_Gracia)+N(P_L2_Cuotas),N(P_L2_Cuotas)&gt;0),IF((6-N(P_L2_Mes)+1)=N(P_L2_Gracia)+N(P_L2_Cuotas),IF((6-N(P_L2_Mes)+1)=1,N(P_L2_Monto),J$130),PMT(N(P_L2_Tasa)/12,N(P_L2_Cuotas),-N(P_L2_Monto))-K$128),0)*K$9</f>
        <v>0</v>
      </c>
      <c r="L129" s="48">
        <f>IF(AND((7-N(P_L2_Mes)+1)&gt;N(P_L2_Gracia),(7-N(P_L2_Mes)+1)&lt;=N(P_L2_Gracia)+N(P_L2_Cuotas),N(P_L2_Cuotas)&gt;0),IF((7-N(P_L2_Mes)+1)=N(P_L2_Gracia)+N(P_L2_Cuotas),IF((7-N(P_L2_Mes)+1)=1,N(P_L2_Monto),K$130),PMT(N(P_L2_Tasa)/12,N(P_L2_Cuotas),-N(P_L2_Monto))-L$128),0)*L$9</f>
        <v>0</v>
      </c>
      <c r="M129" s="48">
        <f>IF(AND((8-N(P_L2_Mes)+1)&gt;N(P_L2_Gracia),(8-N(P_L2_Mes)+1)&lt;=N(P_L2_Gracia)+N(P_L2_Cuotas),N(P_L2_Cuotas)&gt;0),IF((8-N(P_L2_Mes)+1)=N(P_L2_Gracia)+N(P_L2_Cuotas),IF((8-N(P_L2_Mes)+1)=1,N(P_L2_Monto),L$130),PMT(N(P_L2_Tasa)/12,N(P_L2_Cuotas),-N(P_L2_Monto))-M$128),0)*M$9</f>
        <v>0</v>
      </c>
      <c r="N129" s="48">
        <f>IF(AND((9-N(P_L2_Mes)+1)&gt;N(P_L2_Gracia),(9-N(P_L2_Mes)+1)&lt;=N(P_L2_Gracia)+N(P_L2_Cuotas),N(P_L2_Cuotas)&gt;0),IF((9-N(P_L2_Mes)+1)=N(P_L2_Gracia)+N(P_L2_Cuotas),IF((9-N(P_L2_Mes)+1)=1,N(P_L2_Monto),M$130),PMT(N(P_L2_Tasa)/12,N(P_L2_Cuotas),-N(P_L2_Monto))-N$128),0)*N$9</f>
        <v>0</v>
      </c>
      <c r="O129" s="48">
        <f>IF(AND((10-N(P_L2_Mes)+1)&gt;N(P_L2_Gracia),(10-N(P_L2_Mes)+1)&lt;=N(P_L2_Gracia)+N(P_L2_Cuotas),N(P_L2_Cuotas)&gt;0),IF((10-N(P_L2_Mes)+1)=N(P_L2_Gracia)+N(P_L2_Cuotas),IF((10-N(P_L2_Mes)+1)=1,N(P_L2_Monto),N$130),PMT(N(P_L2_Tasa)/12,N(P_L2_Cuotas),-N(P_L2_Monto))-O$128),0)*O$9</f>
        <v>0</v>
      </c>
      <c r="P129" s="48">
        <f>IF(AND((11-N(P_L2_Mes)+1)&gt;N(P_L2_Gracia),(11-N(P_L2_Mes)+1)&lt;=N(P_L2_Gracia)+N(P_L2_Cuotas),N(P_L2_Cuotas)&gt;0),IF((11-N(P_L2_Mes)+1)=N(P_L2_Gracia)+N(P_L2_Cuotas),IF((11-N(P_L2_Mes)+1)=1,N(P_L2_Monto),O$130),PMT(N(P_L2_Tasa)/12,N(P_L2_Cuotas),-N(P_L2_Monto))-P$128),0)*P$9</f>
        <v>0</v>
      </c>
      <c r="Q129" s="48">
        <f>IF(AND((12-N(P_L2_Mes)+1)&gt;N(P_L2_Gracia),(12-N(P_L2_Mes)+1)&lt;=N(P_L2_Gracia)+N(P_L2_Cuotas),N(P_L2_Cuotas)&gt;0),IF((12-N(P_L2_Mes)+1)=N(P_L2_Gracia)+N(P_L2_Cuotas),IF((12-N(P_L2_Mes)+1)=1,N(P_L2_Monto),P$130),PMT(N(P_L2_Tasa)/12,N(P_L2_Cuotas),-N(P_L2_Monto))-Q$128),0)*Q$9</f>
        <v>0</v>
      </c>
      <c r="R129" s="48">
        <f>IF(AND((13-N(P_L2_Mes)+1)&gt;N(P_L2_Gracia),(13-N(P_L2_Mes)+1)&lt;=N(P_L2_Gracia)+N(P_L2_Cuotas),N(P_L2_Cuotas)&gt;0),IF((13-N(P_L2_Mes)+1)=N(P_L2_Gracia)+N(P_L2_Cuotas),IF((13-N(P_L2_Mes)+1)=1,N(P_L2_Monto),Q$130),PMT(N(P_L2_Tasa)/12,N(P_L2_Cuotas),-N(P_L2_Monto))-R$128),0)*R$9</f>
        <v>0</v>
      </c>
      <c r="S129" s="48">
        <f>IF(AND((14-N(P_L2_Mes)+1)&gt;N(P_L2_Gracia),(14-N(P_L2_Mes)+1)&lt;=N(P_L2_Gracia)+N(P_L2_Cuotas),N(P_L2_Cuotas)&gt;0),IF((14-N(P_L2_Mes)+1)=N(P_L2_Gracia)+N(P_L2_Cuotas),IF((14-N(P_L2_Mes)+1)=1,N(P_L2_Monto),R$130),PMT(N(P_L2_Tasa)/12,N(P_L2_Cuotas),-N(P_L2_Monto))-S$128),0)*S$9</f>
        <v>0</v>
      </c>
      <c r="T129" s="48">
        <f>IF(AND((15-N(P_L2_Mes)+1)&gt;N(P_L2_Gracia),(15-N(P_L2_Mes)+1)&lt;=N(P_L2_Gracia)+N(P_L2_Cuotas),N(P_L2_Cuotas)&gt;0),IF((15-N(P_L2_Mes)+1)=N(P_L2_Gracia)+N(P_L2_Cuotas),IF((15-N(P_L2_Mes)+1)=1,N(P_L2_Monto),S$130),PMT(N(P_L2_Tasa)/12,N(P_L2_Cuotas),-N(P_L2_Monto))-T$128),0)*T$9</f>
        <v>0</v>
      </c>
      <c r="U129" s="48">
        <f>IF(AND((16-N(P_L2_Mes)+1)&gt;N(P_L2_Gracia),(16-N(P_L2_Mes)+1)&lt;=N(P_L2_Gracia)+N(P_L2_Cuotas),N(P_L2_Cuotas)&gt;0),IF((16-N(P_L2_Mes)+1)=N(P_L2_Gracia)+N(P_L2_Cuotas),IF((16-N(P_L2_Mes)+1)=1,N(P_L2_Monto),T$130),PMT(N(P_L2_Tasa)/12,N(P_L2_Cuotas),-N(P_L2_Monto))-U$128),0)*U$9</f>
        <v>0</v>
      </c>
      <c r="V129" s="48">
        <f>IF(AND((17-N(P_L2_Mes)+1)&gt;N(P_L2_Gracia),(17-N(P_L2_Mes)+1)&lt;=N(P_L2_Gracia)+N(P_L2_Cuotas),N(P_L2_Cuotas)&gt;0),IF((17-N(P_L2_Mes)+1)=N(P_L2_Gracia)+N(P_L2_Cuotas),IF((17-N(P_L2_Mes)+1)=1,N(P_L2_Monto),U$130),PMT(N(P_L2_Tasa)/12,N(P_L2_Cuotas),-N(P_L2_Monto))-V$128),0)*V$9</f>
        <v>0</v>
      </c>
      <c r="W129" s="48">
        <f>IF(AND((18-N(P_L2_Mes)+1)&gt;N(P_L2_Gracia),(18-N(P_L2_Mes)+1)&lt;=N(P_L2_Gracia)+N(P_L2_Cuotas),N(P_L2_Cuotas)&gt;0),IF((18-N(P_L2_Mes)+1)=N(P_L2_Gracia)+N(P_L2_Cuotas),IF((18-N(P_L2_Mes)+1)=1,N(P_L2_Monto),V$130),PMT(N(P_L2_Tasa)/12,N(P_L2_Cuotas),-N(P_L2_Monto))-W$128),0)*W$9</f>
        <v>0</v>
      </c>
      <c r="X129" s="48">
        <f>IF(AND((19-N(P_L2_Mes)+1)&gt;N(P_L2_Gracia),(19-N(P_L2_Mes)+1)&lt;=N(P_L2_Gracia)+N(P_L2_Cuotas),N(P_L2_Cuotas)&gt;0),IF((19-N(P_L2_Mes)+1)=N(P_L2_Gracia)+N(P_L2_Cuotas),IF((19-N(P_L2_Mes)+1)=1,N(P_L2_Monto),W$130),PMT(N(P_L2_Tasa)/12,N(P_L2_Cuotas),-N(P_L2_Monto))-X$128),0)*X$9</f>
        <v>0</v>
      </c>
      <c r="Y129" s="48">
        <f>IF(AND((20-N(P_L2_Mes)+1)&gt;N(P_L2_Gracia),(20-N(P_L2_Mes)+1)&lt;=N(P_L2_Gracia)+N(P_L2_Cuotas),N(P_L2_Cuotas)&gt;0),IF((20-N(P_L2_Mes)+1)=N(P_L2_Gracia)+N(P_L2_Cuotas),IF((20-N(P_L2_Mes)+1)=1,N(P_L2_Monto),X$130),PMT(N(P_L2_Tasa)/12,N(P_L2_Cuotas),-N(P_L2_Monto))-Y$128),0)*Y$9</f>
        <v>0</v>
      </c>
      <c r="Z129" s="48">
        <f>IF(AND((21-N(P_L2_Mes)+1)&gt;N(P_L2_Gracia),(21-N(P_L2_Mes)+1)&lt;=N(P_L2_Gracia)+N(P_L2_Cuotas),N(P_L2_Cuotas)&gt;0),IF((21-N(P_L2_Mes)+1)=N(P_L2_Gracia)+N(P_L2_Cuotas),IF((21-N(P_L2_Mes)+1)=1,N(P_L2_Monto),Y$130),PMT(N(P_L2_Tasa)/12,N(P_L2_Cuotas),-N(P_L2_Monto))-Z$128),0)*Z$9</f>
        <v>0</v>
      </c>
      <c r="AA129" s="48">
        <f>IF(AND((22-N(P_L2_Mes)+1)&gt;N(P_L2_Gracia),(22-N(P_L2_Mes)+1)&lt;=N(P_L2_Gracia)+N(P_L2_Cuotas),N(P_L2_Cuotas)&gt;0),IF((22-N(P_L2_Mes)+1)=N(P_L2_Gracia)+N(P_L2_Cuotas),IF((22-N(P_L2_Mes)+1)=1,N(P_L2_Monto),Z$130),PMT(N(P_L2_Tasa)/12,N(P_L2_Cuotas),-N(P_L2_Monto))-AA$128),0)*AA$9</f>
        <v>0</v>
      </c>
      <c r="AB129" s="48">
        <f>IF(AND((23-N(P_L2_Mes)+1)&gt;N(P_L2_Gracia),(23-N(P_L2_Mes)+1)&lt;=N(P_L2_Gracia)+N(P_L2_Cuotas),N(P_L2_Cuotas)&gt;0),IF((23-N(P_L2_Mes)+1)=N(P_L2_Gracia)+N(P_L2_Cuotas),IF((23-N(P_L2_Mes)+1)=1,N(P_L2_Monto),AA$130),PMT(N(P_L2_Tasa)/12,N(P_L2_Cuotas),-N(P_L2_Monto))-AB$128),0)*AB$9</f>
        <v>0</v>
      </c>
      <c r="AC129" s="48">
        <f>IF(AND((24-N(P_L2_Mes)+1)&gt;N(P_L2_Gracia),(24-N(P_L2_Mes)+1)&lt;=N(P_L2_Gracia)+N(P_L2_Cuotas),N(P_L2_Cuotas)&gt;0),IF((24-N(P_L2_Mes)+1)=N(P_L2_Gracia)+N(P_L2_Cuotas),IF((24-N(P_L2_Mes)+1)=1,N(P_L2_Monto),AB$130),PMT(N(P_L2_Tasa)/12,N(P_L2_Cuotas),-N(P_L2_Monto))-AC$128),0)*AC$9</f>
        <v>0</v>
      </c>
      <c r="AD129" s="48">
        <f>IF(AND((25-N(P_L2_Mes)+1)&gt;N(P_L2_Gracia),(25-N(P_L2_Mes)+1)&lt;=N(P_L2_Gracia)+N(P_L2_Cuotas),N(P_L2_Cuotas)&gt;0),IF((25-N(P_L2_Mes)+1)=N(P_L2_Gracia)+N(P_L2_Cuotas),IF((25-N(P_L2_Mes)+1)=1,N(P_L2_Monto),AC$130),PMT(N(P_L2_Tasa)/12,N(P_L2_Cuotas),-N(P_L2_Monto))-AD$128),0)*AD$9</f>
        <v>0</v>
      </c>
      <c r="AE129" s="48">
        <f>IF(AND((26-N(P_L2_Mes)+1)&gt;N(P_L2_Gracia),(26-N(P_L2_Mes)+1)&lt;=N(P_L2_Gracia)+N(P_L2_Cuotas),N(P_L2_Cuotas)&gt;0),IF((26-N(P_L2_Mes)+1)=N(P_L2_Gracia)+N(P_L2_Cuotas),IF((26-N(P_L2_Mes)+1)=1,N(P_L2_Monto),AD$130),PMT(N(P_L2_Tasa)/12,N(P_L2_Cuotas),-N(P_L2_Monto))-AE$128),0)*AE$9</f>
        <v>0</v>
      </c>
      <c r="AF129" s="48">
        <f>IF(AND((27-N(P_L2_Mes)+1)&gt;N(P_L2_Gracia),(27-N(P_L2_Mes)+1)&lt;=N(P_L2_Gracia)+N(P_L2_Cuotas),N(P_L2_Cuotas)&gt;0),IF((27-N(P_L2_Mes)+1)=N(P_L2_Gracia)+N(P_L2_Cuotas),IF((27-N(P_L2_Mes)+1)=1,N(P_L2_Monto),AE$130),PMT(N(P_L2_Tasa)/12,N(P_L2_Cuotas),-N(P_L2_Monto))-AF$128),0)*AF$9</f>
        <v>0</v>
      </c>
      <c r="AG129" s="48">
        <f>IF(AND((28-N(P_L2_Mes)+1)&gt;N(P_L2_Gracia),(28-N(P_L2_Mes)+1)&lt;=N(P_L2_Gracia)+N(P_L2_Cuotas),N(P_L2_Cuotas)&gt;0),IF((28-N(P_L2_Mes)+1)=N(P_L2_Gracia)+N(P_L2_Cuotas),IF((28-N(P_L2_Mes)+1)=1,N(P_L2_Monto),AF$130),PMT(N(P_L2_Tasa)/12,N(P_L2_Cuotas),-N(P_L2_Monto))-AG$128),0)*AG$9</f>
        <v>0</v>
      </c>
      <c r="AH129" s="48">
        <f>IF(AND((29-N(P_L2_Mes)+1)&gt;N(P_L2_Gracia),(29-N(P_L2_Mes)+1)&lt;=N(P_L2_Gracia)+N(P_L2_Cuotas),N(P_L2_Cuotas)&gt;0),IF((29-N(P_L2_Mes)+1)=N(P_L2_Gracia)+N(P_L2_Cuotas),IF((29-N(P_L2_Mes)+1)=1,N(P_L2_Monto),AG$130),PMT(N(P_L2_Tasa)/12,N(P_L2_Cuotas),-N(P_L2_Monto))-AH$128),0)*AH$9</f>
        <v>0</v>
      </c>
      <c r="AI129" s="48">
        <f>IF(AND((30-N(P_L2_Mes)+1)&gt;N(P_L2_Gracia),(30-N(P_L2_Mes)+1)&lt;=N(P_L2_Gracia)+N(P_L2_Cuotas),N(P_L2_Cuotas)&gt;0),IF((30-N(P_L2_Mes)+1)=N(P_L2_Gracia)+N(P_L2_Cuotas),IF((30-N(P_L2_Mes)+1)=1,N(P_L2_Monto),AH$130),PMT(N(P_L2_Tasa)/12,N(P_L2_Cuotas),-N(P_L2_Monto))-AI$128),0)*AI$9</f>
        <v>0</v>
      </c>
      <c r="AJ129" s="48">
        <f>IF(AND((31-N(P_L2_Mes)+1)&gt;N(P_L2_Gracia),(31-N(P_L2_Mes)+1)&lt;=N(P_L2_Gracia)+N(P_L2_Cuotas),N(P_L2_Cuotas)&gt;0),IF((31-N(P_L2_Mes)+1)=N(P_L2_Gracia)+N(P_L2_Cuotas),IF((31-N(P_L2_Mes)+1)=1,N(P_L2_Monto),AI$130),PMT(N(P_L2_Tasa)/12,N(P_L2_Cuotas),-N(P_L2_Monto))-AJ$128),0)*AJ$9</f>
        <v>0</v>
      </c>
      <c r="AK129" s="48">
        <f>IF(AND((32-N(P_L2_Mes)+1)&gt;N(P_L2_Gracia),(32-N(P_L2_Mes)+1)&lt;=N(P_L2_Gracia)+N(P_L2_Cuotas),N(P_L2_Cuotas)&gt;0),IF((32-N(P_L2_Mes)+1)=N(P_L2_Gracia)+N(P_L2_Cuotas),IF((32-N(P_L2_Mes)+1)=1,N(P_L2_Monto),AJ$130),PMT(N(P_L2_Tasa)/12,N(P_L2_Cuotas),-N(P_L2_Monto))-AK$128),0)*AK$9</f>
        <v>0</v>
      </c>
      <c r="AL129" s="48">
        <f>IF(AND((33-N(P_L2_Mes)+1)&gt;N(P_L2_Gracia),(33-N(P_L2_Mes)+1)&lt;=N(P_L2_Gracia)+N(P_L2_Cuotas),N(P_L2_Cuotas)&gt;0),IF((33-N(P_L2_Mes)+1)=N(P_L2_Gracia)+N(P_L2_Cuotas),IF((33-N(P_L2_Mes)+1)=1,N(P_L2_Monto),AK$130),PMT(N(P_L2_Tasa)/12,N(P_L2_Cuotas),-N(P_L2_Monto))-AL$128),0)*AL$9</f>
        <v>0</v>
      </c>
      <c r="AM129" s="48">
        <f>IF(AND((34-N(P_L2_Mes)+1)&gt;N(P_L2_Gracia),(34-N(P_L2_Mes)+1)&lt;=N(P_L2_Gracia)+N(P_L2_Cuotas),N(P_L2_Cuotas)&gt;0),IF((34-N(P_L2_Mes)+1)=N(P_L2_Gracia)+N(P_L2_Cuotas),IF((34-N(P_L2_Mes)+1)=1,N(P_L2_Monto),AL$130),PMT(N(P_L2_Tasa)/12,N(P_L2_Cuotas),-N(P_L2_Monto))-AM$128),0)*AM$9</f>
        <v>0</v>
      </c>
      <c r="AN129" s="48">
        <f>IF(AND((35-N(P_L2_Mes)+1)&gt;N(P_L2_Gracia),(35-N(P_L2_Mes)+1)&lt;=N(P_L2_Gracia)+N(P_L2_Cuotas),N(P_L2_Cuotas)&gt;0),IF((35-N(P_L2_Mes)+1)=N(P_L2_Gracia)+N(P_L2_Cuotas),IF((35-N(P_L2_Mes)+1)=1,N(P_L2_Monto),AM$130),PMT(N(P_L2_Tasa)/12,N(P_L2_Cuotas),-N(P_L2_Monto))-AN$128),0)*AN$9</f>
        <v>0</v>
      </c>
      <c r="AO129" s="48">
        <f>IF(AND((36-N(P_L2_Mes)+1)&gt;N(P_L2_Gracia),(36-N(P_L2_Mes)+1)&lt;=N(P_L2_Gracia)+N(P_L2_Cuotas),N(P_L2_Cuotas)&gt;0),IF((36-N(P_L2_Mes)+1)=N(P_L2_Gracia)+N(P_L2_Cuotas),IF((36-N(P_L2_Mes)+1)=1,N(P_L2_Monto),AN$130),PMT(N(P_L2_Tasa)/12,N(P_L2_Cuotas),-N(P_L2_Monto))-AO$128),0)*AO$9</f>
        <v>0</v>
      </c>
      <c r="AP129" s="48">
        <f>IF(AND((37-N(P_L2_Mes)+1)&gt;N(P_L2_Gracia),(37-N(P_L2_Mes)+1)&lt;=N(P_L2_Gracia)+N(P_L2_Cuotas),N(P_L2_Cuotas)&gt;0),IF((37-N(P_L2_Mes)+1)=N(P_L2_Gracia)+N(P_L2_Cuotas),IF((37-N(P_L2_Mes)+1)=1,N(P_L2_Monto),AO$130),PMT(N(P_L2_Tasa)/12,N(P_L2_Cuotas),-N(P_L2_Monto))-AP$128),0)*AP$9</f>
        <v>0</v>
      </c>
      <c r="AQ129" s="48">
        <f>IF(AND((38-N(P_L2_Mes)+1)&gt;N(P_L2_Gracia),(38-N(P_L2_Mes)+1)&lt;=N(P_L2_Gracia)+N(P_L2_Cuotas),N(P_L2_Cuotas)&gt;0),IF((38-N(P_L2_Mes)+1)=N(P_L2_Gracia)+N(P_L2_Cuotas),IF((38-N(P_L2_Mes)+1)=1,N(P_L2_Monto),AP$130),PMT(N(P_L2_Tasa)/12,N(P_L2_Cuotas),-N(P_L2_Monto))-AQ$128),0)*AQ$9</f>
        <v>0</v>
      </c>
      <c r="AR129" s="48">
        <f>IF(AND((39-N(P_L2_Mes)+1)&gt;N(P_L2_Gracia),(39-N(P_L2_Mes)+1)&lt;=N(P_L2_Gracia)+N(P_L2_Cuotas),N(P_L2_Cuotas)&gt;0),IF((39-N(P_L2_Mes)+1)=N(P_L2_Gracia)+N(P_L2_Cuotas),IF((39-N(P_L2_Mes)+1)=1,N(P_L2_Monto),AQ$130),PMT(N(P_L2_Tasa)/12,N(P_L2_Cuotas),-N(P_L2_Monto))-AR$128),0)*AR$9</f>
        <v>0</v>
      </c>
      <c r="AS129" s="48">
        <f>IF(AND((40-N(P_L2_Mes)+1)&gt;N(P_L2_Gracia),(40-N(P_L2_Mes)+1)&lt;=N(P_L2_Gracia)+N(P_L2_Cuotas),N(P_L2_Cuotas)&gt;0),IF((40-N(P_L2_Mes)+1)=N(P_L2_Gracia)+N(P_L2_Cuotas),IF((40-N(P_L2_Mes)+1)=1,N(P_L2_Monto),AR$130),PMT(N(P_L2_Tasa)/12,N(P_L2_Cuotas),-N(P_L2_Monto))-AS$128),0)*AS$9</f>
        <v>0</v>
      </c>
      <c r="AT129" s="48">
        <f>IF(AND((41-N(P_L2_Mes)+1)&gt;N(P_L2_Gracia),(41-N(P_L2_Mes)+1)&lt;=N(P_L2_Gracia)+N(P_L2_Cuotas),N(P_L2_Cuotas)&gt;0),IF((41-N(P_L2_Mes)+1)=N(P_L2_Gracia)+N(P_L2_Cuotas),IF((41-N(P_L2_Mes)+1)=1,N(P_L2_Monto),AS$130),PMT(N(P_L2_Tasa)/12,N(P_L2_Cuotas),-N(P_L2_Monto))-AT$128),0)*AT$9</f>
        <v>0</v>
      </c>
      <c r="AU129" s="48">
        <f>IF(AND((42-N(P_L2_Mes)+1)&gt;N(P_L2_Gracia),(42-N(P_L2_Mes)+1)&lt;=N(P_L2_Gracia)+N(P_L2_Cuotas),N(P_L2_Cuotas)&gt;0),IF((42-N(P_L2_Mes)+1)=N(P_L2_Gracia)+N(P_L2_Cuotas),IF((42-N(P_L2_Mes)+1)=1,N(P_L2_Monto),AT$130),PMT(N(P_L2_Tasa)/12,N(P_L2_Cuotas),-N(P_L2_Monto))-AU$128),0)*AU$9</f>
        <v>0</v>
      </c>
      <c r="AV129" s="48">
        <f>IF(AND((43-N(P_L2_Mes)+1)&gt;N(P_L2_Gracia),(43-N(P_L2_Mes)+1)&lt;=N(P_L2_Gracia)+N(P_L2_Cuotas),N(P_L2_Cuotas)&gt;0),IF((43-N(P_L2_Mes)+1)=N(P_L2_Gracia)+N(P_L2_Cuotas),IF((43-N(P_L2_Mes)+1)=1,N(P_L2_Monto),AU$130),PMT(N(P_L2_Tasa)/12,N(P_L2_Cuotas),-N(P_L2_Monto))-AV$128),0)*AV$9</f>
        <v>0</v>
      </c>
      <c r="AW129" s="48">
        <f>IF(AND((44-N(P_L2_Mes)+1)&gt;N(P_L2_Gracia),(44-N(P_L2_Mes)+1)&lt;=N(P_L2_Gracia)+N(P_L2_Cuotas),N(P_L2_Cuotas)&gt;0),IF((44-N(P_L2_Mes)+1)=N(P_L2_Gracia)+N(P_L2_Cuotas),IF((44-N(P_L2_Mes)+1)=1,N(P_L2_Monto),AV$130),PMT(N(P_L2_Tasa)/12,N(P_L2_Cuotas),-N(P_L2_Monto))-AW$128),0)*AW$9</f>
        <v>0</v>
      </c>
      <c r="AX129" s="48">
        <f>IF(AND((45-N(P_L2_Mes)+1)&gt;N(P_L2_Gracia),(45-N(P_L2_Mes)+1)&lt;=N(P_L2_Gracia)+N(P_L2_Cuotas),N(P_L2_Cuotas)&gt;0),IF((45-N(P_L2_Mes)+1)=N(P_L2_Gracia)+N(P_L2_Cuotas),IF((45-N(P_L2_Mes)+1)=1,N(P_L2_Monto),AW$130),PMT(N(P_L2_Tasa)/12,N(P_L2_Cuotas),-N(P_L2_Monto))-AX$128),0)*AX$9</f>
        <v>0</v>
      </c>
      <c r="AY129" s="48">
        <f>IF(AND((46-N(P_L2_Mes)+1)&gt;N(P_L2_Gracia),(46-N(P_L2_Mes)+1)&lt;=N(P_L2_Gracia)+N(P_L2_Cuotas),N(P_L2_Cuotas)&gt;0),IF((46-N(P_L2_Mes)+1)=N(P_L2_Gracia)+N(P_L2_Cuotas),IF((46-N(P_L2_Mes)+1)=1,N(P_L2_Monto),AX$130),PMT(N(P_L2_Tasa)/12,N(P_L2_Cuotas),-N(P_L2_Monto))-AY$128),0)*AY$9</f>
        <v>0</v>
      </c>
      <c r="AZ129" s="48">
        <f>IF(AND((47-N(P_L2_Mes)+1)&gt;N(P_L2_Gracia),(47-N(P_L2_Mes)+1)&lt;=N(P_L2_Gracia)+N(P_L2_Cuotas),N(P_L2_Cuotas)&gt;0),IF((47-N(P_L2_Mes)+1)=N(P_L2_Gracia)+N(P_L2_Cuotas),IF((47-N(P_L2_Mes)+1)=1,N(P_L2_Monto),AY$130),PMT(N(P_L2_Tasa)/12,N(P_L2_Cuotas),-N(P_L2_Monto))-AZ$128),0)*AZ$9</f>
        <v>0</v>
      </c>
      <c r="BA129" s="48">
        <f>IF(AND((48-N(P_L2_Mes)+1)&gt;N(P_L2_Gracia),(48-N(P_L2_Mes)+1)&lt;=N(P_L2_Gracia)+N(P_L2_Cuotas),N(P_L2_Cuotas)&gt;0),IF((48-N(P_L2_Mes)+1)=N(P_L2_Gracia)+N(P_L2_Cuotas),IF((48-N(P_L2_Mes)+1)=1,N(P_L2_Monto),AZ$130),PMT(N(P_L2_Tasa)/12,N(P_L2_Cuotas),-N(P_L2_Monto))-BA$128),0)*BA$9</f>
        <v>0</v>
      </c>
      <c r="BB129" s="48">
        <f>IF(AND((49-N(P_L2_Mes)+1)&gt;N(P_L2_Gracia),(49-N(P_L2_Mes)+1)&lt;=N(P_L2_Gracia)+N(P_L2_Cuotas),N(P_L2_Cuotas)&gt;0),IF((49-N(P_L2_Mes)+1)=N(P_L2_Gracia)+N(P_L2_Cuotas),IF((49-N(P_L2_Mes)+1)=1,N(P_L2_Monto),BA$130),PMT(N(P_L2_Tasa)/12,N(P_L2_Cuotas),-N(P_L2_Monto))-BB$128),0)*BB$9</f>
        <v>0</v>
      </c>
      <c r="BC129" s="48">
        <f>IF(AND((50-N(P_L2_Mes)+1)&gt;N(P_L2_Gracia),(50-N(P_L2_Mes)+1)&lt;=N(P_L2_Gracia)+N(P_L2_Cuotas),N(P_L2_Cuotas)&gt;0),IF((50-N(P_L2_Mes)+1)=N(P_L2_Gracia)+N(P_L2_Cuotas),IF((50-N(P_L2_Mes)+1)=1,N(P_L2_Monto),BB$130),PMT(N(P_L2_Tasa)/12,N(P_L2_Cuotas),-N(P_L2_Monto))-BC$128),0)*BC$9</f>
        <v>0</v>
      </c>
      <c r="BD129" s="48">
        <f>IF(AND((51-N(P_L2_Mes)+1)&gt;N(P_L2_Gracia),(51-N(P_L2_Mes)+1)&lt;=N(P_L2_Gracia)+N(P_L2_Cuotas),N(P_L2_Cuotas)&gt;0),IF((51-N(P_L2_Mes)+1)=N(P_L2_Gracia)+N(P_L2_Cuotas),IF((51-N(P_L2_Mes)+1)=1,N(P_L2_Monto),BC$130),PMT(N(P_L2_Tasa)/12,N(P_L2_Cuotas),-N(P_L2_Monto))-BD$128),0)*BD$9</f>
        <v>0</v>
      </c>
      <c r="BE129" s="48">
        <f>IF(AND((52-N(P_L2_Mes)+1)&gt;N(P_L2_Gracia),(52-N(P_L2_Mes)+1)&lt;=N(P_L2_Gracia)+N(P_L2_Cuotas),N(P_L2_Cuotas)&gt;0),IF((52-N(P_L2_Mes)+1)=N(P_L2_Gracia)+N(P_L2_Cuotas),IF((52-N(P_L2_Mes)+1)=1,N(P_L2_Monto),BD$130),PMT(N(P_L2_Tasa)/12,N(P_L2_Cuotas),-N(P_L2_Monto))-BE$128),0)*BE$9</f>
        <v>0</v>
      </c>
      <c r="BF129" s="48">
        <f>IF(AND((53-N(P_L2_Mes)+1)&gt;N(P_L2_Gracia),(53-N(P_L2_Mes)+1)&lt;=N(P_L2_Gracia)+N(P_L2_Cuotas),N(P_L2_Cuotas)&gt;0),IF((53-N(P_L2_Mes)+1)=N(P_L2_Gracia)+N(P_L2_Cuotas),IF((53-N(P_L2_Mes)+1)=1,N(P_L2_Monto),BE$130),PMT(N(P_L2_Tasa)/12,N(P_L2_Cuotas),-N(P_L2_Monto))-BF$128),0)*BF$9</f>
        <v>0</v>
      </c>
      <c r="BG129" s="48">
        <f>IF(AND((54-N(P_L2_Mes)+1)&gt;N(P_L2_Gracia),(54-N(P_L2_Mes)+1)&lt;=N(P_L2_Gracia)+N(P_L2_Cuotas),N(P_L2_Cuotas)&gt;0),IF((54-N(P_L2_Mes)+1)=N(P_L2_Gracia)+N(P_L2_Cuotas),IF((54-N(P_L2_Mes)+1)=1,N(P_L2_Monto),BF$130),PMT(N(P_L2_Tasa)/12,N(P_L2_Cuotas),-N(P_L2_Monto))-BG$128),0)*BG$9</f>
        <v>0</v>
      </c>
      <c r="BH129" s="48">
        <f>IF(AND((55-N(P_L2_Mes)+1)&gt;N(P_L2_Gracia),(55-N(P_L2_Mes)+1)&lt;=N(P_L2_Gracia)+N(P_L2_Cuotas),N(P_L2_Cuotas)&gt;0),IF((55-N(P_L2_Mes)+1)=N(P_L2_Gracia)+N(P_L2_Cuotas),IF((55-N(P_L2_Mes)+1)=1,N(P_L2_Monto),BG$130),PMT(N(P_L2_Tasa)/12,N(P_L2_Cuotas),-N(P_L2_Monto))-BH$128),0)*BH$9</f>
        <v>0</v>
      </c>
      <c r="BI129" s="48">
        <f>IF(AND((56-N(P_L2_Mes)+1)&gt;N(P_L2_Gracia),(56-N(P_L2_Mes)+1)&lt;=N(P_L2_Gracia)+N(P_L2_Cuotas),N(P_L2_Cuotas)&gt;0),IF((56-N(P_L2_Mes)+1)=N(P_L2_Gracia)+N(P_L2_Cuotas),IF((56-N(P_L2_Mes)+1)=1,N(P_L2_Monto),BH$130),PMT(N(P_L2_Tasa)/12,N(P_L2_Cuotas),-N(P_L2_Monto))-BI$128),0)*BI$9</f>
        <v>0</v>
      </c>
      <c r="BJ129" s="48">
        <f>IF(AND((57-N(P_L2_Mes)+1)&gt;N(P_L2_Gracia),(57-N(P_L2_Mes)+1)&lt;=N(P_L2_Gracia)+N(P_L2_Cuotas),N(P_L2_Cuotas)&gt;0),IF((57-N(P_L2_Mes)+1)=N(P_L2_Gracia)+N(P_L2_Cuotas),IF((57-N(P_L2_Mes)+1)=1,N(P_L2_Monto),BI$130),PMT(N(P_L2_Tasa)/12,N(P_L2_Cuotas),-N(P_L2_Monto))-BJ$128),0)*BJ$9</f>
        <v>0</v>
      </c>
      <c r="BK129" s="48">
        <f>IF(AND((58-N(P_L2_Mes)+1)&gt;N(P_L2_Gracia),(58-N(P_L2_Mes)+1)&lt;=N(P_L2_Gracia)+N(P_L2_Cuotas),N(P_L2_Cuotas)&gt;0),IF((58-N(P_L2_Mes)+1)=N(P_L2_Gracia)+N(P_L2_Cuotas),IF((58-N(P_L2_Mes)+1)=1,N(P_L2_Monto),BJ$130),PMT(N(P_L2_Tasa)/12,N(P_L2_Cuotas),-N(P_L2_Monto))-BK$128),0)*BK$9</f>
        <v>0</v>
      </c>
      <c r="BL129" s="48">
        <f>IF(AND((59-N(P_L2_Mes)+1)&gt;N(P_L2_Gracia),(59-N(P_L2_Mes)+1)&lt;=N(P_L2_Gracia)+N(P_L2_Cuotas),N(P_L2_Cuotas)&gt;0),IF((59-N(P_L2_Mes)+1)=N(P_L2_Gracia)+N(P_L2_Cuotas),IF((59-N(P_L2_Mes)+1)=1,N(P_L2_Monto),BK$130),PMT(N(P_L2_Tasa)/12,N(P_L2_Cuotas),-N(P_L2_Monto))-BL$128),0)*BL$9</f>
        <v>0</v>
      </c>
      <c r="BM129" s="48">
        <f>IF(AND((60-N(P_L2_Mes)+1)&gt;N(P_L2_Gracia),(60-N(P_L2_Mes)+1)&lt;=N(P_L2_Gracia)+N(P_L2_Cuotas),N(P_L2_Cuotas)&gt;0),IF((60-N(P_L2_Mes)+1)=N(P_L2_Gracia)+N(P_L2_Cuotas),IF((60-N(P_L2_Mes)+1)=1,N(P_L2_Monto),BL$130),PMT(N(P_L2_Tasa)/12,N(P_L2_Cuotas),-N(P_L2_Monto))-BM$128),0)*BM$9</f>
        <v>0</v>
      </c>
      <c r="BN129" s="48">
        <f>IF(AND((61-N(P_L2_Mes)+1)&gt;N(P_L2_Gracia),(61-N(P_L2_Mes)+1)&lt;=N(P_L2_Gracia)+N(P_L2_Cuotas),N(P_L2_Cuotas)&gt;0),IF((61-N(P_L2_Mes)+1)=N(P_L2_Gracia)+N(P_L2_Cuotas),IF((61-N(P_L2_Mes)+1)=1,N(P_L2_Monto),BM$130),PMT(N(P_L2_Tasa)/12,N(P_L2_Cuotas),-N(P_L2_Monto))-BN$128),0)*BN$9</f>
        <v>0</v>
      </c>
      <c r="BO129" s="48">
        <f>IF(AND((62-N(P_L2_Mes)+1)&gt;N(P_L2_Gracia),(62-N(P_L2_Mes)+1)&lt;=N(P_L2_Gracia)+N(P_L2_Cuotas),N(P_L2_Cuotas)&gt;0),IF((62-N(P_L2_Mes)+1)=N(P_L2_Gracia)+N(P_L2_Cuotas),IF((62-N(P_L2_Mes)+1)=1,N(P_L2_Monto),BN$130),PMT(N(P_L2_Tasa)/12,N(P_L2_Cuotas),-N(P_L2_Monto))-BO$128),0)*BO$9</f>
        <v>0</v>
      </c>
      <c r="BP129" s="48">
        <f>IF(AND((63-N(P_L2_Mes)+1)&gt;N(P_L2_Gracia),(63-N(P_L2_Mes)+1)&lt;=N(P_L2_Gracia)+N(P_L2_Cuotas),N(P_L2_Cuotas)&gt;0),IF((63-N(P_L2_Mes)+1)=N(P_L2_Gracia)+N(P_L2_Cuotas),IF((63-N(P_L2_Mes)+1)=1,N(P_L2_Monto),BO$130),PMT(N(P_L2_Tasa)/12,N(P_L2_Cuotas),-N(P_L2_Monto))-BP$128),0)*BP$9</f>
        <v>0</v>
      </c>
      <c r="BQ129" s="48">
        <f>IF(AND((64-N(P_L2_Mes)+1)&gt;N(P_L2_Gracia),(64-N(P_L2_Mes)+1)&lt;=N(P_L2_Gracia)+N(P_L2_Cuotas),N(P_L2_Cuotas)&gt;0),IF((64-N(P_L2_Mes)+1)=N(P_L2_Gracia)+N(P_L2_Cuotas),IF((64-N(P_L2_Mes)+1)=1,N(P_L2_Monto),BP$130),PMT(N(P_L2_Tasa)/12,N(P_L2_Cuotas),-N(P_L2_Monto))-BQ$128),0)*BQ$9</f>
        <v>0</v>
      </c>
      <c r="BR129" s="48">
        <f>IF(AND((65-N(P_L2_Mes)+1)&gt;N(P_L2_Gracia),(65-N(P_L2_Mes)+1)&lt;=N(P_L2_Gracia)+N(P_L2_Cuotas),N(P_L2_Cuotas)&gt;0),IF((65-N(P_L2_Mes)+1)=N(P_L2_Gracia)+N(P_L2_Cuotas),IF((65-N(P_L2_Mes)+1)=1,N(P_L2_Monto),BQ$130),PMT(N(P_L2_Tasa)/12,N(P_L2_Cuotas),-N(P_L2_Monto))-BR$128),0)*BR$9</f>
        <v>0</v>
      </c>
      <c r="BS129" s="48">
        <f>IF(AND((66-N(P_L2_Mes)+1)&gt;N(P_L2_Gracia),(66-N(P_L2_Mes)+1)&lt;=N(P_L2_Gracia)+N(P_L2_Cuotas),N(P_L2_Cuotas)&gt;0),IF((66-N(P_L2_Mes)+1)=N(P_L2_Gracia)+N(P_L2_Cuotas),IF((66-N(P_L2_Mes)+1)=1,N(P_L2_Monto),BR$130),PMT(N(P_L2_Tasa)/12,N(P_L2_Cuotas),-N(P_L2_Monto))-BS$128),0)*BS$9</f>
        <v>0</v>
      </c>
      <c r="BT129" s="48">
        <f>IF(AND((67-N(P_L2_Mes)+1)&gt;N(P_L2_Gracia),(67-N(P_L2_Mes)+1)&lt;=N(P_L2_Gracia)+N(P_L2_Cuotas),N(P_L2_Cuotas)&gt;0),IF((67-N(P_L2_Mes)+1)=N(P_L2_Gracia)+N(P_L2_Cuotas),IF((67-N(P_L2_Mes)+1)=1,N(P_L2_Monto),BS$130),PMT(N(P_L2_Tasa)/12,N(P_L2_Cuotas),-N(P_L2_Monto))-BT$128),0)*BT$9</f>
        <v>0</v>
      </c>
      <c r="BU129" s="48">
        <f>IF(AND((68-N(P_L2_Mes)+1)&gt;N(P_L2_Gracia),(68-N(P_L2_Mes)+1)&lt;=N(P_L2_Gracia)+N(P_L2_Cuotas),N(P_L2_Cuotas)&gt;0),IF((68-N(P_L2_Mes)+1)=N(P_L2_Gracia)+N(P_L2_Cuotas),IF((68-N(P_L2_Mes)+1)=1,N(P_L2_Monto),BT$130),PMT(N(P_L2_Tasa)/12,N(P_L2_Cuotas),-N(P_L2_Monto))-BU$128),0)*BU$9</f>
        <v>0</v>
      </c>
      <c r="BV129" s="48">
        <f>IF(AND((69-N(P_L2_Mes)+1)&gt;N(P_L2_Gracia),(69-N(P_L2_Mes)+1)&lt;=N(P_L2_Gracia)+N(P_L2_Cuotas),N(P_L2_Cuotas)&gt;0),IF((69-N(P_L2_Mes)+1)=N(P_L2_Gracia)+N(P_L2_Cuotas),IF((69-N(P_L2_Mes)+1)=1,N(P_L2_Monto),BU$130),PMT(N(P_L2_Tasa)/12,N(P_L2_Cuotas),-N(P_L2_Monto))-BV$128),0)*BV$9</f>
        <v>0</v>
      </c>
      <c r="BW129" s="48">
        <f>IF(AND((70-N(P_L2_Mes)+1)&gt;N(P_L2_Gracia),(70-N(P_L2_Mes)+1)&lt;=N(P_L2_Gracia)+N(P_L2_Cuotas),N(P_L2_Cuotas)&gt;0),IF((70-N(P_L2_Mes)+1)=N(P_L2_Gracia)+N(P_L2_Cuotas),IF((70-N(P_L2_Mes)+1)=1,N(P_L2_Monto),BV$130),PMT(N(P_L2_Tasa)/12,N(P_L2_Cuotas),-N(P_L2_Monto))-BW$128),0)*BW$9</f>
        <v>0</v>
      </c>
      <c r="BX129" s="48">
        <f>IF(AND((71-N(P_L2_Mes)+1)&gt;N(P_L2_Gracia),(71-N(P_L2_Mes)+1)&lt;=N(P_L2_Gracia)+N(P_L2_Cuotas),N(P_L2_Cuotas)&gt;0),IF((71-N(P_L2_Mes)+1)=N(P_L2_Gracia)+N(P_L2_Cuotas),IF((71-N(P_L2_Mes)+1)=1,N(P_L2_Monto),BW$130),PMT(N(P_L2_Tasa)/12,N(P_L2_Cuotas),-N(P_L2_Monto))-BX$128),0)*BX$9</f>
        <v>0</v>
      </c>
      <c r="BY129" s="48">
        <f>IF(AND((72-N(P_L2_Mes)+1)&gt;N(P_L2_Gracia),(72-N(P_L2_Mes)+1)&lt;=N(P_L2_Gracia)+N(P_L2_Cuotas),N(P_L2_Cuotas)&gt;0),IF((72-N(P_L2_Mes)+1)=N(P_L2_Gracia)+N(P_L2_Cuotas),IF((72-N(P_L2_Mes)+1)=1,N(P_L2_Monto),BX$130),PMT(N(P_L2_Tasa)/12,N(P_L2_Cuotas),-N(P_L2_Monto))-BY$128),0)*BY$9</f>
        <v>0</v>
      </c>
      <c r="BZ129" s="48">
        <f>IF(AND((73-N(P_L2_Mes)+1)&gt;N(P_L2_Gracia),(73-N(P_L2_Mes)+1)&lt;=N(P_L2_Gracia)+N(P_L2_Cuotas),N(P_L2_Cuotas)&gt;0),IF((73-N(P_L2_Mes)+1)=N(P_L2_Gracia)+N(P_L2_Cuotas),IF((73-N(P_L2_Mes)+1)=1,N(P_L2_Monto),BY$130),PMT(N(P_L2_Tasa)/12,N(P_L2_Cuotas),-N(P_L2_Monto))-BZ$128),0)*BZ$9</f>
        <v>0</v>
      </c>
      <c r="CA129" s="48">
        <f>IF(AND((74-N(P_L2_Mes)+1)&gt;N(P_L2_Gracia),(74-N(P_L2_Mes)+1)&lt;=N(P_L2_Gracia)+N(P_L2_Cuotas),N(P_L2_Cuotas)&gt;0),IF((74-N(P_L2_Mes)+1)=N(P_L2_Gracia)+N(P_L2_Cuotas),IF((74-N(P_L2_Mes)+1)=1,N(P_L2_Monto),BZ$130),PMT(N(P_L2_Tasa)/12,N(P_L2_Cuotas),-N(P_L2_Monto))-CA$128),0)*CA$9</f>
        <v>0</v>
      </c>
      <c r="CB129" s="48">
        <f>IF(AND((75-N(P_L2_Mes)+1)&gt;N(P_L2_Gracia),(75-N(P_L2_Mes)+1)&lt;=N(P_L2_Gracia)+N(P_L2_Cuotas),N(P_L2_Cuotas)&gt;0),IF((75-N(P_L2_Mes)+1)=N(P_L2_Gracia)+N(P_L2_Cuotas),IF((75-N(P_L2_Mes)+1)=1,N(P_L2_Monto),CA$130),PMT(N(P_L2_Tasa)/12,N(P_L2_Cuotas),-N(P_L2_Monto))-CB$128),0)*CB$9</f>
        <v>0</v>
      </c>
      <c r="CC129" s="48">
        <f>IF(AND((76-N(P_L2_Mes)+1)&gt;N(P_L2_Gracia),(76-N(P_L2_Mes)+1)&lt;=N(P_L2_Gracia)+N(P_L2_Cuotas),N(P_L2_Cuotas)&gt;0),IF((76-N(P_L2_Mes)+1)=N(P_L2_Gracia)+N(P_L2_Cuotas),IF((76-N(P_L2_Mes)+1)=1,N(P_L2_Monto),CB$130),PMT(N(P_L2_Tasa)/12,N(P_L2_Cuotas),-N(P_L2_Monto))-CC$128),0)*CC$9</f>
        <v>0</v>
      </c>
      <c r="CD129" s="48">
        <f>IF(AND((77-N(P_L2_Mes)+1)&gt;N(P_L2_Gracia),(77-N(P_L2_Mes)+1)&lt;=N(P_L2_Gracia)+N(P_L2_Cuotas),N(P_L2_Cuotas)&gt;0),IF((77-N(P_L2_Mes)+1)=N(P_L2_Gracia)+N(P_L2_Cuotas),IF((77-N(P_L2_Mes)+1)=1,N(P_L2_Monto),CC$130),PMT(N(P_L2_Tasa)/12,N(P_L2_Cuotas),-N(P_L2_Monto))-CD$128),0)*CD$9</f>
        <v>0</v>
      </c>
      <c r="CE129" s="48">
        <f>IF(AND((78-N(P_L2_Mes)+1)&gt;N(P_L2_Gracia),(78-N(P_L2_Mes)+1)&lt;=N(P_L2_Gracia)+N(P_L2_Cuotas),N(P_L2_Cuotas)&gt;0),IF((78-N(P_L2_Mes)+1)=N(P_L2_Gracia)+N(P_L2_Cuotas),IF((78-N(P_L2_Mes)+1)=1,N(P_L2_Monto),CD$130),PMT(N(P_L2_Tasa)/12,N(P_L2_Cuotas),-N(P_L2_Monto))-CE$128),0)*CE$9</f>
        <v>0</v>
      </c>
      <c r="CF129" s="48">
        <f>IF(AND((79-N(P_L2_Mes)+1)&gt;N(P_L2_Gracia),(79-N(P_L2_Mes)+1)&lt;=N(P_L2_Gracia)+N(P_L2_Cuotas),N(P_L2_Cuotas)&gt;0),IF((79-N(P_L2_Mes)+1)=N(P_L2_Gracia)+N(P_L2_Cuotas),IF((79-N(P_L2_Mes)+1)=1,N(P_L2_Monto),CE$130),PMT(N(P_L2_Tasa)/12,N(P_L2_Cuotas),-N(P_L2_Monto))-CF$128),0)*CF$9</f>
        <v>0</v>
      </c>
      <c r="CG129" s="48">
        <f>IF(AND((80-N(P_L2_Mes)+1)&gt;N(P_L2_Gracia),(80-N(P_L2_Mes)+1)&lt;=N(P_L2_Gracia)+N(P_L2_Cuotas),N(P_L2_Cuotas)&gt;0),IF((80-N(P_L2_Mes)+1)=N(P_L2_Gracia)+N(P_L2_Cuotas),IF((80-N(P_L2_Mes)+1)=1,N(P_L2_Monto),CF$130),PMT(N(P_L2_Tasa)/12,N(P_L2_Cuotas),-N(P_L2_Monto))-CG$128),0)*CG$9</f>
        <v>0</v>
      </c>
      <c r="CH129" s="48">
        <f>IF(AND((81-N(P_L2_Mes)+1)&gt;N(P_L2_Gracia),(81-N(P_L2_Mes)+1)&lt;=N(P_L2_Gracia)+N(P_L2_Cuotas),N(P_L2_Cuotas)&gt;0),IF((81-N(P_L2_Mes)+1)=N(P_L2_Gracia)+N(P_L2_Cuotas),IF((81-N(P_L2_Mes)+1)=1,N(P_L2_Monto),CG$130),PMT(N(P_L2_Tasa)/12,N(P_L2_Cuotas),-N(P_L2_Monto))-CH$128),0)*CH$9</f>
        <v>0</v>
      </c>
      <c r="CI129" s="48">
        <f>IF(AND((82-N(P_L2_Mes)+1)&gt;N(P_L2_Gracia),(82-N(P_L2_Mes)+1)&lt;=N(P_L2_Gracia)+N(P_L2_Cuotas),N(P_L2_Cuotas)&gt;0),IF((82-N(P_L2_Mes)+1)=N(P_L2_Gracia)+N(P_L2_Cuotas),IF((82-N(P_L2_Mes)+1)=1,N(P_L2_Monto),CH$130),PMT(N(P_L2_Tasa)/12,N(P_L2_Cuotas),-N(P_L2_Monto))-CI$128),0)*CI$9</f>
        <v>0</v>
      </c>
      <c r="CJ129" s="48">
        <f>IF(AND((83-N(P_L2_Mes)+1)&gt;N(P_L2_Gracia),(83-N(P_L2_Mes)+1)&lt;=N(P_L2_Gracia)+N(P_L2_Cuotas),N(P_L2_Cuotas)&gt;0),IF((83-N(P_L2_Mes)+1)=N(P_L2_Gracia)+N(P_L2_Cuotas),IF((83-N(P_L2_Mes)+1)=1,N(P_L2_Monto),CI$130),PMT(N(P_L2_Tasa)/12,N(P_L2_Cuotas),-N(P_L2_Monto))-CJ$128),0)*CJ$9</f>
        <v>0</v>
      </c>
      <c r="CK129" s="48">
        <f>IF(AND((84-N(P_L2_Mes)+1)&gt;N(P_L2_Gracia),(84-N(P_L2_Mes)+1)&lt;=N(P_L2_Gracia)+N(P_L2_Cuotas),N(P_L2_Cuotas)&gt;0),IF((84-N(P_L2_Mes)+1)=N(P_L2_Gracia)+N(P_L2_Cuotas),IF((84-N(P_L2_Mes)+1)=1,N(P_L2_Monto),CJ$130),PMT(N(P_L2_Tasa)/12,N(P_L2_Cuotas),-N(P_L2_Monto))-CK$128),0)*CK$9</f>
        <v>0</v>
      </c>
      <c r="CL129" s="48">
        <f>IF(AND((85-N(P_L2_Mes)+1)&gt;N(P_L2_Gracia),(85-N(P_L2_Mes)+1)&lt;=N(P_L2_Gracia)+N(P_L2_Cuotas),N(P_L2_Cuotas)&gt;0),IF((85-N(P_L2_Mes)+1)=N(P_L2_Gracia)+N(P_L2_Cuotas),IF((85-N(P_L2_Mes)+1)=1,N(P_L2_Monto),CK$130),PMT(N(P_L2_Tasa)/12,N(P_L2_Cuotas),-N(P_L2_Monto))-CL$128),0)*CL$9</f>
        <v>0</v>
      </c>
      <c r="CM129" s="48">
        <f>IF(AND((86-N(P_L2_Mes)+1)&gt;N(P_L2_Gracia),(86-N(P_L2_Mes)+1)&lt;=N(P_L2_Gracia)+N(P_L2_Cuotas),N(P_L2_Cuotas)&gt;0),IF((86-N(P_L2_Mes)+1)=N(P_L2_Gracia)+N(P_L2_Cuotas),IF((86-N(P_L2_Mes)+1)=1,N(P_L2_Monto),CL$130),PMT(N(P_L2_Tasa)/12,N(P_L2_Cuotas),-N(P_L2_Monto))-CM$128),0)*CM$9</f>
        <v>0</v>
      </c>
      <c r="CN129" s="48">
        <f>IF(AND((87-N(P_L2_Mes)+1)&gt;N(P_L2_Gracia),(87-N(P_L2_Mes)+1)&lt;=N(P_L2_Gracia)+N(P_L2_Cuotas),N(P_L2_Cuotas)&gt;0),IF((87-N(P_L2_Mes)+1)=N(P_L2_Gracia)+N(P_L2_Cuotas),IF((87-N(P_L2_Mes)+1)=1,N(P_L2_Monto),CM$130),PMT(N(P_L2_Tasa)/12,N(P_L2_Cuotas),-N(P_L2_Monto))-CN$128),0)*CN$9</f>
        <v>0</v>
      </c>
      <c r="CO129" s="48">
        <f>IF(AND((88-N(P_L2_Mes)+1)&gt;N(P_L2_Gracia),(88-N(P_L2_Mes)+1)&lt;=N(P_L2_Gracia)+N(P_L2_Cuotas),N(P_L2_Cuotas)&gt;0),IF((88-N(P_L2_Mes)+1)=N(P_L2_Gracia)+N(P_L2_Cuotas),IF((88-N(P_L2_Mes)+1)=1,N(P_L2_Monto),CN$130),PMT(N(P_L2_Tasa)/12,N(P_L2_Cuotas),-N(P_L2_Monto))-CO$128),0)*CO$9</f>
        <v>0</v>
      </c>
      <c r="CP129" s="48">
        <f>IF(AND((89-N(P_L2_Mes)+1)&gt;N(P_L2_Gracia),(89-N(P_L2_Mes)+1)&lt;=N(P_L2_Gracia)+N(P_L2_Cuotas),N(P_L2_Cuotas)&gt;0),IF((89-N(P_L2_Mes)+1)=N(P_L2_Gracia)+N(P_L2_Cuotas),IF((89-N(P_L2_Mes)+1)=1,N(P_L2_Monto),CO$130),PMT(N(P_L2_Tasa)/12,N(P_L2_Cuotas),-N(P_L2_Monto))-CP$128),0)*CP$9</f>
        <v>0</v>
      </c>
      <c r="CQ129" s="48">
        <f>IF(AND((90-N(P_L2_Mes)+1)&gt;N(P_L2_Gracia),(90-N(P_L2_Mes)+1)&lt;=N(P_L2_Gracia)+N(P_L2_Cuotas),N(P_L2_Cuotas)&gt;0),IF((90-N(P_L2_Mes)+1)=N(P_L2_Gracia)+N(P_L2_Cuotas),IF((90-N(P_L2_Mes)+1)=1,N(P_L2_Monto),CP$130),PMT(N(P_L2_Tasa)/12,N(P_L2_Cuotas),-N(P_L2_Monto))-CQ$128),0)*CQ$9</f>
        <v>0</v>
      </c>
      <c r="CR129" s="48">
        <f>IF(AND((91-N(P_L2_Mes)+1)&gt;N(P_L2_Gracia),(91-N(P_L2_Mes)+1)&lt;=N(P_L2_Gracia)+N(P_L2_Cuotas),N(P_L2_Cuotas)&gt;0),IF((91-N(P_L2_Mes)+1)=N(P_L2_Gracia)+N(P_L2_Cuotas),IF((91-N(P_L2_Mes)+1)=1,N(P_L2_Monto),CQ$130),PMT(N(P_L2_Tasa)/12,N(P_L2_Cuotas),-N(P_L2_Monto))-CR$128),0)*CR$9</f>
        <v>0</v>
      </c>
      <c r="CS129" s="48">
        <f>IF(AND((92-N(P_L2_Mes)+1)&gt;N(P_L2_Gracia),(92-N(P_L2_Mes)+1)&lt;=N(P_L2_Gracia)+N(P_L2_Cuotas),N(P_L2_Cuotas)&gt;0),IF((92-N(P_L2_Mes)+1)=N(P_L2_Gracia)+N(P_L2_Cuotas),IF((92-N(P_L2_Mes)+1)=1,N(P_L2_Monto),CR$130),PMT(N(P_L2_Tasa)/12,N(P_L2_Cuotas),-N(P_L2_Monto))-CS$128),0)*CS$9</f>
        <v>0</v>
      </c>
      <c r="CT129" s="48">
        <f>IF(AND((93-N(P_L2_Mes)+1)&gt;N(P_L2_Gracia),(93-N(P_L2_Mes)+1)&lt;=N(P_L2_Gracia)+N(P_L2_Cuotas),N(P_L2_Cuotas)&gt;0),IF((93-N(P_L2_Mes)+1)=N(P_L2_Gracia)+N(P_L2_Cuotas),IF((93-N(P_L2_Mes)+1)=1,N(P_L2_Monto),CS$130),PMT(N(P_L2_Tasa)/12,N(P_L2_Cuotas),-N(P_L2_Monto))-CT$128),0)*CT$9</f>
        <v>0</v>
      </c>
      <c r="CU129" s="48">
        <f>IF(AND((94-N(P_L2_Mes)+1)&gt;N(P_L2_Gracia),(94-N(P_L2_Mes)+1)&lt;=N(P_L2_Gracia)+N(P_L2_Cuotas),N(P_L2_Cuotas)&gt;0),IF((94-N(P_L2_Mes)+1)=N(P_L2_Gracia)+N(P_L2_Cuotas),IF((94-N(P_L2_Mes)+1)=1,N(P_L2_Monto),CT$130),PMT(N(P_L2_Tasa)/12,N(P_L2_Cuotas),-N(P_L2_Monto))-CU$128),0)*CU$9</f>
        <v>0</v>
      </c>
      <c r="CV129" s="48">
        <f>IF(AND((95-N(P_L2_Mes)+1)&gt;N(P_L2_Gracia),(95-N(P_L2_Mes)+1)&lt;=N(P_L2_Gracia)+N(P_L2_Cuotas),N(P_L2_Cuotas)&gt;0),IF((95-N(P_L2_Mes)+1)=N(P_L2_Gracia)+N(P_L2_Cuotas),IF((95-N(P_L2_Mes)+1)=1,N(P_L2_Monto),CU$130),PMT(N(P_L2_Tasa)/12,N(P_L2_Cuotas),-N(P_L2_Monto))-CV$128),0)*CV$9</f>
        <v>0</v>
      </c>
      <c r="CW129" s="48">
        <f>IF(AND((96-N(P_L2_Mes)+1)&gt;N(P_L2_Gracia),(96-N(P_L2_Mes)+1)&lt;=N(P_L2_Gracia)+N(P_L2_Cuotas),N(P_L2_Cuotas)&gt;0),IF((96-N(P_L2_Mes)+1)=N(P_L2_Gracia)+N(P_L2_Cuotas),IF((96-N(P_L2_Mes)+1)=1,N(P_L2_Monto),CV$130),PMT(N(P_L2_Tasa)/12,N(P_L2_Cuotas),-N(P_L2_Monto))-CW$128),0)*CW$9</f>
        <v>0</v>
      </c>
      <c r="CX129" s="48">
        <f>IF(AND((97-N(P_L2_Mes)+1)&gt;N(P_L2_Gracia),(97-N(P_L2_Mes)+1)&lt;=N(P_L2_Gracia)+N(P_L2_Cuotas),N(P_L2_Cuotas)&gt;0),IF((97-N(P_L2_Mes)+1)=N(P_L2_Gracia)+N(P_L2_Cuotas),IF((97-N(P_L2_Mes)+1)=1,N(P_L2_Monto),CW$130),PMT(N(P_L2_Tasa)/12,N(P_L2_Cuotas),-N(P_L2_Monto))-CX$128),0)*CX$9</f>
        <v>0</v>
      </c>
      <c r="CY129" s="48">
        <f>IF(AND((98-N(P_L2_Mes)+1)&gt;N(P_L2_Gracia),(98-N(P_L2_Mes)+1)&lt;=N(P_L2_Gracia)+N(P_L2_Cuotas),N(P_L2_Cuotas)&gt;0),IF((98-N(P_L2_Mes)+1)=N(P_L2_Gracia)+N(P_L2_Cuotas),IF((98-N(P_L2_Mes)+1)=1,N(P_L2_Monto),CX$130),PMT(N(P_L2_Tasa)/12,N(P_L2_Cuotas),-N(P_L2_Monto))-CY$128),0)*CY$9</f>
        <v>0</v>
      </c>
      <c r="CZ129" s="48">
        <f>IF(AND((99-N(P_L2_Mes)+1)&gt;N(P_L2_Gracia),(99-N(P_L2_Mes)+1)&lt;=N(P_L2_Gracia)+N(P_L2_Cuotas),N(P_L2_Cuotas)&gt;0),IF((99-N(P_L2_Mes)+1)=N(P_L2_Gracia)+N(P_L2_Cuotas),IF((99-N(P_L2_Mes)+1)=1,N(P_L2_Monto),CY$130),PMT(N(P_L2_Tasa)/12,N(P_L2_Cuotas),-N(P_L2_Monto))-CZ$128),0)*CZ$9</f>
        <v>0</v>
      </c>
      <c r="DA129" s="48">
        <f>IF(AND((100-N(P_L2_Mes)+1)&gt;N(P_L2_Gracia),(100-N(P_L2_Mes)+1)&lt;=N(P_L2_Gracia)+N(P_L2_Cuotas),N(P_L2_Cuotas)&gt;0),IF((100-N(P_L2_Mes)+1)=N(P_L2_Gracia)+N(P_L2_Cuotas),IF((100-N(P_L2_Mes)+1)=1,N(P_L2_Monto),CZ$130),PMT(N(P_L2_Tasa)/12,N(P_L2_Cuotas),-N(P_L2_Monto))-DA$128),0)*DA$9</f>
        <v>0</v>
      </c>
      <c r="DB129" s="48">
        <f>IF(AND((101-N(P_L2_Mes)+1)&gt;N(P_L2_Gracia),(101-N(P_L2_Mes)+1)&lt;=N(P_L2_Gracia)+N(P_L2_Cuotas),N(P_L2_Cuotas)&gt;0),IF((101-N(P_L2_Mes)+1)=N(P_L2_Gracia)+N(P_L2_Cuotas),IF((101-N(P_L2_Mes)+1)=1,N(P_L2_Monto),DA$130),PMT(N(P_L2_Tasa)/12,N(P_L2_Cuotas),-N(P_L2_Monto))-DB$128),0)*DB$9</f>
        <v>0</v>
      </c>
      <c r="DC129" s="48">
        <f>IF(AND((102-N(P_L2_Mes)+1)&gt;N(P_L2_Gracia),(102-N(P_L2_Mes)+1)&lt;=N(P_L2_Gracia)+N(P_L2_Cuotas),N(P_L2_Cuotas)&gt;0),IF((102-N(P_L2_Mes)+1)=N(P_L2_Gracia)+N(P_L2_Cuotas),IF((102-N(P_L2_Mes)+1)=1,N(P_L2_Monto),DB$130),PMT(N(P_L2_Tasa)/12,N(P_L2_Cuotas),-N(P_L2_Monto))-DC$128),0)*DC$9</f>
        <v>0</v>
      </c>
      <c r="DD129" s="48">
        <f>IF(AND((103-N(P_L2_Mes)+1)&gt;N(P_L2_Gracia),(103-N(P_L2_Mes)+1)&lt;=N(P_L2_Gracia)+N(P_L2_Cuotas),N(P_L2_Cuotas)&gt;0),IF((103-N(P_L2_Mes)+1)=N(P_L2_Gracia)+N(P_L2_Cuotas),IF((103-N(P_L2_Mes)+1)=1,N(P_L2_Monto),DC$130),PMT(N(P_L2_Tasa)/12,N(P_L2_Cuotas),-N(P_L2_Monto))-DD$128),0)*DD$9</f>
        <v>0</v>
      </c>
      <c r="DE129" s="48">
        <f>IF(AND((104-N(P_L2_Mes)+1)&gt;N(P_L2_Gracia),(104-N(P_L2_Mes)+1)&lt;=N(P_L2_Gracia)+N(P_L2_Cuotas),N(P_L2_Cuotas)&gt;0),IF((104-N(P_L2_Mes)+1)=N(P_L2_Gracia)+N(P_L2_Cuotas),IF((104-N(P_L2_Mes)+1)=1,N(P_L2_Monto),DD$130),PMT(N(P_L2_Tasa)/12,N(P_L2_Cuotas),-N(P_L2_Monto))-DE$128),0)*DE$9</f>
        <v>0</v>
      </c>
      <c r="DF129" s="48">
        <f>IF(AND((105-N(P_L2_Mes)+1)&gt;N(P_L2_Gracia),(105-N(P_L2_Mes)+1)&lt;=N(P_L2_Gracia)+N(P_L2_Cuotas),N(P_L2_Cuotas)&gt;0),IF((105-N(P_L2_Mes)+1)=N(P_L2_Gracia)+N(P_L2_Cuotas),IF((105-N(P_L2_Mes)+1)=1,N(P_L2_Monto),DE$130),PMT(N(P_L2_Tasa)/12,N(P_L2_Cuotas),-N(P_L2_Monto))-DF$128),0)*DF$9</f>
        <v>0</v>
      </c>
      <c r="DG129" s="48">
        <f>IF(AND((106-N(P_L2_Mes)+1)&gt;N(P_L2_Gracia),(106-N(P_L2_Mes)+1)&lt;=N(P_L2_Gracia)+N(P_L2_Cuotas),N(P_L2_Cuotas)&gt;0),IF((106-N(P_L2_Mes)+1)=N(P_L2_Gracia)+N(P_L2_Cuotas),IF((106-N(P_L2_Mes)+1)=1,N(P_L2_Monto),DF$130),PMT(N(P_L2_Tasa)/12,N(P_L2_Cuotas),-N(P_L2_Monto))-DG$128),0)*DG$9</f>
        <v>0</v>
      </c>
      <c r="DH129" s="48">
        <f>IF(AND((107-N(P_L2_Mes)+1)&gt;N(P_L2_Gracia),(107-N(P_L2_Mes)+1)&lt;=N(P_L2_Gracia)+N(P_L2_Cuotas),N(P_L2_Cuotas)&gt;0),IF((107-N(P_L2_Mes)+1)=N(P_L2_Gracia)+N(P_L2_Cuotas),IF((107-N(P_L2_Mes)+1)=1,N(P_L2_Monto),DG$130),PMT(N(P_L2_Tasa)/12,N(P_L2_Cuotas),-N(P_L2_Monto))-DH$128),0)*DH$9</f>
        <v>0</v>
      </c>
      <c r="DI129" s="48">
        <f>IF(AND((108-N(P_L2_Mes)+1)&gt;N(P_L2_Gracia),(108-N(P_L2_Mes)+1)&lt;=N(P_L2_Gracia)+N(P_L2_Cuotas),N(P_L2_Cuotas)&gt;0),IF((108-N(P_L2_Mes)+1)=N(P_L2_Gracia)+N(P_L2_Cuotas),IF((108-N(P_L2_Mes)+1)=1,N(P_L2_Monto),DH$130),PMT(N(P_L2_Tasa)/12,N(P_L2_Cuotas),-N(P_L2_Monto))-DI$128),0)*DI$9</f>
        <v>0</v>
      </c>
      <c r="DJ129" s="48">
        <f>IF(AND((109-N(P_L2_Mes)+1)&gt;N(P_L2_Gracia),(109-N(P_L2_Mes)+1)&lt;=N(P_L2_Gracia)+N(P_L2_Cuotas),N(P_L2_Cuotas)&gt;0),IF((109-N(P_L2_Mes)+1)=N(P_L2_Gracia)+N(P_L2_Cuotas),IF((109-N(P_L2_Mes)+1)=1,N(P_L2_Monto),DI$130),PMT(N(P_L2_Tasa)/12,N(P_L2_Cuotas),-N(P_L2_Monto))-DJ$128),0)*DJ$9</f>
        <v>0</v>
      </c>
      <c r="DK129" s="48">
        <f>IF(AND((110-N(P_L2_Mes)+1)&gt;N(P_L2_Gracia),(110-N(P_L2_Mes)+1)&lt;=N(P_L2_Gracia)+N(P_L2_Cuotas),N(P_L2_Cuotas)&gt;0),IF((110-N(P_L2_Mes)+1)=N(P_L2_Gracia)+N(P_L2_Cuotas),IF((110-N(P_L2_Mes)+1)=1,N(P_L2_Monto),DJ$130),PMT(N(P_L2_Tasa)/12,N(P_L2_Cuotas),-N(P_L2_Monto))-DK$128),0)*DK$9</f>
        <v>0</v>
      </c>
      <c r="DL129" s="48">
        <f>IF(AND((111-N(P_L2_Mes)+1)&gt;N(P_L2_Gracia),(111-N(P_L2_Mes)+1)&lt;=N(P_L2_Gracia)+N(P_L2_Cuotas),N(P_L2_Cuotas)&gt;0),IF((111-N(P_L2_Mes)+1)=N(P_L2_Gracia)+N(P_L2_Cuotas),IF((111-N(P_L2_Mes)+1)=1,N(P_L2_Monto),DK$130),PMT(N(P_L2_Tasa)/12,N(P_L2_Cuotas),-N(P_L2_Monto))-DL$128),0)*DL$9</f>
        <v>0</v>
      </c>
      <c r="DM129" s="48">
        <f>IF(AND((112-N(P_L2_Mes)+1)&gt;N(P_L2_Gracia),(112-N(P_L2_Mes)+1)&lt;=N(P_L2_Gracia)+N(P_L2_Cuotas),N(P_L2_Cuotas)&gt;0),IF((112-N(P_L2_Mes)+1)=N(P_L2_Gracia)+N(P_L2_Cuotas),IF((112-N(P_L2_Mes)+1)=1,N(P_L2_Monto),DL$130),PMT(N(P_L2_Tasa)/12,N(P_L2_Cuotas),-N(P_L2_Monto))-DM$128),0)*DM$9</f>
        <v>0</v>
      </c>
      <c r="DN129" s="48">
        <f>IF(AND((113-N(P_L2_Mes)+1)&gt;N(P_L2_Gracia),(113-N(P_L2_Mes)+1)&lt;=N(P_L2_Gracia)+N(P_L2_Cuotas),N(P_L2_Cuotas)&gt;0),IF((113-N(P_L2_Mes)+1)=N(P_L2_Gracia)+N(P_L2_Cuotas),IF((113-N(P_L2_Mes)+1)=1,N(P_L2_Monto),DM$130),PMT(N(P_L2_Tasa)/12,N(P_L2_Cuotas),-N(P_L2_Monto))-DN$128),0)*DN$9</f>
        <v>0</v>
      </c>
      <c r="DO129" s="48">
        <f>IF(AND((114-N(P_L2_Mes)+1)&gt;N(P_L2_Gracia),(114-N(P_L2_Mes)+1)&lt;=N(P_L2_Gracia)+N(P_L2_Cuotas),N(P_L2_Cuotas)&gt;0),IF((114-N(P_L2_Mes)+1)=N(P_L2_Gracia)+N(P_L2_Cuotas),IF((114-N(P_L2_Mes)+1)=1,N(P_L2_Monto),DN$130),PMT(N(P_L2_Tasa)/12,N(P_L2_Cuotas),-N(P_L2_Monto))-DO$128),0)*DO$9</f>
        <v>0</v>
      </c>
      <c r="DP129" s="48">
        <f>IF(AND((115-N(P_L2_Mes)+1)&gt;N(P_L2_Gracia),(115-N(P_L2_Mes)+1)&lt;=N(P_L2_Gracia)+N(P_L2_Cuotas),N(P_L2_Cuotas)&gt;0),IF((115-N(P_L2_Mes)+1)=N(P_L2_Gracia)+N(P_L2_Cuotas),IF((115-N(P_L2_Mes)+1)=1,N(P_L2_Monto),DO$130),PMT(N(P_L2_Tasa)/12,N(P_L2_Cuotas),-N(P_L2_Monto))-DP$128),0)*DP$9</f>
        <v>0</v>
      </c>
      <c r="DQ129" s="48">
        <f>IF(AND((116-N(P_L2_Mes)+1)&gt;N(P_L2_Gracia),(116-N(P_L2_Mes)+1)&lt;=N(P_L2_Gracia)+N(P_L2_Cuotas),N(P_L2_Cuotas)&gt;0),IF((116-N(P_L2_Mes)+1)=N(P_L2_Gracia)+N(P_L2_Cuotas),IF((116-N(P_L2_Mes)+1)=1,N(P_L2_Monto),DP$130),PMT(N(P_L2_Tasa)/12,N(P_L2_Cuotas),-N(P_L2_Monto))-DQ$128),0)*DQ$9</f>
        <v>0</v>
      </c>
      <c r="DR129" s="48">
        <f>IF(AND((117-N(P_L2_Mes)+1)&gt;N(P_L2_Gracia),(117-N(P_L2_Mes)+1)&lt;=N(P_L2_Gracia)+N(P_L2_Cuotas),N(P_L2_Cuotas)&gt;0),IF((117-N(P_L2_Mes)+1)=N(P_L2_Gracia)+N(P_L2_Cuotas),IF((117-N(P_L2_Mes)+1)=1,N(P_L2_Monto),DQ$130),PMT(N(P_L2_Tasa)/12,N(P_L2_Cuotas),-N(P_L2_Monto))-DR$128),0)*DR$9</f>
        <v>0</v>
      </c>
      <c r="DS129" s="48">
        <f>IF(AND((118-N(P_L2_Mes)+1)&gt;N(P_L2_Gracia),(118-N(P_L2_Mes)+1)&lt;=N(P_L2_Gracia)+N(P_L2_Cuotas),N(P_L2_Cuotas)&gt;0),IF((118-N(P_L2_Mes)+1)=N(P_L2_Gracia)+N(P_L2_Cuotas),IF((118-N(P_L2_Mes)+1)=1,N(P_L2_Monto),DR$130),PMT(N(P_L2_Tasa)/12,N(P_L2_Cuotas),-N(P_L2_Monto))-DS$128),0)*DS$9</f>
        <v>0</v>
      </c>
      <c r="DT129" s="48">
        <f>IF(AND((119-N(P_L2_Mes)+1)&gt;N(P_L2_Gracia),(119-N(P_L2_Mes)+1)&lt;=N(P_L2_Gracia)+N(P_L2_Cuotas),N(P_L2_Cuotas)&gt;0),IF((119-N(P_L2_Mes)+1)=N(P_L2_Gracia)+N(P_L2_Cuotas),IF((119-N(P_L2_Mes)+1)=1,N(P_L2_Monto),DS$130),PMT(N(P_L2_Tasa)/12,N(P_L2_Cuotas),-N(P_L2_Monto))-DT$128),0)*DT$9</f>
        <v>0</v>
      </c>
      <c r="DU129" s="48">
        <f>IF(AND((120-N(P_L2_Mes)+1)&gt;N(P_L2_Gracia),(120-N(P_L2_Mes)+1)&lt;=N(P_L2_Gracia)+N(P_L2_Cuotas),N(P_L2_Cuotas)&gt;0),IF((120-N(P_L2_Mes)+1)=N(P_L2_Gracia)+N(P_L2_Cuotas),IF((120-N(P_L2_Mes)+1)=1,N(P_L2_Monto),DT$130),PMT(N(P_L2_Tasa)/12,N(P_L2_Cuotas),-N(P_L2_Monto))-DU$128),0)*DU$9</f>
        <v>0</v>
      </c>
      <c r="DV129" s="48">
        <f>IF(AND((121-N(P_L2_Mes)+1)&gt;N(P_L2_Gracia),(121-N(P_L2_Mes)+1)&lt;=N(P_L2_Gracia)+N(P_L2_Cuotas),N(P_L2_Cuotas)&gt;0),IF((121-N(P_L2_Mes)+1)=N(P_L2_Gracia)+N(P_L2_Cuotas),IF((121-N(P_L2_Mes)+1)=1,N(P_L2_Monto),DU$130),PMT(N(P_L2_Tasa)/12,N(P_L2_Cuotas),-N(P_L2_Monto))-DV$128),0)*DV$9</f>
        <v>0</v>
      </c>
      <c r="DW129" s="48">
        <f>IF(AND((122-N(P_L2_Mes)+1)&gt;N(P_L2_Gracia),(122-N(P_L2_Mes)+1)&lt;=N(P_L2_Gracia)+N(P_L2_Cuotas),N(P_L2_Cuotas)&gt;0),IF((122-N(P_L2_Mes)+1)=N(P_L2_Gracia)+N(P_L2_Cuotas),IF((122-N(P_L2_Mes)+1)=1,N(P_L2_Monto),DV$130),PMT(N(P_L2_Tasa)/12,N(P_L2_Cuotas),-N(P_L2_Monto))-DW$128),0)*DW$9</f>
        <v>0</v>
      </c>
      <c r="DX129" s="48">
        <f>IF(AND((123-N(P_L2_Mes)+1)&gt;N(P_L2_Gracia),(123-N(P_L2_Mes)+1)&lt;=N(P_L2_Gracia)+N(P_L2_Cuotas),N(P_L2_Cuotas)&gt;0),IF((123-N(P_L2_Mes)+1)=N(P_L2_Gracia)+N(P_L2_Cuotas),IF((123-N(P_L2_Mes)+1)=1,N(P_L2_Monto),DW$130),PMT(N(P_L2_Tasa)/12,N(P_L2_Cuotas),-N(P_L2_Monto))-DX$128),0)*DX$9</f>
        <v>0</v>
      </c>
      <c r="DY129" s="48">
        <f>IF(AND((124-N(P_L2_Mes)+1)&gt;N(P_L2_Gracia),(124-N(P_L2_Mes)+1)&lt;=N(P_L2_Gracia)+N(P_L2_Cuotas),N(P_L2_Cuotas)&gt;0),IF((124-N(P_L2_Mes)+1)=N(P_L2_Gracia)+N(P_L2_Cuotas),IF((124-N(P_L2_Mes)+1)=1,N(P_L2_Monto),DX$130),PMT(N(P_L2_Tasa)/12,N(P_L2_Cuotas),-N(P_L2_Monto))-DY$128),0)*DY$9</f>
        <v>0</v>
      </c>
      <c r="DZ129" s="48">
        <f>IF(AND((125-N(P_L2_Mes)+1)&gt;N(P_L2_Gracia),(125-N(P_L2_Mes)+1)&lt;=N(P_L2_Gracia)+N(P_L2_Cuotas),N(P_L2_Cuotas)&gt;0),IF((125-N(P_L2_Mes)+1)=N(P_L2_Gracia)+N(P_L2_Cuotas),IF((125-N(P_L2_Mes)+1)=1,N(P_L2_Monto),DY$130),PMT(N(P_L2_Tasa)/12,N(P_L2_Cuotas),-N(P_L2_Monto))-DZ$128),0)*DZ$9</f>
        <v>0</v>
      </c>
      <c r="EA129" s="48">
        <f>IF(AND((126-N(P_L2_Mes)+1)&gt;N(P_L2_Gracia),(126-N(P_L2_Mes)+1)&lt;=N(P_L2_Gracia)+N(P_L2_Cuotas),N(P_L2_Cuotas)&gt;0),IF((126-N(P_L2_Mes)+1)=N(P_L2_Gracia)+N(P_L2_Cuotas),IF((126-N(P_L2_Mes)+1)=1,N(P_L2_Monto),DZ$130),PMT(N(P_L2_Tasa)/12,N(P_L2_Cuotas),-N(P_L2_Monto))-EA$128),0)*EA$9</f>
        <v>0</v>
      </c>
      <c r="EB129" s="48">
        <f>IF(AND((127-N(P_L2_Mes)+1)&gt;N(P_L2_Gracia),(127-N(P_L2_Mes)+1)&lt;=N(P_L2_Gracia)+N(P_L2_Cuotas),N(P_L2_Cuotas)&gt;0),IF((127-N(P_L2_Mes)+1)=N(P_L2_Gracia)+N(P_L2_Cuotas),IF((127-N(P_L2_Mes)+1)=1,N(P_L2_Monto),EA$130),PMT(N(P_L2_Tasa)/12,N(P_L2_Cuotas),-N(P_L2_Monto))-EB$128),0)*EB$9</f>
        <v>0</v>
      </c>
      <c r="EC129" s="48">
        <f>IF(AND((128-N(P_L2_Mes)+1)&gt;N(P_L2_Gracia),(128-N(P_L2_Mes)+1)&lt;=N(P_L2_Gracia)+N(P_L2_Cuotas),N(P_L2_Cuotas)&gt;0),IF((128-N(P_L2_Mes)+1)=N(P_L2_Gracia)+N(P_L2_Cuotas),IF((128-N(P_L2_Mes)+1)=1,N(P_L2_Monto),EB$130),PMT(N(P_L2_Tasa)/12,N(P_L2_Cuotas),-N(P_L2_Monto))-EC$128),0)*EC$9</f>
        <v>0</v>
      </c>
      <c r="ED129" s="48">
        <f>IF(AND((129-N(P_L2_Mes)+1)&gt;N(P_L2_Gracia),(129-N(P_L2_Mes)+1)&lt;=N(P_L2_Gracia)+N(P_L2_Cuotas),N(P_L2_Cuotas)&gt;0),IF((129-N(P_L2_Mes)+1)=N(P_L2_Gracia)+N(P_L2_Cuotas),IF((129-N(P_L2_Mes)+1)=1,N(P_L2_Monto),EC$130),PMT(N(P_L2_Tasa)/12,N(P_L2_Cuotas),-N(P_L2_Monto))-ED$128),0)*ED$9</f>
        <v>0</v>
      </c>
      <c r="EE129" s="48">
        <f>IF(AND((130-N(P_L2_Mes)+1)&gt;N(P_L2_Gracia),(130-N(P_L2_Mes)+1)&lt;=N(P_L2_Gracia)+N(P_L2_Cuotas),N(P_L2_Cuotas)&gt;0),IF((130-N(P_L2_Mes)+1)=N(P_L2_Gracia)+N(P_L2_Cuotas),IF((130-N(P_L2_Mes)+1)=1,N(P_L2_Monto),ED$130),PMT(N(P_L2_Tasa)/12,N(P_L2_Cuotas),-N(P_L2_Monto))-EE$128),0)*EE$9</f>
        <v>0</v>
      </c>
      <c r="EF129" s="48">
        <f>IF(AND((131-N(P_L2_Mes)+1)&gt;N(P_L2_Gracia),(131-N(P_L2_Mes)+1)&lt;=N(P_L2_Gracia)+N(P_L2_Cuotas),N(P_L2_Cuotas)&gt;0),IF((131-N(P_L2_Mes)+1)=N(P_L2_Gracia)+N(P_L2_Cuotas),IF((131-N(P_L2_Mes)+1)=1,N(P_L2_Monto),EE$130),PMT(N(P_L2_Tasa)/12,N(P_L2_Cuotas),-N(P_L2_Monto))-EF$128),0)*EF$9</f>
        <v>0</v>
      </c>
      <c r="EG129" s="48">
        <f>IF(AND((132-N(P_L2_Mes)+1)&gt;N(P_L2_Gracia),(132-N(P_L2_Mes)+1)&lt;=N(P_L2_Gracia)+N(P_L2_Cuotas),N(P_L2_Cuotas)&gt;0),IF((132-N(P_L2_Mes)+1)=N(P_L2_Gracia)+N(P_L2_Cuotas),IF((132-N(P_L2_Mes)+1)=1,N(P_L2_Monto),EF$130),PMT(N(P_L2_Tasa)/12,N(P_L2_Cuotas),-N(P_L2_Monto))-EG$128),0)*EG$9</f>
        <v>0</v>
      </c>
      <c r="EH129" s="48">
        <f>IF(AND((133-N(P_L2_Mes)+1)&gt;N(P_L2_Gracia),(133-N(P_L2_Mes)+1)&lt;=N(P_L2_Gracia)+N(P_L2_Cuotas),N(P_L2_Cuotas)&gt;0),IF((133-N(P_L2_Mes)+1)=N(P_L2_Gracia)+N(P_L2_Cuotas),IF((133-N(P_L2_Mes)+1)=1,N(P_L2_Monto),EG$130),PMT(N(P_L2_Tasa)/12,N(P_L2_Cuotas),-N(P_L2_Monto))-EH$128),0)*EH$9</f>
        <v>0</v>
      </c>
      <c r="EI129" s="48">
        <f>IF(AND((134-N(P_L2_Mes)+1)&gt;N(P_L2_Gracia),(134-N(P_L2_Mes)+1)&lt;=N(P_L2_Gracia)+N(P_L2_Cuotas),N(P_L2_Cuotas)&gt;0),IF((134-N(P_L2_Mes)+1)=N(P_L2_Gracia)+N(P_L2_Cuotas),IF((134-N(P_L2_Mes)+1)=1,N(P_L2_Monto),EH$130),PMT(N(P_L2_Tasa)/12,N(P_L2_Cuotas),-N(P_L2_Monto))-EI$128),0)*EI$9</f>
        <v>0</v>
      </c>
      <c r="EJ129" s="48">
        <f>IF(AND((135-N(P_L2_Mes)+1)&gt;N(P_L2_Gracia),(135-N(P_L2_Mes)+1)&lt;=N(P_L2_Gracia)+N(P_L2_Cuotas),N(P_L2_Cuotas)&gt;0),IF((135-N(P_L2_Mes)+1)=N(P_L2_Gracia)+N(P_L2_Cuotas),IF((135-N(P_L2_Mes)+1)=1,N(P_L2_Monto),EI$130),PMT(N(P_L2_Tasa)/12,N(P_L2_Cuotas),-N(P_L2_Monto))-EJ$128),0)*EJ$9</f>
        <v>0</v>
      </c>
      <c r="EK129" s="48">
        <f>IF(AND((136-N(P_L2_Mes)+1)&gt;N(P_L2_Gracia),(136-N(P_L2_Mes)+1)&lt;=N(P_L2_Gracia)+N(P_L2_Cuotas),N(P_L2_Cuotas)&gt;0),IF((136-N(P_L2_Mes)+1)=N(P_L2_Gracia)+N(P_L2_Cuotas),IF((136-N(P_L2_Mes)+1)=1,N(P_L2_Monto),EJ$130),PMT(N(P_L2_Tasa)/12,N(P_L2_Cuotas),-N(P_L2_Monto))-EK$128),0)*EK$9</f>
        <v>0</v>
      </c>
      <c r="EL129" s="48">
        <f>IF(AND((137-N(P_L2_Mes)+1)&gt;N(P_L2_Gracia),(137-N(P_L2_Mes)+1)&lt;=N(P_L2_Gracia)+N(P_L2_Cuotas),N(P_L2_Cuotas)&gt;0),IF((137-N(P_L2_Mes)+1)=N(P_L2_Gracia)+N(P_L2_Cuotas),IF((137-N(P_L2_Mes)+1)=1,N(P_L2_Monto),EK$130),PMT(N(P_L2_Tasa)/12,N(P_L2_Cuotas),-N(P_L2_Monto))-EL$128),0)*EL$9</f>
        <v>0</v>
      </c>
      <c r="EM129" s="48">
        <f>IF(AND((138-N(P_L2_Mes)+1)&gt;N(P_L2_Gracia),(138-N(P_L2_Mes)+1)&lt;=N(P_L2_Gracia)+N(P_L2_Cuotas),N(P_L2_Cuotas)&gt;0),IF((138-N(P_L2_Mes)+1)=N(P_L2_Gracia)+N(P_L2_Cuotas),IF((138-N(P_L2_Mes)+1)=1,N(P_L2_Monto),EL$130),PMT(N(P_L2_Tasa)/12,N(P_L2_Cuotas),-N(P_L2_Monto))-EM$128),0)*EM$9</f>
        <v>0</v>
      </c>
      <c r="EN129" s="48">
        <f>IF(AND((139-N(P_L2_Mes)+1)&gt;N(P_L2_Gracia),(139-N(P_L2_Mes)+1)&lt;=N(P_L2_Gracia)+N(P_L2_Cuotas),N(P_L2_Cuotas)&gt;0),IF((139-N(P_L2_Mes)+1)=N(P_L2_Gracia)+N(P_L2_Cuotas),IF((139-N(P_L2_Mes)+1)=1,N(P_L2_Monto),EM$130),PMT(N(P_L2_Tasa)/12,N(P_L2_Cuotas),-N(P_L2_Monto))-EN$128),0)*EN$9</f>
        <v>0</v>
      </c>
      <c r="EO129" s="48">
        <f>IF(AND((140-N(P_L2_Mes)+1)&gt;N(P_L2_Gracia),(140-N(P_L2_Mes)+1)&lt;=N(P_L2_Gracia)+N(P_L2_Cuotas),N(P_L2_Cuotas)&gt;0),IF((140-N(P_L2_Mes)+1)=N(P_L2_Gracia)+N(P_L2_Cuotas),IF((140-N(P_L2_Mes)+1)=1,N(P_L2_Monto),EN$130),PMT(N(P_L2_Tasa)/12,N(P_L2_Cuotas),-N(P_L2_Monto))-EO$128),0)*EO$9</f>
        <v>0</v>
      </c>
      <c r="EP129" s="48">
        <f>IF(AND((141-N(P_L2_Mes)+1)&gt;N(P_L2_Gracia),(141-N(P_L2_Mes)+1)&lt;=N(P_L2_Gracia)+N(P_L2_Cuotas),N(P_L2_Cuotas)&gt;0),IF((141-N(P_L2_Mes)+1)=N(P_L2_Gracia)+N(P_L2_Cuotas),IF((141-N(P_L2_Mes)+1)=1,N(P_L2_Monto),EO$130),PMT(N(P_L2_Tasa)/12,N(P_L2_Cuotas),-N(P_L2_Monto))-EP$128),0)*EP$9</f>
        <v>0</v>
      </c>
      <c r="EQ129" s="48">
        <f>IF(AND((142-N(P_L2_Mes)+1)&gt;N(P_L2_Gracia),(142-N(P_L2_Mes)+1)&lt;=N(P_L2_Gracia)+N(P_L2_Cuotas),N(P_L2_Cuotas)&gt;0),IF((142-N(P_L2_Mes)+1)=N(P_L2_Gracia)+N(P_L2_Cuotas),IF((142-N(P_L2_Mes)+1)=1,N(P_L2_Monto),EP$130),PMT(N(P_L2_Tasa)/12,N(P_L2_Cuotas),-N(P_L2_Monto))-EQ$128),0)*EQ$9</f>
        <v>0</v>
      </c>
      <c r="ER129" s="48">
        <f>IF(AND((143-N(P_L2_Mes)+1)&gt;N(P_L2_Gracia),(143-N(P_L2_Mes)+1)&lt;=N(P_L2_Gracia)+N(P_L2_Cuotas),N(P_L2_Cuotas)&gt;0),IF((143-N(P_L2_Mes)+1)=N(P_L2_Gracia)+N(P_L2_Cuotas),IF((143-N(P_L2_Mes)+1)=1,N(P_L2_Monto),EQ$130),PMT(N(P_L2_Tasa)/12,N(P_L2_Cuotas),-N(P_L2_Monto))-ER$128),0)*ER$9</f>
        <v>0</v>
      </c>
      <c r="ES129" s="48">
        <f>IF(AND((144-N(P_L2_Mes)+1)&gt;N(P_L2_Gracia),(144-N(P_L2_Mes)+1)&lt;=N(P_L2_Gracia)+N(P_L2_Cuotas),N(P_L2_Cuotas)&gt;0),IF((144-N(P_L2_Mes)+1)=N(P_L2_Gracia)+N(P_L2_Cuotas),IF((144-N(P_L2_Mes)+1)=1,N(P_L2_Monto),ER$130),PMT(N(P_L2_Tasa)/12,N(P_L2_Cuotas),-N(P_L2_Monto))-ES$128),0)*ES$9</f>
        <v>0</v>
      </c>
    </row>
    <row r="130" spans="1:149" x14ac:dyDescent="0.3">
      <c r="A130" s="14" t="s">
        <v>1156</v>
      </c>
      <c r="B130" s="18" t="s">
        <v>1157</v>
      </c>
      <c r="C130" s="18" t="s">
        <v>439</v>
      </c>
      <c r="E130" s="54">
        <f>INDEX(F130:ES130,1,MIN(144,Fin))</f>
        <v>0</v>
      </c>
      <c r="F130" s="48">
        <f>IF((1-N(P_L2_Mes)+1)&lt;1,0,IF((1-N(P_L2_Mes)+1)=1,N(P_L2_Monto),0)-F$129)</f>
        <v>0</v>
      </c>
      <c r="G130" s="48">
        <f>IF((2-N(P_L2_Mes)+1)&lt;1,0,IF((2-N(P_L2_Mes)+1)=1,N(P_L2_Monto),F$130)-G$129)</f>
        <v>0</v>
      </c>
      <c r="H130" s="48">
        <f>IF((3-N(P_L2_Mes)+1)&lt;1,0,IF((3-N(P_L2_Mes)+1)=1,N(P_L2_Monto),G$130)-H$129)</f>
        <v>0</v>
      </c>
      <c r="I130" s="48">
        <f>IF((4-N(P_L2_Mes)+1)&lt;1,0,IF((4-N(P_L2_Mes)+1)=1,N(P_L2_Monto),H$130)-I$129)</f>
        <v>0</v>
      </c>
      <c r="J130" s="48">
        <f>IF((5-N(P_L2_Mes)+1)&lt;1,0,IF((5-N(P_L2_Mes)+1)=1,N(P_L2_Monto),I$130)-J$129)</f>
        <v>0</v>
      </c>
      <c r="K130" s="48">
        <f>IF((6-N(P_L2_Mes)+1)&lt;1,0,IF((6-N(P_L2_Mes)+1)=1,N(P_L2_Monto),J$130)-K$129)</f>
        <v>0</v>
      </c>
      <c r="L130" s="48">
        <f>IF((7-N(P_L2_Mes)+1)&lt;1,0,IF((7-N(P_L2_Mes)+1)=1,N(P_L2_Monto),K$130)-L$129)</f>
        <v>0</v>
      </c>
      <c r="M130" s="48">
        <f>IF((8-N(P_L2_Mes)+1)&lt;1,0,IF((8-N(P_L2_Mes)+1)=1,N(P_L2_Monto),L$130)-M$129)</f>
        <v>0</v>
      </c>
      <c r="N130" s="48">
        <f>IF((9-N(P_L2_Mes)+1)&lt;1,0,IF((9-N(P_L2_Mes)+1)=1,N(P_L2_Monto),M$130)-N$129)</f>
        <v>0</v>
      </c>
      <c r="O130" s="48">
        <f>IF((10-N(P_L2_Mes)+1)&lt;1,0,IF((10-N(P_L2_Mes)+1)=1,N(P_L2_Monto),N$130)-O$129)</f>
        <v>0</v>
      </c>
      <c r="P130" s="48">
        <f>IF((11-N(P_L2_Mes)+1)&lt;1,0,IF((11-N(P_L2_Mes)+1)=1,N(P_L2_Monto),O$130)-P$129)</f>
        <v>0</v>
      </c>
      <c r="Q130" s="48">
        <f>IF((12-N(P_L2_Mes)+1)&lt;1,0,IF((12-N(P_L2_Mes)+1)=1,N(P_L2_Monto),P$130)-Q$129)</f>
        <v>0</v>
      </c>
      <c r="R130" s="48">
        <f>IF((13-N(P_L2_Mes)+1)&lt;1,0,IF((13-N(P_L2_Mes)+1)=1,N(P_L2_Monto),Q$130)-R$129)</f>
        <v>0</v>
      </c>
      <c r="S130" s="48">
        <f>IF((14-N(P_L2_Mes)+1)&lt;1,0,IF((14-N(P_L2_Mes)+1)=1,N(P_L2_Monto),R$130)-S$129)</f>
        <v>0</v>
      </c>
      <c r="T130" s="48">
        <f>IF((15-N(P_L2_Mes)+1)&lt;1,0,IF((15-N(P_L2_Mes)+1)=1,N(P_L2_Monto),S$130)-T$129)</f>
        <v>0</v>
      </c>
      <c r="U130" s="48">
        <f>IF((16-N(P_L2_Mes)+1)&lt;1,0,IF((16-N(P_L2_Mes)+1)=1,N(P_L2_Monto),T$130)-U$129)</f>
        <v>0</v>
      </c>
      <c r="V130" s="48">
        <f>IF((17-N(P_L2_Mes)+1)&lt;1,0,IF((17-N(P_L2_Mes)+1)=1,N(P_L2_Monto),U$130)-V$129)</f>
        <v>0</v>
      </c>
      <c r="W130" s="48">
        <f>IF((18-N(P_L2_Mes)+1)&lt;1,0,IF((18-N(P_L2_Mes)+1)=1,N(P_L2_Monto),V$130)-W$129)</f>
        <v>0</v>
      </c>
      <c r="X130" s="48">
        <f>IF((19-N(P_L2_Mes)+1)&lt;1,0,IF((19-N(P_L2_Mes)+1)=1,N(P_L2_Monto),W$130)-X$129)</f>
        <v>0</v>
      </c>
      <c r="Y130" s="48">
        <f>IF((20-N(P_L2_Mes)+1)&lt;1,0,IF((20-N(P_L2_Mes)+1)=1,N(P_L2_Monto),X$130)-Y$129)</f>
        <v>0</v>
      </c>
      <c r="Z130" s="48">
        <f>IF((21-N(P_L2_Mes)+1)&lt;1,0,IF((21-N(P_L2_Mes)+1)=1,N(P_L2_Monto),Y$130)-Z$129)</f>
        <v>0</v>
      </c>
      <c r="AA130" s="48">
        <f>IF((22-N(P_L2_Mes)+1)&lt;1,0,IF((22-N(P_L2_Mes)+1)=1,N(P_L2_Monto),Z$130)-AA$129)</f>
        <v>0</v>
      </c>
      <c r="AB130" s="48">
        <f>IF((23-N(P_L2_Mes)+1)&lt;1,0,IF((23-N(P_L2_Mes)+1)=1,N(P_L2_Monto),AA$130)-AB$129)</f>
        <v>0</v>
      </c>
      <c r="AC130" s="48">
        <f>IF((24-N(P_L2_Mes)+1)&lt;1,0,IF((24-N(P_L2_Mes)+1)=1,N(P_L2_Monto),AB$130)-AC$129)</f>
        <v>0</v>
      </c>
      <c r="AD130" s="48">
        <f>IF((25-N(P_L2_Mes)+1)&lt;1,0,IF((25-N(P_L2_Mes)+1)=1,N(P_L2_Monto),AC$130)-AD$129)</f>
        <v>0</v>
      </c>
      <c r="AE130" s="48">
        <f>IF((26-N(P_L2_Mes)+1)&lt;1,0,IF((26-N(P_L2_Mes)+1)=1,N(P_L2_Monto),AD$130)-AE$129)</f>
        <v>0</v>
      </c>
      <c r="AF130" s="48">
        <f>IF((27-N(P_L2_Mes)+1)&lt;1,0,IF((27-N(P_L2_Mes)+1)=1,N(P_L2_Monto),AE$130)-AF$129)</f>
        <v>0</v>
      </c>
      <c r="AG130" s="48">
        <f>IF((28-N(P_L2_Mes)+1)&lt;1,0,IF((28-N(P_L2_Mes)+1)=1,N(P_L2_Monto),AF$130)-AG$129)</f>
        <v>0</v>
      </c>
      <c r="AH130" s="48">
        <f>IF((29-N(P_L2_Mes)+1)&lt;1,0,IF((29-N(P_L2_Mes)+1)=1,N(P_L2_Monto),AG$130)-AH$129)</f>
        <v>0</v>
      </c>
      <c r="AI130" s="48">
        <f>IF((30-N(P_L2_Mes)+1)&lt;1,0,IF((30-N(P_L2_Mes)+1)=1,N(P_L2_Monto),AH$130)-AI$129)</f>
        <v>0</v>
      </c>
      <c r="AJ130" s="48">
        <f>IF((31-N(P_L2_Mes)+1)&lt;1,0,IF((31-N(P_L2_Mes)+1)=1,N(P_L2_Monto),AI$130)-AJ$129)</f>
        <v>0</v>
      </c>
      <c r="AK130" s="48">
        <f>IF((32-N(P_L2_Mes)+1)&lt;1,0,IF((32-N(P_L2_Mes)+1)=1,N(P_L2_Monto),AJ$130)-AK$129)</f>
        <v>0</v>
      </c>
      <c r="AL130" s="48">
        <f>IF((33-N(P_L2_Mes)+1)&lt;1,0,IF((33-N(P_L2_Mes)+1)=1,N(P_L2_Monto),AK$130)-AL$129)</f>
        <v>0</v>
      </c>
      <c r="AM130" s="48">
        <f>IF((34-N(P_L2_Mes)+1)&lt;1,0,IF((34-N(P_L2_Mes)+1)=1,N(P_L2_Monto),AL$130)-AM$129)</f>
        <v>0</v>
      </c>
      <c r="AN130" s="48">
        <f>IF((35-N(P_L2_Mes)+1)&lt;1,0,IF((35-N(P_L2_Mes)+1)=1,N(P_L2_Monto),AM$130)-AN$129)</f>
        <v>0</v>
      </c>
      <c r="AO130" s="48">
        <f>IF((36-N(P_L2_Mes)+1)&lt;1,0,IF((36-N(P_L2_Mes)+1)=1,N(P_L2_Monto),AN$130)-AO$129)</f>
        <v>0</v>
      </c>
      <c r="AP130" s="48">
        <f>IF((37-N(P_L2_Mes)+1)&lt;1,0,IF((37-N(P_L2_Mes)+1)=1,N(P_L2_Monto),AO$130)-AP$129)</f>
        <v>0</v>
      </c>
      <c r="AQ130" s="48">
        <f>IF((38-N(P_L2_Mes)+1)&lt;1,0,IF((38-N(P_L2_Mes)+1)=1,N(P_L2_Monto),AP$130)-AQ$129)</f>
        <v>0</v>
      </c>
      <c r="AR130" s="48">
        <f>IF((39-N(P_L2_Mes)+1)&lt;1,0,IF((39-N(P_L2_Mes)+1)=1,N(P_L2_Monto),AQ$130)-AR$129)</f>
        <v>0</v>
      </c>
      <c r="AS130" s="48">
        <f>IF((40-N(P_L2_Mes)+1)&lt;1,0,IF((40-N(P_L2_Mes)+1)=1,N(P_L2_Monto),AR$130)-AS$129)</f>
        <v>0</v>
      </c>
      <c r="AT130" s="48">
        <f>IF((41-N(P_L2_Mes)+1)&lt;1,0,IF((41-N(P_L2_Mes)+1)=1,N(P_L2_Monto),AS$130)-AT$129)</f>
        <v>0</v>
      </c>
      <c r="AU130" s="48">
        <f>IF((42-N(P_L2_Mes)+1)&lt;1,0,IF((42-N(P_L2_Mes)+1)=1,N(P_L2_Monto),AT$130)-AU$129)</f>
        <v>0</v>
      </c>
      <c r="AV130" s="48">
        <f>IF((43-N(P_L2_Mes)+1)&lt;1,0,IF((43-N(P_L2_Mes)+1)=1,N(P_L2_Monto),AU$130)-AV$129)</f>
        <v>0</v>
      </c>
      <c r="AW130" s="48">
        <f>IF((44-N(P_L2_Mes)+1)&lt;1,0,IF((44-N(P_L2_Mes)+1)=1,N(P_L2_Monto),AV$130)-AW$129)</f>
        <v>0</v>
      </c>
      <c r="AX130" s="48">
        <f>IF((45-N(P_L2_Mes)+1)&lt;1,0,IF((45-N(P_L2_Mes)+1)=1,N(P_L2_Monto),AW$130)-AX$129)</f>
        <v>0</v>
      </c>
      <c r="AY130" s="48">
        <f>IF((46-N(P_L2_Mes)+1)&lt;1,0,IF((46-N(P_L2_Mes)+1)=1,N(P_L2_Monto),AX$130)-AY$129)</f>
        <v>0</v>
      </c>
      <c r="AZ130" s="48">
        <f>IF((47-N(P_L2_Mes)+1)&lt;1,0,IF((47-N(P_L2_Mes)+1)=1,N(P_L2_Monto),AY$130)-AZ$129)</f>
        <v>0</v>
      </c>
      <c r="BA130" s="48">
        <f>IF((48-N(P_L2_Mes)+1)&lt;1,0,IF((48-N(P_L2_Mes)+1)=1,N(P_L2_Monto),AZ$130)-BA$129)</f>
        <v>0</v>
      </c>
      <c r="BB130" s="48">
        <f>IF((49-N(P_L2_Mes)+1)&lt;1,0,IF((49-N(P_L2_Mes)+1)=1,N(P_L2_Monto),BA$130)-BB$129)</f>
        <v>0</v>
      </c>
      <c r="BC130" s="48">
        <f>IF((50-N(P_L2_Mes)+1)&lt;1,0,IF((50-N(P_L2_Mes)+1)=1,N(P_L2_Monto),BB$130)-BC$129)</f>
        <v>0</v>
      </c>
      <c r="BD130" s="48">
        <f>IF((51-N(P_L2_Mes)+1)&lt;1,0,IF((51-N(P_L2_Mes)+1)=1,N(P_L2_Monto),BC$130)-BD$129)</f>
        <v>0</v>
      </c>
      <c r="BE130" s="48">
        <f>IF((52-N(P_L2_Mes)+1)&lt;1,0,IF((52-N(P_L2_Mes)+1)=1,N(P_L2_Monto),BD$130)-BE$129)</f>
        <v>0</v>
      </c>
      <c r="BF130" s="48">
        <f>IF((53-N(P_L2_Mes)+1)&lt;1,0,IF((53-N(P_L2_Mes)+1)=1,N(P_L2_Monto),BE$130)-BF$129)</f>
        <v>0</v>
      </c>
      <c r="BG130" s="48">
        <f>IF((54-N(P_L2_Mes)+1)&lt;1,0,IF((54-N(P_L2_Mes)+1)=1,N(P_L2_Monto),BF$130)-BG$129)</f>
        <v>0</v>
      </c>
      <c r="BH130" s="48">
        <f>IF((55-N(P_L2_Mes)+1)&lt;1,0,IF((55-N(P_L2_Mes)+1)=1,N(P_L2_Monto),BG$130)-BH$129)</f>
        <v>0</v>
      </c>
      <c r="BI130" s="48">
        <f>IF((56-N(P_L2_Mes)+1)&lt;1,0,IF((56-N(P_L2_Mes)+1)=1,N(P_L2_Monto),BH$130)-BI$129)</f>
        <v>0</v>
      </c>
      <c r="BJ130" s="48">
        <f>IF((57-N(P_L2_Mes)+1)&lt;1,0,IF((57-N(P_L2_Mes)+1)=1,N(P_L2_Monto),BI$130)-BJ$129)</f>
        <v>0</v>
      </c>
      <c r="BK130" s="48">
        <f>IF((58-N(P_L2_Mes)+1)&lt;1,0,IF((58-N(P_L2_Mes)+1)=1,N(P_L2_Monto),BJ$130)-BK$129)</f>
        <v>0</v>
      </c>
      <c r="BL130" s="48">
        <f>IF((59-N(P_L2_Mes)+1)&lt;1,0,IF((59-N(P_L2_Mes)+1)=1,N(P_L2_Monto),BK$130)-BL$129)</f>
        <v>0</v>
      </c>
      <c r="BM130" s="48">
        <f>IF((60-N(P_L2_Mes)+1)&lt;1,0,IF((60-N(P_L2_Mes)+1)=1,N(P_L2_Monto),BL$130)-BM$129)</f>
        <v>0</v>
      </c>
      <c r="BN130" s="48">
        <f>IF((61-N(P_L2_Mes)+1)&lt;1,0,IF((61-N(P_L2_Mes)+1)=1,N(P_L2_Monto),BM$130)-BN$129)</f>
        <v>0</v>
      </c>
      <c r="BO130" s="48">
        <f>IF((62-N(P_L2_Mes)+1)&lt;1,0,IF((62-N(P_L2_Mes)+1)=1,N(P_L2_Monto),BN$130)-BO$129)</f>
        <v>0</v>
      </c>
      <c r="BP130" s="48">
        <f>IF((63-N(P_L2_Mes)+1)&lt;1,0,IF((63-N(P_L2_Mes)+1)=1,N(P_L2_Monto),BO$130)-BP$129)</f>
        <v>0</v>
      </c>
      <c r="BQ130" s="48">
        <f>IF((64-N(P_L2_Mes)+1)&lt;1,0,IF((64-N(P_L2_Mes)+1)=1,N(P_L2_Monto),BP$130)-BQ$129)</f>
        <v>0</v>
      </c>
      <c r="BR130" s="48">
        <f>IF((65-N(P_L2_Mes)+1)&lt;1,0,IF((65-N(P_L2_Mes)+1)=1,N(P_L2_Monto),BQ$130)-BR$129)</f>
        <v>0</v>
      </c>
      <c r="BS130" s="48">
        <f>IF((66-N(P_L2_Mes)+1)&lt;1,0,IF((66-N(P_L2_Mes)+1)=1,N(P_L2_Monto),BR$130)-BS$129)</f>
        <v>0</v>
      </c>
      <c r="BT130" s="48">
        <f>IF((67-N(P_L2_Mes)+1)&lt;1,0,IF((67-N(P_L2_Mes)+1)=1,N(P_L2_Monto),BS$130)-BT$129)</f>
        <v>0</v>
      </c>
      <c r="BU130" s="48">
        <f>IF((68-N(P_L2_Mes)+1)&lt;1,0,IF((68-N(P_L2_Mes)+1)=1,N(P_L2_Monto),BT$130)-BU$129)</f>
        <v>0</v>
      </c>
      <c r="BV130" s="48">
        <f>IF((69-N(P_L2_Mes)+1)&lt;1,0,IF((69-N(P_L2_Mes)+1)=1,N(P_L2_Monto),BU$130)-BV$129)</f>
        <v>0</v>
      </c>
      <c r="BW130" s="48">
        <f>IF((70-N(P_L2_Mes)+1)&lt;1,0,IF((70-N(P_L2_Mes)+1)=1,N(P_L2_Monto),BV$130)-BW$129)</f>
        <v>0</v>
      </c>
      <c r="BX130" s="48">
        <f>IF((71-N(P_L2_Mes)+1)&lt;1,0,IF((71-N(P_L2_Mes)+1)=1,N(P_L2_Monto),BW$130)-BX$129)</f>
        <v>0</v>
      </c>
      <c r="BY130" s="48">
        <f>IF((72-N(P_L2_Mes)+1)&lt;1,0,IF((72-N(P_L2_Mes)+1)=1,N(P_L2_Monto),BX$130)-BY$129)</f>
        <v>0</v>
      </c>
      <c r="BZ130" s="48">
        <f>IF((73-N(P_L2_Mes)+1)&lt;1,0,IF((73-N(P_L2_Mes)+1)=1,N(P_L2_Monto),BY$130)-BZ$129)</f>
        <v>0</v>
      </c>
      <c r="CA130" s="48">
        <f>IF((74-N(P_L2_Mes)+1)&lt;1,0,IF((74-N(P_L2_Mes)+1)=1,N(P_L2_Monto),BZ$130)-CA$129)</f>
        <v>0</v>
      </c>
      <c r="CB130" s="48">
        <f>IF((75-N(P_L2_Mes)+1)&lt;1,0,IF((75-N(P_L2_Mes)+1)=1,N(P_L2_Monto),CA$130)-CB$129)</f>
        <v>0</v>
      </c>
      <c r="CC130" s="48">
        <f>IF((76-N(P_L2_Mes)+1)&lt;1,0,IF((76-N(P_L2_Mes)+1)=1,N(P_L2_Monto),CB$130)-CC$129)</f>
        <v>0</v>
      </c>
      <c r="CD130" s="48">
        <f>IF((77-N(P_L2_Mes)+1)&lt;1,0,IF((77-N(P_L2_Mes)+1)=1,N(P_L2_Monto),CC$130)-CD$129)</f>
        <v>0</v>
      </c>
      <c r="CE130" s="48">
        <f>IF((78-N(P_L2_Mes)+1)&lt;1,0,IF((78-N(P_L2_Mes)+1)=1,N(P_L2_Monto),CD$130)-CE$129)</f>
        <v>0</v>
      </c>
      <c r="CF130" s="48">
        <f>IF((79-N(P_L2_Mes)+1)&lt;1,0,IF((79-N(P_L2_Mes)+1)=1,N(P_L2_Monto),CE$130)-CF$129)</f>
        <v>0</v>
      </c>
      <c r="CG130" s="48">
        <f>IF((80-N(P_L2_Mes)+1)&lt;1,0,IF((80-N(P_L2_Mes)+1)=1,N(P_L2_Monto),CF$130)-CG$129)</f>
        <v>0</v>
      </c>
      <c r="CH130" s="48">
        <f>IF((81-N(P_L2_Mes)+1)&lt;1,0,IF((81-N(P_L2_Mes)+1)=1,N(P_L2_Monto),CG$130)-CH$129)</f>
        <v>0</v>
      </c>
      <c r="CI130" s="48">
        <f>IF((82-N(P_L2_Mes)+1)&lt;1,0,IF((82-N(P_L2_Mes)+1)=1,N(P_L2_Monto),CH$130)-CI$129)</f>
        <v>0</v>
      </c>
      <c r="CJ130" s="48">
        <f>IF((83-N(P_L2_Mes)+1)&lt;1,0,IF((83-N(P_L2_Mes)+1)=1,N(P_L2_Monto),CI$130)-CJ$129)</f>
        <v>0</v>
      </c>
      <c r="CK130" s="48">
        <f>IF((84-N(P_L2_Mes)+1)&lt;1,0,IF((84-N(P_L2_Mes)+1)=1,N(P_L2_Monto),CJ$130)-CK$129)</f>
        <v>0</v>
      </c>
      <c r="CL130" s="48">
        <f>IF((85-N(P_L2_Mes)+1)&lt;1,0,IF((85-N(P_L2_Mes)+1)=1,N(P_L2_Monto),CK$130)-CL$129)</f>
        <v>0</v>
      </c>
      <c r="CM130" s="48">
        <f>IF((86-N(P_L2_Mes)+1)&lt;1,0,IF((86-N(P_L2_Mes)+1)=1,N(P_L2_Monto),CL$130)-CM$129)</f>
        <v>0</v>
      </c>
      <c r="CN130" s="48">
        <f>IF((87-N(P_L2_Mes)+1)&lt;1,0,IF((87-N(P_L2_Mes)+1)=1,N(P_L2_Monto),CM$130)-CN$129)</f>
        <v>0</v>
      </c>
      <c r="CO130" s="48">
        <f>IF((88-N(P_L2_Mes)+1)&lt;1,0,IF((88-N(P_L2_Mes)+1)=1,N(P_L2_Monto),CN$130)-CO$129)</f>
        <v>0</v>
      </c>
      <c r="CP130" s="48">
        <f>IF((89-N(P_L2_Mes)+1)&lt;1,0,IF((89-N(P_L2_Mes)+1)=1,N(P_L2_Monto),CO$130)-CP$129)</f>
        <v>0</v>
      </c>
      <c r="CQ130" s="48">
        <f>IF((90-N(P_L2_Mes)+1)&lt;1,0,IF((90-N(P_L2_Mes)+1)=1,N(P_L2_Monto),CP$130)-CQ$129)</f>
        <v>0</v>
      </c>
      <c r="CR130" s="48">
        <f>IF((91-N(P_L2_Mes)+1)&lt;1,0,IF((91-N(P_L2_Mes)+1)=1,N(P_L2_Monto),CQ$130)-CR$129)</f>
        <v>0</v>
      </c>
      <c r="CS130" s="48">
        <f>IF((92-N(P_L2_Mes)+1)&lt;1,0,IF((92-N(P_L2_Mes)+1)=1,N(P_L2_Monto),CR$130)-CS$129)</f>
        <v>0</v>
      </c>
      <c r="CT130" s="48">
        <f>IF((93-N(P_L2_Mes)+1)&lt;1,0,IF((93-N(P_L2_Mes)+1)=1,N(P_L2_Monto),CS$130)-CT$129)</f>
        <v>0</v>
      </c>
      <c r="CU130" s="48">
        <f>IF((94-N(P_L2_Mes)+1)&lt;1,0,IF((94-N(P_L2_Mes)+1)=1,N(P_L2_Monto),CT$130)-CU$129)</f>
        <v>0</v>
      </c>
      <c r="CV130" s="48">
        <f>IF((95-N(P_L2_Mes)+1)&lt;1,0,IF((95-N(P_L2_Mes)+1)=1,N(P_L2_Monto),CU$130)-CV$129)</f>
        <v>0</v>
      </c>
      <c r="CW130" s="48">
        <f>IF((96-N(P_L2_Mes)+1)&lt;1,0,IF((96-N(P_L2_Mes)+1)=1,N(P_L2_Monto),CV$130)-CW$129)</f>
        <v>0</v>
      </c>
      <c r="CX130" s="48">
        <f>IF((97-N(P_L2_Mes)+1)&lt;1,0,IF((97-N(P_L2_Mes)+1)=1,N(P_L2_Monto),CW$130)-CX$129)</f>
        <v>0</v>
      </c>
      <c r="CY130" s="48">
        <f>IF((98-N(P_L2_Mes)+1)&lt;1,0,IF((98-N(P_L2_Mes)+1)=1,N(P_L2_Monto),CX$130)-CY$129)</f>
        <v>0</v>
      </c>
      <c r="CZ130" s="48">
        <f>IF((99-N(P_L2_Mes)+1)&lt;1,0,IF((99-N(P_L2_Mes)+1)=1,N(P_L2_Monto),CY$130)-CZ$129)</f>
        <v>0</v>
      </c>
      <c r="DA130" s="48">
        <f>IF((100-N(P_L2_Mes)+1)&lt;1,0,IF((100-N(P_L2_Mes)+1)=1,N(P_L2_Monto),CZ$130)-DA$129)</f>
        <v>0</v>
      </c>
      <c r="DB130" s="48">
        <f>IF((101-N(P_L2_Mes)+1)&lt;1,0,IF((101-N(P_L2_Mes)+1)=1,N(P_L2_Monto),DA$130)-DB$129)</f>
        <v>0</v>
      </c>
      <c r="DC130" s="48">
        <f>IF((102-N(P_L2_Mes)+1)&lt;1,0,IF((102-N(P_L2_Mes)+1)=1,N(P_L2_Monto),DB$130)-DC$129)</f>
        <v>0</v>
      </c>
      <c r="DD130" s="48">
        <f>IF((103-N(P_L2_Mes)+1)&lt;1,0,IF((103-N(P_L2_Mes)+1)=1,N(P_L2_Monto),DC$130)-DD$129)</f>
        <v>0</v>
      </c>
      <c r="DE130" s="48">
        <f>IF((104-N(P_L2_Mes)+1)&lt;1,0,IF((104-N(P_L2_Mes)+1)=1,N(P_L2_Monto),DD$130)-DE$129)</f>
        <v>0</v>
      </c>
      <c r="DF130" s="48">
        <f>IF((105-N(P_L2_Mes)+1)&lt;1,0,IF((105-N(P_L2_Mes)+1)=1,N(P_L2_Monto),DE$130)-DF$129)</f>
        <v>0</v>
      </c>
      <c r="DG130" s="48">
        <f>IF((106-N(P_L2_Mes)+1)&lt;1,0,IF((106-N(P_L2_Mes)+1)=1,N(P_L2_Monto),DF$130)-DG$129)</f>
        <v>0</v>
      </c>
      <c r="DH130" s="48">
        <f>IF((107-N(P_L2_Mes)+1)&lt;1,0,IF((107-N(P_L2_Mes)+1)=1,N(P_L2_Monto),DG$130)-DH$129)</f>
        <v>0</v>
      </c>
      <c r="DI130" s="48">
        <f>IF((108-N(P_L2_Mes)+1)&lt;1,0,IF((108-N(P_L2_Mes)+1)=1,N(P_L2_Monto),DH$130)-DI$129)</f>
        <v>0</v>
      </c>
      <c r="DJ130" s="48">
        <f>IF((109-N(P_L2_Mes)+1)&lt;1,0,IF((109-N(P_L2_Mes)+1)=1,N(P_L2_Monto),DI$130)-DJ$129)</f>
        <v>0</v>
      </c>
      <c r="DK130" s="48">
        <f>IF((110-N(P_L2_Mes)+1)&lt;1,0,IF((110-N(P_L2_Mes)+1)=1,N(P_L2_Monto),DJ$130)-DK$129)</f>
        <v>0</v>
      </c>
      <c r="DL130" s="48">
        <f>IF((111-N(P_L2_Mes)+1)&lt;1,0,IF((111-N(P_L2_Mes)+1)=1,N(P_L2_Monto),DK$130)-DL$129)</f>
        <v>0</v>
      </c>
      <c r="DM130" s="48">
        <f>IF((112-N(P_L2_Mes)+1)&lt;1,0,IF((112-N(P_L2_Mes)+1)=1,N(P_L2_Monto),DL$130)-DM$129)</f>
        <v>0</v>
      </c>
      <c r="DN130" s="48">
        <f>IF((113-N(P_L2_Mes)+1)&lt;1,0,IF((113-N(P_L2_Mes)+1)=1,N(P_L2_Monto),DM$130)-DN$129)</f>
        <v>0</v>
      </c>
      <c r="DO130" s="48">
        <f>IF((114-N(P_L2_Mes)+1)&lt;1,0,IF((114-N(P_L2_Mes)+1)=1,N(P_L2_Monto),DN$130)-DO$129)</f>
        <v>0</v>
      </c>
      <c r="DP130" s="48">
        <f>IF((115-N(P_L2_Mes)+1)&lt;1,0,IF((115-N(P_L2_Mes)+1)=1,N(P_L2_Monto),DO$130)-DP$129)</f>
        <v>0</v>
      </c>
      <c r="DQ130" s="48">
        <f>IF((116-N(P_L2_Mes)+1)&lt;1,0,IF((116-N(P_L2_Mes)+1)=1,N(P_L2_Monto),DP$130)-DQ$129)</f>
        <v>0</v>
      </c>
      <c r="DR130" s="48">
        <f>IF((117-N(P_L2_Mes)+1)&lt;1,0,IF((117-N(P_L2_Mes)+1)=1,N(P_L2_Monto),DQ$130)-DR$129)</f>
        <v>0</v>
      </c>
      <c r="DS130" s="48">
        <f>IF((118-N(P_L2_Mes)+1)&lt;1,0,IF((118-N(P_L2_Mes)+1)=1,N(P_L2_Monto),DR$130)-DS$129)</f>
        <v>0</v>
      </c>
      <c r="DT130" s="48">
        <f>IF((119-N(P_L2_Mes)+1)&lt;1,0,IF((119-N(P_L2_Mes)+1)=1,N(P_L2_Monto),DS$130)-DT$129)</f>
        <v>0</v>
      </c>
      <c r="DU130" s="48">
        <f>IF((120-N(P_L2_Mes)+1)&lt;1,0,IF((120-N(P_L2_Mes)+1)=1,N(P_L2_Monto),DT$130)-DU$129)</f>
        <v>0</v>
      </c>
      <c r="DV130" s="48">
        <f>IF((121-N(P_L2_Mes)+1)&lt;1,0,IF((121-N(P_L2_Mes)+1)=1,N(P_L2_Monto),DU$130)-DV$129)</f>
        <v>0</v>
      </c>
      <c r="DW130" s="48">
        <f>IF((122-N(P_L2_Mes)+1)&lt;1,0,IF((122-N(P_L2_Mes)+1)=1,N(P_L2_Monto),DV$130)-DW$129)</f>
        <v>0</v>
      </c>
      <c r="DX130" s="48">
        <f>IF((123-N(P_L2_Mes)+1)&lt;1,0,IF((123-N(P_L2_Mes)+1)=1,N(P_L2_Monto),DW$130)-DX$129)</f>
        <v>0</v>
      </c>
      <c r="DY130" s="48">
        <f>IF((124-N(P_L2_Mes)+1)&lt;1,0,IF((124-N(P_L2_Mes)+1)=1,N(P_L2_Monto),DX$130)-DY$129)</f>
        <v>0</v>
      </c>
      <c r="DZ130" s="48">
        <f>IF((125-N(P_L2_Mes)+1)&lt;1,0,IF((125-N(P_L2_Mes)+1)=1,N(P_L2_Monto),DY$130)-DZ$129)</f>
        <v>0</v>
      </c>
      <c r="EA130" s="48">
        <f>IF((126-N(P_L2_Mes)+1)&lt;1,0,IF((126-N(P_L2_Mes)+1)=1,N(P_L2_Monto),DZ$130)-EA$129)</f>
        <v>0</v>
      </c>
      <c r="EB130" s="48">
        <f>IF((127-N(P_L2_Mes)+1)&lt;1,0,IF((127-N(P_L2_Mes)+1)=1,N(P_L2_Monto),EA$130)-EB$129)</f>
        <v>0</v>
      </c>
      <c r="EC130" s="48">
        <f>IF((128-N(P_L2_Mes)+1)&lt;1,0,IF((128-N(P_L2_Mes)+1)=1,N(P_L2_Monto),EB$130)-EC$129)</f>
        <v>0</v>
      </c>
      <c r="ED130" s="48">
        <f>IF((129-N(P_L2_Mes)+1)&lt;1,0,IF((129-N(P_L2_Mes)+1)=1,N(P_L2_Monto),EC$130)-ED$129)</f>
        <v>0</v>
      </c>
      <c r="EE130" s="48">
        <f>IF((130-N(P_L2_Mes)+1)&lt;1,0,IF((130-N(P_L2_Mes)+1)=1,N(P_L2_Monto),ED$130)-EE$129)</f>
        <v>0</v>
      </c>
      <c r="EF130" s="48">
        <f>IF((131-N(P_L2_Mes)+1)&lt;1,0,IF((131-N(P_L2_Mes)+1)=1,N(P_L2_Monto),EE$130)-EF$129)</f>
        <v>0</v>
      </c>
      <c r="EG130" s="48">
        <f>IF((132-N(P_L2_Mes)+1)&lt;1,0,IF((132-N(P_L2_Mes)+1)=1,N(P_L2_Monto),EF$130)-EG$129)</f>
        <v>0</v>
      </c>
      <c r="EH130" s="48">
        <f>IF((133-N(P_L2_Mes)+1)&lt;1,0,IF((133-N(P_L2_Mes)+1)=1,N(P_L2_Monto),EG$130)-EH$129)</f>
        <v>0</v>
      </c>
      <c r="EI130" s="48">
        <f>IF((134-N(P_L2_Mes)+1)&lt;1,0,IF((134-N(P_L2_Mes)+1)=1,N(P_L2_Monto),EH$130)-EI$129)</f>
        <v>0</v>
      </c>
      <c r="EJ130" s="48">
        <f>IF((135-N(P_L2_Mes)+1)&lt;1,0,IF((135-N(P_L2_Mes)+1)=1,N(P_L2_Monto),EI$130)-EJ$129)</f>
        <v>0</v>
      </c>
      <c r="EK130" s="48">
        <f>IF((136-N(P_L2_Mes)+1)&lt;1,0,IF((136-N(P_L2_Mes)+1)=1,N(P_L2_Monto),EJ$130)-EK$129)</f>
        <v>0</v>
      </c>
      <c r="EL130" s="48">
        <f>IF((137-N(P_L2_Mes)+1)&lt;1,0,IF((137-N(P_L2_Mes)+1)=1,N(P_L2_Monto),EK$130)-EL$129)</f>
        <v>0</v>
      </c>
      <c r="EM130" s="48">
        <f>IF((138-N(P_L2_Mes)+1)&lt;1,0,IF((138-N(P_L2_Mes)+1)=1,N(P_L2_Monto),EL$130)-EM$129)</f>
        <v>0</v>
      </c>
      <c r="EN130" s="48">
        <f>IF((139-N(P_L2_Mes)+1)&lt;1,0,IF((139-N(P_L2_Mes)+1)=1,N(P_L2_Monto),EM$130)-EN$129)</f>
        <v>0</v>
      </c>
      <c r="EO130" s="48">
        <f>IF((140-N(P_L2_Mes)+1)&lt;1,0,IF((140-N(P_L2_Mes)+1)=1,N(P_L2_Monto),EN$130)-EO$129)</f>
        <v>0</v>
      </c>
      <c r="EP130" s="48">
        <f>IF((141-N(P_L2_Mes)+1)&lt;1,0,IF((141-N(P_L2_Mes)+1)=1,N(P_L2_Monto),EO$130)-EP$129)</f>
        <v>0</v>
      </c>
      <c r="EQ130" s="48">
        <f>IF((142-N(P_L2_Mes)+1)&lt;1,0,IF((142-N(P_L2_Mes)+1)=1,N(P_L2_Monto),EP$130)-EQ$129)</f>
        <v>0</v>
      </c>
      <c r="ER130" s="48">
        <f>IF((143-N(P_L2_Mes)+1)&lt;1,0,IF((143-N(P_L2_Mes)+1)=1,N(P_L2_Monto),EQ$130)-ER$129)</f>
        <v>0</v>
      </c>
      <c r="ES130" s="48">
        <f>IF((144-N(P_L2_Mes)+1)&lt;1,0,IF((144-N(P_L2_Mes)+1)=1,N(P_L2_Monto),ER$130)-ES$129)</f>
        <v>0</v>
      </c>
    </row>
    <row r="131" spans="1:149" x14ac:dyDescent="0.3">
      <c r="A131" s="14" t="s">
        <v>1158</v>
      </c>
      <c r="B131" s="18" t="s">
        <v>1159</v>
      </c>
      <c r="C131" s="18" t="s">
        <v>439</v>
      </c>
      <c r="E131" s="54">
        <f>SUM(F131:ES131)</f>
        <v>0</v>
      </c>
      <c r="F131" s="48">
        <f>IF((1-N(P_L3_Mes)+1)=1,N(P_L3_Monto),0)*F$9</f>
        <v>0</v>
      </c>
      <c r="G131" s="48">
        <f>IF((2-N(P_L3_Mes)+1)=1,N(P_L3_Monto),0)*G$9</f>
        <v>0</v>
      </c>
      <c r="H131" s="48">
        <f>IF((3-N(P_L3_Mes)+1)=1,N(P_L3_Monto),0)*H$9</f>
        <v>0</v>
      </c>
      <c r="I131" s="48">
        <f>IF((4-N(P_L3_Mes)+1)=1,N(P_L3_Monto),0)*I$9</f>
        <v>0</v>
      </c>
      <c r="J131" s="48">
        <f>IF((5-N(P_L3_Mes)+1)=1,N(P_L3_Monto),0)*J$9</f>
        <v>0</v>
      </c>
      <c r="K131" s="48">
        <f>IF((6-N(P_L3_Mes)+1)=1,N(P_L3_Monto),0)*K$9</f>
        <v>0</v>
      </c>
      <c r="L131" s="48">
        <f>IF((7-N(P_L3_Mes)+1)=1,N(P_L3_Monto),0)*L$9</f>
        <v>0</v>
      </c>
      <c r="M131" s="48">
        <f>IF((8-N(P_L3_Mes)+1)=1,N(P_L3_Monto),0)*M$9</f>
        <v>0</v>
      </c>
      <c r="N131" s="48">
        <f>IF((9-N(P_L3_Mes)+1)=1,N(P_L3_Monto),0)*N$9</f>
        <v>0</v>
      </c>
      <c r="O131" s="48">
        <f>IF((10-N(P_L3_Mes)+1)=1,N(P_L3_Monto),0)*O$9</f>
        <v>0</v>
      </c>
      <c r="P131" s="48">
        <f>IF((11-N(P_L3_Mes)+1)=1,N(P_L3_Monto),0)*P$9</f>
        <v>0</v>
      </c>
      <c r="Q131" s="48">
        <f>IF((12-N(P_L3_Mes)+1)=1,N(P_L3_Monto),0)*Q$9</f>
        <v>0</v>
      </c>
      <c r="R131" s="48">
        <f>IF((13-N(P_L3_Mes)+1)=1,N(P_L3_Monto),0)*R$9</f>
        <v>0</v>
      </c>
      <c r="S131" s="48">
        <f>IF((14-N(P_L3_Mes)+1)=1,N(P_L3_Monto),0)*S$9</f>
        <v>0</v>
      </c>
      <c r="T131" s="48">
        <f>IF((15-N(P_L3_Mes)+1)=1,N(P_L3_Monto),0)*T$9</f>
        <v>0</v>
      </c>
      <c r="U131" s="48">
        <f>IF((16-N(P_L3_Mes)+1)=1,N(P_L3_Monto),0)*U$9</f>
        <v>0</v>
      </c>
      <c r="V131" s="48">
        <f>IF((17-N(P_L3_Mes)+1)=1,N(P_L3_Monto),0)*V$9</f>
        <v>0</v>
      </c>
      <c r="W131" s="48">
        <f>IF((18-N(P_L3_Mes)+1)=1,N(P_L3_Monto),0)*W$9</f>
        <v>0</v>
      </c>
      <c r="X131" s="48">
        <f>IF((19-N(P_L3_Mes)+1)=1,N(P_L3_Monto),0)*X$9</f>
        <v>0</v>
      </c>
      <c r="Y131" s="48">
        <f>IF((20-N(P_L3_Mes)+1)=1,N(P_L3_Monto),0)*Y$9</f>
        <v>0</v>
      </c>
      <c r="Z131" s="48">
        <f>IF((21-N(P_L3_Mes)+1)=1,N(P_L3_Monto),0)*Z$9</f>
        <v>0</v>
      </c>
      <c r="AA131" s="48">
        <f>IF((22-N(P_L3_Mes)+1)=1,N(P_L3_Monto),0)*AA$9</f>
        <v>0</v>
      </c>
      <c r="AB131" s="48">
        <f>IF((23-N(P_L3_Mes)+1)=1,N(P_L3_Monto),0)*AB$9</f>
        <v>0</v>
      </c>
      <c r="AC131" s="48">
        <f>IF((24-N(P_L3_Mes)+1)=1,N(P_L3_Monto),0)*AC$9</f>
        <v>0</v>
      </c>
      <c r="AD131" s="48">
        <f>IF((25-N(P_L3_Mes)+1)=1,N(P_L3_Monto),0)*AD$9</f>
        <v>0</v>
      </c>
      <c r="AE131" s="48">
        <f>IF((26-N(P_L3_Mes)+1)=1,N(P_L3_Monto),0)*AE$9</f>
        <v>0</v>
      </c>
      <c r="AF131" s="48">
        <f>IF((27-N(P_L3_Mes)+1)=1,N(P_L3_Monto),0)*AF$9</f>
        <v>0</v>
      </c>
      <c r="AG131" s="48">
        <f>IF((28-N(P_L3_Mes)+1)=1,N(P_L3_Monto),0)*AG$9</f>
        <v>0</v>
      </c>
      <c r="AH131" s="48">
        <f>IF((29-N(P_L3_Mes)+1)=1,N(P_L3_Monto),0)*AH$9</f>
        <v>0</v>
      </c>
      <c r="AI131" s="48">
        <f>IF((30-N(P_L3_Mes)+1)=1,N(P_L3_Monto),0)*AI$9</f>
        <v>0</v>
      </c>
      <c r="AJ131" s="48">
        <f>IF((31-N(P_L3_Mes)+1)=1,N(P_L3_Monto),0)*AJ$9</f>
        <v>0</v>
      </c>
      <c r="AK131" s="48">
        <f>IF((32-N(P_L3_Mes)+1)=1,N(P_L3_Monto),0)*AK$9</f>
        <v>0</v>
      </c>
      <c r="AL131" s="48">
        <f>IF((33-N(P_L3_Mes)+1)=1,N(P_L3_Monto),0)*AL$9</f>
        <v>0</v>
      </c>
      <c r="AM131" s="48">
        <f>IF((34-N(P_L3_Mes)+1)=1,N(P_L3_Monto),0)*AM$9</f>
        <v>0</v>
      </c>
      <c r="AN131" s="48">
        <f>IF((35-N(P_L3_Mes)+1)=1,N(P_L3_Monto),0)*AN$9</f>
        <v>0</v>
      </c>
      <c r="AO131" s="48">
        <f>IF((36-N(P_L3_Mes)+1)=1,N(P_L3_Monto),0)*AO$9</f>
        <v>0</v>
      </c>
      <c r="AP131" s="48">
        <f>IF((37-N(P_L3_Mes)+1)=1,N(P_L3_Monto),0)*AP$9</f>
        <v>0</v>
      </c>
      <c r="AQ131" s="48">
        <f>IF((38-N(P_L3_Mes)+1)=1,N(P_L3_Monto),0)*AQ$9</f>
        <v>0</v>
      </c>
      <c r="AR131" s="48">
        <f>IF((39-N(P_L3_Mes)+1)=1,N(P_L3_Monto),0)*AR$9</f>
        <v>0</v>
      </c>
      <c r="AS131" s="48">
        <f>IF((40-N(P_L3_Mes)+1)=1,N(P_L3_Monto),0)*AS$9</f>
        <v>0</v>
      </c>
      <c r="AT131" s="48">
        <f>IF((41-N(P_L3_Mes)+1)=1,N(P_L3_Monto),0)*AT$9</f>
        <v>0</v>
      </c>
      <c r="AU131" s="48">
        <f>IF((42-N(P_L3_Mes)+1)=1,N(P_L3_Monto),0)*AU$9</f>
        <v>0</v>
      </c>
      <c r="AV131" s="48">
        <f>IF((43-N(P_L3_Mes)+1)=1,N(P_L3_Monto),0)*AV$9</f>
        <v>0</v>
      </c>
      <c r="AW131" s="48">
        <f>IF((44-N(P_L3_Mes)+1)=1,N(P_L3_Monto),0)*AW$9</f>
        <v>0</v>
      </c>
      <c r="AX131" s="48">
        <f>IF((45-N(P_L3_Mes)+1)=1,N(P_L3_Monto),0)*AX$9</f>
        <v>0</v>
      </c>
      <c r="AY131" s="48">
        <f>IF((46-N(P_L3_Mes)+1)=1,N(P_L3_Monto),0)*AY$9</f>
        <v>0</v>
      </c>
      <c r="AZ131" s="48">
        <f>IF((47-N(P_L3_Mes)+1)=1,N(P_L3_Monto),0)*AZ$9</f>
        <v>0</v>
      </c>
      <c r="BA131" s="48">
        <f>IF((48-N(P_L3_Mes)+1)=1,N(P_L3_Monto),0)*BA$9</f>
        <v>0</v>
      </c>
      <c r="BB131" s="48">
        <f>IF((49-N(P_L3_Mes)+1)=1,N(P_L3_Monto),0)*BB$9</f>
        <v>0</v>
      </c>
      <c r="BC131" s="48">
        <f>IF((50-N(P_L3_Mes)+1)=1,N(P_L3_Monto),0)*BC$9</f>
        <v>0</v>
      </c>
      <c r="BD131" s="48">
        <f>IF((51-N(P_L3_Mes)+1)=1,N(P_L3_Monto),0)*BD$9</f>
        <v>0</v>
      </c>
      <c r="BE131" s="48">
        <f>IF((52-N(P_L3_Mes)+1)=1,N(P_L3_Monto),0)*BE$9</f>
        <v>0</v>
      </c>
      <c r="BF131" s="48">
        <f>IF((53-N(P_L3_Mes)+1)=1,N(P_L3_Monto),0)*BF$9</f>
        <v>0</v>
      </c>
      <c r="BG131" s="48">
        <f>IF((54-N(P_L3_Mes)+1)=1,N(P_L3_Monto),0)*BG$9</f>
        <v>0</v>
      </c>
      <c r="BH131" s="48">
        <f>IF((55-N(P_L3_Mes)+1)=1,N(P_L3_Monto),0)*BH$9</f>
        <v>0</v>
      </c>
      <c r="BI131" s="48">
        <f>IF((56-N(P_L3_Mes)+1)=1,N(P_L3_Monto),0)*BI$9</f>
        <v>0</v>
      </c>
      <c r="BJ131" s="48">
        <f>IF((57-N(P_L3_Mes)+1)=1,N(P_L3_Monto),0)*BJ$9</f>
        <v>0</v>
      </c>
      <c r="BK131" s="48">
        <f>IF((58-N(P_L3_Mes)+1)=1,N(P_L3_Monto),0)*BK$9</f>
        <v>0</v>
      </c>
      <c r="BL131" s="48">
        <f>IF((59-N(P_L3_Mes)+1)=1,N(P_L3_Monto),0)*BL$9</f>
        <v>0</v>
      </c>
      <c r="BM131" s="48">
        <f>IF((60-N(P_L3_Mes)+1)=1,N(P_L3_Monto),0)*BM$9</f>
        <v>0</v>
      </c>
      <c r="BN131" s="48">
        <f>IF((61-N(P_L3_Mes)+1)=1,N(P_L3_Monto),0)*BN$9</f>
        <v>0</v>
      </c>
      <c r="BO131" s="48">
        <f>IF((62-N(P_L3_Mes)+1)=1,N(P_L3_Monto),0)*BO$9</f>
        <v>0</v>
      </c>
      <c r="BP131" s="48">
        <f>IF((63-N(P_L3_Mes)+1)=1,N(P_L3_Monto),0)*BP$9</f>
        <v>0</v>
      </c>
      <c r="BQ131" s="48">
        <f>IF((64-N(P_L3_Mes)+1)=1,N(P_L3_Monto),0)*BQ$9</f>
        <v>0</v>
      </c>
      <c r="BR131" s="48">
        <f>IF((65-N(P_L3_Mes)+1)=1,N(P_L3_Monto),0)*BR$9</f>
        <v>0</v>
      </c>
      <c r="BS131" s="48">
        <f>IF((66-N(P_L3_Mes)+1)=1,N(P_L3_Monto),0)*BS$9</f>
        <v>0</v>
      </c>
      <c r="BT131" s="48">
        <f>IF((67-N(P_L3_Mes)+1)=1,N(P_L3_Monto),0)*BT$9</f>
        <v>0</v>
      </c>
      <c r="BU131" s="48">
        <f>IF((68-N(P_L3_Mes)+1)=1,N(P_L3_Monto),0)*BU$9</f>
        <v>0</v>
      </c>
      <c r="BV131" s="48">
        <f>IF((69-N(P_L3_Mes)+1)=1,N(P_L3_Monto),0)*BV$9</f>
        <v>0</v>
      </c>
      <c r="BW131" s="48">
        <f>IF((70-N(P_L3_Mes)+1)=1,N(P_L3_Monto),0)*BW$9</f>
        <v>0</v>
      </c>
      <c r="BX131" s="48">
        <f>IF((71-N(P_L3_Mes)+1)=1,N(P_L3_Monto),0)*BX$9</f>
        <v>0</v>
      </c>
      <c r="BY131" s="48">
        <f>IF((72-N(P_L3_Mes)+1)=1,N(P_L3_Monto),0)*BY$9</f>
        <v>0</v>
      </c>
      <c r="BZ131" s="48">
        <f>IF((73-N(P_L3_Mes)+1)=1,N(P_L3_Monto),0)*BZ$9</f>
        <v>0</v>
      </c>
      <c r="CA131" s="48">
        <f>IF((74-N(P_L3_Mes)+1)=1,N(P_L3_Monto),0)*CA$9</f>
        <v>0</v>
      </c>
      <c r="CB131" s="48">
        <f>IF((75-N(P_L3_Mes)+1)=1,N(P_L3_Monto),0)*CB$9</f>
        <v>0</v>
      </c>
      <c r="CC131" s="48">
        <f>IF((76-N(P_L3_Mes)+1)=1,N(P_L3_Monto),0)*CC$9</f>
        <v>0</v>
      </c>
      <c r="CD131" s="48">
        <f>IF((77-N(P_L3_Mes)+1)=1,N(P_L3_Monto),0)*CD$9</f>
        <v>0</v>
      </c>
      <c r="CE131" s="48">
        <f>IF((78-N(P_L3_Mes)+1)=1,N(P_L3_Monto),0)*CE$9</f>
        <v>0</v>
      </c>
      <c r="CF131" s="48">
        <f>IF((79-N(P_L3_Mes)+1)=1,N(P_L3_Monto),0)*CF$9</f>
        <v>0</v>
      </c>
      <c r="CG131" s="48">
        <f>IF((80-N(P_L3_Mes)+1)=1,N(P_L3_Monto),0)*CG$9</f>
        <v>0</v>
      </c>
      <c r="CH131" s="48">
        <f>IF((81-N(P_L3_Mes)+1)=1,N(P_L3_Monto),0)*CH$9</f>
        <v>0</v>
      </c>
      <c r="CI131" s="48">
        <f>IF((82-N(P_L3_Mes)+1)=1,N(P_L3_Monto),0)*CI$9</f>
        <v>0</v>
      </c>
      <c r="CJ131" s="48">
        <f>IF((83-N(P_L3_Mes)+1)=1,N(P_L3_Monto),0)*CJ$9</f>
        <v>0</v>
      </c>
      <c r="CK131" s="48">
        <f>IF((84-N(P_L3_Mes)+1)=1,N(P_L3_Monto),0)*CK$9</f>
        <v>0</v>
      </c>
      <c r="CL131" s="48">
        <f>IF((85-N(P_L3_Mes)+1)=1,N(P_L3_Monto),0)*CL$9</f>
        <v>0</v>
      </c>
      <c r="CM131" s="48">
        <f>IF((86-N(P_L3_Mes)+1)=1,N(P_L3_Monto),0)*CM$9</f>
        <v>0</v>
      </c>
      <c r="CN131" s="48">
        <f>IF((87-N(P_L3_Mes)+1)=1,N(P_L3_Monto),0)*CN$9</f>
        <v>0</v>
      </c>
      <c r="CO131" s="48">
        <f>IF((88-N(P_L3_Mes)+1)=1,N(P_L3_Monto),0)*CO$9</f>
        <v>0</v>
      </c>
      <c r="CP131" s="48">
        <f>IF((89-N(P_L3_Mes)+1)=1,N(P_L3_Monto),0)*CP$9</f>
        <v>0</v>
      </c>
      <c r="CQ131" s="48">
        <f>IF((90-N(P_L3_Mes)+1)=1,N(P_L3_Monto),0)*CQ$9</f>
        <v>0</v>
      </c>
      <c r="CR131" s="48">
        <f>IF((91-N(P_L3_Mes)+1)=1,N(P_L3_Monto),0)*CR$9</f>
        <v>0</v>
      </c>
      <c r="CS131" s="48">
        <f>IF((92-N(P_L3_Mes)+1)=1,N(P_L3_Monto),0)*CS$9</f>
        <v>0</v>
      </c>
      <c r="CT131" s="48">
        <f>IF((93-N(P_L3_Mes)+1)=1,N(P_L3_Monto),0)*CT$9</f>
        <v>0</v>
      </c>
      <c r="CU131" s="48">
        <f>IF((94-N(P_L3_Mes)+1)=1,N(P_L3_Monto),0)*CU$9</f>
        <v>0</v>
      </c>
      <c r="CV131" s="48">
        <f>IF((95-N(P_L3_Mes)+1)=1,N(P_L3_Monto),0)*CV$9</f>
        <v>0</v>
      </c>
      <c r="CW131" s="48">
        <f>IF((96-N(P_L3_Mes)+1)=1,N(P_L3_Monto),0)*CW$9</f>
        <v>0</v>
      </c>
      <c r="CX131" s="48">
        <f>IF((97-N(P_L3_Mes)+1)=1,N(P_L3_Monto),0)*CX$9</f>
        <v>0</v>
      </c>
      <c r="CY131" s="48">
        <f>IF((98-N(P_L3_Mes)+1)=1,N(P_L3_Monto),0)*CY$9</f>
        <v>0</v>
      </c>
      <c r="CZ131" s="48">
        <f>IF((99-N(P_L3_Mes)+1)=1,N(P_L3_Monto),0)*CZ$9</f>
        <v>0</v>
      </c>
      <c r="DA131" s="48">
        <f>IF((100-N(P_L3_Mes)+1)=1,N(P_L3_Monto),0)*DA$9</f>
        <v>0</v>
      </c>
      <c r="DB131" s="48">
        <f>IF((101-N(P_L3_Mes)+1)=1,N(P_L3_Monto),0)*DB$9</f>
        <v>0</v>
      </c>
      <c r="DC131" s="48">
        <f>IF((102-N(P_L3_Mes)+1)=1,N(P_L3_Monto),0)*DC$9</f>
        <v>0</v>
      </c>
      <c r="DD131" s="48">
        <f>IF((103-N(P_L3_Mes)+1)=1,N(P_L3_Monto),0)*DD$9</f>
        <v>0</v>
      </c>
      <c r="DE131" s="48">
        <f>IF((104-N(P_L3_Mes)+1)=1,N(P_L3_Monto),0)*DE$9</f>
        <v>0</v>
      </c>
      <c r="DF131" s="48">
        <f>IF((105-N(P_L3_Mes)+1)=1,N(P_L3_Monto),0)*DF$9</f>
        <v>0</v>
      </c>
      <c r="DG131" s="48">
        <f>IF((106-N(P_L3_Mes)+1)=1,N(P_L3_Monto),0)*DG$9</f>
        <v>0</v>
      </c>
      <c r="DH131" s="48">
        <f>IF((107-N(P_L3_Mes)+1)=1,N(P_L3_Monto),0)*DH$9</f>
        <v>0</v>
      </c>
      <c r="DI131" s="48">
        <f>IF((108-N(P_L3_Mes)+1)=1,N(P_L3_Monto),0)*DI$9</f>
        <v>0</v>
      </c>
      <c r="DJ131" s="48">
        <f>IF((109-N(P_L3_Mes)+1)=1,N(P_L3_Monto),0)*DJ$9</f>
        <v>0</v>
      </c>
      <c r="DK131" s="48">
        <f>IF((110-N(P_L3_Mes)+1)=1,N(P_L3_Monto),0)*DK$9</f>
        <v>0</v>
      </c>
      <c r="DL131" s="48">
        <f>IF((111-N(P_L3_Mes)+1)=1,N(P_L3_Monto),0)*DL$9</f>
        <v>0</v>
      </c>
      <c r="DM131" s="48">
        <f>IF((112-N(P_L3_Mes)+1)=1,N(P_L3_Monto),0)*DM$9</f>
        <v>0</v>
      </c>
      <c r="DN131" s="48">
        <f>IF((113-N(P_L3_Mes)+1)=1,N(P_L3_Monto),0)*DN$9</f>
        <v>0</v>
      </c>
      <c r="DO131" s="48">
        <f>IF((114-N(P_L3_Mes)+1)=1,N(P_L3_Monto),0)*DO$9</f>
        <v>0</v>
      </c>
      <c r="DP131" s="48">
        <f>IF((115-N(P_L3_Mes)+1)=1,N(P_L3_Monto),0)*DP$9</f>
        <v>0</v>
      </c>
      <c r="DQ131" s="48">
        <f>IF((116-N(P_L3_Mes)+1)=1,N(P_L3_Monto),0)*DQ$9</f>
        <v>0</v>
      </c>
      <c r="DR131" s="48">
        <f>IF((117-N(P_L3_Mes)+1)=1,N(P_L3_Monto),0)*DR$9</f>
        <v>0</v>
      </c>
      <c r="DS131" s="48">
        <f>IF((118-N(P_L3_Mes)+1)=1,N(P_L3_Monto),0)*DS$9</f>
        <v>0</v>
      </c>
      <c r="DT131" s="48">
        <f>IF((119-N(P_L3_Mes)+1)=1,N(P_L3_Monto),0)*DT$9</f>
        <v>0</v>
      </c>
      <c r="DU131" s="48">
        <f>IF((120-N(P_L3_Mes)+1)=1,N(P_L3_Monto),0)*DU$9</f>
        <v>0</v>
      </c>
      <c r="DV131" s="48">
        <f>IF((121-N(P_L3_Mes)+1)=1,N(P_L3_Monto),0)*DV$9</f>
        <v>0</v>
      </c>
      <c r="DW131" s="48">
        <f>IF((122-N(P_L3_Mes)+1)=1,N(P_L3_Monto),0)*DW$9</f>
        <v>0</v>
      </c>
      <c r="DX131" s="48">
        <f>IF((123-N(P_L3_Mes)+1)=1,N(P_L3_Monto),0)*DX$9</f>
        <v>0</v>
      </c>
      <c r="DY131" s="48">
        <f>IF((124-N(P_L3_Mes)+1)=1,N(P_L3_Monto),0)*DY$9</f>
        <v>0</v>
      </c>
      <c r="DZ131" s="48">
        <f>IF((125-N(P_L3_Mes)+1)=1,N(P_L3_Monto),0)*DZ$9</f>
        <v>0</v>
      </c>
      <c r="EA131" s="48">
        <f>IF((126-N(P_L3_Mes)+1)=1,N(P_L3_Monto),0)*EA$9</f>
        <v>0</v>
      </c>
      <c r="EB131" s="48">
        <f>IF((127-N(P_L3_Mes)+1)=1,N(P_L3_Monto),0)*EB$9</f>
        <v>0</v>
      </c>
      <c r="EC131" s="48">
        <f>IF((128-N(P_L3_Mes)+1)=1,N(P_L3_Monto),0)*EC$9</f>
        <v>0</v>
      </c>
      <c r="ED131" s="48">
        <f>IF((129-N(P_L3_Mes)+1)=1,N(P_L3_Monto),0)*ED$9</f>
        <v>0</v>
      </c>
      <c r="EE131" s="48">
        <f>IF((130-N(P_L3_Mes)+1)=1,N(P_L3_Monto),0)*EE$9</f>
        <v>0</v>
      </c>
      <c r="EF131" s="48">
        <f>IF((131-N(P_L3_Mes)+1)=1,N(P_L3_Monto),0)*EF$9</f>
        <v>0</v>
      </c>
      <c r="EG131" s="48">
        <f>IF((132-N(P_L3_Mes)+1)=1,N(P_L3_Monto),0)*EG$9</f>
        <v>0</v>
      </c>
      <c r="EH131" s="48">
        <f>IF((133-N(P_L3_Mes)+1)=1,N(P_L3_Monto),0)*EH$9</f>
        <v>0</v>
      </c>
      <c r="EI131" s="48">
        <f>IF((134-N(P_L3_Mes)+1)=1,N(P_L3_Monto),0)*EI$9</f>
        <v>0</v>
      </c>
      <c r="EJ131" s="48">
        <f>IF((135-N(P_L3_Mes)+1)=1,N(P_L3_Monto),0)*EJ$9</f>
        <v>0</v>
      </c>
      <c r="EK131" s="48">
        <f>IF((136-N(P_L3_Mes)+1)=1,N(P_L3_Monto),0)*EK$9</f>
        <v>0</v>
      </c>
      <c r="EL131" s="48">
        <f>IF((137-N(P_L3_Mes)+1)=1,N(P_L3_Monto),0)*EL$9</f>
        <v>0</v>
      </c>
      <c r="EM131" s="48">
        <f>IF((138-N(P_L3_Mes)+1)=1,N(P_L3_Monto),0)*EM$9</f>
        <v>0</v>
      </c>
      <c r="EN131" s="48">
        <f>IF((139-N(P_L3_Mes)+1)=1,N(P_L3_Monto),0)*EN$9</f>
        <v>0</v>
      </c>
      <c r="EO131" s="48">
        <f>IF((140-N(P_L3_Mes)+1)=1,N(P_L3_Monto),0)*EO$9</f>
        <v>0</v>
      </c>
      <c r="EP131" s="48">
        <f>IF((141-N(P_L3_Mes)+1)=1,N(P_L3_Monto),0)*EP$9</f>
        <v>0</v>
      </c>
      <c r="EQ131" s="48">
        <f>IF((142-N(P_L3_Mes)+1)=1,N(P_L3_Monto),0)*EQ$9</f>
        <v>0</v>
      </c>
      <c r="ER131" s="48">
        <f>IF((143-N(P_L3_Mes)+1)=1,N(P_L3_Monto),0)*ER$9</f>
        <v>0</v>
      </c>
      <c r="ES131" s="48">
        <f>IF((144-N(P_L3_Mes)+1)=1,N(P_L3_Monto),0)*ES$9</f>
        <v>0</v>
      </c>
    </row>
    <row r="132" spans="1:149" x14ac:dyDescent="0.3">
      <c r="A132" s="14" t="s">
        <v>1160</v>
      </c>
      <c r="B132" s="18" t="s">
        <v>1161</v>
      </c>
      <c r="C132" s="18" t="s">
        <v>439</v>
      </c>
      <c r="E132" s="54">
        <f>SUM(F132:ES132)</f>
        <v>0</v>
      </c>
      <c r="F132" s="48">
        <f>IF((1-N(P_L3_Mes)+1)&gt;=1,IF((1-N(P_L3_Mes)+1)=1,N(P_L3_Monto),0)*N(P_L3_Tasa)/12,0)*F$9</f>
        <v>0</v>
      </c>
      <c r="G132" s="48">
        <f>IF((2-N(P_L3_Mes)+1)&gt;=1,IF((2-N(P_L3_Mes)+1)=1,N(P_L3_Monto),F$134)*N(P_L3_Tasa)/12,0)*G$9</f>
        <v>0</v>
      </c>
      <c r="H132" s="48">
        <f>IF((3-N(P_L3_Mes)+1)&gt;=1,IF((3-N(P_L3_Mes)+1)=1,N(P_L3_Monto),G$134)*N(P_L3_Tasa)/12,0)*H$9</f>
        <v>0</v>
      </c>
      <c r="I132" s="48">
        <f>IF((4-N(P_L3_Mes)+1)&gt;=1,IF((4-N(P_L3_Mes)+1)=1,N(P_L3_Monto),H$134)*N(P_L3_Tasa)/12,0)*I$9</f>
        <v>0</v>
      </c>
      <c r="J132" s="48">
        <f>IF((5-N(P_L3_Mes)+1)&gt;=1,IF((5-N(P_L3_Mes)+1)=1,N(P_L3_Monto),I$134)*N(P_L3_Tasa)/12,0)*J$9</f>
        <v>0</v>
      </c>
      <c r="K132" s="48">
        <f>IF((6-N(P_L3_Mes)+1)&gt;=1,IF((6-N(P_L3_Mes)+1)=1,N(P_L3_Monto),J$134)*N(P_L3_Tasa)/12,0)*K$9</f>
        <v>0</v>
      </c>
      <c r="L132" s="48">
        <f>IF((7-N(P_L3_Mes)+1)&gt;=1,IF((7-N(P_L3_Mes)+1)=1,N(P_L3_Monto),K$134)*N(P_L3_Tasa)/12,0)*L$9</f>
        <v>0</v>
      </c>
      <c r="M132" s="48">
        <f>IF((8-N(P_L3_Mes)+1)&gt;=1,IF((8-N(P_L3_Mes)+1)=1,N(P_L3_Monto),L$134)*N(P_L3_Tasa)/12,0)*M$9</f>
        <v>0</v>
      </c>
      <c r="N132" s="48">
        <f>IF((9-N(P_L3_Mes)+1)&gt;=1,IF((9-N(P_L3_Mes)+1)=1,N(P_L3_Monto),M$134)*N(P_L3_Tasa)/12,0)*N$9</f>
        <v>0</v>
      </c>
      <c r="O132" s="48">
        <f>IF((10-N(P_L3_Mes)+1)&gt;=1,IF((10-N(P_L3_Mes)+1)=1,N(P_L3_Monto),N$134)*N(P_L3_Tasa)/12,0)*O$9</f>
        <v>0</v>
      </c>
      <c r="P132" s="48">
        <f>IF((11-N(P_L3_Mes)+1)&gt;=1,IF((11-N(P_L3_Mes)+1)=1,N(P_L3_Monto),O$134)*N(P_L3_Tasa)/12,0)*P$9</f>
        <v>0</v>
      </c>
      <c r="Q132" s="48">
        <f>IF((12-N(P_L3_Mes)+1)&gt;=1,IF((12-N(P_L3_Mes)+1)=1,N(P_L3_Monto),P$134)*N(P_L3_Tasa)/12,0)*Q$9</f>
        <v>0</v>
      </c>
      <c r="R132" s="48">
        <f>IF((13-N(P_L3_Mes)+1)&gt;=1,IF((13-N(P_L3_Mes)+1)=1,N(P_L3_Monto),Q$134)*N(P_L3_Tasa)/12,0)*R$9</f>
        <v>0</v>
      </c>
      <c r="S132" s="48">
        <f>IF((14-N(P_L3_Mes)+1)&gt;=1,IF((14-N(P_L3_Mes)+1)=1,N(P_L3_Monto),R$134)*N(P_L3_Tasa)/12,0)*S$9</f>
        <v>0</v>
      </c>
      <c r="T132" s="48">
        <f>IF((15-N(P_L3_Mes)+1)&gt;=1,IF((15-N(P_L3_Mes)+1)=1,N(P_L3_Monto),S$134)*N(P_L3_Tasa)/12,0)*T$9</f>
        <v>0</v>
      </c>
      <c r="U132" s="48">
        <f>IF((16-N(P_L3_Mes)+1)&gt;=1,IF((16-N(P_L3_Mes)+1)=1,N(P_L3_Monto),T$134)*N(P_L3_Tasa)/12,0)*U$9</f>
        <v>0</v>
      </c>
      <c r="V132" s="48">
        <f>IF((17-N(P_L3_Mes)+1)&gt;=1,IF((17-N(P_L3_Mes)+1)=1,N(P_L3_Monto),U$134)*N(P_L3_Tasa)/12,0)*V$9</f>
        <v>0</v>
      </c>
      <c r="W132" s="48">
        <f>IF((18-N(P_L3_Mes)+1)&gt;=1,IF((18-N(P_L3_Mes)+1)=1,N(P_L3_Monto),V$134)*N(P_L3_Tasa)/12,0)*W$9</f>
        <v>0</v>
      </c>
      <c r="X132" s="48">
        <f>IF((19-N(P_L3_Mes)+1)&gt;=1,IF((19-N(P_L3_Mes)+1)=1,N(P_L3_Monto),W$134)*N(P_L3_Tasa)/12,0)*X$9</f>
        <v>0</v>
      </c>
      <c r="Y132" s="48">
        <f>IF((20-N(P_L3_Mes)+1)&gt;=1,IF((20-N(P_L3_Mes)+1)=1,N(P_L3_Monto),X$134)*N(P_L3_Tasa)/12,0)*Y$9</f>
        <v>0</v>
      </c>
      <c r="Z132" s="48">
        <f>IF((21-N(P_L3_Mes)+1)&gt;=1,IF((21-N(P_L3_Mes)+1)=1,N(P_L3_Monto),Y$134)*N(P_L3_Tasa)/12,0)*Z$9</f>
        <v>0</v>
      </c>
      <c r="AA132" s="48">
        <f>IF((22-N(P_L3_Mes)+1)&gt;=1,IF((22-N(P_L3_Mes)+1)=1,N(P_L3_Monto),Z$134)*N(P_L3_Tasa)/12,0)*AA$9</f>
        <v>0</v>
      </c>
      <c r="AB132" s="48">
        <f>IF((23-N(P_L3_Mes)+1)&gt;=1,IF((23-N(P_L3_Mes)+1)=1,N(P_L3_Monto),AA$134)*N(P_L3_Tasa)/12,0)*AB$9</f>
        <v>0</v>
      </c>
      <c r="AC132" s="48">
        <f>IF((24-N(P_L3_Mes)+1)&gt;=1,IF((24-N(P_L3_Mes)+1)=1,N(P_L3_Monto),AB$134)*N(P_L3_Tasa)/12,0)*AC$9</f>
        <v>0</v>
      </c>
      <c r="AD132" s="48">
        <f>IF((25-N(P_L3_Mes)+1)&gt;=1,IF((25-N(P_L3_Mes)+1)=1,N(P_L3_Monto),AC$134)*N(P_L3_Tasa)/12,0)*AD$9</f>
        <v>0</v>
      </c>
      <c r="AE132" s="48">
        <f>IF((26-N(P_L3_Mes)+1)&gt;=1,IF((26-N(P_L3_Mes)+1)=1,N(P_L3_Monto),AD$134)*N(P_L3_Tasa)/12,0)*AE$9</f>
        <v>0</v>
      </c>
      <c r="AF132" s="48">
        <f>IF((27-N(P_L3_Mes)+1)&gt;=1,IF((27-N(P_L3_Mes)+1)=1,N(P_L3_Monto),AE$134)*N(P_L3_Tasa)/12,0)*AF$9</f>
        <v>0</v>
      </c>
      <c r="AG132" s="48">
        <f>IF((28-N(P_L3_Mes)+1)&gt;=1,IF((28-N(P_L3_Mes)+1)=1,N(P_L3_Monto),AF$134)*N(P_L3_Tasa)/12,0)*AG$9</f>
        <v>0</v>
      </c>
      <c r="AH132" s="48">
        <f>IF((29-N(P_L3_Mes)+1)&gt;=1,IF((29-N(P_L3_Mes)+1)=1,N(P_L3_Monto),AG$134)*N(P_L3_Tasa)/12,0)*AH$9</f>
        <v>0</v>
      </c>
      <c r="AI132" s="48">
        <f>IF((30-N(P_L3_Mes)+1)&gt;=1,IF((30-N(P_L3_Mes)+1)=1,N(P_L3_Monto),AH$134)*N(P_L3_Tasa)/12,0)*AI$9</f>
        <v>0</v>
      </c>
      <c r="AJ132" s="48">
        <f>IF((31-N(P_L3_Mes)+1)&gt;=1,IF((31-N(P_L3_Mes)+1)=1,N(P_L3_Monto),AI$134)*N(P_L3_Tasa)/12,0)*AJ$9</f>
        <v>0</v>
      </c>
      <c r="AK132" s="48">
        <f>IF((32-N(P_L3_Mes)+1)&gt;=1,IF((32-N(P_L3_Mes)+1)=1,N(P_L3_Monto),AJ$134)*N(P_L3_Tasa)/12,0)*AK$9</f>
        <v>0</v>
      </c>
      <c r="AL132" s="48">
        <f>IF((33-N(P_L3_Mes)+1)&gt;=1,IF((33-N(P_L3_Mes)+1)=1,N(P_L3_Monto),AK$134)*N(P_L3_Tasa)/12,0)*AL$9</f>
        <v>0</v>
      </c>
      <c r="AM132" s="48">
        <f>IF((34-N(P_L3_Mes)+1)&gt;=1,IF((34-N(P_L3_Mes)+1)=1,N(P_L3_Monto),AL$134)*N(P_L3_Tasa)/12,0)*AM$9</f>
        <v>0</v>
      </c>
      <c r="AN132" s="48">
        <f>IF((35-N(P_L3_Mes)+1)&gt;=1,IF((35-N(P_L3_Mes)+1)=1,N(P_L3_Monto),AM$134)*N(P_L3_Tasa)/12,0)*AN$9</f>
        <v>0</v>
      </c>
      <c r="AO132" s="48">
        <f>IF((36-N(P_L3_Mes)+1)&gt;=1,IF((36-N(P_L3_Mes)+1)=1,N(P_L3_Monto),AN$134)*N(P_L3_Tasa)/12,0)*AO$9</f>
        <v>0</v>
      </c>
      <c r="AP132" s="48">
        <f>IF((37-N(P_L3_Mes)+1)&gt;=1,IF((37-N(P_L3_Mes)+1)=1,N(P_L3_Monto),AO$134)*N(P_L3_Tasa)/12,0)*AP$9</f>
        <v>0</v>
      </c>
      <c r="AQ132" s="48">
        <f>IF((38-N(P_L3_Mes)+1)&gt;=1,IF((38-N(P_L3_Mes)+1)=1,N(P_L3_Monto),AP$134)*N(P_L3_Tasa)/12,0)*AQ$9</f>
        <v>0</v>
      </c>
      <c r="AR132" s="48">
        <f>IF((39-N(P_L3_Mes)+1)&gt;=1,IF((39-N(P_L3_Mes)+1)=1,N(P_L3_Monto),AQ$134)*N(P_L3_Tasa)/12,0)*AR$9</f>
        <v>0</v>
      </c>
      <c r="AS132" s="48">
        <f>IF((40-N(P_L3_Mes)+1)&gt;=1,IF((40-N(P_L3_Mes)+1)=1,N(P_L3_Monto),AR$134)*N(P_L3_Tasa)/12,0)*AS$9</f>
        <v>0</v>
      </c>
      <c r="AT132" s="48">
        <f>IF((41-N(P_L3_Mes)+1)&gt;=1,IF((41-N(P_L3_Mes)+1)=1,N(P_L3_Monto),AS$134)*N(P_L3_Tasa)/12,0)*AT$9</f>
        <v>0</v>
      </c>
      <c r="AU132" s="48">
        <f>IF((42-N(P_L3_Mes)+1)&gt;=1,IF((42-N(P_L3_Mes)+1)=1,N(P_L3_Monto),AT$134)*N(P_L3_Tasa)/12,0)*AU$9</f>
        <v>0</v>
      </c>
      <c r="AV132" s="48">
        <f>IF((43-N(P_L3_Mes)+1)&gt;=1,IF((43-N(P_L3_Mes)+1)=1,N(P_L3_Monto),AU$134)*N(P_L3_Tasa)/12,0)*AV$9</f>
        <v>0</v>
      </c>
      <c r="AW132" s="48">
        <f>IF((44-N(P_L3_Mes)+1)&gt;=1,IF((44-N(P_L3_Mes)+1)=1,N(P_L3_Monto),AV$134)*N(P_L3_Tasa)/12,0)*AW$9</f>
        <v>0</v>
      </c>
      <c r="AX132" s="48">
        <f>IF((45-N(P_L3_Mes)+1)&gt;=1,IF((45-N(P_L3_Mes)+1)=1,N(P_L3_Monto),AW$134)*N(P_L3_Tasa)/12,0)*AX$9</f>
        <v>0</v>
      </c>
      <c r="AY132" s="48">
        <f>IF((46-N(P_L3_Mes)+1)&gt;=1,IF((46-N(P_L3_Mes)+1)=1,N(P_L3_Monto),AX$134)*N(P_L3_Tasa)/12,0)*AY$9</f>
        <v>0</v>
      </c>
      <c r="AZ132" s="48">
        <f>IF((47-N(P_L3_Mes)+1)&gt;=1,IF((47-N(P_L3_Mes)+1)=1,N(P_L3_Monto),AY$134)*N(P_L3_Tasa)/12,0)*AZ$9</f>
        <v>0</v>
      </c>
      <c r="BA132" s="48">
        <f>IF((48-N(P_L3_Mes)+1)&gt;=1,IF((48-N(P_L3_Mes)+1)=1,N(P_L3_Monto),AZ$134)*N(P_L3_Tasa)/12,0)*BA$9</f>
        <v>0</v>
      </c>
      <c r="BB132" s="48">
        <f>IF((49-N(P_L3_Mes)+1)&gt;=1,IF((49-N(P_L3_Mes)+1)=1,N(P_L3_Monto),BA$134)*N(P_L3_Tasa)/12,0)*BB$9</f>
        <v>0</v>
      </c>
      <c r="BC132" s="48">
        <f>IF((50-N(P_L3_Mes)+1)&gt;=1,IF((50-N(P_L3_Mes)+1)=1,N(P_L3_Monto),BB$134)*N(P_L3_Tasa)/12,0)*BC$9</f>
        <v>0</v>
      </c>
      <c r="BD132" s="48">
        <f>IF((51-N(P_L3_Mes)+1)&gt;=1,IF((51-N(P_L3_Mes)+1)=1,N(P_L3_Monto),BC$134)*N(P_L3_Tasa)/12,0)*BD$9</f>
        <v>0</v>
      </c>
      <c r="BE132" s="48">
        <f>IF((52-N(P_L3_Mes)+1)&gt;=1,IF((52-N(P_L3_Mes)+1)=1,N(P_L3_Monto),BD$134)*N(P_L3_Tasa)/12,0)*BE$9</f>
        <v>0</v>
      </c>
      <c r="BF132" s="48">
        <f>IF((53-N(P_L3_Mes)+1)&gt;=1,IF((53-N(P_L3_Mes)+1)=1,N(P_L3_Monto),BE$134)*N(P_L3_Tasa)/12,0)*BF$9</f>
        <v>0</v>
      </c>
      <c r="BG132" s="48">
        <f>IF((54-N(P_L3_Mes)+1)&gt;=1,IF((54-N(P_L3_Mes)+1)=1,N(P_L3_Monto),BF$134)*N(P_L3_Tasa)/12,0)*BG$9</f>
        <v>0</v>
      </c>
      <c r="BH132" s="48">
        <f>IF((55-N(P_L3_Mes)+1)&gt;=1,IF((55-N(P_L3_Mes)+1)=1,N(P_L3_Monto),BG$134)*N(P_L3_Tasa)/12,0)*BH$9</f>
        <v>0</v>
      </c>
      <c r="BI132" s="48">
        <f>IF((56-N(P_L3_Mes)+1)&gt;=1,IF((56-N(P_L3_Mes)+1)=1,N(P_L3_Monto),BH$134)*N(P_L3_Tasa)/12,0)*BI$9</f>
        <v>0</v>
      </c>
      <c r="BJ132" s="48">
        <f>IF((57-N(P_L3_Mes)+1)&gt;=1,IF((57-N(P_L3_Mes)+1)=1,N(P_L3_Monto),BI$134)*N(P_L3_Tasa)/12,0)*BJ$9</f>
        <v>0</v>
      </c>
      <c r="BK132" s="48">
        <f>IF((58-N(P_L3_Mes)+1)&gt;=1,IF((58-N(P_L3_Mes)+1)=1,N(P_L3_Monto),BJ$134)*N(P_L3_Tasa)/12,0)*BK$9</f>
        <v>0</v>
      </c>
      <c r="BL132" s="48">
        <f>IF((59-N(P_L3_Mes)+1)&gt;=1,IF((59-N(P_L3_Mes)+1)=1,N(P_L3_Monto),BK$134)*N(P_L3_Tasa)/12,0)*BL$9</f>
        <v>0</v>
      </c>
      <c r="BM132" s="48">
        <f>IF((60-N(P_L3_Mes)+1)&gt;=1,IF((60-N(P_L3_Mes)+1)=1,N(P_L3_Monto),BL$134)*N(P_L3_Tasa)/12,0)*BM$9</f>
        <v>0</v>
      </c>
      <c r="BN132" s="48">
        <f>IF((61-N(P_L3_Mes)+1)&gt;=1,IF((61-N(P_L3_Mes)+1)=1,N(P_L3_Monto),BM$134)*N(P_L3_Tasa)/12,0)*BN$9</f>
        <v>0</v>
      </c>
      <c r="BO132" s="48">
        <f>IF((62-N(P_L3_Mes)+1)&gt;=1,IF((62-N(P_L3_Mes)+1)=1,N(P_L3_Monto),BN$134)*N(P_L3_Tasa)/12,0)*BO$9</f>
        <v>0</v>
      </c>
      <c r="BP132" s="48">
        <f>IF((63-N(P_L3_Mes)+1)&gt;=1,IF((63-N(P_L3_Mes)+1)=1,N(P_L3_Monto),BO$134)*N(P_L3_Tasa)/12,0)*BP$9</f>
        <v>0</v>
      </c>
      <c r="BQ132" s="48">
        <f>IF((64-N(P_L3_Mes)+1)&gt;=1,IF((64-N(P_L3_Mes)+1)=1,N(P_L3_Monto),BP$134)*N(P_L3_Tasa)/12,0)*BQ$9</f>
        <v>0</v>
      </c>
      <c r="BR132" s="48">
        <f>IF((65-N(P_L3_Mes)+1)&gt;=1,IF((65-N(P_L3_Mes)+1)=1,N(P_L3_Monto),BQ$134)*N(P_L3_Tasa)/12,0)*BR$9</f>
        <v>0</v>
      </c>
      <c r="BS132" s="48">
        <f>IF((66-N(P_L3_Mes)+1)&gt;=1,IF((66-N(P_L3_Mes)+1)=1,N(P_L3_Monto),BR$134)*N(P_L3_Tasa)/12,0)*BS$9</f>
        <v>0</v>
      </c>
      <c r="BT132" s="48">
        <f>IF((67-N(P_L3_Mes)+1)&gt;=1,IF((67-N(P_L3_Mes)+1)=1,N(P_L3_Monto),BS$134)*N(P_L3_Tasa)/12,0)*BT$9</f>
        <v>0</v>
      </c>
      <c r="BU132" s="48">
        <f>IF((68-N(P_L3_Mes)+1)&gt;=1,IF((68-N(P_L3_Mes)+1)=1,N(P_L3_Monto),BT$134)*N(P_L3_Tasa)/12,0)*BU$9</f>
        <v>0</v>
      </c>
      <c r="BV132" s="48">
        <f>IF((69-N(P_L3_Mes)+1)&gt;=1,IF((69-N(P_L3_Mes)+1)=1,N(P_L3_Monto),BU$134)*N(P_L3_Tasa)/12,0)*BV$9</f>
        <v>0</v>
      </c>
      <c r="BW132" s="48">
        <f>IF((70-N(P_L3_Mes)+1)&gt;=1,IF((70-N(P_L3_Mes)+1)=1,N(P_L3_Monto),BV$134)*N(P_L3_Tasa)/12,0)*BW$9</f>
        <v>0</v>
      </c>
      <c r="BX132" s="48">
        <f>IF((71-N(P_L3_Mes)+1)&gt;=1,IF((71-N(P_L3_Mes)+1)=1,N(P_L3_Monto),BW$134)*N(P_L3_Tasa)/12,0)*BX$9</f>
        <v>0</v>
      </c>
      <c r="BY132" s="48">
        <f>IF((72-N(P_L3_Mes)+1)&gt;=1,IF((72-N(P_L3_Mes)+1)=1,N(P_L3_Monto),BX$134)*N(P_L3_Tasa)/12,0)*BY$9</f>
        <v>0</v>
      </c>
      <c r="BZ132" s="48">
        <f>IF((73-N(P_L3_Mes)+1)&gt;=1,IF((73-N(P_L3_Mes)+1)=1,N(P_L3_Monto),BY$134)*N(P_L3_Tasa)/12,0)*BZ$9</f>
        <v>0</v>
      </c>
      <c r="CA132" s="48">
        <f>IF((74-N(P_L3_Mes)+1)&gt;=1,IF((74-N(P_L3_Mes)+1)=1,N(P_L3_Monto),BZ$134)*N(P_L3_Tasa)/12,0)*CA$9</f>
        <v>0</v>
      </c>
      <c r="CB132" s="48">
        <f>IF((75-N(P_L3_Mes)+1)&gt;=1,IF((75-N(P_L3_Mes)+1)=1,N(P_L3_Monto),CA$134)*N(P_L3_Tasa)/12,0)*CB$9</f>
        <v>0</v>
      </c>
      <c r="CC132" s="48">
        <f>IF((76-N(P_L3_Mes)+1)&gt;=1,IF((76-N(P_L3_Mes)+1)=1,N(P_L3_Monto),CB$134)*N(P_L3_Tasa)/12,0)*CC$9</f>
        <v>0</v>
      </c>
      <c r="CD132" s="48">
        <f>IF((77-N(P_L3_Mes)+1)&gt;=1,IF((77-N(P_L3_Mes)+1)=1,N(P_L3_Monto),CC$134)*N(P_L3_Tasa)/12,0)*CD$9</f>
        <v>0</v>
      </c>
      <c r="CE132" s="48">
        <f>IF((78-N(P_L3_Mes)+1)&gt;=1,IF((78-N(P_L3_Mes)+1)=1,N(P_L3_Monto),CD$134)*N(P_L3_Tasa)/12,0)*CE$9</f>
        <v>0</v>
      </c>
      <c r="CF132" s="48">
        <f>IF((79-N(P_L3_Mes)+1)&gt;=1,IF((79-N(P_L3_Mes)+1)=1,N(P_L3_Monto),CE$134)*N(P_L3_Tasa)/12,0)*CF$9</f>
        <v>0</v>
      </c>
      <c r="CG132" s="48">
        <f>IF((80-N(P_L3_Mes)+1)&gt;=1,IF((80-N(P_L3_Mes)+1)=1,N(P_L3_Monto),CF$134)*N(P_L3_Tasa)/12,0)*CG$9</f>
        <v>0</v>
      </c>
      <c r="CH132" s="48">
        <f>IF((81-N(P_L3_Mes)+1)&gt;=1,IF((81-N(P_L3_Mes)+1)=1,N(P_L3_Monto),CG$134)*N(P_L3_Tasa)/12,0)*CH$9</f>
        <v>0</v>
      </c>
      <c r="CI132" s="48">
        <f>IF((82-N(P_L3_Mes)+1)&gt;=1,IF((82-N(P_L3_Mes)+1)=1,N(P_L3_Monto),CH$134)*N(P_L3_Tasa)/12,0)*CI$9</f>
        <v>0</v>
      </c>
      <c r="CJ132" s="48">
        <f>IF((83-N(P_L3_Mes)+1)&gt;=1,IF((83-N(P_L3_Mes)+1)=1,N(P_L3_Monto),CI$134)*N(P_L3_Tasa)/12,0)*CJ$9</f>
        <v>0</v>
      </c>
      <c r="CK132" s="48">
        <f>IF((84-N(P_L3_Mes)+1)&gt;=1,IF((84-N(P_L3_Mes)+1)=1,N(P_L3_Monto),CJ$134)*N(P_L3_Tasa)/12,0)*CK$9</f>
        <v>0</v>
      </c>
      <c r="CL132" s="48">
        <f>IF((85-N(P_L3_Mes)+1)&gt;=1,IF((85-N(P_L3_Mes)+1)=1,N(P_L3_Monto),CK$134)*N(P_L3_Tasa)/12,0)*CL$9</f>
        <v>0</v>
      </c>
      <c r="CM132" s="48">
        <f>IF((86-N(P_L3_Mes)+1)&gt;=1,IF((86-N(P_L3_Mes)+1)=1,N(P_L3_Monto),CL$134)*N(P_L3_Tasa)/12,0)*CM$9</f>
        <v>0</v>
      </c>
      <c r="CN132" s="48">
        <f>IF((87-N(P_L3_Mes)+1)&gt;=1,IF((87-N(P_L3_Mes)+1)=1,N(P_L3_Monto),CM$134)*N(P_L3_Tasa)/12,0)*CN$9</f>
        <v>0</v>
      </c>
      <c r="CO132" s="48">
        <f>IF((88-N(P_L3_Mes)+1)&gt;=1,IF((88-N(P_L3_Mes)+1)=1,N(P_L3_Monto),CN$134)*N(P_L3_Tasa)/12,0)*CO$9</f>
        <v>0</v>
      </c>
      <c r="CP132" s="48">
        <f>IF((89-N(P_L3_Mes)+1)&gt;=1,IF((89-N(P_L3_Mes)+1)=1,N(P_L3_Monto),CO$134)*N(P_L3_Tasa)/12,0)*CP$9</f>
        <v>0</v>
      </c>
      <c r="CQ132" s="48">
        <f>IF((90-N(P_L3_Mes)+1)&gt;=1,IF((90-N(P_L3_Mes)+1)=1,N(P_L3_Monto),CP$134)*N(P_L3_Tasa)/12,0)*CQ$9</f>
        <v>0</v>
      </c>
      <c r="CR132" s="48">
        <f>IF((91-N(P_L3_Mes)+1)&gt;=1,IF((91-N(P_L3_Mes)+1)=1,N(P_L3_Monto),CQ$134)*N(P_L3_Tasa)/12,0)*CR$9</f>
        <v>0</v>
      </c>
      <c r="CS132" s="48">
        <f>IF((92-N(P_L3_Mes)+1)&gt;=1,IF((92-N(P_L3_Mes)+1)=1,N(P_L3_Monto),CR$134)*N(P_L3_Tasa)/12,0)*CS$9</f>
        <v>0</v>
      </c>
      <c r="CT132" s="48">
        <f>IF((93-N(P_L3_Mes)+1)&gt;=1,IF((93-N(P_L3_Mes)+1)=1,N(P_L3_Monto),CS$134)*N(P_L3_Tasa)/12,0)*CT$9</f>
        <v>0</v>
      </c>
      <c r="CU132" s="48">
        <f>IF((94-N(P_L3_Mes)+1)&gt;=1,IF((94-N(P_L3_Mes)+1)=1,N(P_L3_Monto),CT$134)*N(P_L3_Tasa)/12,0)*CU$9</f>
        <v>0</v>
      </c>
      <c r="CV132" s="48">
        <f>IF((95-N(P_L3_Mes)+1)&gt;=1,IF((95-N(P_L3_Mes)+1)=1,N(P_L3_Monto),CU$134)*N(P_L3_Tasa)/12,0)*CV$9</f>
        <v>0</v>
      </c>
      <c r="CW132" s="48">
        <f>IF((96-N(P_L3_Mes)+1)&gt;=1,IF((96-N(P_L3_Mes)+1)=1,N(P_L3_Monto),CV$134)*N(P_L3_Tasa)/12,0)*CW$9</f>
        <v>0</v>
      </c>
      <c r="CX132" s="48">
        <f>IF((97-N(P_L3_Mes)+1)&gt;=1,IF((97-N(P_L3_Mes)+1)=1,N(P_L3_Monto),CW$134)*N(P_L3_Tasa)/12,0)*CX$9</f>
        <v>0</v>
      </c>
      <c r="CY132" s="48">
        <f>IF((98-N(P_L3_Mes)+1)&gt;=1,IF((98-N(P_L3_Mes)+1)=1,N(P_L3_Monto),CX$134)*N(P_L3_Tasa)/12,0)*CY$9</f>
        <v>0</v>
      </c>
      <c r="CZ132" s="48">
        <f>IF((99-N(P_L3_Mes)+1)&gt;=1,IF((99-N(P_L3_Mes)+1)=1,N(P_L3_Monto),CY$134)*N(P_L3_Tasa)/12,0)*CZ$9</f>
        <v>0</v>
      </c>
      <c r="DA132" s="48">
        <f>IF((100-N(P_L3_Mes)+1)&gt;=1,IF((100-N(P_L3_Mes)+1)=1,N(P_L3_Monto),CZ$134)*N(P_L3_Tasa)/12,0)*DA$9</f>
        <v>0</v>
      </c>
      <c r="DB132" s="48">
        <f>IF((101-N(P_L3_Mes)+1)&gt;=1,IF((101-N(P_L3_Mes)+1)=1,N(P_L3_Monto),DA$134)*N(P_L3_Tasa)/12,0)*DB$9</f>
        <v>0</v>
      </c>
      <c r="DC132" s="48">
        <f>IF((102-N(P_L3_Mes)+1)&gt;=1,IF((102-N(P_L3_Mes)+1)=1,N(P_L3_Monto),DB$134)*N(P_L3_Tasa)/12,0)*DC$9</f>
        <v>0</v>
      </c>
      <c r="DD132" s="48">
        <f>IF((103-N(P_L3_Mes)+1)&gt;=1,IF((103-N(P_L3_Mes)+1)=1,N(P_L3_Monto),DC$134)*N(P_L3_Tasa)/12,0)*DD$9</f>
        <v>0</v>
      </c>
      <c r="DE132" s="48">
        <f>IF((104-N(P_L3_Mes)+1)&gt;=1,IF((104-N(P_L3_Mes)+1)=1,N(P_L3_Monto),DD$134)*N(P_L3_Tasa)/12,0)*DE$9</f>
        <v>0</v>
      </c>
      <c r="DF132" s="48">
        <f>IF((105-N(P_L3_Mes)+1)&gt;=1,IF((105-N(P_L3_Mes)+1)=1,N(P_L3_Monto),DE$134)*N(P_L3_Tasa)/12,0)*DF$9</f>
        <v>0</v>
      </c>
      <c r="DG132" s="48">
        <f>IF((106-N(P_L3_Mes)+1)&gt;=1,IF((106-N(P_L3_Mes)+1)=1,N(P_L3_Monto),DF$134)*N(P_L3_Tasa)/12,0)*DG$9</f>
        <v>0</v>
      </c>
      <c r="DH132" s="48">
        <f>IF((107-N(P_L3_Mes)+1)&gt;=1,IF((107-N(P_L3_Mes)+1)=1,N(P_L3_Monto),DG$134)*N(P_L3_Tasa)/12,0)*DH$9</f>
        <v>0</v>
      </c>
      <c r="DI132" s="48">
        <f>IF((108-N(P_L3_Mes)+1)&gt;=1,IF((108-N(P_L3_Mes)+1)=1,N(P_L3_Monto),DH$134)*N(P_L3_Tasa)/12,0)*DI$9</f>
        <v>0</v>
      </c>
      <c r="DJ132" s="48">
        <f>IF((109-N(P_L3_Mes)+1)&gt;=1,IF((109-N(P_L3_Mes)+1)=1,N(P_L3_Monto),DI$134)*N(P_L3_Tasa)/12,0)*DJ$9</f>
        <v>0</v>
      </c>
      <c r="DK132" s="48">
        <f>IF((110-N(P_L3_Mes)+1)&gt;=1,IF((110-N(P_L3_Mes)+1)=1,N(P_L3_Monto),DJ$134)*N(P_L3_Tasa)/12,0)*DK$9</f>
        <v>0</v>
      </c>
      <c r="DL132" s="48">
        <f>IF((111-N(P_L3_Mes)+1)&gt;=1,IF((111-N(P_L3_Mes)+1)=1,N(P_L3_Monto),DK$134)*N(P_L3_Tasa)/12,0)*DL$9</f>
        <v>0</v>
      </c>
      <c r="DM132" s="48">
        <f>IF((112-N(P_L3_Mes)+1)&gt;=1,IF((112-N(P_L3_Mes)+1)=1,N(P_L3_Monto),DL$134)*N(P_L3_Tasa)/12,0)*DM$9</f>
        <v>0</v>
      </c>
      <c r="DN132" s="48">
        <f>IF((113-N(P_L3_Mes)+1)&gt;=1,IF((113-N(P_L3_Mes)+1)=1,N(P_L3_Monto),DM$134)*N(P_L3_Tasa)/12,0)*DN$9</f>
        <v>0</v>
      </c>
      <c r="DO132" s="48">
        <f>IF((114-N(P_L3_Mes)+1)&gt;=1,IF((114-N(P_L3_Mes)+1)=1,N(P_L3_Monto),DN$134)*N(P_L3_Tasa)/12,0)*DO$9</f>
        <v>0</v>
      </c>
      <c r="DP132" s="48">
        <f>IF((115-N(P_L3_Mes)+1)&gt;=1,IF((115-N(P_L3_Mes)+1)=1,N(P_L3_Monto),DO$134)*N(P_L3_Tasa)/12,0)*DP$9</f>
        <v>0</v>
      </c>
      <c r="DQ132" s="48">
        <f>IF((116-N(P_L3_Mes)+1)&gt;=1,IF((116-N(P_L3_Mes)+1)=1,N(P_L3_Monto),DP$134)*N(P_L3_Tasa)/12,0)*DQ$9</f>
        <v>0</v>
      </c>
      <c r="DR132" s="48">
        <f>IF((117-N(P_L3_Mes)+1)&gt;=1,IF((117-N(P_L3_Mes)+1)=1,N(P_L3_Monto),DQ$134)*N(P_L3_Tasa)/12,0)*DR$9</f>
        <v>0</v>
      </c>
      <c r="DS132" s="48">
        <f>IF((118-N(P_L3_Mes)+1)&gt;=1,IF((118-N(P_L3_Mes)+1)=1,N(P_L3_Monto),DR$134)*N(P_L3_Tasa)/12,0)*DS$9</f>
        <v>0</v>
      </c>
      <c r="DT132" s="48">
        <f>IF((119-N(P_L3_Mes)+1)&gt;=1,IF((119-N(P_L3_Mes)+1)=1,N(P_L3_Monto),DS$134)*N(P_L3_Tasa)/12,0)*DT$9</f>
        <v>0</v>
      </c>
      <c r="DU132" s="48">
        <f>IF((120-N(P_L3_Mes)+1)&gt;=1,IF((120-N(P_L3_Mes)+1)=1,N(P_L3_Monto),DT$134)*N(P_L3_Tasa)/12,0)*DU$9</f>
        <v>0</v>
      </c>
      <c r="DV132" s="48">
        <f>IF((121-N(P_L3_Mes)+1)&gt;=1,IF((121-N(P_L3_Mes)+1)=1,N(P_L3_Monto),DU$134)*N(P_L3_Tasa)/12,0)*DV$9</f>
        <v>0</v>
      </c>
      <c r="DW132" s="48">
        <f>IF((122-N(P_L3_Mes)+1)&gt;=1,IF((122-N(P_L3_Mes)+1)=1,N(P_L3_Monto),DV$134)*N(P_L3_Tasa)/12,0)*DW$9</f>
        <v>0</v>
      </c>
      <c r="DX132" s="48">
        <f>IF((123-N(P_L3_Mes)+1)&gt;=1,IF((123-N(P_L3_Mes)+1)=1,N(P_L3_Monto),DW$134)*N(P_L3_Tasa)/12,0)*DX$9</f>
        <v>0</v>
      </c>
      <c r="DY132" s="48">
        <f>IF((124-N(P_L3_Mes)+1)&gt;=1,IF((124-N(P_L3_Mes)+1)=1,N(P_L3_Monto),DX$134)*N(P_L3_Tasa)/12,0)*DY$9</f>
        <v>0</v>
      </c>
      <c r="DZ132" s="48">
        <f>IF((125-N(P_L3_Mes)+1)&gt;=1,IF((125-N(P_L3_Mes)+1)=1,N(P_L3_Monto),DY$134)*N(P_L3_Tasa)/12,0)*DZ$9</f>
        <v>0</v>
      </c>
      <c r="EA132" s="48">
        <f>IF((126-N(P_L3_Mes)+1)&gt;=1,IF((126-N(P_L3_Mes)+1)=1,N(P_L3_Monto),DZ$134)*N(P_L3_Tasa)/12,0)*EA$9</f>
        <v>0</v>
      </c>
      <c r="EB132" s="48">
        <f>IF((127-N(P_L3_Mes)+1)&gt;=1,IF((127-N(P_L3_Mes)+1)=1,N(P_L3_Monto),EA$134)*N(P_L3_Tasa)/12,0)*EB$9</f>
        <v>0</v>
      </c>
      <c r="EC132" s="48">
        <f>IF((128-N(P_L3_Mes)+1)&gt;=1,IF((128-N(P_L3_Mes)+1)=1,N(P_L3_Monto),EB$134)*N(P_L3_Tasa)/12,0)*EC$9</f>
        <v>0</v>
      </c>
      <c r="ED132" s="48">
        <f>IF((129-N(P_L3_Mes)+1)&gt;=1,IF((129-N(P_L3_Mes)+1)=1,N(P_L3_Monto),EC$134)*N(P_L3_Tasa)/12,0)*ED$9</f>
        <v>0</v>
      </c>
      <c r="EE132" s="48">
        <f>IF((130-N(P_L3_Mes)+1)&gt;=1,IF((130-N(P_L3_Mes)+1)=1,N(P_L3_Monto),ED$134)*N(P_L3_Tasa)/12,0)*EE$9</f>
        <v>0</v>
      </c>
      <c r="EF132" s="48">
        <f>IF((131-N(P_L3_Mes)+1)&gt;=1,IF((131-N(P_L3_Mes)+1)=1,N(P_L3_Monto),EE$134)*N(P_L3_Tasa)/12,0)*EF$9</f>
        <v>0</v>
      </c>
      <c r="EG132" s="48">
        <f>IF((132-N(P_L3_Mes)+1)&gt;=1,IF((132-N(P_L3_Mes)+1)=1,N(P_L3_Monto),EF$134)*N(P_L3_Tasa)/12,0)*EG$9</f>
        <v>0</v>
      </c>
      <c r="EH132" s="48">
        <f>IF((133-N(P_L3_Mes)+1)&gt;=1,IF((133-N(P_L3_Mes)+1)=1,N(P_L3_Monto),EG$134)*N(P_L3_Tasa)/12,0)*EH$9</f>
        <v>0</v>
      </c>
      <c r="EI132" s="48">
        <f>IF((134-N(P_L3_Mes)+1)&gt;=1,IF((134-N(P_L3_Mes)+1)=1,N(P_L3_Monto),EH$134)*N(P_L3_Tasa)/12,0)*EI$9</f>
        <v>0</v>
      </c>
      <c r="EJ132" s="48">
        <f>IF((135-N(P_L3_Mes)+1)&gt;=1,IF((135-N(P_L3_Mes)+1)=1,N(P_L3_Monto),EI$134)*N(P_L3_Tasa)/12,0)*EJ$9</f>
        <v>0</v>
      </c>
      <c r="EK132" s="48">
        <f>IF((136-N(P_L3_Mes)+1)&gt;=1,IF((136-N(P_L3_Mes)+1)=1,N(P_L3_Monto),EJ$134)*N(P_L3_Tasa)/12,0)*EK$9</f>
        <v>0</v>
      </c>
      <c r="EL132" s="48">
        <f>IF((137-N(P_L3_Mes)+1)&gt;=1,IF((137-N(P_L3_Mes)+1)=1,N(P_L3_Monto),EK$134)*N(P_L3_Tasa)/12,0)*EL$9</f>
        <v>0</v>
      </c>
      <c r="EM132" s="48">
        <f>IF((138-N(P_L3_Mes)+1)&gt;=1,IF((138-N(P_L3_Mes)+1)=1,N(P_L3_Monto),EL$134)*N(P_L3_Tasa)/12,0)*EM$9</f>
        <v>0</v>
      </c>
      <c r="EN132" s="48">
        <f>IF((139-N(P_L3_Mes)+1)&gt;=1,IF((139-N(P_L3_Mes)+1)=1,N(P_L3_Monto),EM$134)*N(P_L3_Tasa)/12,0)*EN$9</f>
        <v>0</v>
      </c>
      <c r="EO132" s="48">
        <f>IF((140-N(P_L3_Mes)+1)&gt;=1,IF((140-N(P_L3_Mes)+1)=1,N(P_L3_Monto),EN$134)*N(P_L3_Tasa)/12,0)*EO$9</f>
        <v>0</v>
      </c>
      <c r="EP132" s="48">
        <f>IF((141-N(P_L3_Mes)+1)&gt;=1,IF((141-N(P_L3_Mes)+1)=1,N(P_L3_Monto),EO$134)*N(P_L3_Tasa)/12,0)*EP$9</f>
        <v>0</v>
      </c>
      <c r="EQ132" s="48">
        <f>IF((142-N(P_L3_Mes)+1)&gt;=1,IF((142-N(P_L3_Mes)+1)=1,N(P_L3_Monto),EP$134)*N(P_L3_Tasa)/12,0)*EQ$9</f>
        <v>0</v>
      </c>
      <c r="ER132" s="48">
        <f>IF((143-N(P_L3_Mes)+1)&gt;=1,IF((143-N(P_L3_Mes)+1)=1,N(P_L3_Monto),EQ$134)*N(P_L3_Tasa)/12,0)*ER$9</f>
        <v>0</v>
      </c>
      <c r="ES132" s="48">
        <f>IF((144-N(P_L3_Mes)+1)&gt;=1,IF((144-N(P_L3_Mes)+1)=1,N(P_L3_Monto),ER$134)*N(P_L3_Tasa)/12,0)*ES$9</f>
        <v>0</v>
      </c>
    </row>
    <row r="133" spans="1:149" x14ac:dyDescent="0.3">
      <c r="A133" s="14" t="s">
        <v>1162</v>
      </c>
      <c r="B133" s="18" t="s">
        <v>1163</v>
      </c>
      <c r="C133" s="18" t="s">
        <v>439</v>
      </c>
      <c r="E133" s="54">
        <f>SUM(F133:ES133)</f>
        <v>0</v>
      </c>
      <c r="F133" s="48">
        <f>IF(AND((1-N(P_L3_Mes)+1)&gt;N(P_L3_Gracia),(1-N(P_L3_Mes)+1)&lt;=N(P_L3_Gracia)+N(P_L3_Cuotas),N(P_L3_Cuotas)&gt;0),IF((1-N(P_L3_Mes)+1)=N(P_L3_Gracia)+N(P_L3_Cuotas),IF((1-N(P_L3_Mes)+1)=1,N(P_L3_Monto),0),PMT(N(P_L3_Tasa)/12,N(P_L3_Cuotas),-N(P_L3_Monto))-F$132),0)*F$9</f>
        <v>0</v>
      </c>
      <c r="G133" s="48">
        <f>IF(AND((2-N(P_L3_Mes)+1)&gt;N(P_L3_Gracia),(2-N(P_L3_Mes)+1)&lt;=N(P_L3_Gracia)+N(P_L3_Cuotas),N(P_L3_Cuotas)&gt;0),IF((2-N(P_L3_Mes)+1)=N(P_L3_Gracia)+N(P_L3_Cuotas),IF((2-N(P_L3_Mes)+1)=1,N(P_L3_Monto),F$134),PMT(N(P_L3_Tasa)/12,N(P_L3_Cuotas),-N(P_L3_Monto))-G$132),0)*G$9</f>
        <v>0</v>
      </c>
      <c r="H133" s="48">
        <f>IF(AND((3-N(P_L3_Mes)+1)&gt;N(P_L3_Gracia),(3-N(P_L3_Mes)+1)&lt;=N(P_L3_Gracia)+N(P_L3_Cuotas),N(P_L3_Cuotas)&gt;0),IF((3-N(P_L3_Mes)+1)=N(P_L3_Gracia)+N(P_L3_Cuotas),IF((3-N(P_L3_Mes)+1)=1,N(P_L3_Monto),G$134),PMT(N(P_L3_Tasa)/12,N(P_L3_Cuotas),-N(P_L3_Monto))-H$132),0)*H$9</f>
        <v>0</v>
      </c>
      <c r="I133" s="48">
        <f>IF(AND((4-N(P_L3_Mes)+1)&gt;N(P_L3_Gracia),(4-N(P_L3_Mes)+1)&lt;=N(P_L3_Gracia)+N(P_L3_Cuotas),N(P_L3_Cuotas)&gt;0),IF((4-N(P_L3_Mes)+1)=N(P_L3_Gracia)+N(P_L3_Cuotas),IF((4-N(P_L3_Mes)+1)=1,N(P_L3_Monto),H$134),PMT(N(P_L3_Tasa)/12,N(P_L3_Cuotas),-N(P_L3_Monto))-I$132),0)*I$9</f>
        <v>0</v>
      </c>
      <c r="J133" s="48">
        <f>IF(AND((5-N(P_L3_Mes)+1)&gt;N(P_L3_Gracia),(5-N(P_L3_Mes)+1)&lt;=N(P_L3_Gracia)+N(P_L3_Cuotas),N(P_L3_Cuotas)&gt;0),IF((5-N(P_L3_Mes)+1)=N(P_L3_Gracia)+N(P_L3_Cuotas),IF((5-N(P_L3_Mes)+1)=1,N(P_L3_Monto),I$134),PMT(N(P_L3_Tasa)/12,N(P_L3_Cuotas),-N(P_L3_Monto))-J$132),0)*J$9</f>
        <v>0</v>
      </c>
      <c r="K133" s="48">
        <f>IF(AND((6-N(P_L3_Mes)+1)&gt;N(P_L3_Gracia),(6-N(P_L3_Mes)+1)&lt;=N(P_L3_Gracia)+N(P_L3_Cuotas),N(P_L3_Cuotas)&gt;0),IF((6-N(P_L3_Mes)+1)=N(P_L3_Gracia)+N(P_L3_Cuotas),IF((6-N(P_L3_Mes)+1)=1,N(P_L3_Monto),J$134),PMT(N(P_L3_Tasa)/12,N(P_L3_Cuotas),-N(P_L3_Monto))-K$132),0)*K$9</f>
        <v>0</v>
      </c>
      <c r="L133" s="48">
        <f>IF(AND((7-N(P_L3_Mes)+1)&gt;N(P_L3_Gracia),(7-N(P_L3_Mes)+1)&lt;=N(P_L3_Gracia)+N(P_L3_Cuotas),N(P_L3_Cuotas)&gt;0),IF((7-N(P_L3_Mes)+1)=N(P_L3_Gracia)+N(P_L3_Cuotas),IF((7-N(P_L3_Mes)+1)=1,N(P_L3_Monto),K$134),PMT(N(P_L3_Tasa)/12,N(P_L3_Cuotas),-N(P_L3_Monto))-L$132),0)*L$9</f>
        <v>0</v>
      </c>
      <c r="M133" s="48">
        <f>IF(AND((8-N(P_L3_Mes)+1)&gt;N(P_L3_Gracia),(8-N(P_L3_Mes)+1)&lt;=N(P_L3_Gracia)+N(P_L3_Cuotas),N(P_L3_Cuotas)&gt;0),IF((8-N(P_L3_Mes)+1)=N(P_L3_Gracia)+N(P_L3_Cuotas),IF((8-N(P_L3_Mes)+1)=1,N(P_L3_Monto),L$134),PMT(N(P_L3_Tasa)/12,N(P_L3_Cuotas),-N(P_L3_Monto))-M$132),0)*M$9</f>
        <v>0</v>
      </c>
      <c r="N133" s="48">
        <f>IF(AND((9-N(P_L3_Mes)+1)&gt;N(P_L3_Gracia),(9-N(P_L3_Mes)+1)&lt;=N(P_L3_Gracia)+N(P_L3_Cuotas),N(P_L3_Cuotas)&gt;0),IF((9-N(P_L3_Mes)+1)=N(P_L3_Gracia)+N(P_L3_Cuotas),IF((9-N(P_L3_Mes)+1)=1,N(P_L3_Monto),M$134),PMT(N(P_L3_Tasa)/12,N(P_L3_Cuotas),-N(P_L3_Monto))-N$132),0)*N$9</f>
        <v>0</v>
      </c>
      <c r="O133" s="48">
        <f>IF(AND((10-N(P_L3_Mes)+1)&gt;N(P_L3_Gracia),(10-N(P_L3_Mes)+1)&lt;=N(P_L3_Gracia)+N(P_L3_Cuotas),N(P_L3_Cuotas)&gt;0),IF((10-N(P_L3_Mes)+1)=N(P_L3_Gracia)+N(P_L3_Cuotas),IF((10-N(P_L3_Mes)+1)=1,N(P_L3_Monto),N$134),PMT(N(P_L3_Tasa)/12,N(P_L3_Cuotas),-N(P_L3_Monto))-O$132),0)*O$9</f>
        <v>0</v>
      </c>
      <c r="P133" s="48">
        <f>IF(AND((11-N(P_L3_Mes)+1)&gt;N(P_L3_Gracia),(11-N(P_L3_Mes)+1)&lt;=N(P_L3_Gracia)+N(P_L3_Cuotas),N(P_L3_Cuotas)&gt;0),IF((11-N(P_L3_Mes)+1)=N(P_L3_Gracia)+N(P_L3_Cuotas),IF((11-N(P_L3_Mes)+1)=1,N(P_L3_Monto),O$134),PMT(N(P_L3_Tasa)/12,N(P_L3_Cuotas),-N(P_L3_Monto))-P$132),0)*P$9</f>
        <v>0</v>
      </c>
      <c r="Q133" s="48">
        <f>IF(AND((12-N(P_L3_Mes)+1)&gt;N(P_L3_Gracia),(12-N(P_L3_Mes)+1)&lt;=N(P_L3_Gracia)+N(P_L3_Cuotas),N(P_L3_Cuotas)&gt;0),IF((12-N(P_L3_Mes)+1)=N(P_L3_Gracia)+N(P_L3_Cuotas),IF((12-N(P_L3_Mes)+1)=1,N(P_L3_Monto),P$134),PMT(N(P_L3_Tasa)/12,N(P_L3_Cuotas),-N(P_L3_Monto))-Q$132),0)*Q$9</f>
        <v>0</v>
      </c>
      <c r="R133" s="48">
        <f>IF(AND((13-N(P_L3_Mes)+1)&gt;N(P_L3_Gracia),(13-N(P_L3_Mes)+1)&lt;=N(P_L3_Gracia)+N(P_L3_Cuotas),N(P_L3_Cuotas)&gt;0),IF((13-N(P_L3_Mes)+1)=N(P_L3_Gracia)+N(P_L3_Cuotas),IF((13-N(P_L3_Mes)+1)=1,N(P_L3_Monto),Q$134),PMT(N(P_L3_Tasa)/12,N(P_L3_Cuotas),-N(P_L3_Monto))-R$132),0)*R$9</f>
        <v>0</v>
      </c>
      <c r="S133" s="48">
        <f>IF(AND((14-N(P_L3_Mes)+1)&gt;N(P_L3_Gracia),(14-N(P_L3_Mes)+1)&lt;=N(P_L3_Gracia)+N(P_L3_Cuotas),N(P_L3_Cuotas)&gt;0),IF((14-N(P_L3_Mes)+1)=N(P_L3_Gracia)+N(P_L3_Cuotas),IF((14-N(P_L3_Mes)+1)=1,N(P_L3_Monto),R$134),PMT(N(P_L3_Tasa)/12,N(P_L3_Cuotas),-N(P_L3_Monto))-S$132),0)*S$9</f>
        <v>0</v>
      </c>
      <c r="T133" s="48">
        <f>IF(AND((15-N(P_L3_Mes)+1)&gt;N(P_L3_Gracia),(15-N(P_L3_Mes)+1)&lt;=N(P_L3_Gracia)+N(P_L3_Cuotas),N(P_L3_Cuotas)&gt;0),IF((15-N(P_L3_Mes)+1)=N(P_L3_Gracia)+N(P_L3_Cuotas),IF((15-N(P_L3_Mes)+1)=1,N(P_L3_Monto),S$134),PMT(N(P_L3_Tasa)/12,N(P_L3_Cuotas),-N(P_L3_Monto))-T$132),0)*T$9</f>
        <v>0</v>
      </c>
      <c r="U133" s="48">
        <f>IF(AND((16-N(P_L3_Mes)+1)&gt;N(P_L3_Gracia),(16-N(P_L3_Mes)+1)&lt;=N(P_L3_Gracia)+N(P_L3_Cuotas),N(P_L3_Cuotas)&gt;0),IF((16-N(P_L3_Mes)+1)=N(P_L3_Gracia)+N(P_L3_Cuotas),IF((16-N(P_L3_Mes)+1)=1,N(P_L3_Monto),T$134),PMT(N(P_L3_Tasa)/12,N(P_L3_Cuotas),-N(P_L3_Monto))-U$132),0)*U$9</f>
        <v>0</v>
      </c>
      <c r="V133" s="48">
        <f>IF(AND((17-N(P_L3_Mes)+1)&gt;N(P_L3_Gracia),(17-N(P_L3_Mes)+1)&lt;=N(P_L3_Gracia)+N(P_L3_Cuotas),N(P_L3_Cuotas)&gt;0),IF((17-N(P_L3_Mes)+1)=N(P_L3_Gracia)+N(P_L3_Cuotas),IF((17-N(P_L3_Mes)+1)=1,N(P_L3_Monto),U$134),PMT(N(P_L3_Tasa)/12,N(P_L3_Cuotas),-N(P_L3_Monto))-V$132),0)*V$9</f>
        <v>0</v>
      </c>
      <c r="W133" s="48">
        <f>IF(AND((18-N(P_L3_Mes)+1)&gt;N(P_L3_Gracia),(18-N(P_L3_Mes)+1)&lt;=N(P_L3_Gracia)+N(P_L3_Cuotas),N(P_L3_Cuotas)&gt;0),IF((18-N(P_L3_Mes)+1)=N(P_L3_Gracia)+N(P_L3_Cuotas),IF((18-N(P_L3_Mes)+1)=1,N(P_L3_Monto),V$134),PMT(N(P_L3_Tasa)/12,N(P_L3_Cuotas),-N(P_L3_Monto))-W$132),0)*W$9</f>
        <v>0</v>
      </c>
      <c r="X133" s="48">
        <f>IF(AND((19-N(P_L3_Mes)+1)&gt;N(P_L3_Gracia),(19-N(P_L3_Mes)+1)&lt;=N(P_L3_Gracia)+N(P_L3_Cuotas),N(P_L3_Cuotas)&gt;0),IF((19-N(P_L3_Mes)+1)=N(P_L3_Gracia)+N(P_L3_Cuotas),IF((19-N(P_L3_Mes)+1)=1,N(P_L3_Monto),W$134),PMT(N(P_L3_Tasa)/12,N(P_L3_Cuotas),-N(P_L3_Monto))-X$132),0)*X$9</f>
        <v>0</v>
      </c>
      <c r="Y133" s="48">
        <f>IF(AND((20-N(P_L3_Mes)+1)&gt;N(P_L3_Gracia),(20-N(P_L3_Mes)+1)&lt;=N(P_L3_Gracia)+N(P_L3_Cuotas),N(P_L3_Cuotas)&gt;0),IF((20-N(P_L3_Mes)+1)=N(P_L3_Gracia)+N(P_L3_Cuotas),IF((20-N(P_L3_Mes)+1)=1,N(P_L3_Monto),X$134),PMT(N(P_L3_Tasa)/12,N(P_L3_Cuotas),-N(P_L3_Monto))-Y$132),0)*Y$9</f>
        <v>0</v>
      </c>
      <c r="Z133" s="48">
        <f>IF(AND((21-N(P_L3_Mes)+1)&gt;N(P_L3_Gracia),(21-N(P_L3_Mes)+1)&lt;=N(P_L3_Gracia)+N(P_L3_Cuotas),N(P_L3_Cuotas)&gt;0),IF((21-N(P_L3_Mes)+1)=N(P_L3_Gracia)+N(P_L3_Cuotas),IF((21-N(P_L3_Mes)+1)=1,N(P_L3_Monto),Y$134),PMT(N(P_L3_Tasa)/12,N(P_L3_Cuotas),-N(P_L3_Monto))-Z$132),0)*Z$9</f>
        <v>0</v>
      </c>
      <c r="AA133" s="48">
        <f>IF(AND((22-N(P_L3_Mes)+1)&gt;N(P_L3_Gracia),(22-N(P_L3_Mes)+1)&lt;=N(P_L3_Gracia)+N(P_L3_Cuotas),N(P_L3_Cuotas)&gt;0),IF((22-N(P_L3_Mes)+1)=N(P_L3_Gracia)+N(P_L3_Cuotas),IF((22-N(P_L3_Mes)+1)=1,N(P_L3_Monto),Z$134),PMT(N(P_L3_Tasa)/12,N(P_L3_Cuotas),-N(P_L3_Monto))-AA$132),0)*AA$9</f>
        <v>0</v>
      </c>
      <c r="AB133" s="48">
        <f>IF(AND((23-N(P_L3_Mes)+1)&gt;N(P_L3_Gracia),(23-N(P_L3_Mes)+1)&lt;=N(P_L3_Gracia)+N(P_L3_Cuotas),N(P_L3_Cuotas)&gt;0),IF((23-N(P_L3_Mes)+1)=N(P_L3_Gracia)+N(P_L3_Cuotas),IF((23-N(P_L3_Mes)+1)=1,N(P_L3_Monto),AA$134),PMT(N(P_L3_Tasa)/12,N(P_L3_Cuotas),-N(P_L3_Monto))-AB$132),0)*AB$9</f>
        <v>0</v>
      </c>
      <c r="AC133" s="48">
        <f>IF(AND((24-N(P_L3_Mes)+1)&gt;N(P_L3_Gracia),(24-N(P_L3_Mes)+1)&lt;=N(P_L3_Gracia)+N(P_L3_Cuotas),N(P_L3_Cuotas)&gt;0),IF((24-N(P_L3_Mes)+1)=N(P_L3_Gracia)+N(P_L3_Cuotas),IF((24-N(P_L3_Mes)+1)=1,N(P_L3_Monto),AB$134),PMT(N(P_L3_Tasa)/12,N(P_L3_Cuotas),-N(P_L3_Monto))-AC$132),0)*AC$9</f>
        <v>0</v>
      </c>
      <c r="AD133" s="48">
        <f>IF(AND((25-N(P_L3_Mes)+1)&gt;N(P_L3_Gracia),(25-N(P_L3_Mes)+1)&lt;=N(P_L3_Gracia)+N(P_L3_Cuotas),N(P_L3_Cuotas)&gt;0),IF((25-N(P_L3_Mes)+1)=N(P_L3_Gracia)+N(P_L3_Cuotas),IF((25-N(P_L3_Mes)+1)=1,N(P_L3_Monto),AC$134),PMT(N(P_L3_Tasa)/12,N(P_L3_Cuotas),-N(P_L3_Monto))-AD$132),0)*AD$9</f>
        <v>0</v>
      </c>
      <c r="AE133" s="48">
        <f>IF(AND((26-N(P_L3_Mes)+1)&gt;N(P_L3_Gracia),(26-N(P_L3_Mes)+1)&lt;=N(P_L3_Gracia)+N(P_L3_Cuotas),N(P_L3_Cuotas)&gt;0),IF((26-N(P_L3_Mes)+1)=N(P_L3_Gracia)+N(P_L3_Cuotas),IF((26-N(P_L3_Mes)+1)=1,N(P_L3_Monto),AD$134),PMT(N(P_L3_Tasa)/12,N(P_L3_Cuotas),-N(P_L3_Monto))-AE$132),0)*AE$9</f>
        <v>0</v>
      </c>
      <c r="AF133" s="48">
        <f>IF(AND((27-N(P_L3_Mes)+1)&gt;N(P_L3_Gracia),(27-N(P_L3_Mes)+1)&lt;=N(P_L3_Gracia)+N(P_L3_Cuotas),N(P_L3_Cuotas)&gt;0),IF((27-N(P_L3_Mes)+1)=N(P_L3_Gracia)+N(P_L3_Cuotas),IF((27-N(P_L3_Mes)+1)=1,N(P_L3_Monto),AE$134),PMT(N(P_L3_Tasa)/12,N(P_L3_Cuotas),-N(P_L3_Monto))-AF$132),0)*AF$9</f>
        <v>0</v>
      </c>
      <c r="AG133" s="48">
        <f>IF(AND((28-N(P_L3_Mes)+1)&gt;N(P_L3_Gracia),(28-N(P_L3_Mes)+1)&lt;=N(P_L3_Gracia)+N(P_L3_Cuotas),N(P_L3_Cuotas)&gt;0),IF((28-N(P_L3_Mes)+1)=N(P_L3_Gracia)+N(P_L3_Cuotas),IF((28-N(P_L3_Mes)+1)=1,N(P_L3_Monto),AF$134),PMT(N(P_L3_Tasa)/12,N(P_L3_Cuotas),-N(P_L3_Monto))-AG$132),0)*AG$9</f>
        <v>0</v>
      </c>
      <c r="AH133" s="48">
        <f>IF(AND((29-N(P_L3_Mes)+1)&gt;N(P_L3_Gracia),(29-N(P_L3_Mes)+1)&lt;=N(P_L3_Gracia)+N(P_L3_Cuotas),N(P_L3_Cuotas)&gt;0),IF((29-N(P_L3_Mes)+1)=N(P_L3_Gracia)+N(P_L3_Cuotas),IF((29-N(P_L3_Mes)+1)=1,N(P_L3_Monto),AG$134),PMT(N(P_L3_Tasa)/12,N(P_L3_Cuotas),-N(P_L3_Monto))-AH$132),0)*AH$9</f>
        <v>0</v>
      </c>
      <c r="AI133" s="48">
        <f>IF(AND((30-N(P_L3_Mes)+1)&gt;N(P_L3_Gracia),(30-N(P_L3_Mes)+1)&lt;=N(P_L3_Gracia)+N(P_L3_Cuotas),N(P_L3_Cuotas)&gt;0),IF((30-N(P_L3_Mes)+1)=N(P_L3_Gracia)+N(P_L3_Cuotas),IF((30-N(P_L3_Mes)+1)=1,N(P_L3_Monto),AH$134),PMT(N(P_L3_Tasa)/12,N(P_L3_Cuotas),-N(P_L3_Monto))-AI$132),0)*AI$9</f>
        <v>0</v>
      </c>
      <c r="AJ133" s="48">
        <f>IF(AND((31-N(P_L3_Mes)+1)&gt;N(P_L3_Gracia),(31-N(P_L3_Mes)+1)&lt;=N(P_L3_Gracia)+N(P_L3_Cuotas),N(P_L3_Cuotas)&gt;0),IF((31-N(P_L3_Mes)+1)=N(P_L3_Gracia)+N(P_L3_Cuotas),IF((31-N(P_L3_Mes)+1)=1,N(P_L3_Monto),AI$134),PMT(N(P_L3_Tasa)/12,N(P_L3_Cuotas),-N(P_L3_Monto))-AJ$132),0)*AJ$9</f>
        <v>0</v>
      </c>
      <c r="AK133" s="48">
        <f>IF(AND((32-N(P_L3_Mes)+1)&gt;N(P_L3_Gracia),(32-N(P_L3_Mes)+1)&lt;=N(P_L3_Gracia)+N(P_L3_Cuotas),N(P_L3_Cuotas)&gt;0),IF((32-N(P_L3_Mes)+1)=N(P_L3_Gracia)+N(P_L3_Cuotas),IF((32-N(P_L3_Mes)+1)=1,N(P_L3_Monto),AJ$134),PMT(N(P_L3_Tasa)/12,N(P_L3_Cuotas),-N(P_L3_Monto))-AK$132),0)*AK$9</f>
        <v>0</v>
      </c>
      <c r="AL133" s="48">
        <f>IF(AND((33-N(P_L3_Mes)+1)&gt;N(P_L3_Gracia),(33-N(P_L3_Mes)+1)&lt;=N(P_L3_Gracia)+N(P_L3_Cuotas),N(P_L3_Cuotas)&gt;0),IF((33-N(P_L3_Mes)+1)=N(P_L3_Gracia)+N(P_L3_Cuotas),IF((33-N(P_L3_Mes)+1)=1,N(P_L3_Monto),AK$134),PMT(N(P_L3_Tasa)/12,N(P_L3_Cuotas),-N(P_L3_Monto))-AL$132),0)*AL$9</f>
        <v>0</v>
      </c>
      <c r="AM133" s="48">
        <f>IF(AND((34-N(P_L3_Mes)+1)&gt;N(P_L3_Gracia),(34-N(P_L3_Mes)+1)&lt;=N(P_L3_Gracia)+N(P_L3_Cuotas),N(P_L3_Cuotas)&gt;0),IF((34-N(P_L3_Mes)+1)=N(P_L3_Gracia)+N(P_L3_Cuotas),IF((34-N(P_L3_Mes)+1)=1,N(P_L3_Monto),AL$134),PMT(N(P_L3_Tasa)/12,N(P_L3_Cuotas),-N(P_L3_Monto))-AM$132),0)*AM$9</f>
        <v>0</v>
      </c>
      <c r="AN133" s="48">
        <f>IF(AND((35-N(P_L3_Mes)+1)&gt;N(P_L3_Gracia),(35-N(P_L3_Mes)+1)&lt;=N(P_L3_Gracia)+N(P_L3_Cuotas),N(P_L3_Cuotas)&gt;0),IF((35-N(P_L3_Mes)+1)=N(P_L3_Gracia)+N(P_L3_Cuotas),IF((35-N(P_L3_Mes)+1)=1,N(P_L3_Monto),AM$134),PMT(N(P_L3_Tasa)/12,N(P_L3_Cuotas),-N(P_L3_Monto))-AN$132),0)*AN$9</f>
        <v>0</v>
      </c>
      <c r="AO133" s="48">
        <f>IF(AND((36-N(P_L3_Mes)+1)&gt;N(P_L3_Gracia),(36-N(P_L3_Mes)+1)&lt;=N(P_L3_Gracia)+N(P_L3_Cuotas),N(P_L3_Cuotas)&gt;0),IF((36-N(P_L3_Mes)+1)=N(P_L3_Gracia)+N(P_L3_Cuotas),IF((36-N(P_L3_Mes)+1)=1,N(P_L3_Monto),AN$134),PMT(N(P_L3_Tasa)/12,N(P_L3_Cuotas),-N(P_L3_Monto))-AO$132),0)*AO$9</f>
        <v>0</v>
      </c>
      <c r="AP133" s="48">
        <f>IF(AND((37-N(P_L3_Mes)+1)&gt;N(P_L3_Gracia),(37-N(P_L3_Mes)+1)&lt;=N(P_L3_Gracia)+N(P_L3_Cuotas),N(P_L3_Cuotas)&gt;0),IF((37-N(P_L3_Mes)+1)=N(P_L3_Gracia)+N(P_L3_Cuotas),IF((37-N(P_L3_Mes)+1)=1,N(P_L3_Monto),AO$134),PMT(N(P_L3_Tasa)/12,N(P_L3_Cuotas),-N(P_L3_Monto))-AP$132),0)*AP$9</f>
        <v>0</v>
      </c>
      <c r="AQ133" s="48">
        <f>IF(AND((38-N(P_L3_Mes)+1)&gt;N(P_L3_Gracia),(38-N(P_L3_Mes)+1)&lt;=N(P_L3_Gracia)+N(P_L3_Cuotas),N(P_L3_Cuotas)&gt;0),IF((38-N(P_L3_Mes)+1)=N(P_L3_Gracia)+N(P_L3_Cuotas),IF((38-N(P_L3_Mes)+1)=1,N(P_L3_Monto),AP$134),PMT(N(P_L3_Tasa)/12,N(P_L3_Cuotas),-N(P_L3_Monto))-AQ$132),0)*AQ$9</f>
        <v>0</v>
      </c>
      <c r="AR133" s="48">
        <f>IF(AND((39-N(P_L3_Mes)+1)&gt;N(P_L3_Gracia),(39-N(P_L3_Mes)+1)&lt;=N(P_L3_Gracia)+N(P_L3_Cuotas),N(P_L3_Cuotas)&gt;0),IF((39-N(P_L3_Mes)+1)=N(P_L3_Gracia)+N(P_L3_Cuotas),IF((39-N(P_L3_Mes)+1)=1,N(P_L3_Monto),AQ$134),PMT(N(P_L3_Tasa)/12,N(P_L3_Cuotas),-N(P_L3_Monto))-AR$132),0)*AR$9</f>
        <v>0</v>
      </c>
      <c r="AS133" s="48">
        <f>IF(AND((40-N(P_L3_Mes)+1)&gt;N(P_L3_Gracia),(40-N(P_L3_Mes)+1)&lt;=N(P_L3_Gracia)+N(P_L3_Cuotas),N(P_L3_Cuotas)&gt;0),IF((40-N(P_L3_Mes)+1)=N(P_L3_Gracia)+N(P_L3_Cuotas),IF((40-N(P_L3_Mes)+1)=1,N(P_L3_Monto),AR$134),PMT(N(P_L3_Tasa)/12,N(P_L3_Cuotas),-N(P_L3_Monto))-AS$132),0)*AS$9</f>
        <v>0</v>
      </c>
      <c r="AT133" s="48">
        <f>IF(AND((41-N(P_L3_Mes)+1)&gt;N(P_L3_Gracia),(41-N(P_L3_Mes)+1)&lt;=N(P_L3_Gracia)+N(P_L3_Cuotas),N(P_L3_Cuotas)&gt;0),IF((41-N(P_L3_Mes)+1)=N(P_L3_Gracia)+N(P_L3_Cuotas),IF((41-N(P_L3_Mes)+1)=1,N(P_L3_Monto),AS$134),PMT(N(P_L3_Tasa)/12,N(P_L3_Cuotas),-N(P_L3_Monto))-AT$132),0)*AT$9</f>
        <v>0</v>
      </c>
      <c r="AU133" s="48">
        <f>IF(AND((42-N(P_L3_Mes)+1)&gt;N(P_L3_Gracia),(42-N(P_L3_Mes)+1)&lt;=N(P_L3_Gracia)+N(P_L3_Cuotas),N(P_L3_Cuotas)&gt;0),IF((42-N(P_L3_Mes)+1)=N(P_L3_Gracia)+N(P_L3_Cuotas),IF((42-N(P_L3_Mes)+1)=1,N(P_L3_Monto),AT$134),PMT(N(P_L3_Tasa)/12,N(P_L3_Cuotas),-N(P_L3_Monto))-AU$132),0)*AU$9</f>
        <v>0</v>
      </c>
      <c r="AV133" s="48">
        <f>IF(AND((43-N(P_L3_Mes)+1)&gt;N(P_L3_Gracia),(43-N(P_L3_Mes)+1)&lt;=N(P_L3_Gracia)+N(P_L3_Cuotas),N(P_L3_Cuotas)&gt;0),IF((43-N(P_L3_Mes)+1)=N(P_L3_Gracia)+N(P_L3_Cuotas),IF((43-N(P_L3_Mes)+1)=1,N(P_L3_Monto),AU$134),PMT(N(P_L3_Tasa)/12,N(P_L3_Cuotas),-N(P_L3_Monto))-AV$132),0)*AV$9</f>
        <v>0</v>
      </c>
      <c r="AW133" s="48">
        <f>IF(AND((44-N(P_L3_Mes)+1)&gt;N(P_L3_Gracia),(44-N(P_L3_Mes)+1)&lt;=N(P_L3_Gracia)+N(P_L3_Cuotas),N(P_L3_Cuotas)&gt;0),IF((44-N(P_L3_Mes)+1)=N(P_L3_Gracia)+N(P_L3_Cuotas),IF((44-N(P_L3_Mes)+1)=1,N(P_L3_Monto),AV$134),PMT(N(P_L3_Tasa)/12,N(P_L3_Cuotas),-N(P_L3_Monto))-AW$132),0)*AW$9</f>
        <v>0</v>
      </c>
      <c r="AX133" s="48">
        <f>IF(AND((45-N(P_L3_Mes)+1)&gt;N(P_L3_Gracia),(45-N(P_L3_Mes)+1)&lt;=N(P_L3_Gracia)+N(P_L3_Cuotas),N(P_L3_Cuotas)&gt;0),IF((45-N(P_L3_Mes)+1)=N(P_L3_Gracia)+N(P_L3_Cuotas),IF((45-N(P_L3_Mes)+1)=1,N(P_L3_Monto),AW$134),PMT(N(P_L3_Tasa)/12,N(P_L3_Cuotas),-N(P_L3_Monto))-AX$132),0)*AX$9</f>
        <v>0</v>
      </c>
      <c r="AY133" s="48">
        <f>IF(AND((46-N(P_L3_Mes)+1)&gt;N(P_L3_Gracia),(46-N(P_L3_Mes)+1)&lt;=N(P_L3_Gracia)+N(P_L3_Cuotas),N(P_L3_Cuotas)&gt;0),IF((46-N(P_L3_Mes)+1)=N(P_L3_Gracia)+N(P_L3_Cuotas),IF((46-N(P_L3_Mes)+1)=1,N(P_L3_Monto),AX$134),PMT(N(P_L3_Tasa)/12,N(P_L3_Cuotas),-N(P_L3_Monto))-AY$132),0)*AY$9</f>
        <v>0</v>
      </c>
      <c r="AZ133" s="48">
        <f>IF(AND((47-N(P_L3_Mes)+1)&gt;N(P_L3_Gracia),(47-N(P_L3_Mes)+1)&lt;=N(P_L3_Gracia)+N(P_L3_Cuotas),N(P_L3_Cuotas)&gt;0),IF((47-N(P_L3_Mes)+1)=N(P_L3_Gracia)+N(P_L3_Cuotas),IF((47-N(P_L3_Mes)+1)=1,N(P_L3_Monto),AY$134),PMT(N(P_L3_Tasa)/12,N(P_L3_Cuotas),-N(P_L3_Monto))-AZ$132),0)*AZ$9</f>
        <v>0</v>
      </c>
      <c r="BA133" s="48">
        <f>IF(AND((48-N(P_L3_Mes)+1)&gt;N(P_L3_Gracia),(48-N(P_L3_Mes)+1)&lt;=N(P_L3_Gracia)+N(P_L3_Cuotas),N(P_L3_Cuotas)&gt;0),IF((48-N(P_L3_Mes)+1)=N(P_L3_Gracia)+N(P_L3_Cuotas),IF((48-N(P_L3_Mes)+1)=1,N(P_L3_Monto),AZ$134),PMT(N(P_L3_Tasa)/12,N(P_L3_Cuotas),-N(P_L3_Monto))-BA$132),0)*BA$9</f>
        <v>0</v>
      </c>
      <c r="BB133" s="48">
        <f>IF(AND((49-N(P_L3_Mes)+1)&gt;N(P_L3_Gracia),(49-N(P_L3_Mes)+1)&lt;=N(P_L3_Gracia)+N(P_L3_Cuotas),N(P_L3_Cuotas)&gt;0),IF((49-N(P_L3_Mes)+1)=N(P_L3_Gracia)+N(P_L3_Cuotas),IF((49-N(P_L3_Mes)+1)=1,N(P_L3_Monto),BA$134),PMT(N(P_L3_Tasa)/12,N(P_L3_Cuotas),-N(P_L3_Monto))-BB$132),0)*BB$9</f>
        <v>0</v>
      </c>
      <c r="BC133" s="48">
        <f>IF(AND((50-N(P_L3_Mes)+1)&gt;N(P_L3_Gracia),(50-N(P_L3_Mes)+1)&lt;=N(P_L3_Gracia)+N(P_L3_Cuotas),N(P_L3_Cuotas)&gt;0),IF((50-N(P_L3_Mes)+1)=N(P_L3_Gracia)+N(P_L3_Cuotas),IF((50-N(P_L3_Mes)+1)=1,N(P_L3_Monto),BB$134),PMT(N(P_L3_Tasa)/12,N(P_L3_Cuotas),-N(P_L3_Monto))-BC$132),0)*BC$9</f>
        <v>0</v>
      </c>
      <c r="BD133" s="48">
        <f>IF(AND((51-N(P_L3_Mes)+1)&gt;N(P_L3_Gracia),(51-N(P_L3_Mes)+1)&lt;=N(P_L3_Gracia)+N(P_L3_Cuotas),N(P_L3_Cuotas)&gt;0),IF((51-N(P_L3_Mes)+1)=N(P_L3_Gracia)+N(P_L3_Cuotas),IF((51-N(P_L3_Mes)+1)=1,N(P_L3_Monto),BC$134),PMT(N(P_L3_Tasa)/12,N(P_L3_Cuotas),-N(P_L3_Monto))-BD$132),0)*BD$9</f>
        <v>0</v>
      </c>
      <c r="BE133" s="48">
        <f>IF(AND((52-N(P_L3_Mes)+1)&gt;N(P_L3_Gracia),(52-N(P_L3_Mes)+1)&lt;=N(P_L3_Gracia)+N(P_L3_Cuotas),N(P_L3_Cuotas)&gt;0),IF((52-N(P_L3_Mes)+1)=N(P_L3_Gracia)+N(P_L3_Cuotas),IF((52-N(P_L3_Mes)+1)=1,N(P_L3_Monto),BD$134),PMT(N(P_L3_Tasa)/12,N(P_L3_Cuotas),-N(P_L3_Monto))-BE$132),0)*BE$9</f>
        <v>0</v>
      </c>
      <c r="BF133" s="48">
        <f>IF(AND((53-N(P_L3_Mes)+1)&gt;N(P_L3_Gracia),(53-N(P_L3_Mes)+1)&lt;=N(P_L3_Gracia)+N(P_L3_Cuotas),N(P_L3_Cuotas)&gt;0),IF((53-N(P_L3_Mes)+1)=N(P_L3_Gracia)+N(P_L3_Cuotas),IF((53-N(P_L3_Mes)+1)=1,N(P_L3_Monto),BE$134),PMT(N(P_L3_Tasa)/12,N(P_L3_Cuotas),-N(P_L3_Monto))-BF$132),0)*BF$9</f>
        <v>0</v>
      </c>
      <c r="BG133" s="48">
        <f>IF(AND((54-N(P_L3_Mes)+1)&gt;N(P_L3_Gracia),(54-N(P_L3_Mes)+1)&lt;=N(P_L3_Gracia)+N(P_L3_Cuotas),N(P_L3_Cuotas)&gt;0),IF((54-N(P_L3_Mes)+1)=N(P_L3_Gracia)+N(P_L3_Cuotas),IF((54-N(P_L3_Mes)+1)=1,N(P_L3_Monto),BF$134),PMT(N(P_L3_Tasa)/12,N(P_L3_Cuotas),-N(P_L3_Monto))-BG$132),0)*BG$9</f>
        <v>0</v>
      </c>
      <c r="BH133" s="48">
        <f>IF(AND((55-N(P_L3_Mes)+1)&gt;N(P_L3_Gracia),(55-N(P_L3_Mes)+1)&lt;=N(P_L3_Gracia)+N(P_L3_Cuotas),N(P_L3_Cuotas)&gt;0),IF((55-N(P_L3_Mes)+1)=N(P_L3_Gracia)+N(P_L3_Cuotas),IF((55-N(P_L3_Mes)+1)=1,N(P_L3_Monto),BG$134),PMT(N(P_L3_Tasa)/12,N(P_L3_Cuotas),-N(P_L3_Monto))-BH$132),0)*BH$9</f>
        <v>0</v>
      </c>
      <c r="BI133" s="48">
        <f>IF(AND((56-N(P_L3_Mes)+1)&gt;N(P_L3_Gracia),(56-N(P_L3_Mes)+1)&lt;=N(P_L3_Gracia)+N(P_L3_Cuotas),N(P_L3_Cuotas)&gt;0),IF((56-N(P_L3_Mes)+1)=N(P_L3_Gracia)+N(P_L3_Cuotas),IF((56-N(P_L3_Mes)+1)=1,N(P_L3_Monto),BH$134),PMT(N(P_L3_Tasa)/12,N(P_L3_Cuotas),-N(P_L3_Monto))-BI$132),0)*BI$9</f>
        <v>0</v>
      </c>
      <c r="BJ133" s="48">
        <f>IF(AND((57-N(P_L3_Mes)+1)&gt;N(P_L3_Gracia),(57-N(P_L3_Mes)+1)&lt;=N(P_L3_Gracia)+N(P_L3_Cuotas),N(P_L3_Cuotas)&gt;0),IF((57-N(P_L3_Mes)+1)=N(P_L3_Gracia)+N(P_L3_Cuotas),IF((57-N(P_L3_Mes)+1)=1,N(P_L3_Monto),BI$134),PMT(N(P_L3_Tasa)/12,N(P_L3_Cuotas),-N(P_L3_Monto))-BJ$132),0)*BJ$9</f>
        <v>0</v>
      </c>
      <c r="BK133" s="48">
        <f>IF(AND((58-N(P_L3_Mes)+1)&gt;N(P_L3_Gracia),(58-N(P_L3_Mes)+1)&lt;=N(P_L3_Gracia)+N(P_L3_Cuotas),N(P_L3_Cuotas)&gt;0),IF((58-N(P_L3_Mes)+1)=N(P_L3_Gracia)+N(P_L3_Cuotas),IF((58-N(P_L3_Mes)+1)=1,N(P_L3_Monto),BJ$134),PMT(N(P_L3_Tasa)/12,N(P_L3_Cuotas),-N(P_L3_Monto))-BK$132),0)*BK$9</f>
        <v>0</v>
      </c>
      <c r="BL133" s="48">
        <f>IF(AND((59-N(P_L3_Mes)+1)&gt;N(P_L3_Gracia),(59-N(P_L3_Mes)+1)&lt;=N(P_L3_Gracia)+N(P_L3_Cuotas),N(P_L3_Cuotas)&gt;0),IF((59-N(P_L3_Mes)+1)=N(P_L3_Gracia)+N(P_L3_Cuotas),IF((59-N(P_L3_Mes)+1)=1,N(P_L3_Monto),BK$134),PMT(N(P_L3_Tasa)/12,N(P_L3_Cuotas),-N(P_L3_Monto))-BL$132),0)*BL$9</f>
        <v>0</v>
      </c>
      <c r="BM133" s="48">
        <f>IF(AND((60-N(P_L3_Mes)+1)&gt;N(P_L3_Gracia),(60-N(P_L3_Mes)+1)&lt;=N(P_L3_Gracia)+N(P_L3_Cuotas),N(P_L3_Cuotas)&gt;0),IF((60-N(P_L3_Mes)+1)=N(P_L3_Gracia)+N(P_L3_Cuotas),IF((60-N(P_L3_Mes)+1)=1,N(P_L3_Monto),BL$134),PMT(N(P_L3_Tasa)/12,N(P_L3_Cuotas),-N(P_L3_Monto))-BM$132),0)*BM$9</f>
        <v>0</v>
      </c>
      <c r="BN133" s="48">
        <f>IF(AND((61-N(P_L3_Mes)+1)&gt;N(P_L3_Gracia),(61-N(P_L3_Mes)+1)&lt;=N(P_L3_Gracia)+N(P_L3_Cuotas),N(P_L3_Cuotas)&gt;0),IF((61-N(P_L3_Mes)+1)=N(P_L3_Gracia)+N(P_L3_Cuotas),IF((61-N(P_L3_Mes)+1)=1,N(P_L3_Monto),BM$134),PMT(N(P_L3_Tasa)/12,N(P_L3_Cuotas),-N(P_L3_Monto))-BN$132),0)*BN$9</f>
        <v>0</v>
      </c>
      <c r="BO133" s="48">
        <f>IF(AND((62-N(P_L3_Mes)+1)&gt;N(P_L3_Gracia),(62-N(P_L3_Mes)+1)&lt;=N(P_L3_Gracia)+N(P_L3_Cuotas),N(P_L3_Cuotas)&gt;0),IF((62-N(P_L3_Mes)+1)=N(P_L3_Gracia)+N(P_L3_Cuotas),IF((62-N(P_L3_Mes)+1)=1,N(P_L3_Monto),BN$134),PMT(N(P_L3_Tasa)/12,N(P_L3_Cuotas),-N(P_L3_Monto))-BO$132),0)*BO$9</f>
        <v>0</v>
      </c>
      <c r="BP133" s="48">
        <f>IF(AND((63-N(P_L3_Mes)+1)&gt;N(P_L3_Gracia),(63-N(P_L3_Mes)+1)&lt;=N(P_L3_Gracia)+N(P_L3_Cuotas),N(P_L3_Cuotas)&gt;0),IF((63-N(P_L3_Mes)+1)=N(P_L3_Gracia)+N(P_L3_Cuotas),IF((63-N(P_L3_Mes)+1)=1,N(P_L3_Monto),BO$134),PMT(N(P_L3_Tasa)/12,N(P_L3_Cuotas),-N(P_L3_Monto))-BP$132),0)*BP$9</f>
        <v>0</v>
      </c>
      <c r="BQ133" s="48">
        <f>IF(AND((64-N(P_L3_Mes)+1)&gt;N(P_L3_Gracia),(64-N(P_L3_Mes)+1)&lt;=N(P_L3_Gracia)+N(P_L3_Cuotas),N(P_L3_Cuotas)&gt;0),IF((64-N(P_L3_Mes)+1)=N(P_L3_Gracia)+N(P_L3_Cuotas),IF((64-N(P_L3_Mes)+1)=1,N(P_L3_Monto),BP$134),PMT(N(P_L3_Tasa)/12,N(P_L3_Cuotas),-N(P_L3_Monto))-BQ$132),0)*BQ$9</f>
        <v>0</v>
      </c>
      <c r="BR133" s="48">
        <f>IF(AND((65-N(P_L3_Mes)+1)&gt;N(P_L3_Gracia),(65-N(P_L3_Mes)+1)&lt;=N(P_L3_Gracia)+N(P_L3_Cuotas),N(P_L3_Cuotas)&gt;0),IF((65-N(P_L3_Mes)+1)=N(P_L3_Gracia)+N(P_L3_Cuotas),IF((65-N(P_L3_Mes)+1)=1,N(P_L3_Monto),BQ$134),PMT(N(P_L3_Tasa)/12,N(P_L3_Cuotas),-N(P_L3_Monto))-BR$132),0)*BR$9</f>
        <v>0</v>
      </c>
      <c r="BS133" s="48">
        <f>IF(AND((66-N(P_L3_Mes)+1)&gt;N(P_L3_Gracia),(66-N(P_L3_Mes)+1)&lt;=N(P_L3_Gracia)+N(P_L3_Cuotas),N(P_L3_Cuotas)&gt;0),IF((66-N(P_L3_Mes)+1)=N(P_L3_Gracia)+N(P_L3_Cuotas),IF((66-N(P_L3_Mes)+1)=1,N(P_L3_Monto),BR$134),PMT(N(P_L3_Tasa)/12,N(P_L3_Cuotas),-N(P_L3_Monto))-BS$132),0)*BS$9</f>
        <v>0</v>
      </c>
      <c r="BT133" s="48">
        <f>IF(AND((67-N(P_L3_Mes)+1)&gt;N(P_L3_Gracia),(67-N(P_L3_Mes)+1)&lt;=N(P_L3_Gracia)+N(P_L3_Cuotas),N(P_L3_Cuotas)&gt;0),IF((67-N(P_L3_Mes)+1)=N(P_L3_Gracia)+N(P_L3_Cuotas),IF((67-N(P_L3_Mes)+1)=1,N(P_L3_Monto),BS$134),PMT(N(P_L3_Tasa)/12,N(P_L3_Cuotas),-N(P_L3_Monto))-BT$132),0)*BT$9</f>
        <v>0</v>
      </c>
      <c r="BU133" s="48">
        <f>IF(AND((68-N(P_L3_Mes)+1)&gt;N(P_L3_Gracia),(68-N(P_L3_Mes)+1)&lt;=N(P_L3_Gracia)+N(P_L3_Cuotas),N(P_L3_Cuotas)&gt;0),IF((68-N(P_L3_Mes)+1)=N(P_L3_Gracia)+N(P_L3_Cuotas),IF((68-N(P_L3_Mes)+1)=1,N(P_L3_Monto),BT$134),PMT(N(P_L3_Tasa)/12,N(P_L3_Cuotas),-N(P_L3_Monto))-BU$132),0)*BU$9</f>
        <v>0</v>
      </c>
      <c r="BV133" s="48">
        <f>IF(AND((69-N(P_L3_Mes)+1)&gt;N(P_L3_Gracia),(69-N(P_L3_Mes)+1)&lt;=N(P_L3_Gracia)+N(P_L3_Cuotas),N(P_L3_Cuotas)&gt;0),IF((69-N(P_L3_Mes)+1)=N(P_L3_Gracia)+N(P_L3_Cuotas),IF((69-N(P_L3_Mes)+1)=1,N(P_L3_Monto),BU$134),PMT(N(P_L3_Tasa)/12,N(P_L3_Cuotas),-N(P_L3_Monto))-BV$132),0)*BV$9</f>
        <v>0</v>
      </c>
      <c r="BW133" s="48">
        <f>IF(AND((70-N(P_L3_Mes)+1)&gt;N(P_L3_Gracia),(70-N(P_L3_Mes)+1)&lt;=N(P_L3_Gracia)+N(P_L3_Cuotas),N(P_L3_Cuotas)&gt;0),IF((70-N(P_L3_Mes)+1)=N(P_L3_Gracia)+N(P_L3_Cuotas),IF((70-N(P_L3_Mes)+1)=1,N(P_L3_Monto),BV$134),PMT(N(P_L3_Tasa)/12,N(P_L3_Cuotas),-N(P_L3_Monto))-BW$132),0)*BW$9</f>
        <v>0</v>
      </c>
      <c r="BX133" s="48">
        <f>IF(AND((71-N(P_L3_Mes)+1)&gt;N(P_L3_Gracia),(71-N(P_L3_Mes)+1)&lt;=N(P_L3_Gracia)+N(P_L3_Cuotas),N(P_L3_Cuotas)&gt;0),IF((71-N(P_L3_Mes)+1)=N(P_L3_Gracia)+N(P_L3_Cuotas),IF((71-N(P_L3_Mes)+1)=1,N(P_L3_Monto),BW$134),PMT(N(P_L3_Tasa)/12,N(P_L3_Cuotas),-N(P_L3_Monto))-BX$132),0)*BX$9</f>
        <v>0</v>
      </c>
      <c r="BY133" s="48">
        <f>IF(AND((72-N(P_L3_Mes)+1)&gt;N(P_L3_Gracia),(72-N(P_L3_Mes)+1)&lt;=N(P_L3_Gracia)+N(P_L3_Cuotas),N(P_L3_Cuotas)&gt;0),IF((72-N(P_L3_Mes)+1)=N(P_L3_Gracia)+N(P_L3_Cuotas),IF((72-N(P_L3_Mes)+1)=1,N(P_L3_Monto),BX$134),PMT(N(P_L3_Tasa)/12,N(P_L3_Cuotas),-N(P_L3_Monto))-BY$132),0)*BY$9</f>
        <v>0</v>
      </c>
      <c r="BZ133" s="48">
        <f>IF(AND((73-N(P_L3_Mes)+1)&gt;N(P_L3_Gracia),(73-N(P_L3_Mes)+1)&lt;=N(P_L3_Gracia)+N(P_L3_Cuotas),N(P_L3_Cuotas)&gt;0),IF((73-N(P_L3_Mes)+1)=N(P_L3_Gracia)+N(P_L3_Cuotas),IF((73-N(P_L3_Mes)+1)=1,N(P_L3_Monto),BY$134),PMT(N(P_L3_Tasa)/12,N(P_L3_Cuotas),-N(P_L3_Monto))-BZ$132),0)*BZ$9</f>
        <v>0</v>
      </c>
      <c r="CA133" s="48">
        <f>IF(AND((74-N(P_L3_Mes)+1)&gt;N(P_L3_Gracia),(74-N(P_L3_Mes)+1)&lt;=N(P_L3_Gracia)+N(P_L3_Cuotas),N(P_L3_Cuotas)&gt;0),IF((74-N(P_L3_Mes)+1)=N(P_L3_Gracia)+N(P_L3_Cuotas),IF((74-N(P_L3_Mes)+1)=1,N(P_L3_Monto),BZ$134),PMT(N(P_L3_Tasa)/12,N(P_L3_Cuotas),-N(P_L3_Monto))-CA$132),0)*CA$9</f>
        <v>0</v>
      </c>
      <c r="CB133" s="48">
        <f>IF(AND((75-N(P_L3_Mes)+1)&gt;N(P_L3_Gracia),(75-N(P_L3_Mes)+1)&lt;=N(P_L3_Gracia)+N(P_L3_Cuotas),N(P_L3_Cuotas)&gt;0),IF((75-N(P_L3_Mes)+1)=N(P_L3_Gracia)+N(P_L3_Cuotas),IF((75-N(P_L3_Mes)+1)=1,N(P_L3_Monto),CA$134),PMT(N(P_L3_Tasa)/12,N(P_L3_Cuotas),-N(P_L3_Monto))-CB$132),0)*CB$9</f>
        <v>0</v>
      </c>
      <c r="CC133" s="48">
        <f>IF(AND((76-N(P_L3_Mes)+1)&gt;N(P_L3_Gracia),(76-N(P_L3_Mes)+1)&lt;=N(P_L3_Gracia)+N(P_L3_Cuotas),N(P_L3_Cuotas)&gt;0),IF((76-N(P_L3_Mes)+1)=N(P_L3_Gracia)+N(P_L3_Cuotas),IF((76-N(P_L3_Mes)+1)=1,N(P_L3_Monto),CB$134),PMT(N(P_L3_Tasa)/12,N(P_L3_Cuotas),-N(P_L3_Monto))-CC$132),0)*CC$9</f>
        <v>0</v>
      </c>
      <c r="CD133" s="48">
        <f>IF(AND((77-N(P_L3_Mes)+1)&gt;N(P_L3_Gracia),(77-N(P_L3_Mes)+1)&lt;=N(P_L3_Gracia)+N(P_L3_Cuotas),N(P_L3_Cuotas)&gt;0),IF((77-N(P_L3_Mes)+1)=N(P_L3_Gracia)+N(P_L3_Cuotas),IF((77-N(P_L3_Mes)+1)=1,N(P_L3_Monto),CC$134),PMT(N(P_L3_Tasa)/12,N(P_L3_Cuotas),-N(P_L3_Monto))-CD$132),0)*CD$9</f>
        <v>0</v>
      </c>
      <c r="CE133" s="48">
        <f>IF(AND((78-N(P_L3_Mes)+1)&gt;N(P_L3_Gracia),(78-N(P_L3_Mes)+1)&lt;=N(P_L3_Gracia)+N(P_L3_Cuotas),N(P_L3_Cuotas)&gt;0),IF((78-N(P_L3_Mes)+1)=N(P_L3_Gracia)+N(P_L3_Cuotas),IF((78-N(P_L3_Mes)+1)=1,N(P_L3_Monto),CD$134),PMT(N(P_L3_Tasa)/12,N(P_L3_Cuotas),-N(P_L3_Monto))-CE$132),0)*CE$9</f>
        <v>0</v>
      </c>
      <c r="CF133" s="48">
        <f>IF(AND((79-N(P_L3_Mes)+1)&gt;N(P_L3_Gracia),(79-N(P_L3_Mes)+1)&lt;=N(P_L3_Gracia)+N(P_L3_Cuotas),N(P_L3_Cuotas)&gt;0),IF((79-N(P_L3_Mes)+1)=N(P_L3_Gracia)+N(P_L3_Cuotas),IF((79-N(P_L3_Mes)+1)=1,N(P_L3_Monto),CE$134),PMT(N(P_L3_Tasa)/12,N(P_L3_Cuotas),-N(P_L3_Monto))-CF$132),0)*CF$9</f>
        <v>0</v>
      </c>
      <c r="CG133" s="48">
        <f>IF(AND((80-N(P_L3_Mes)+1)&gt;N(P_L3_Gracia),(80-N(P_L3_Mes)+1)&lt;=N(P_L3_Gracia)+N(P_L3_Cuotas),N(P_L3_Cuotas)&gt;0),IF((80-N(P_L3_Mes)+1)=N(P_L3_Gracia)+N(P_L3_Cuotas),IF((80-N(P_L3_Mes)+1)=1,N(P_L3_Monto),CF$134),PMT(N(P_L3_Tasa)/12,N(P_L3_Cuotas),-N(P_L3_Monto))-CG$132),0)*CG$9</f>
        <v>0</v>
      </c>
      <c r="CH133" s="48">
        <f>IF(AND((81-N(P_L3_Mes)+1)&gt;N(P_L3_Gracia),(81-N(P_L3_Mes)+1)&lt;=N(P_L3_Gracia)+N(P_L3_Cuotas),N(P_L3_Cuotas)&gt;0),IF((81-N(P_L3_Mes)+1)=N(P_L3_Gracia)+N(P_L3_Cuotas),IF((81-N(P_L3_Mes)+1)=1,N(P_L3_Monto),CG$134),PMT(N(P_L3_Tasa)/12,N(P_L3_Cuotas),-N(P_L3_Monto))-CH$132),0)*CH$9</f>
        <v>0</v>
      </c>
      <c r="CI133" s="48">
        <f>IF(AND((82-N(P_L3_Mes)+1)&gt;N(P_L3_Gracia),(82-N(P_L3_Mes)+1)&lt;=N(P_L3_Gracia)+N(P_L3_Cuotas),N(P_L3_Cuotas)&gt;0),IF((82-N(P_L3_Mes)+1)=N(P_L3_Gracia)+N(P_L3_Cuotas),IF((82-N(P_L3_Mes)+1)=1,N(P_L3_Monto),CH$134),PMT(N(P_L3_Tasa)/12,N(P_L3_Cuotas),-N(P_L3_Monto))-CI$132),0)*CI$9</f>
        <v>0</v>
      </c>
      <c r="CJ133" s="48">
        <f>IF(AND((83-N(P_L3_Mes)+1)&gt;N(P_L3_Gracia),(83-N(P_L3_Mes)+1)&lt;=N(P_L3_Gracia)+N(P_L3_Cuotas),N(P_L3_Cuotas)&gt;0),IF((83-N(P_L3_Mes)+1)=N(P_L3_Gracia)+N(P_L3_Cuotas),IF((83-N(P_L3_Mes)+1)=1,N(P_L3_Monto),CI$134),PMT(N(P_L3_Tasa)/12,N(P_L3_Cuotas),-N(P_L3_Monto))-CJ$132),0)*CJ$9</f>
        <v>0</v>
      </c>
      <c r="CK133" s="48">
        <f>IF(AND((84-N(P_L3_Mes)+1)&gt;N(P_L3_Gracia),(84-N(P_L3_Mes)+1)&lt;=N(P_L3_Gracia)+N(P_L3_Cuotas),N(P_L3_Cuotas)&gt;0),IF((84-N(P_L3_Mes)+1)=N(P_L3_Gracia)+N(P_L3_Cuotas),IF((84-N(P_L3_Mes)+1)=1,N(P_L3_Monto),CJ$134),PMT(N(P_L3_Tasa)/12,N(P_L3_Cuotas),-N(P_L3_Monto))-CK$132),0)*CK$9</f>
        <v>0</v>
      </c>
      <c r="CL133" s="48">
        <f>IF(AND((85-N(P_L3_Mes)+1)&gt;N(P_L3_Gracia),(85-N(P_L3_Mes)+1)&lt;=N(P_L3_Gracia)+N(P_L3_Cuotas),N(P_L3_Cuotas)&gt;0),IF((85-N(P_L3_Mes)+1)=N(P_L3_Gracia)+N(P_L3_Cuotas),IF((85-N(P_L3_Mes)+1)=1,N(P_L3_Monto),CK$134),PMT(N(P_L3_Tasa)/12,N(P_L3_Cuotas),-N(P_L3_Monto))-CL$132),0)*CL$9</f>
        <v>0</v>
      </c>
      <c r="CM133" s="48">
        <f>IF(AND((86-N(P_L3_Mes)+1)&gt;N(P_L3_Gracia),(86-N(P_L3_Mes)+1)&lt;=N(P_L3_Gracia)+N(P_L3_Cuotas),N(P_L3_Cuotas)&gt;0),IF((86-N(P_L3_Mes)+1)=N(P_L3_Gracia)+N(P_L3_Cuotas),IF((86-N(P_L3_Mes)+1)=1,N(P_L3_Monto),CL$134),PMT(N(P_L3_Tasa)/12,N(P_L3_Cuotas),-N(P_L3_Monto))-CM$132),0)*CM$9</f>
        <v>0</v>
      </c>
      <c r="CN133" s="48">
        <f>IF(AND((87-N(P_L3_Mes)+1)&gt;N(P_L3_Gracia),(87-N(P_L3_Mes)+1)&lt;=N(P_L3_Gracia)+N(P_L3_Cuotas),N(P_L3_Cuotas)&gt;0),IF((87-N(P_L3_Mes)+1)=N(P_L3_Gracia)+N(P_L3_Cuotas),IF((87-N(P_L3_Mes)+1)=1,N(P_L3_Monto),CM$134),PMT(N(P_L3_Tasa)/12,N(P_L3_Cuotas),-N(P_L3_Monto))-CN$132),0)*CN$9</f>
        <v>0</v>
      </c>
      <c r="CO133" s="48">
        <f>IF(AND((88-N(P_L3_Mes)+1)&gt;N(P_L3_Gracia),(88-N(P_L3_Mes)+1)&lt;=N(P_L3_Gracia)+N(P_L3_Cuotas),N(P_L3_Cuotas)&gt;0),IF((88-N(P_L3_Mes)+1)=N(P_L3_Gracia)+N(P_L3_Cuotas),IF((88-N(P_L3_Mes)+1)=1,N(P_L3_Monto),CN$134),PMT(N(P_L3_Tasa)/12,N(P_L3_Cuotas),-N(P_L3_Monto))-CO$132),0)*CO$9</f>
        <v>0</v>
      </c>
      <c r="CP133" s="48">
        <f>IF(AND((89-N(P_L3_Mes)+1)&gt;N(P_L3_Gracia),(89-N(P_L3_Mes)+1)&lt;=N(P_L3_Gracia)+N(P_L3_Cuotas),N(P_L3_Cuotas)&gt;0),IF((89-N(P_L3_Mes)+1)=N(P_L3_Gracia)+N(P_L3_Cuotas),IF((89-N(P_L3_Mes)+1)=1,N(P_L3_Monto),CO$134),PMT(N(P_L3_Tasa)/12,N(P_L3_Cuotas),-N(P_L3_Monto))-CP$132),0)*CP$9</f>
        <v>0</v>
      </c>
      <c r="CQ133" s="48">
        <f>IF(AND((90-N(P_L3_Mes)+1)&gt;N(P_L3_Gracia),(90-N(P_L3_Mes)+1)&lt;=N(P_L3_Gracia)+N(P_L3_Cuotas),N(P_L3_Cuotas)&gt;0),IF((90-N(P_L3_Mes)+1)=N(P_L3_Gracia)+N(P_L3_Cuotas),IF((90-N(P_L3_Mes)+1)=1,N(P_L3_Monto),CP$134),PMT(N(P_L3_Tasa)/12,N(P_L3_Cuotas),-N(P_L3_Monto))-CQ$132),0)*CQ$9</f>
        <v>0</v>
      </c>
      <c r="CR133" s="48">
        <f>IF(AND((91-N(P_L3_Mes)+1)&gt;N(P_L3_Gracia),(91-N(P_L3_Mes)+1)&lt;=N(P_L3_Gracia)+N(P_L3_Cuotas),N(P_L3_Cuotas)&gt;0),IF((91-N(P_L3_Mes)+1)=N(P_L3_Gracia)+N(P_L3_Cuotas),IF((91-N(P_L3_Mes)+1)=1,N(P_L3_Monto),CQ$134),PMT(N(P_L3_Tasa)/12,N(P_L3_Cuotas),-N(P_L3_Monto))-CR$132),0)*CR$9</f>
        <v>0</v>
      </c>
      <c r="CS133" s="48">
        <f>IF(AND((92-N(P_L3_Mes)+1)&gt;N(P_L3_Gracia),(92-N(P_L3_Mes)+1)&lt;=N(P_L3_Gracia)+N(P_L3_Cuotas),N(P_L3_Cuotas)&gt;0),IF((92-N(P_L3_Mes)+1)=N(P_L3_Gracia)+N(P_L3_Cuotas),IF((92-N(P_L3_Mes)+1)=1,N(P_L3_Monto),CR$134),PMT(N(P_L3_Tasa)/12,N(P_L3_Cuotas),-N(P_L3_Monto))-CS$132),0)*CS$9</f>
        <v>0</v>
      </c>
      <c r="CT133" s="48">
        <f>IF(AND((93-N(P_L3_Mes)+1)&gt;N(P_L3_Gracia),(93-N(P_L3_Mes)+1)&lt;=N(P_L3_Gracia)+N(P_L3_Cuotas),N(P_L3_Cuotas)&gt;0),IF((93-N(P_L3_Mes)+1)=N(P_L3_Gracia)+N(P_L3_Cuotas),IF((93-N(P_L3_Mes)+1)=1,N(P_L3_Monto),CS$134),PMT(N(P_L3_Tasa)/12,N(P_L3_Cuotas),-N(P_L3_Monto))-CT$132),0)*CT$9</f>
        <v>0</v>
      </c>
      <c r="CU133" s="48">
        <f>IF(AND((94-N(P_L3_Mes)+1)&gt;N(P_L3_Gracia),(94-N(P_L3_Mes)+1)&lt;=N(P_L3_Gracia)+N(P_L3_Cuotas),N(P_L3_Cuotas)&gt;0),IF((94-N(P_L3_Mes)+1)=N(P_L3_Gracia)+N(P_L3_Cuotas),IF((94-N(P_L3_Mes)+1)=1,N(P_L3_Monto),CT$134),PMT(N(P_L3_Tasa)/12,N(P_L3_Cuotas),-N(P_L3_Monto))-CU$132),0)*CU$9</f>
        <v>0</v>
      </c>
      <c r="CV133" s="48">
        <f>IF(AND((95-N(P_L3_Mes)+1)&gt;N(P_L3_Gracia),(95-N(P_L3_Mes)+1)&lt;=N(P_L3_Gracia)+N(P_L3_Cuotas),N(P_L3_Cuotas)&gt;0),IF((95-N(P_L3_Mes)+1)=N(P_L3_Gracia)+N(P_L3_Cuotas),IF((95-N(P_L3_Mes)+1)=1,N(P_L3_Monto),CU$134),PMT(N(P_L3_Tasa)/12,N(P_L3_Cuotas),-N(P_L3_Monto))-CV$132),0)*CV$9</f>
        <v>0</v>
      </c>
      <c r="CW133" s="48">
        <f>IF(AND((96-N(P_L3_Mes)+1)&gt;N(P_L3_Gracia),(96-N(P_L3_Mes)+1)&lt;=N(P_L3_Gracia)+N(P_L3_Cuotas),N(P_L3_Cuotas)&gt;0),IF((96-N(P_L3_Mes)+1)=N(P_L3_Gracia)+N(P_L3_Cuotas),IF((96-N(P_L3_Mes)+1)=1,N(P_L3_Monto),CV$134),PMT(N(P_L3_Tasa)/12,N(P_L3_Cuotas),-N(P_L3_Monto))-CW$132),0)*CW$9</f>
        <v>0</v>
      </c>
      <c r="CX133" s="48">
        <f>IF(AND((97-N(P_L3_Mes)+1)&gt;N(P_L3_Gracia),(97-N(P_L3_Mes)+1)&lt;=N(P_L3_Gracia)+N(P_L3_Cuotas),N(P_L3_Cuotas)&gt;0),IF((97-N(P_L3_Mes)+1)=N(P_L3_Gracia)+N(P_L3_Cuotas),IF((97-N(P_L3_Mes)+1)=1,N(P_L3_Monto),CW$134),PMT(N(P_L3_Tasa)/12,N(P_L3_Cuotas),-N(P_L3_Monto))-CX$132),0)*CX$9</f>
        <v>0</v>
      </c>
      <c r="CY133" s="48">
        <f>IF(AND((98-N(P_L3_Mes)+1)&gt;N(P_L3_Gracia),(98-N(P_L3_Mes)+1)&lt;=N(P_L3_Gracia)+N(P_L3_Cuotas),N(P_L3_Cuotas)&gt;0),IF((98-N(P_L3_Mes)+1)=N(P_L3_Gracia)+N(P_L3_Cuotas),IF((98-N(P_L3_Mes)+1)=1,N(P_L3_Monto),CX$134),PMT(N(P_L3_Tasa)/12,N(P_L3_Cuotas),-N(P_L3_Monto))-CY$132),0)*CY$9</f>
        <v>0</v>
      </c>
      <c r="CZ133" s="48">
        <f>IF(AND((99-N(P_L3_Mes)+1)&gt;N(P_L3_Gracia),(99-N(P_L3_Mes)+1)&lt;=N(P_L3_Gracia)+N(P_L3_Cuotas),N(P_L3_Cuotas)&gt;0),IF((99-N(P_L3_Mes)+1)=N(P_L3_Gracia)+N(P_L3_Cuotas),IF((99-N(P_L3_Mes)+1)=1,N(P_L3_Monto),CY$134),PMT(N(P_L3_Tasa)/12,N(P_L3_Cuotas),-N(P_L3_Monto))-CZ$132),0)*CZ$9</f>
        <v>0</v>
      </c>
      <c r="DA133" s="48">
        <f>IF(AND((100-N(P_L3_Mes)+1)&gt;N(P_L3_Gracia),(100-N(P_L3_Mes)+1)&lt;=N(P_L3_Gracia)+N(P_L3_Cuotas),N(P_L3_Cuotas)&gt;0),IF((100-N(P_L3_Mes)+1)=N(P_L3_Gracia)+N(P_L3_Cuotas),IF((100-N(P_L3_Mes)+1)=1,N(P_L3_Monto),CZ$134),PMT(N(P_L3_Tasa)/12,N(P_L3_Cuotas),-N(P_L3_Monto))-DA$132),0)*DA$9</f>
        <v>0</v>
      </c>
      <c r="DB133" s="48">
        <f>IF(AND((101-N(P_L3_Mes)+1)&gt;N(P_L3_Gracia),(101-N(P_L3_Mes)+1)&lt;=N(P_L3_Gracia)+N(P_L3_Cuotas),N(P_L3_Cuotas)&gt;0),IF((101-N(P_L3_Mes)+1)=N(P_L3_Gracia)+N(P_L3_Cuotas),IF((101-N(P_L3_Mes)+1)=1,N(P_L3_Monto),DA$134),PMT(N(P_L3_Tasa)/12,N(P_L3_Cuotas),-N(P_L3_Monto))-DB$132),0)*DB$9</f>
        <v>0</v>
      </c>
      <c r="DC133" s="48">
        <f>IF(AND((102-N(P_L3_Mes)+1)&gt;N(P_L3_Gracia),(102-N(P_L3_Mes)+1)&lt;=N(P_L3_Gracia)+N(P_L3_Cuotas),N(P_L3_Cuotas)&gt;0),IF((102-N(P_L3_Mes)+1)=N(P_L3_Gracia)+N(P_L3_Cuotas),IF((102-N(P_L3_Mes)+1)=1,N(P_L3_Monto),DB$134),PMT(N(P_L3_Tasa)/12,N(P_L3_Cuotas),-N(P_L3_Monto))-DC$132),0)*DC$9</f>
        <v>0</v>
      </c>
      <c r="DD133" s="48">
        <f>IF(AND((103-N(P_L3_Mes)+1)&gt;N(P_L3_Gracia),(103-N(P_L3_Mes)+1)&lt;=N(P_L3_Gracia)+N(P_L3_Cuotas),N(P_L3_Cuotas)&gt;0),IF((103-N(P_L3_Mes)+1)=N(P_L3_Gracia)+N(P_L3_Cuotas),IF((103-N(P_L3_Mes)+1)=1,N(P_L3_Monto),DC$134),PMT(N(P_L3_Tasa)/12,N(P_L3_Cuotas),-N(P_L3_Monto))-DD$132),0)*DD$9</f>
        <v>0</v>
      </c>
      <c r="DE133" s="48">
        <f>IF(AND((104-N(P_L3_Mes)+1)&gt;N(P_L3_Gracia),(104-N(P_L3_Mes)+1)&lt;=N(P_L3_Gracia)+N(P_L3_Cuotas),N(P_L3_Cuotas)&gt;0),IF((104-N(P_L3_Mes)+1)=N(P_L3_Gracia)+N(P_L3_Cuotas),IF((104-N(P_L3_Mes)+1)=1,N(P_L3_Monto),DD$134),PMT(N(P_L3_Tasa)/12,N(P_L3_Cuotas),-N(P_L3_Monto))-DE$132),0)*DE$9</f>
        <v>0</v>
      </c>
      <c r="DF133" s="48">
        <f>IF(AND((105-N(P_L3_Mes)+1)&gt;N(P_L3_Gracia),(105-N(P_L3_Mes)+1)&lt;=N(P_L3_Gracia)+N(P_L3_Cuotas),N(P_L3_Cuotas)&gt;0),IF((105-N(P_L3_Mes)+1)=N(P_L3_Gracia)+N(P_L3_Cuotas),IF((105-N(P_L3_Mes)+1)=1,N(P_L3_Monto),DE$134),PMT(N(P_L3_Tasa)/12,N(P_L3_Cuotas),-N(P_L3_Monto))-DF$132),0)*DF$9</f>
        <v>0</v>
      </c>
      <c r="DG133" s="48">
        <f>IF(AND((106-N(P_L3_Mes)+1)&gt;N(P_L3_Gracia),(106-N(P_L3_Mes)+1)&lt;=N(P_L3_Gracia)+N(P_L3_Cuotas),N(P_L3_Cuotas)&gt;0),IF((106-N(P_L3_Mes)+1)=N(P_L3_Gracia)+N(P_L3_Cuotas),IF((106-N(P_L3_Mes)+1)=1,N(P_L3_Monto),DF$134),PMT(N(P_L3_Tasa)/12,N(P_L3_Cuotas),-N(P_L3_Monto))-DG$132),0)*DG$9</f>
        <v>0</v>
      </c>
      <c r="DH133" s="48">
        <f>IF(AND((107-N(P_L3_Mes)+1)&gt;N(P_L3_Gracia),(107-N(P_L3_Mes)+1)&lt;=N(P_L3_Gracia)+N(P_L3_Cuotas),N(P_L3_Cuotas)&gt;0),IF((107-N(P_L3_Mes)+1)=N(P_L3_Gracia)+N(P_L3_Cuotas),IF((107-N(P_L3_Mes)+1)=1,N(P_L3_Monto),DG$134),PMT(N(P_L3_Tasa)/12,N(P_L3_Cuotas),-N(P_L3_Monto))-DH$132),0)*DH$9</f>
        <v>0</v>
      </c>
      <c r="DI133" s="48">
        <f>IF(AND((108-N(P_L3_Mes)+1)&gt;N(P_L3_Gracia),(108-N(P_L3_Mes)+1)&lt;=N(P_L3_Gracia)+N(P_L3_Cuotas),N(P_L3_Cuotas)&gt;0),IF((108-N(P_L3_Mes)+1)=N(P_L3_Gracia)+N(P_L3_Cuotas),IF((108-N(P_L3_Mes)+1)=1,N(P_L3_Monto),DH$134),PMT(N(P_L3_Tasa)/12,N(P_L3_Cuotas),-N(P_L3_Monto))-DI$132),0)*DI$9</f>
        <v>0</v>
      </c>
      <c r="DJ133" s="48">
        <f>IF(AND((109-N(P_L3_Mes)+1)&gt;N(P_L3_Gracia),(109-N(P_L3_Mes)+1)&lt;=N(P_L3_Gracia)+N(P_L3_Cuotas),N(P_L3_Cuotas)&gt;0),IF((109-N(P_L3_Mes)+1)=N(P_L3_Gracia)+N(P_L3_Cuotas),IF((109-N(P_L3_Mes)+1)=1,N(P_L3_Monto),DI$134),PMT(N(P_L3_Tasa)/12,N(P_L3_Cuotas),-N(P_L3_Monto))-DJ$132),0)*DJ$9</f>
        <v>0</v>
      </c>
      <c r="DK133" s="48">
        <f>IF(AND((110-N(P_L3_Mes)+1)&gt;N(P_L3_Gracia),(110-N(P_L3_Mes)+1)&lt;=N(P_L3_Gracia)+N(P_L3_Cuotas),N(P_L3_Cuotas)&gt;0),IF((110-N(P_L3_Mes)+1)=N(P_L3_Gracia)+N(P_L3_Cuotas),IF((110-N(P_L3_Mes)+1)=1,N(P_L3_Monto),DJ$134),PMT(N(P_L3_Tasa)/12,N(P_L3_Cuotas),-N(P_L3_Monto))-DK$132),0)*DK$9</f>
        <v>0</v>
      </c>
      <c r="DL133" s="48">
        <f>IF(AND((111-N(P_L3_Mes)+1)&gt;N(P_L3_Gracia),(111-N(P_L3_Mes)+1)&lt;=N(P_L3_Gracia)+N(P_L3_Cuotas),N(P_L3_Cuotas)&gt;0),IF((111-N(P_L3_Mes)+1)=N(P_L3_Gracia)+N(P_L3_Cuotas),IF((111-N(P_L3_Mes)+1)=1,N(P_L3_Monto),DK$134),PMT(N(P_L3_Tasa)/12,N(P_L3_Cuotas),-N(P_L3_Monto))-DL$132),0)*DL$9</f>
        <v>0</v>
      </c>
      <c r="DM133" s="48">
        <f>IF(AND((112-N(P_L3_Mes)+1)&gt;N(P_L3_Gracia),(112-N(P_L3_Mes)+1)&lt;=N(P_L3_Gracia)+N(P_L3_Cuotas),N(P_L3_Cuotas)&gt;0),IF((112-N(P_L3_Mes)+1)=N(P_L3_Gracia)+N(P_L3_Cuotas),IF((112-N(P_L3_Mes)+1)=1,N(P_L3_Monto),DL$134),PMT(N(P_L3_Tasa)/12,N(P_L3_Cuotas),-N(P_L3_Monto))-DM$132),0)*DM$9</f>
        <v>0</v>
      </c>
      <c r="DN133" s="48">
        <f>IF(AND((113-N(P_L3_Mes)+1)&gt;N(P_L3_Gracia),(113-N(P_L3_Mes)+1)&lt;=N(P_L3_Gracia)+N(P_L3_Cuotas),N(P_L3_Cuotas)&gt;0),IF((113-N(P_L3_Mes)+1)=N(P_L3_Gracia)+N(P_L3_Cuotas),IF((113-N(P_L3_Mes)+1)=1,N(P_L3_Monto),DM$134),PMT(N(P_L3_Tasa)/12,N(P_L3_Cuotas),-N(P_L3_Monto))-DN$132),0)*DN$9</f>
        <v>0</v>
      </c>
      <c r="DO133" s="48">
        <f>IF(AND((114-N(P_L3_Mes)+1)&gt;N(P_L3_Gracia),(114-N(P_L3_Mes)+1)&lt;=N(P_L3_Gracia)+N(P_L3_Cuotas),N(P_L3_Cuotas)&gt;0),IF((114-N(P_L3_Mes)+1)=N(P_L3_Gracia)+N(P_L3_Cuotas),IF((114-N(P_L3_Mes)+1)=1,N(P_L3_Monto),DN$134),PMT(N(P_L3_Tasa)/12,N(P_L3_Cuotas),-N(P_L3_Monto))-DO$132),0)*DO$9</f>
        <v>0</v>
      </c>
      <c r="DP133" s="48">
        <f>IF(AND((115-N(P_L3_Mes)+1)&gt;N(P_L3_Gracia),(115-N(P_L3_Mes)+1)&lt;=N(P_L3_Gracia)+N(P_L3_Cuotas),N(P_L3_Cuotas)&gt;0),IF((115-N(P_L3_Mes)+1)=N(P_L3_Gracia)+N(P_L3_Cuotas),IF((115-N(P_L3_Mes)+1)=1,N(P_L3_Monto),DO$134),PMT(N(P_L3_Tasa)/12,N(P_L3_Cuotas),-N(P_L3_Monto))-DP$132),0)*DP$9</f>
        <v>0</v>
      </c>
      <c r="DQ133" s="48">
        <f>IF(AND((116-N(P_L3_Mes)+1)&gt;N(P_L3_Gracia),(116-N(P_L3_Mes)+1)&lt;=N(P_L3_Gracia)+N(P_L3_Cuotas),N(P_L3_Cuotas)&gt;0),IF((116-N(P_L3_Mes)+1)=N(P_L3_Gracia)+N(P_L3_Cuotas),IF((116-N(P_L3_Mes)+1)=1,N(P_L3_Monto),DP$134),PMT(N(P_L3_Tasa)/12,N(P_L3_Cuotas),-N(P_L3_Monto))-DQ$132),0)*DQ$9</f>
        <v>0</v>
      </c>
      <c r="DR133" s="48">
        <f>IF(AND((117-N(P_L3_Mes)+1)&gt;N(P_L3_Gracia),(117-N(P_L3_Mes)+1)&lt;=N(P_L3_Gracia)+N(P_L3_Cuotas),N(P_L3_Cuotas)&gt;0),IF((117-N(P_L3_Mes)+1)=N(P_L3_Gracia)+N(P_L3_Cuotas),IF((117-N(P_L3_Mes)+1)=1,N(P_L3_Monto),DQ$134),PMT(N(P_L3_Tasa)/12,N(P_L3_Cuotas),-N(P_L3_Monto))-DR$132),0)*DR$9</f>
        <v>0</v>
      </c>
      <c r="DS133" s="48">
        <f>IF(AND((118-N(P_L3_Mes)+1)&gt;N(P_L3_Gracia),(118-N(P_L3_Mes)+1)&lt;=N(P_L3_Gracia)+N(P_L3_Cuotas),N(P_L3_Cuotas)&gt;0),IF((118-N(P_L3_Mes)+1)=N(P_L3_Gracia)+N(P_L3_Cuotas),IF((118-N(P_L3_Mes)+1)=1,N(P_L3_Monto),DR$134),PMT(N(P_L3_Tasa)/12,N(P_L3_Cuotas),-N(P_L3_Monto))-DS$132),0)*DS$9</f>
        <v>0</v>
      </c>
      <c r="DT133" s="48">
        <f>IF(AND((119-N(P_L3_Mes)+1)&gt;N(P_L3_Gracia),(119-N(P_L3_Mes)+1)&lt;=N(P_L3_Gracia)+N(P_L3_Cuotas),N(P_L3_Cuotas)&gt;0),IF((119-N(P_L3_Mes)+1)=N(P_L3_Gracia)+N(P_L3_Cuotas),IF((119-N(P_L3_Mes)+1)=1,N(P_L3_Monto),DS$134),PMT(N(P_L3_Tasa)/12,N(P_L3_Cuotas),-N(P_L3_Monto))-DT$132),0)*DT$9</f>
        <v>0</v>
      </c>
      <c r="DU133" s="48">
        <f>IF(AND((120-N(P_L3_Mes)+1)&gt;N(P_L3_Gracia),(120-N(P_L3_Mes)+1)&lt;=N(P_L3_Gracia)+N(P_L3_Cuotas),N(P_L3_Cuotas)&gt;0),IF((120-N(P_L3_Mes)+1)=N(P_L3_Gracia)+N(P_L3_Cuotas),IF((120-N(P_L3_Mes)+1)=1,N(P_L3_Monto),DT$134),PMT(N(P_L3_Tasa)/12,N(P_L3_Cuotas),-N(P_L3_Monto))-DU$132),0)*DU$9</f>
        <v>0</v>
      </c>
      <c r="DV133" s="48">
        <f>IF(AND((121-N(P_L3_Mes)+1)&gt;N(P_L3_Gracia),(121-N(P_L3_Mes)+1)&lt;=N(P_L3_Gracia)+N(P_L3_Cuotas),N(P_L3_Cuotas)&gt;0),IF((121-N(P_L3_Mes)+1)=N(P_L3_Gracia)+N(P_L3_Cuotas),IF((121-N(P_L3_Mes)+1)=1,N(P_L3_Monto),DU$134),PMT(N(P_L3_Tasa)/12,N(P_L3_Cuotas),-N(P_L3_Monto))-DV$132),0)*DV$9</f>
        <v>0</v>
      </c>
      <c r="DW133" s="48">
        <f>IF(AND((122-N(P_L3_Mes)+1)&gt;N(P_L3_Gracia),(122-N(P_L3_Mes)+1)&lt;=N(P_L3_Gracia)+N(P_L3_Cuotas),N(P_L3_Cuotas)&gt;0),IF((122-N(P_L3_Mes)+1)=N(P_L3_Gracia)+N(P_L3_Cuotas),IF((122-N(P_L3_Mes)+1)=1,N(P_L3_Monto),DV$134),PMT(N(P_L3_Tasa)/12,N(P_L3_Cuotas),-N(P_L3_Monto))-DW$132),0)*DW$9</f>
        <v>0</v>
      </c>
      <c r="DX133" s="48">
        <f>IF(AND((123-N(P_L3_Mes)+1)&gt;N(P_L3_Gracia),(123-N(P_L3_Mes)+1)&lt;=N(P_L3_Gracia)+N(P_L3_Cuotas),N(P_L3_Cuotas)&gt;0),IF((123-N(P_L3_Mes)+1)=N(P_L3_Gracia)+N(P_L3_Cuotas),IF((123-N(P_L3_Mes)+1)=1,N(P_L3_Monto),DW$134),PMT(N(P_L3_Tasa)/12,N(P_L3_Cuotas),-N(P_L3_Monto))-DX$132),0)*DX$9</f>
        <v>0</v>
      </c>
      <c r="DY133" s="48">
        <f>IF(AND((124-N(P_L3_Mes)+1)&gt;N(P_L3_Gracia),(124-N(P_L3_Mes)+1)&lt;=N(P_L3_Gracia)+N(P_L3_Cuotas),N(P_L3_Cuotas)&gt;0),IF((124-N(P_L3_Mes)+1)=N(P_L3_Gracia)+N(P_L3_Cuotas),IF((124-N(P_L3_Mes)+1)=1,N(P_L3_Monto),DX$134),PMT(N(P_L3_Tasa)/12,N(P_L3_Cuotas),-N(P_L3_Monto))-DY$132),0)*DY$9</f>
        <v>0</v>
      </c>
      <c r="DZ133" s="48">
        <f>IF(AND((125-N(P_L3_Mes)+1)&gt;N(P_L3_Gracia),(125-N(P_L3_Mes)+1)&lt;=N(P_L3_Gracia)+N(P_L3_Cuotas),N(P_L3_Cuotas)&gt;0),IF((125-N(P_L3_Mes)+1)=N(P_L3_Gracia)+N(P_L3_Cuotas),IF((125-N(P_L3_Mes)+1)=1,N(P_L3_Monto),DY$134),PMT(N(P_L3_Tasa)/12,N(P_L3_Cuotas),-N(P_L3_Monto))-DZ$132),0)*DZ$9</f>
        <v>0</v>
      </c>
      <c r="EA133" s="48">
        <f>IF(AND((126-N(P_L3_Mes)+1)&gt;N(P_L3_Gracia),(126-N(P_L3_Mes)+1)&lt;=N(P_L3_Gracia)+N(P_L3_Cuotas),N(P_L3_Cuotas)&gt;0),IF((126-N(P_L3_Mes)+1)=N(P_L3_Gracia)+N(P_L3_Cuotas),IF((126-N(P_L3_Mes)+1)=1,N(P_L3_Monto),DZ$134),PMT(N(P_L3_Tasa)/12,N(P_L3_Cuotas),-N(P_L3_Monto))-EA$132),0)*EA$9</f>
        <v>0</v>
      </c>
      <c r="EB133" s="48">
        <f>IF(AND((127-N(P_L3_Mes)+1)&gt;N(P_L3_Gracia),(127-N(P_L3_Mes)+1)&lt;=N(P_L3_Gracia)+N(P_L3_Cuotas),N(P_L3_Cuotas)&gt;0),IF((127-N(P_L3_Mes)+1)=N(P_L3_Gracia)+N(P_L3_Cuotas),IF((127-N(P_L3_Mes)+1)=1,N(P_L3_Monto),EA$134),PMT(N(P_L3_Tasa)/12,N(P_L3_Cuotas),-N(P_L3_Monto))-EB$132),0)*EB$9</f>
        <v>0</v>
      </c>
      <c r="EC133" s="48">
        <f>IF(AND((128-N(P_L3_Mes)+1)&gt;N(P_L3_Gracia),(128-N(P_L3_Mes)+1)&lt;=N(P_L3_Gracia)+N(P_L3_Cuotas),N(P_L3_Cuotas)&gt;0),IF((128-N(P_L3_Mes)+1)=N(P_L3_Gracia)+N(P_L3_Cuotas),IF((128-N(P_L3_Mes)+1)=1,N(P_L3_Monto),EB$134),PMT(N(P_L3_Tasa)/12,N(P_L3_Cuotas),-N(P_L3_Monto))-EC$132),0)*EC$9</f>
        <v>0</v>
      </c>
      <c r="ED133" s="48">
        <f>IF(AND((129-N(P_L3_Mes)+1)&gt;N(P_L3_Gracia),(129-N(P_L3_Mes)+1)&lt;=N(P_L3_Gracia)+N(P_L3_Cuotas),N(P_L3_Cuotas)&gt;0),IF((129-N(P_L3_Mes)+1)=N(P_L3_Gracia)+N(P_L3_Cuotas),IF((129-N(P_L3_Mes)+1)=1,N(P_L3_Monto),EC$134),PMT(N(P_L3_Tasa)/12,N(P_L3_Cuotas),-N(P_L3_Monto))-ED$132),0)*ED$9</f>
        <v>0</v>
      </c>
      <c r="EE133" s="48">
        <f>IF(AND((130-N(P_L3_Mes)+1)&gt;N(P_L3_Gracia),(130-N(P_L3_Mes)+1)&lt;=N(P_L3_Gracia)+N(P_L3_Cuotas),N(P_L3_Cuotas)&gt;0),IF((130-N(P_L3_Mes)+1)=N(P_L3_Gracia)+N(P_L3_Cuotas),IF((130-N(P_L3_Mes)+1)=1,N(P_L3_Monto),ED$134),PMT(N(P_L3_Tasa)/12,N(P_L3_Cuotas),-N(P_L3_Monto))-EE$132),0)*EE$9</f>
        <v>0</v>
      </c>
      <c r="EF133" s="48">
        <f>IF(AND((131-N(P_L3_Mes)+1)&gt;N(P_L3_Gracia),(131-N(P_L3_Mes)+1)&lt;=N(P_L3_Gracia)+N(P_L3_Cuotas),N(P_L3_Cuotas)&gt;0),IF((131-N(P_L3_Mes)+1)=N(P_L3_Gracia)+N(P_L3_Cuotas),IF((131-N(P_L3_Mes)+1)=1,N(P_L3_Monto),EE$134),PMT(N(P_L3_Tasa)/12,N(P_L3_Cuotas),-N(P_L3_Monto))-EF$132),0)*EF$9</f>
        <v>0</v>
      </c>
      <c r="EG133" s="48">
        <f>IF(AND((132-N(P_L3_Mes)+1)&gt;N(P_L3_Gracia),(132-N(P_L3_Mes)+1)&lt;=N(P_L3_Gracia)+N(P_L3_Cuotas),N(P_L3_Cuotas)&gt;0),IF((132-N(P_L3_Mes)+1)=N(P_L3_Gracia)+N(P_L3_Cuotas),IF((132-N(P_L3_Mes)+1)=1,N(P_L3_Monto),EF$134),PMT(N(P_L3_Tasa)/12,N(P_L3_Cuotas),-N(P_L3_Monto))-EG$132),0)*EG$9</f>
        <v>0</v>
      </c>
      <c r="EH133" s="48">
        <f>IF(AND((133-N(P_L3_Mes)+1)&gt;N(P_L3_Gracia),(133-N(P_L3_Mes)+1)&lt;=N(P_L3_Gracia)+N(P_L3_Cuotas),N(P_L3_Cuotas)&gt;0),IF((133-N(P_L3_Mes)+1)=N(P_L3_Gracia)+N(P_L3_Cuotas),IF((133-N(P_L3_Mes)+1)=1,N(P_L3_Monto),EG$134),PMT(N(P_L3_Tasa)/12,N(P_L3_Cuotas),-N(P_L3_Monto))-EH$132),0)*EH$9</f>
        <v>0</v>
      </c>
      <c r="EI133" s="48">
        <f>IF(AND((134-N(P_L3_Mes)+1)&gt;N(P_L3_Gracia),(134-N(P_L3_Mes)+1)&lt;=N(P_L3_Gracia)+N(P_L3_Cuotas),N(P_L3_Cuotas)&gt;0),IF((134-N(P_L3_Mes)+1)=N(P_L3_Gracia)+N(P_L3_Cuotas),IF((134-N(P_L3_Mes)+1)=1,N(P_L3_Monto),EH$134),PMT(N(P_L3_Tasa)/12,N(P_L3_Cuotas),-N(P_L3_Monto))-EI$132),0)*EI$9</f>
        <v>0</v>
      </c>
      <c r="EJ133" s="48">
        <f>IF(AND((135-N(P_L3_Mes)+1)&gt;N(P_L3_Gracia),(135-N(P_L3_Mes)+1)&lt;=N(P_L3_Gracia)+N(P_L3_Cuotas),N(P_L3_Cuotas)&gt;0),IF((135-N(P_L3_Mes)+1)=N(P_L3_Gracia)+N(P_L3_Cuotas),IF((135-N(P_L3_Mes)+1)=1,N(P_L3_Monto),EI$134),PMT(N(P_L3_Tasa)/12,N(P_L3_Cuotas),-N(P_L3_Monto))-EJ$132),0)*EJ$9</f>
        <v>0</v>
      </c>
      <c r="EK133" s="48">
        <f>IF(AND((136-N(P_L3_Mes)+1)&gt;N(P_L3_Gracia),(136-N(P_L3_Mes)+1)&lt;=N(P_L3_Gracia)+N(P_L3_Cuotas),N(P_L3_Cuotas)&gt;0),IF((136-N(P_L3_Mes)+1)=N(P_L3_Gracia)+N(P_L3_Cuotas),IF((136-N(P_L3_Mes)+1)=1,N(P_L3_Monto),EJ$134),PMT(N(P_L3_Tasa)/12,N(P_L3_Cuotas),-N(P_L3_Monto))-EK$132),0)*EK$9</f>
        <v>0</v>
      </c>
      <c r="EL133" s="48">
        <f>IF(AND((137-N(P_L3_Mes)+1)&gt;N(P_L3_Gracia),(137-N(P_L3_Mes)+1)&lt;=N(P_L3_Gracia)+N(P_L3_Cuotas),N(P_L3_Cuotas)&gt;0),IF((137-N(P_L3_Mes)+1)=N(P_L3_Gracia)+N(P_L3_Cuotas),IF((137-N(P_L3_Mes)+1)=1,N(P_L3_Monto),EK$134),PMT(N(P_L3_Tasa)/12,N(P_L3_Cuotas),-N(P_L3_Monto))-EL$132),0)*EL$9</f>
        <v>0</v>
      </c>
      <c r="EM133" s="48">
        <f>IF(AND((138-N(P_L3_Mes)+1)&gt;N(P_L3_Gracia),(138-N(P_L3_Mes)+1)&lt;=N(P_L3_Gracia)+N(P_L3_Cuotas),N(P_L3_Cuotas)&gt;0),IF((138-N(P_L3_Mes)+1)=N(P_L3_Gracia)+N(P_L3_Cuotas),IF((138-N(P_L3_Mes)+1)=1,N(P_L3_Monto),EL$134),PMT(N(P_L3_Tasa)/12,N(P_L3_Cuotas),-N(P_L3_Monto))-EM$132),0)*EM$9</f>
        <v>0</v>
      </c>
      <c r="EN133" s="48">
        <f>IF(AND((139-N(P_L3_Mes)+1)&gt;N(P_L3_Gracia),(139-N(P_L3_Mes)+1)&lt;=N(P_L3_Gracia)+N(P_L3_Cuotas),N(P_L3_Cuotas)&gt;0),IF((139-N(P_L3_Mes)+1)=N(P_L3_Gracia)+N(P_L3_Cuotas),IF((139-N(P_L3_Mes)+1)=1,N(P_L3_Monto),EM$134),PMT(N(P_L3_Tasa)/12,N(P_L3_Cuotas),-N(P_L3_Monto))-EN$132),0)*EN$9</f>
        <v>0</v>
      </c>
      <c r="EO133" s="48">
        <f>IF(AND((140-N(P_L3_Mes)+1)&gt;N(P_L3_Gracia),(140-N(P_L3_Mes)+1)&lt;=N(P_L3_Gracia)+N(P_L3_Cuotas),N(P_L3_Cuotas)&gt;0),IF((140-N(P_L3_Mes)+1)=N(P_L3_Gracia)+N(P_L3_Cuotas),IF((140-N(P_L3_Mes)+1)=1,N(P_L3_Monto),EN$134),PMT(N(P_L3_Tasa)/12,N(P_L3_Cuotas),-N(P_L3_Monto))-EO$132),0)*EO$9</f>
        <v>0</v>
      </c>
      <c r="EP133" s="48">
        <f>IF(AND((141-N(P_L3_Mes)+1)&gt;N(P_L3_Gracia),(141-N(P_L3_Mes)+1)&lt;=N(P_L3_Gracia)+N(P_L3_Cuotas),N(P_L3_Cuotas)&gt;0),IF((141-N(P_L3_Mes)+1)=N(P_L3_Gracia)+N(P_L3_Cuotas),IF((141-N(P_L3_Mes)+1)=1,N(P_L3_Monto),EO$134),PMT(N(P_L3_Tasa)/12,N(P_L3_Cuotas),-N(P_L3_Monto))-EP$132),0)*EP$9</f>
        <v>0</v>
      </c>
      <c r="EQ133" s="48">
        <f>IF(AND((142-N(P_L3_Mes)+1)&gt;N(P_L3_Gracia),(142-N(P_L3_Mes)+1)&lt;=N(P_L3_Gracia)+N(P_L3_Cuotas),N(P_L3_Cuotas)&gt;0),IF((142-N(P_L3_Mes)+1)=N(P_L3_Gracia)+N(P_L3_Cuotas),IF((142-N(P_L3_Mes)+1)=1,N(P_L3_Monto),EP$134),PMT(N(P_L3_Tasa)/12,N(P_L3_Cuotas),-N(P_L3_Monto))-EQ$132),0)*EQ$9</f>
        <v>0</v>
      </c>
      <c r="ER133" s="48">
        <f>IF(AND((143-N(P_L3_Mes)+1)&gt;N(P_L3_Gracia),(143-N(P_L3_Mes)+1)&lt;=N(P_L3_Gracia)+N(P_L3_Cuotas),N(P_L3_Cuotas)&gt;0),IF((143-N(P_L3_Mes)+1)=N(P_L3_Gracia)+N(P_L3_Cuotas),IF((143-N(P_L3_Mes)+1)=1,N(P_L3_Monto),EQ$134),PMT(N(P_L3_Tasa)/12,N(P_L3_Cuotas),-N(P_L3_Monto))-ER$132),0)*ER$9</f>
        <v>0</v>
      </c>
      <c r="ES133" s="48">
        <f>IF(AND((144-N(P_L3_Mes)+1)&gt;N(P_L3_Gracia),(144-N(P_L3_Mes)+1)&lt;=N(P_L3_Gracia)+N(P_L3_Cuotas),N(P_L3_Cuotas)&gt;0),IF((144-N(P_L3_Mes)+1)=N(P_L3_Gracia)+N(P_L3_Cuotas),IF((144-N(P_L3_Mes)+1)=1,N(P_L3_Monto),ER$134),PMT(N(P_L3_Tasa)/12,N(P_L3_Cuotas),-N(P_L3_Monto))-ES$132),0)*ES$9</f>
        <v>0</v>
      </c>
    </row>
    <row r="134" spans="1:149" x14ac:dyDescent="0.3">
      <c r="A134" s="14" t="s">
        <v>1164</v>
      </c>
      <c r="B134" s="18" t="s">
        <v>1165</v>
      </c>
      <c r="C134" s="18" t="s">
        <v>439</v>
      </c>
      <c r="E134" s="54">
        <f>INDEX(F134:ES134,1,MIN(144,Fin))</f>
        <v>0</v>
      </c>
      <c r="F134" s="48">
        <f>IF((1-N(P_L3_Mes)+1)&lt;1,0,IF((1-N(P_L3_Mes)+1)=1,N(P_L3_Monto),0)-F$133)</f>
        <v>0</v>
      </c>
      <c r="G134" s="48">
        <f>IF((2-N(P_L3_Mes)+1)&lt;1,0,IF((2-N(P_L3_Mes)+1)=1,N(P_L3_Monto),F$134)-G$133)</f>
        <v>0</v>
      </c>
      <c r="H134" s="48">
        <f>IF((3-N(P_L3_Mes)+1)&lt;1,0,IF((3-N(P_L3_Mes)+1)=1,N(P_L3_Monto),G$134)-H$133)</f>
        <v>0</v>
      </c>
      <c r="I134" s="48">
        <f>IF((4-N(P_L3_Mes)+1)&lt;1,0,IF((4-N(P_L3_Mes)+1)=1,N(P_L3_Monto),H$134)-I$133)</f>
        <v>0</v>
      </c>
      <c r="J134" s="48">
        <f>IF((5-N(P_L3_Mes)+1)&lt;1,0,IF((5-N(P_L3_Mes)+1)=1,N(P_L3_Monto),I$134)-J$133)</f>
        <v>0</v>
      </c>
      <c r="K134" s="48">
        <f>IF((6-N(P_L3_Mes)+1)&lt;1,0,IF((6-N(P_L3_Mes)+1)=1,N(P_L3_Monto),J$134)-K$133)</f>
        <v>0</v>
      </c>
      <c r="L134" s="48">
        <f>IF((7-N(P_L3_Mes)+1)&lt;1,0,IF((7-N(P_L3_Mes)+1)=1,N(P_L3_Monto),K$134)-L$133)</f>
        <v>0</v>
      </c>
      <c r="M134" s="48">
        <f>IF((8-N(P_L3_Mes)+1)&lt;1,0,IF((8-N(P_L3_Mes)+1)=1,N(P_L3_Monto),L$134)-M$133)</f>
        <v>0</v>
      </c>
      <c r="N134" s="48">
        <f>IF((9-N(P_L3_Mes)+1)&lt;1,0,IF((9-N(P_L3_Mes)+1)=1,N(P_L3_Monto),M$134)-N$133)</f>
        <v>0</v>
      </c>
      <c r="O134" s="48">
        <f>IF((10-N(P_L3_Mes)+1)&lt;1,0,IF((10-N(P_L3_Mes)+1)=1,N(P_L3_Monto),N$134)-O$133)</f>
        <v>0</v>
      </c>
      <c r="P134" s="48">
        <f>IF((11-N(P_L3_Mes)+1)&lt;1,0,IF((11-N(P_L3_Mes)+1)=1,N(P_L3_Monto),O$134)-P$133)</f>
        <v>0</v>
      </c>
      <c r="Q134" s="48">
        <f>IF((12-N(P_L3_Mes)+1)&lt;1,0,IF((12-N(P_L3_Mes)+1)=1,N(P_L3_Monto),P$134)-Q$133)</f>
        <v>0</v>
      </c>
      <c r="R134" s="48">
        <f>IF((13-N(P_L3_Mes)+1)&lt;1,0,IF((13-N(P_L3_Mes)+1)=1,N(P_L3_Monto),Q$134)-R$133)</f>
        <v>0</v>
      </c>
      <c r="S134" s="48">
        <f>IF((14-N(P_L3_Mes)+1)&lt;1,0,IF((14-N(P_L3_Mes)+1)=1,N(P_L3_Monto),R$134)-S$133)</f>
        <v>0</v>
      </c>
      <c r="T134" s="48">
        <f>IF((15-N(P_L3_Mes)+1)&lt;1,0,IF((15-N(P_L3_Mes)+1)=1,N(P_L3_Monto),S$134)-T$133)</f>
        <v>0</v>
      </c>
      <c r="U134" s="48">
        <f>IF((16-N(P_L3_Mes)+1)&lt;1,0,IF((16-N(P_L3_Mes)+1)=1,N(P_L3_Monto),T$134)-U$133)</f>
        <v>0</v>
      </c>
      <c r="V134" s="48">
        <f>IF((17-N(P_L3_Mes)+1)&lt;1,0,IF((17-N(P_L3_Mes)+1)=1,N(P_L3_Monto),U$134)-V$133)</f>
        <v>0</v>
      </c>
      <c r="W134" s="48">
        <f>IF((18-N(P_L3_Mes)+1)&lt;1,0,IF((18-N(P_L3_Mes)+1)=1,N(P_L3_Monto),V$134)-W$133)</f>
        <v>0</v>
      </c>
      <c r="X134" s="48">
        <f>IF((19-N(P_L3_Mes)+1)&lt;1,0,IF((19-N(P_L3_Mes)+1)=1,N(P_L3_Monto),W$134)-X$133)</f>
        <v>0</v>
      </c>
      <c r="Y134" s="48">
        <f>IF((20-N(P_L3_Mes)+1)&lt;1,0,IF((20-N(P_L3_Mes)+1)=1,N(P_L3_Monto),X$134)-Y$133)</f>
        <v>0</v>
      </c>
      <c r="Z134" s="48">
        <f>IF((21-N(P_L3_Mes)+1)&lt;1,0,IF((21-N(P_L3_Mes)+1)=1,N(P_L3_Monto),Y$134)-Z$133)</f>
        <v>0</v>
      </c>
      <c r="AA134" s="48">
        <f>IF((22-N(P_L3_Mes)+1)&lt;1,0,IF((22-N(P_L3_Mes)+1)=1,N(P_L3_Monto),Z$134)-AA$133)</f>
        <v>0</v>
      </c>
      <c r="AB134" s="48">
        <f>IF((23-N(P_L3_Mes)+1)&lt;1,0,IF((23-N(P_L3_Mes)+1)=1,N(P_L3_Monto),AA$134)-AB$133)</f>
        <v>0</v>
      </c>
      <c r="AC134" s="48">
        <f>IF((24-N(P_L3_Mes)+1)&lt;1,0,IF((24-N(P_L3_Mes)+1)=1,N(P_L3_Monto),AB$134)-AC$133)</f>
        <v>0</v>
      </c>
      <c r="AD134" s="48">
        <f>IF((25-N(P_L3_Mes)+1)&lt;1,0,IF((25-N(P_L3_Mes)+1)=1,N(P_L3_Monto),AC$134)-AD$133)</f>
        <v>0</v>
      </c>
      <c r="AE134" s="48">
        <f>IF((26-N(P_L3_Mes)+1)&lt;1,0,IF((26-N(P_L3_Mes)+1)=1,N(P_L3_Monto),AD$134)-AE$133)</f>
        <v>0</v>
      </c>
      <c r="AF134" s="48">
        <f>IF((27-N(P_L3_Mes)+1)&lt;1,0,IF((27-N(P_L3_Mes)+1)=1,N(P_L3_Monto),AE$134)-AF$133)</f>
        <v>0</v>
      </c>
      <c r="AG134" s="48">
        <f>IF((28-N(P_L3_Mes)+1)&lt;1,0,IF((28-N(P_L3_Mes)+1)=1,N(P_L3_Monto),AF$134)-AG$133)</f>
        <v>0</v>
      </c>
      <c r="AH134" s="48">
        <f>IF((29-N(P_L3_Mes)+1)&lt;1,0,IF((29-N(P_L3_Mes)+1)=1,N(P_L3_Monto),AG$134)-AH$133)</f>
        <v>0</v>
      </c>
      <c r="AI134" s="48">
        <f>IF((30-N(P_L3_Mes)+1)&lt;1,0,IF((30-N(P_L3_Mes)+1)=1,N(P_L3_Monto),AH$134)-AI$133)</f>
        <v>0</v>
      </c>
      <c r="AJ134" s="48">
        <f>IF((31-N(P_L3_Mes)+1)&lt;1,0,IF((31-N(P_L3_Mes)+1)=1,N(P_L3_Monto),AI$134)-AJ$133)</f>
        <v>0</v>
      </c>
      <c r="AK134" s="48">
        <f>IF((32-N(P_L3_Mes)+1)&lt;1,0,IF((32-N(P_L3_Mes)+1)=1,N(P_L3_Monto),AJ$134)-AK$133)</f>
        <v>0</v>
      </c>
      <c r="AL134" s="48">
        <f>IF((33-N(P_L3_Mes)+1)&lt;1,0,IF((33-N(P_L3_Mes)+1)=1,N(P_L3_Monto),AK$134)-AL$133)</f>
        <v>0</v>
      </c>
      <c r="AM134" s="48">
        <f>IF((34-N(P_L3_Mes)+1)&lt;1,0,IF((34-N(P_L3_Mes)+1)=1,N(P_L3_Monto),AL$134)-AM$133)</f>
        <v>0</v>
      </c>
      <c r="AN134" s="48">
        <f>IF((35-N(P_L3_Mes)+1)&lt;1,0,IF((35-N(P_L3_Mes)+1)=1,N(P_L3_Monto),AM$134)-AN$133)</f>
        <v>0</v>
      </c>
      <c r="AO134" s="48">
        <f>IF((36-N(P_L3_Mes)+1)&lt;1,0,IF((36-N(P_L3_Mes)+1)=1,N(P_L3_Monto),AN$134)-AO$133)</f>
        <v>0</v>
      </c>
      <c r="AP134" s="48">
        <f>IF((37-N(P_L3_Mes)+1)&lt;1,0,IF((37-N(P_L3_Mes)+1)=1,N(P_L3_Monto),AO$134)-AP$133)</f>
        <v>0</v>
      </c>
      <c r="AQ134" s="48">
        <f>IF((38-N(P_L3_Mes)+1)&lt;1,0,IF((38-N(P_L3_Mes)+1)=1,N(P_L3_Monto),AP$134)-AQ$133)</f>
        <v>0</v>
      </c>
      <c r="AR134" s="48">
        <f>IF((39-N(P_L3_Mes)+1)&lt;1,0,IF((39-N(P_L3_Mes)+1)=1,N(P_L3_Monto),AQ$134)-AR$133)</f>
        <v>0</v>
      </c>
      <c r="AS134" s="48">
        <f>IF((40-N(P_L3_Mes)+1)&lt;1,0,IF((40-N(P_L3_Mes)+1)=1,N(P_L3_Monto),AR$134)-AS$133)</f>
        <v>0</v>
      </c>
      <c r="AT134" s="48">
        <f>IF((41-N(P_L3_Mes)+1)&lt;1,0,IF((41-N(P_L3_Mes)+1)=1,N(P_L3_Monto),AS$134)-AT$133)</f>
        <v>0</v>
      </c>
      <c r="AU134" s="48">
        <f>IF((42-N(P_L3_Mes)+1)&lt;1,0,IF((42-N(P_L3_Mes)+1)=1,N(P_L3_Monto),AT$134)-AU$133)</f>
        <v>0</v>
      </c>
      <c r="AV134" s="48">
        <f>IF((43-N(P_L3_Mes)+1)&lt;1,0,IF((43-N(P_L3_Mes)+1)=1,N(P_L3_Monto),AU$134)-AV$133)</f>
        <v>0</v>
      </c>
      <c r="AW134" s="48">
        <f>IF((44-N(P_L3_Mes)+1)&lt;1,0,IF((44-N(P_L3_Mes)+1)=1,N(P_L3_Monto),AV$134)-AW$133)</f>
        <v>0</v>
      </c>
      <c r="AX134" s="48">
        <f>IF((45-N(P_L3_Mes)+1)&lt;1,0,IF((45-N(P_L3_Mes)+1)=1,N(P_L3_Monto),AW$134)-AX$133)</f>
        <v>0</v>
      </c>
      <c r="AY134" s="48">
        <f>IF((46-N(P_L3_Mes)+1)&lt;1,0,IF((46-N(P_L3_Mes)+1)=1,N(P_L3_Monto),AX$134)-AY$133)</f>
        <v>0</v>
      </c>
      <c r="AZ134" s="48">
        <f>IF((47-N(P_L3_Mes)+1)&lt;1,0,IF((47-N(P_L3_Mes)+1)=1,N(P_L3_Monto),AY$134)-AZ$133)</f>
        <v>0</v>
      </c>
      <c r="BA134" s="48">
        <f>IF((48-N(P_L3_Mes)+1)&lt;1,0,IF((48-N(P_L3_Mes)+1)=1,N(P_L3_Monto),AZ$134)-BA$133)</f>
        <v>0</v>
      </c>
      <c r="BB134" s="48">
        <f>IF((49-N(P_L3_Mes)+1)&lt;1,0,IF((49-N(P_L3_Mes)+1)=1,N(P_L3_Monto),BA$134)-BB$133)</f>
        <v>0</v>
      </c>
      <c r="BC134" s="48">
        <f>IF((50-N(P_L3_Mes)+1)&lt;1,0,IF((50-N(P_L3_Mes)+1)=1,N(P_L3_Monto),BB$134)-BC$133)</f>
        <v>0</v>
      </c>
      <c r="BD134" s="48">
        <f>IF((51-N(P_L3_Mes)+1)&lt;1,0,IF((51-N(P_L3_Mes)+1)=1,N(P_L3_Monto),BC$134)-BD$133)</f>
        <v>0</v>
      </c>
      <c r="BE134" s="48">
        <f>IF((52-N(P_L3_Mes)+1)&lt;1,0,IF((52-N(P_L3_Mes)+1)=1,N(P_L3_Monto),BD$134)-BE$133)</f>
        <v>0</v>
      </c>
      <c r="BF134" s="48">
        <f>IF((53-N(P_L3_Mes)+1)&lt;1,0,IF((53-N(P_L3_Mes)+1)=1,N(P_L3_Monto),BE$134)-BF$133)</f>
        <v>0</v>
      </c>
      <c r="BG134" s="48">
        <f>IF((54-N(P_L3_Mes)+1)&lt;1,0,IF((54-N(P_L3_Mes)+1)=1,N(P_L3_Monto),BF$134)-BG$133)</f>
        <v>0</v>
      </c>
      <c r="BH134" s="48">
        <f>IF((55-N(P_L3_Mes)+1)&lt;1,0,IF((55-N(P_L3_Mes)+1)=1,N(P_L3_Monto),BG$134)-BH$133)</f>
        <v>0</v>
      </c>
      <c r="BI134" s="48">
        <f>IF((56-N(P_L3_Mes)+1)&lt;1,0,IF((56-N(P_L3_Mes)+1)=1,N(P_L3_Monto),BH$134)-BI$133)</f>
        <v>0</v>
      </c>
      <c r="BJ134" s="48">
        <f>IF((57-N(P_L3_Mes)+1)&lt;1,0,IF((57-N(P_L3_Mes)+1)=1,N(P_L3_Monto),BI$134)-BJ$133)</f>
        <v>0</v>
      </c>
      <c r="BK134" s="48">
        <f>IF((58-N(P_L3_Mes)+1)&lt;1,0,IF((58-N(P_L3_Mes)+1)=1,N(P_L3_Monto),BJ$134)-BK$133)</f>
        <v>0</v>
      </c>
      <c r="BL134" s="48">
        <f>IF((59-N(P_L3_Mes)+1)&lt;1,0,IF((59-N(P_L3_Mes)+1)=1,N(P_L3_Monto),BK$134)-BL$133)</f>
        <v>0</v>
      </c>
      <c r="BM134" s="48">
        <f>IF((60-N(P_L3_Mes)+1)&lt;1,0,IF((60-N(P_L3_Mes)+1)=1,N(P_L3_Monto),BL$134)-BM$133)</f>
        <v>0</v>
      </c>
      <c r="BN134" s="48">
        <f>IF((61-N(P_L3_Mes)+1)&lt;1,0,IF((61-N(P_L3_Mes)+1)=1,N(P_L3_Monto),BM$134)-BN$133)</f>
        <v>0</v>
      </c>
      <c r="BO134" s="48">
        <f>IF((62-N(P_L3_Mes)+1)&lt;1,0,IF((62-N(P_L3_Mes)+1)=1,N(P_L3_Monto),BN$134)-BO$133)</f>
        <v>0</v>
      </c>
      <c r="BP134" s="48">
        <f>IF((63-N(P_L3_Mes)+1)&lt;1,0,IF((63-N(P_L3_Mes)+1)=1,N(P_L3_Monto),BO$134)-BP$133)</f>
        <v>0</v>
      </c>
      <c r="BQ134" s="48">
        <f>IF((64-N(P_L3_Mes)+1)&lt;1,0,IF((64-N(P_L3_Mes)+1)=1,N(P_L3_Monto),BP$134)-BQ$133)</f>
        <v>0</v>
      </c>
      <c r="BR134" s="48">
        <f>IF((65-N(P_L3_Mes)+1)&lt;1,0,IF((65-N(P_L3_Mes)+1)=1,N(P_L3_Monto),BQ$134)-BR$133)</f>
        <v>0</v>
      </c>
      <c r="BS134" s="48">
        <f>IF((66-N(P_L3_Mes)+1)&lt;1,0,IF((66-N(P_L3_Mes)+1)=1,N(P_L3_Monto),BR$134)-BS$133)</f>
        <v>0</v>
      </c>
      <c r="BT134" s="48">
        <f>IF((67-N(P_L3_Mes)+1)&lt;1,0,IF((67-N(P_L3_Mes)+1)=1,N(P_L3_Monto),BS$134)-BT$133)</f>
        <v>0</v>
      </c>
      <c r="BU134" s="48">
        <f>IF((68-N(P_L3_Mes)+1)&lt;1,0,IF((68-N(P_L3_Mes)+1)=1,N(P_L3_Monto),BT$134)-BU$133)</f>
        <v>0</v>
      </c>
      <c r="BV134" s="48">
        <f>IF((69-N(P_L3_Mes)+1)&lt;1,0,IF((69-N(P_L3_Mes)+1)=1,N(P_L3_Monto),BU$134)-BV$133)</f>
        <v>0</v>
      </c>
      <c r="BW134" s="48">
        <f>IF((70-N(P_L3_Mes)+1)&lt;1,0,IF((70-N(P_L3_Mes)+1)=1,N(P_L3_Monto),BV$134)-BW$133)</f>
        <v>0</v>
      </c>
      <c r="BX134" s="48">
        <f>IF((71-N(P_L3_Mes)+1)&lt;1,0,IF((71-N(P_L3_Mes)+1)=1,N(P_L3_Monto),BW$134)-BX$133)</f>
        <v>0</v>
      </c>
      <c r="BY134" s="48">
        <f>IF((72-N(P_L3_Mes)+1)&lt;1,0,IF((72-N(P_L3_Mes)+1)=1,N(P_L3_Monto),BX$134)-BY$133)</f>
        <v>0</v>
      </c>
      <c r="BZ134" s="48">
        <f>IF((73-N(P_L3_Mes)+1)&lt;1,0,IF((73-N(P_L3_Mes)+1)=1,N(P_L3_Monto),BY$134)-BZ$133)</f>
        <v>0</v>
      </c>
      <c r="CA134" s="48">
        <f>IF((74-N(P_L3_Mes)+1)&lt;1,0,IF((74-N(P_L3_Mes)+1)=1,N(P_L3_Monto),BZ$134)-CA$133)</f>
        <v>0</v>
      </c>
      <c r="CB134" s="48">
        <f>IF((75-N(P_L3_Mes)+1)&lt;1,0,IF((75-N(P_L3_Mes)+1)=1,N(P_L3_Monto),CA$134)-CB$133)</f>
        <v>0</v>
      </c>
      <c r="CC134" s="48">
        <f>IF((76-N(P_L3_Mes)+1)&lt;1,0,IF((76-N(P_L3_Mes)+1)=1,N(P_L3_Monto),CB$134)-CC$133)</f>
        <v>0</v>
      </c>
      <c r="CD134" s="48">
        <f>IF((77-N(P_L3_Mes)+1)&lt;1,0,IF((77-N(P_L3_Mes)+1)=1,N(P_L3_Monto),CC$134)-CD$133)</f>
        <v>0</v>
      </c>
      <c r="CE134" s="48">
        <f>IF((78-N(P_L3_Mes)+1)&lt;1,0,IF((78-N(P_L3_Mes)+1)=1,N(P_L3_Monto),CD$134)-CE$133)</f>
        <v>0</v>
      </c>
      <c r="CF134" s="48">
        <f>IF((79-N(P_L3_Mes)+1)&lt;1,0,IF((79-N(P_L3_Mes)+1)=1,N(P_L3_Monto),CE$134)-CF$133)</f>
        <v>0</v>
      </c>
      <c r="CG134" s="48">
        <f>IF((80-N(P_L3_Mes)+1)&lt;1,0,IF((80-N(P_L3_Mes)+1)=1,N(P_L3_Monto),CF$134)-CG$133)</f>
        <v>0</v>
      </c>
      <c r="CH134" s="48">
        <f>IF((81-N(P_L3_Mes)+1)&lt;1,0,IF((81-N(P_L3_Mes)+1)=1,N(P_L3_Monto),CG$134)-CH$133)</f>
        <v>0</v>
      </c>
      <c r="CI134" s="48">
        <f>IF((82-N(P_L3_Mes)+1)&lt;1,0,IF((82-N(P_L3_Mes)+1)=1,N(P_L3_Monto),CH$134)-CI$133)</f>
        <v>0</v>
      </c>
      <c r="CJ134" s="48">
        <f>IF((83-N(P_L3_Mes)+1)&lt;1,0,IF((83-N(P_L3_Mes)+1)=1,N(P_L3_Monto),CI$134)-CJ$133)</f>
        <v>0</v>
      </c>
      <c r="CK134" s="48">
        <f>IF((84-N(P_L3_Mes)+1)&lt;1,0,IF((84-N(P_L3_Mes)+1)=1,N(P_L3_Monto),CJ$134)-CK$133)</f>
        <v>0</v>
      </c>
      <c r="CL134" s="48">
        <f>IF((85-N(P_L3_Mes)+1)&lt;1,0,IF((85-N(P_L3_Mes)+1)=1,N(P_L3_Monto),CK$134)-CL$133)</f>
        <v>0</v>
      </c>
      <c r="CM134" s="48">
        <f>IF((86-N(P_L3_Mes)+1)&lt;1,0,IF((86-N(P_L3_Mes)+1)=1,N(P_L3_Monto),CL$134)-CM$133)</f>
        <v>0</v>
      </c>
      <c r="CN134" s="48">
        <f>IF((87-N(P_L3_Mes)+1)&lt;1,0,IF((87-N(P_L3_Mes)+1)=1,N(P_L3_Monto),CM$134)-CN$133)</f>
        <v>0</v>
      </c>
      <c r="CO134" s="48">
        <f>IF((88-N(P_L3_Mes)+1)&lt;1,0,IF((88-N(P_L3_Mes)+1)=1,N(P_L3_Monto),CN$134)-CO$133)</f>
        <v>0</v>
      </c>
      <c r="CP134" s="48">
        <f>IF((89-N(P_L3_Mes)+1)&lt;1,0,IF((89-N(P_L3_Mes)+1)=1,N(P_L3_Monto),CO$134)-CP$133)</f>
        <v>0</v>
      </c>
      <c r="CQ134" s="48">
        <f>IF((90-N(P_L3_Mes)+1)&lt;1,0,IF((90-N(P_L3_Mes)+1)=1,N(P_L3_Monto),CP$134)-CQ$133)</f>
        <v>0</v>
      </c>
      <c r="CR134" s="48">
        <f>IF((91-N(P_L3_Mes)+1)&lt;1,0,IF((91-N(P_L3_Mes)+1)=1,N(P_L3_Monto),CQ$134)-CR$133)</f>
        <v>0</v>
      </c>
      <c r="CS134" s="48">
        <f>IF((92-N(P_L3_Mes)+1)&lt;1,0,IF((92-N(P_L3_Mes)+1)=1,N(P_L3_Monto),CR$134)-CS$133)</f>
        <v>0</v>
      </c>
      <c r="CT134" s="48">
        <f>IF((93-N(P_L3_Mes)+1)&lt;1,0,IF((93-N(P_L3_Mes)+1)=1,N(P_L3_Monto),CS$134)-CT$133)</f>
        <v>0</v>
      </c>
      <c r="CU134" s="48">
        <f>IF((94-N(P_L3_Mes)+1)&lt;1,0,IF((94-N(P_L3_Mes)+1)=1,N(P_L3_Monto),CT$134)-CU$133)</f>
        <v>0</v>
      </c>
      <c r="CV134" s="48">
        <f>IF((95-N(P_L3_Mes)+1)&lt;1,0,IF((95-N(P_L3_Mes)+1)=1,N(P_L3_Monto),CU$134)-CV$133)</f>
        <v>0</v>
      </c>
      <c r="CW134" s="48">
        <f>IF((96-N(P_L3_Mes)+1)&lt;1,0,IF((96-N(P_L3_Mes)+1)=1,N(P_L3_Monto),CV$134)-CW$133)</f>
        <v>0</v>
      </c>
      <c r="CX134" s="48">
        <f>IF((97-N(P_L3_Mes)+1)&lt;1,0,IF((97-N(P_L3_Mes)+1)=1,N(P_L3_Monto),CW$134)-CX$133)</f>
        <v>0</v>
      </c>
      <c r="CY134" s="48">
        <f>IF((98-N(P_L3_Mes)+1)&lt;1,0,IF((98-N(P_L3_Mes)+1)=1,N(P_L3_Monto),CX$134)-CY$133)</f>
        <v>0</v>
      </c>
      <c r="CZ134" s="48">
        <f>IF((99-N(P_L3_Mes)+1)&lt;1,0,IF((99-N(P_L3_Mes)+1)=1,N(P_L3_Monto),CY$134)-CZ$133)</f>
        <v>0</v>
      </c>
      <c r="DA134" s="48">
        <f>IF((100-N(P_L3_Mes)+1)&lt;1,0,IF((100-N(P_L3_Mes)+1)=1,N(P_L3_Monto),CZ$134)-DA$133)</f>
        <v>0</v>
      </c>
      <c r="DB134" s="48">
        <f>IF((101-N(P_L3_Mes)+1)&lt;1,0,IF((101-N(P_L3_Mes)+1)=1,N(P_L3_Monto),DA$134)-DB$133)</f>
        <v>0</v>
      </c>
      <c r="DC134" s="48">
        <f>IF((102-N(P_L3_Mes)+1)&lt;1,0,IF((102-N(P_L3_Mes)+1)=1,N(P_L3_Monto),DB$134)-DC$133)</f>
        <v>0</v>
      </c>
      <c r="DD134" s="48">
        <f>IF((103-N(P_L3_Mes)+1)&lt;1,0,IF((103-N(P_L3_Mes)+1)=1,N(P_L3_Monto),DC$134)-DD$133)</f>
        <v>0</v>
      </c>
      <c r="DE134" s="48">
        <f>IF((104-N(P_L3_Mes)+1)&lt;1,0,IF((104-N(P_L3_Mes)+1)=1,N(P_L3_Monto),DD$134)-DE$133)</f>
        <v>0</v>
      </c>
      <c r="DF134" s="48">
        <f>IF((105-N(P_L3_Mes)+1)&lt;1,0,IF((105-N(P_L3_Mes)+1)=1,N(P_L3_Monto),DE$134)-DF$133)</f>
        <v>0</v>
      </c>
      <c r="DG134" s="48">
        <f>IF((106-N(P_L3_Mes)+1)&lt;1,0,IF((106-N(P_L3_Mes)+1)=1,N(P_L3_Monto),DF$134)-DG$133)</f>
        <v>0</v>
      </c>
      <c r="DH134" s="48">
        <f>IF((107-N(P_L3_Mes)+1)&lt;1,0,IF((107-N(P_L3_Mes)+1)=1,N(P_L3_Monto),DG$134)-DH$133)</f>
        <v>0</v>
      </c>
      <c r="DI134" s="48">
        <f>IF((108-N(P_L3_Mes)+1)&lt;1,0,IF((108-N(P_L3_Mes)+1)=1,N(P_L3_Monto),DH$134)-DI$133)</f>
        <v>0</v>
      </c>
      <c r="DJ134" s="48">
        <f>IF((109-N(P_L3_Mes)+1)&lt;1,0,IF((109-N(P_L3_Mes)+1)=1,N(P_L3_Monto),DI$134)-DJ$133)</f>
        <v>0</v>
      </c>
      <c r="DK134" s="48">
        <f>IF((110-N(P_L3_Mes)+1)&lt;1,0,IF((110-N(P_L3_Mes)+1)=1,N(P_L3_Monto),DJ$134)-DK$133)</f>
        <v>0</v>
      </c>
      <c r="DL134" s="48">
        <f>IF((111-N(P_L3_Mes)+1)&lt;1,0,IF((111-N(P_L3_Mes)+1)=1,N(P_L3_Monto),DK$134)-DL$133)</f>
        <v>0</v>
      </c>
      <c r="DM134" s="48">
        <f>IF((112-N(P_L3_Mes)+1)&lt;1,0,IF((112-N(P_L3_Mes)+1)=1,N(P_L3_Monto),DL$134)-DM$133)</f>
        <v>0</v>
      </c>
      <c r="DN134" s="48">
        <f>IF((113-N(P_L3_Mes)+1)&lt;1,0,IF((113-N(P_L3_Mes)+1)=1,N(P_L3_Monto),DM$134)-DN$133)</f>
        <v>0</v>
      </c>
      <c r="DO134" s="48">
        <f>IF((114-N(P_L3_Mes)+1)&lt;1,0,IF((114-N(P_L3_Mes)+1)=1,N(P_L3_Monto),DN$134)-DO$133)</f>
        <v>0</v>
      </c>
      <c r="DP134" s="48">
        <f>IF((115-N(P_L3_Mes)+1)&lt;1,0,IF((115-N(P_L3_Mes)+1)=1,N(P_L3_Monto),DO$134)-DP$133)</f>
        <v>0</v>
      </c>
      <c r="DQ134" s="48">
        <f>IF((116-N(P_L3_Mes)+1)&lt;1,0,IF((116-N(P_L3_Mes)+1)=1,N(P_L3_Monto),DP$134)-DQ$133)</f>
        <v>0</v>
      </c>
      <c r="DR134" s="48">
        <f>IF((117-N(P_L3_Mes)+1)&lt;1,0,IF((117-N(P_L3_Mes)+1)=1,N(P_L3_Monto),DQ$134)-DR$133)</f>
        <v>0</v>
      </c>
      <c r="DS134" s="48">
        <f>IF((118-N(P_L3_Mes)+1)&lt;1,0,IF((118-N(P_L3_Mes)+1)=1,N(P_L3_Monto),DR$134)-DS$133)</f>
        <v>0</v>
      </c>
      <c r="DT134" s="48">
        <f>IF((119-N(P_L3_Mes)+1)&lt;1,0,IF((119-N(P_L3_Mes)+1)=1,N(P_L3_Monto),DS$134)-DT$133)</f>
        <v>0</v>
      </c>
      <c r="DU134" s="48">
        <f>IF((120-N(P_L3_Mes)+1)&lt;1,0,IF((120-N(P_L3_Mes)+1)=1,N(P_L3_Monto),DT$134)-DU$133)</f>
        <v>0</v>
      </c>
      <c r="DV134" s="48">
        <f>IF((121-N(P_L3_Mes)+1)&lt;1,0,IF((121-N(P_L3_Mes)+1)=1,N(P_L3_Monto),DU$134)-DV$133)</f>
        <v>0</v>
      </c>
      <c r="DW134" s="48">
        <f>IF((122-N(P_L3_Mes)+1)&lt;1,0,IF((122-N(P_L3_Mes)+1)=1,N(P_L3_Monto),DV$134)-DW$133)</f>
        <v>0</v>
      </c>
      <c r="DX134" s="48">
        <f>IF((123-N(P_L3_Mes)+1)&lt;1,0,IF((123-N(P_L3_Mes)+1)=1,N(P_L3_Monto),DW$134)-DX$133)</f>
        <v>0</v>
      </c>
      <c r="DY134" s="48">
        <f>IF((124-N(P_L3_Mes)+1)&lt;1,0,IF((124-N(P_L3_Mes)+1)=1,N(P_L3_Monto),DX$134)-DY$133)</f>
        <v>0</v>
      </c>
      <c r="DZ134" s="48">
        <f>IF((125-N(P_L3_Mes)+1)&lt;1,0,IF((125-N(P_L3_Mes)+1)=1,N(P_L3_Monto),DY$134)-DZ$133)</f>
        <v>0</v>
      </c>
      <c r="EA134" s="48">
        <f>IF((126-N(P_L3_Mes)+1)&lt;1,0,IF((126-N(P_L3_Mes)+1)=1,N(P_L3_Monto),DZ$134)-EA$133)</f>
        <v>0</v>
      </c>
      <c r="EB134" s="48">
        <f>IF((127-N(P_L3_Mes)+1)&lt;1,0,IF((127-N(P_L3_Mes)+1)=1,N(P_L3_Monto),EA$134)-EB$133)</f>
        <v>0</v>
      </c>
      <c r="EC134" s="48">
        <f>IF((128-N(P_L3_Mes)+1)&lt;1,0,IF((128-N(P_L3_Mes)+1)=1,N(P_L3_Monto),EB$134)-EC$133)</f>
        <v>0</v>
      </c>
      <c r="ED134" s="48">
        <f>IF((129-N(P_L3_Mes)+1)&lt;1,0,IF((129-N(P_L3_Mes)+1)=1,N(P_L3_Monto),EC$134)-ED$133)</f>
        <v>0</v>
      </c>
      <c r="EE134" s="48">
        <f>IF((130-N(P_L3_Mes)+1)&lt;1,0,IF((130-N(P_L3_Mes)+1)=1,N(P_L3_Monto),ED$134)-EE$133)</f>
        <v>0</v>
      </c>
      <c r="EF134" s="48">
        <f>IF((131-N(P_L3_Mes)+1)&lt;1,0,IF((131-N(P_L3_Mes)+1)=1,N(P_L3_Monto),EE$134)-EF$133)</f>
        <v>0</v>
      </c>
      <c r="EG134" s="48">
        <f>IF((132-N(P_L3_Mes)+1)&lt;1,0,IF((132-N(P_L3_Mes)+1)=1,N(P_L3_Monto),EF$134)-EG$133)</f>
        <v>0</v>
      </c>
      <c r="EH134" s="48">
        <f>IF((133-N(P_L3_Mes)+1)&lt;1,0,IF((133-N(P_L3_Mes)+1)=1,N(P_L3_Monto),EG$134)-EH$133)</f>
        <v>0</v>
      </c>
      <c r="EI134" s="48">
        <f>IF((134-N(P_L3_Mes)+1)&lt;1,0,IF((134-N(P_L3_Mes)+1)=1,N(P_L3_Monto),EH$134)-EI$133)</f>
        <v>0</v>
      </c>
      <c r="EJ134" s="48">
        <f>IF((135-N(P_L3_Mes)+1)&lt;1,0,IF((135-N(P_L3_Mes)+1)=1,N(P_L3_Monto),EI$134)-EJ$133)</f>
        <v>0</v>
      </c>
      <c r="EK134" s="48">
        <f>IF((136-N(P_L3_Mes)+1)&lt;1,0,IF((136-N(P_L3_Mes)+1)=1,N(P_L3_Monto),EJ$134)-EK$133)</f>
        <v>0</v>
      </c>
      <c r="EL134" s="48">
        <f>IF((137-N(P_L3_Mes)+1)&lt;1,0,IF((137-N(P_L3_Mes)+1)=1,N(P_L3_Monto),EK$134)-EL$133)</f>
        <v>0</v>
      </c>
      <c r="EM134" s="48">
        <f>IF((138-N(P_L3_Mes)+1)&lt;1,0,IF((138-N(P_L3_Mes)+1)=1,N(P_L3_Monto),EL$134)-EM$133)</f>
        <v>0</v>
      </c>
      <c r="EN134" s="48">
        <f>IF((139-N(P_L3_Mes)+1)&lt;1,0,IF((139-N(P_L3_Mes)+1)=1,N(P_L3_Monto),EM$134)-EN$133)</f>
        <v>0</v>
      </c>
      <c r="EO134" s="48">
        <f>IF((140-N(P_L3_Mes)+1)&lt;1,0,IF((140-N(P_L3_Mes)+1)=1,N(P_L3_Monto),EN$134)-EO$133)</f>
        <v>0</v>
      </c>
      <c r="EP134" s="48">
        <f>IF((141-N(P_L3_Mes)+1)&lt;1,0,IF((141-N(P_L3_Mes)+1)=1,N(P_L3_Monto),EO$134)-EP$133)</f>
        <v>0</v>
      </c>
      <c r="EQ134" s="48">
        <f>IF((142-N(P_L3_Mes)+1)&lt;1,0,IF((142-N(P_L3_Mes)+1)=1,N(P_L3_Monto),EP$134)-EQ$133)</f>
        <v>0</v>
      </c>
      <c r="ER134" s="48">
        <f>IF((143-N(P_L3_Mes)+1)&lt;1,0,IF((143-N(P_L3_Mes)+1)=1,N(P_L3_Monto),EQ$134)-ER$133)</f>
        <v>0</v>
      </c>
      <c r="ES134" s="48">
        <f>IF((144-N(P_L3_Mes)+1)&lt;1,0,IF((144-N(P_L3_Mes)+1)=1,N(P_L3_Monto),ER$134)-ES$133)</f>
        <v>0</v>
      </c>
    </row>
    <row r="135" spans="1:149" x14ac:dyDescent="0.3">
      <c r="A135" s="16"/>
      <c r="B135" s="15" t="s">
        <v>1166</v>
      </c>
      <c r="C135" s="16"/>
      <c r="D135" s="16"/>
      <c r="E135" s="16"/>
    </row>
    <row r="136" spans="1:149" x14ac:dyDescent="0.3">
      <c r="A136" s="14" t="s">
        <v>1167</v>
      </c>
      <c r="B136" s="18" t="s">
        <v>1168</v>
      </c>
      <c r="C136" s="18" t="s">
        <v>439</v>
      </c>
      <c r="E136" s="54">
        <f>SUM(F136:ES136)</f>
        <v>2791587</v>
      </c>
      <c r="F136" s="48">
        <f t="shared" ref="F136:AK136" si="474">F$123+F$127+F$131</f>
        <v>2791587</v>
      </c>
      <c r="G136" s="48">
        <f t="shared" si="474"/>
        <v>0</v>
      </c>
      <c r="H136" s="48">
        <f t="shared" si="474"/>
        <v>0</v>
      </c>
      <c r="I136" s="48">
        <f t="shared" si="474"/>
        <v>0</v>
      </c>
      <c r="J136" s="48">
        <f t="shared" si="474"/>
        <v>0</v>
      </c>
      <c r="K136" s="48">
        <f t="shared" si="474"/>
        <v>0</v>
      </c>
      <c r="L136" s="48">
        <f t="shared" si="474"/>
        <v>0</v>
      </c>
      <c r="M136" s="48">
        <f t="shared" si="474"/>
        <v>0</v>
      </c>
      <c r="N136" s="48">
        <f t="shared" si="474"/>
        <v>0</v>
      </c>
      <c r="O136" s="48">
        <f t="shared" si="474"/>
        <v>0</v>
      </c>
      <c r="P136" s="48">
        <f t="shared" si="474"/>
        <v>0</v>
      </c>
      <c r="Q136" s="48">
        <f t="shared" si="474"/>
        <v>0</v>
      </c>
      <c r="R136" s="48">
        <f t="shared" si="474"/>
        <v>0</v>
      </c>
      <c r="S136" s="48">
        <f t="shared" si="474"/>
        <v>0</v>
      </c>
      <c r="T136" s="48">
        <f t="shared" si="474"/>
        <v>0</v>
      </c>
      <c r="U136" s="48">
        <f t="shared" si="474"/>
        <v>0</v>
      </c>
      <c r="V136" s="48">
        <f t="shared" si="474"/>
        <v>0</v>
      </c>
      <c r="W136" s="48">
        <f t="shared" si="474"/>
        <v>0</v>
      </c>
      <c r="X136" s="48">
        <f t="shared" si="474"/>
        <v>0</v>
      </c>
      <c r="Y136" s="48">
        <f t="shared" si="474"/>
        <v>0</v>
      </c>
      <c r="Z136" s="48">
        <f t="shared" si="474"/>
        <v>0</v>
      </c>
      <c r="AA136" s="48">
        <f t="shared" si="474"/>
        <v>0</v>
      </c>
      <c r="AB136" s="48">
        <f t="shared" si="474"/>
        <v>0</v>
      </c>
      <c r="AC136" s="48">
        <f t="shared" si="474"/>
        <v>0</v>
      </c>
      <c r="AD136" s="48">
        <f t="shared" si="474"/>
        <v>0</v>
      </c>
      <c r="AE136" s="48">
        <f t="shared" si="474"/>
        <v>0</v>
      </c>
      <c r="AF136" s="48">
        <f t="shared" si="474"/>
        <v>0</v>
      </c>
      <c r="AG136" s="48">
        <f t="shared" si="474"/>
        <v>0</v>
      </c>
      <c r="AH136" s="48">
        <f t="shared" si="474"/>
        <v>0</v>
      </c>
      <c r="AI136" s="48">
        <f t="shared" si="474"/>
        <v>0</v>
      </c>
      <c r="AJ136" s="48">
        <f t="shared" si="474"/>
        <v>0</v>
      </c>
      <c r="AK136" s="48">
        <f t="shared" si="474"/>
        <v>0</v>
      </c>
      <c r="AL136" s="48">
        <f t="shared" ref="AL136:BQ136" si="475">AL$123+AL$127+AL$131</f>
        <v>0</v>
      </c>
      <c r="AM136" s="48">
        <f t="shared" si="475"/>
        <v>0</v>
      </c>
      <c r="AN136" s="48">
        <f t="shared" si="475"/>
        <v>0</v>
      </c>
      <c r="AO136" s="48">
        <f t="shared" si="475"/>
        <v>0</v>
      </c>
      <c r="AP136" s="48">
        <f t="shared" si="475"/>
        <v>0</v>
      </c>
      <c r="AQ136" s="48">
        <f t="shared" si="475"/>
        <v>0</v>
      </c>
      <c r="AR136" s="48">
        <f t="shared" si="475"/>
        <v>0</v>
      </c>
      <c r="AS136" s="48">
        <f t="shared" si="475"/>
        <v>0</v>
      </c>
      <c r="AT136" s="48">
        <f t="shared" si="475"/>
        <v>0</v>
      </c>
      <c r="AU136" s="48">
        <f t="shared" si="475"/>
        <v>0</v>
      </c>
      <c r="AV136" s="48">
        <f t="shared" si="475"/>
        <v>0</v>
      </c>
      <c r="AW136" s="48">
        <f t="shared" si="475"/>
        <v>0</v>
      </c>
      <c r="AX136" s="48">
        <f t="shared" si="475"/>
        <v>0</v>
      </c>
      <c r="AY136" s="48">
        <f t="shared" si="475"/>
        <v>0</v>
      </c>
      <c r="AZ136" s="48">
        <f t="shared" si="475"/>
        <v>0</v>
      </c>
      <c r="BA136" s="48">
        <f t="shared" si="475"/>
        <v>0</v>
      </c>
      <c r="BB136" s="48">
        <f t="shared" si="475"/>
        <v>0</v>
      </c>
      <c r="BC136" s="48">
        <f t="shared" si="475"/>
        <v>0</v>
      </c>
      <c r="BD136" s="48">
        <f t="shared" si="475"/>
        <v>0</v>
      </c>
      <c r="BE136" s="48">
        <f t="shared" si="475"/>
        <v>0</v>
      </c>
      <c r="BF136" s="48">
        <f t="shared" si="475"/>
        <v>0</v>
      </c>
      <c r="BG136" s="48">
        <f t="shared" si="475"/>
        <v>0</v>
      </c>
      <c r="BH136" s="48">
        <f t="shared" si="475"/>
        <v>0</v>
      </c>
      <c r="BI136" s="48">
        <f t="shared" si="475"/>
        <v>0</v>
      </c>
      <c r="BJ136" s="48">
        <f t="shared" si="475"/>
        <v>0</v>
      </c>
      <c r="BK136" s="48">
        <f t="shared" si="475"/>
        <v>0</v>
      </c>
      <c r="BL136" s="48">
        <f t="shared" si="475"/>
        <v>0</v>
      </c>
      <c r="BM136" s="48">
        <f t="shared" si="475"/>
        <v>0</v>
      </c>
      <c r="BN136" s="48">
        <f t="shared" si="475"/>
        <v>0</v>
      </c>
      <c r="BO136" s="48">
        <f t="shared" si="475"/>
        <v>0</v>
      </c>
      <c r="BP136" s="48">
        <f t="shared" si="475"/>
        <v>0</v>
      </c>
      <c r="BQ136" s="48">
        <f t="shared" si="475"/>
        <v>0</v>
      </c>
      <c r="BR136" s="48">
        <f t="shared" ref="BR136:CW136" si="476">BR$123+BR$127+BR$131</f>
        <v>0</v>
      </c>
      <c r="BS136" s="48">
        <f t="shared" si="476"/>
        <v>0</v>
      </c>
      <c r="BT136" s="48">
        <f t="shared" si="476"/>
        <v>0</v>
      </c>
      <c r="BU136" s="48">
        <f t="shared" si="476"/>
        <v>0</v>
      </c>
      <c r="BV136" s="48">
        <f t="shared" si="476"/>
        <v>0</v>
      </c>
      <c r="BW136" s="48">
        <f t="shared" si="476"/>
        <v>0</v>
      </c>
      <c r="BX136" s="48">
        <f t="shared" si="476"/>
        <v>0</v>
      </c>
      <c r="BY136" s="48">
        <f t="shared" si="476"/>
        <v>0</v>
      </c>
      <c r="BZ136" s="48">
        <f t="shared" si="476"/>
        <v>0</v>
      </c>
      <c r="CA136" s="48">
        <f t="shared" si="476"/>
        <v>0</v>
      </c>
      <c r="CB136" s="48">
        <f t="shared" si="476"/>
        <v>0</v>
      </c>
      <c r="CC136" s="48">
        <f t="shared" si="476"/>
        <v>0</v>
      </c>
      <c r="CD136" s="48">
        <f t="shared" si="476"/>
        <v>0</v>
      </c>
      <c r="CE136" s="48">
        <f t="shared" si="476"/>
        <v>0</v>
      </c>
      <c r="CF136" s="48">
        <f t="shared" si="476"/>
        <v>0</v>
      </c>
      <c r="CG136" s="48">
        <f t="shared" si="476"/>
        <v>0</v>
      </c>
      <c r="CH136" s="48">
        <f t="shared" si="476"/>
        <v>0</v>
      </c>
      <c r="CI136" s="48">
        <f t="shared" si="476"/>
        <v>0</v>
      </c>
      <c r="CJ136" s="48">
        <f t="shared" si="476"/>
        <v>0</v>
      </c>
      <c r="CK136" s="48">
        <f t="shared" si="476"/>
        <v>0</v>
      </c>
      <c r="CL136" s="48">
        <f t="shared" si="476"/>
        <v>0</v>
      </c>
      <c r="CM136" s="48">
        <f t="shared" si="476"/>
        <v>0</v>
      </c>
      <c r="CN136" s="48">
        <f t="shared" si="476"/>
        <v>0</v>
      </c>
      <c r="CO136" s="48">
        <f t="shared" si="476"/>
        <v>0</v>
      </c>
      <c r="CP136" s="48">
        <f t="shared" si="476"/>
        <v>0</v>
      </c>
      <c r="CQ136" s="48">
        <f t="shared" si="476"/>
        <v>0</v>
      </c>
      <c r="CR136" s="48">
        <f t="shared" si="476"/>
        <v>0</v>
      </c>
      <c r="CS136" s="48">
        <f t="shared" si="476"/>
        <v>0</v>
      </c>
      <c r="CT136" s="48">
        <f t="shared" si="476"/>
        <v>0</v>
      </c>
      <c r="CU136" s="48">
        <f t="shared" si="476"/>
        <v>0</v>
      </c>
      <c r="CV136" s="48">
        <f t="shared" si="476"/>
        <v>0</v>
      </c>
      <c r="CW136" s="48">
        <f t="shared" si="476"/>
        <v>0</v>
      </c>
      <c r="CX136" s="48">
        <f t="shared" ref="CX136:EC136" si="477">CX$123+CX$127+CX$131</f>
        <v>0</v>
      </c>
      <c r="CY136" s="48">
        <f t="shared" si="477"/>
        <v>0</v>
      </c>
      <c r="CZ136" s="48">
        <f t="shared" si="477"/>
        <v>0</v>
      </c>
      <c r="DA136" s="48">
        <f t="shared" si="477"/>
        <v>0</v>
      </c>
      <c r="DB136" s="48">
        <f t="shared" si="477"/>
        <v>0</v>
      </c>
      <c r="DC136" s="48">
        <f t="shared" si="477"/>
        <v>0</v>
      </c>
      <c r="DD136" s="48">
        <f t="shared" si="477"/>
        <v>0</v>
      </c>
      <c r="DE136" s="48">
        <f t="shared" si="477"/>
        <v>0</v>
      </c>
      <c r="DF136" s="48">
        <f t="shared" si="477"/>
        <v>0</v>
      </c>
      <c r="DG136" s="48">
        <f t="shared" si="477"/>
        <v>0</v>
      </c>
      <c r="DH136" s="48">
        <f t="shared" si="477"/>
        <v>0</v>
      </c>
      <c r="DI136" s="48">
        <f t="shared" si="477"/>
        <v>0</v>
      </c>
      <c r="DJ136" s="48">
        <f t="shared" si="477"/>
        <v>0</v>
      </c>
      <c r="DK136" s="48">
        <f t="shared" si="477"/>
        <v>0</v>
      </c>
      <c r="DL136" s="48">
        <f t="shared" si="477"/>
        <v>0</v>
      </c>
      <c r="DM136" s="48">
        <f t="shared" si="477"/>
        <v>0</v>
      </c>
      <c r="DN136" s="48">
        <f t="shared" si="477"/>
        <v>0</v>
      </c>
      <c r="DO136" s="48">
        <f t="shared" si="477"/>
        <v>0</v>
      </c>
      <c r="DP136" s="48">
        <f t="shared" si="477"/>
        <v>0</v>
      </c>
      <c r="DQ136" s="48">
        <f t="shared" si="477"/>
        <v>0</v>
      </c>
      <c r="DR136" s="48">
        <f t="shared" si="477"/>
        <v>0</v>
      </c>
      <c r="DS136" s="48">
        <f t="shared" si="477"/>
        <v>0</v>
      </c>
      <c r="DT136" s="48">
        <f t="shared" si="477"/>
        <v>0</v>
      </c>
      <c r="DU136" s="48">
        <f t="shared" si="477"/>
        <v>0</v>
      </c>
      <c r="DV136" s="48">
        <f t="shared" si="477"/>
        <v>0</v>
      </c>
      <c r="DW136" s="48">
        <f t="shared" si="477"/>
        <v>0</v>
      </c>
      <c r="DX136" s="48">
        <f t="shared" si="477"/>
        <v>0</v>
      </c>
      <c r="DY136" s="48">
        <f t="shared" si="477"/>
        <v>0</v>
      </c>
      <c r="DZ136" s="48">
        <f t="shared" si="477"/>
        <v>0</v>
      </c>
      <c r="EA136" s="48">
        <f t="shared" si="477"/>
        <v>0</v>
      </c>
      <c r="EB136" s="48">
        <f t="shared" si="477"/>
        <v>0</v>
      </c>
      <c r="EC136" s="48">
        <f t="shared" si="477"/>
        <v>0</v>
      </c>
      <c r="ED136" s="48">
        <f t="shared" ref="ED136:ES136" si="478">ED$123+ED$127+ED$131</f>
        <v>0</v>
      </c>
      <c r="EE136" s="48">
        <f t="shared" si="478"/>
        <v>0</v>
      </c>
      <c r="EF136" s="48">
        <f t="shared" si="478"/>
        <v>0</v>
      </c>
      <c r="EG136" s="48">
        <f t="shared" si="478"/>
        <v>0</v>
      </c>
      <c r="EH136" s="48">
        <f t="shared" si="478"/>
        <v>0</v>
      </c>
      <c r="EI136" s="48">
        <f t="shared" si="478"/>
        <v>0</v>
      </c>
      <c r="EJ136" s="48">
        <f t="shared" si="478"/>
        <v>0</v>
      </c>
      <c r="EK136" s="48">
        <f t="shared" si="478"/>
        <v>0</v>
      </c>
      <c r="EL136" s="48">
        <f t="shared" si="478"/>
        <v>0</v>
      </c>
      <c r="EM136" s="48">
        <f t="shared" si="478"/>
        <v>0</v>
      </c>
      <c r="EN136" s="48">
        <f t="shared" si="478"/>
        <v>0</v>
      </c>
      <c r="EO136" s="48">
        <f t="shared" si="478"/>
        <v>0</v>
      </c>
      <c r="EP136" s="48">
        <f t="shared" si="478"/>
        <v>0</v>
      </c>
      <c r="EQ136" s="48">
        <f t="shared" si="478"/>
        <v>0</v>
      </c>
      <c r="ER136" s="48">
        <f t="shared" si="478"/>
        <v>0</v>
      </c>
      <c r="ES136" s="48">
        <f t="shared" si="478"/>
        <v>0</v>
      </c>
    </row>
    <row r="137" spans="1:149" x14ac:dyDescent="0.3">
      <c r="A137" s="14" t="s">
        <v>1169</v>
      </c>
      <c r="B137" s="18" t="s">
        <v>1170</v>
      </c>
      <c r="C137" s="18" t="s">
        <v>439</v>
      </c>
      <c r="E137" s="54">
        <f>SUM(F137:ES137)</f>
        <v>2791587.0000000005</v>
      </c>
      <c r="F137" s="48">
        <f>MAX(0,MIN(0-0+F$136,F$125+F$129+F$133))</f>
        <v>0</v>
      </c>
      <c r="G137" s="48">
        <f t="shared" ref="G137:AL137" si="479">MAX(0,MIN(F$148-F$145+G$136,G$125+G$129+G$133))</f>
        <v>0</v>
      </c>
      <c r="H137" s="48">
        <f t="shared" si="479"/>
        <v>0</v>
      </c>
      <c r="I137" s="48">
        <f t="shared" si="479"/>
        <v>0</v>
      </c>
      <c r="J137" s="48">
        <f t="shared" si="479"/>
        <v>0</v>
      </c>
      <c r="K137" s="48">
        <f t="shared" si="479"/>
        <v>0</v>
      </c>
      <c r="L137" s="48">
        <f t="shared" si="479"/>
        <v>42123.304094687759</v>
      </c>
      <c r="M137" s="48">
        <f t="shared" si="479"/>
        <v>42439.228875397908</v>
      </c>
      <c r="N137" s="48">
        <f t="shared" si="479"/>
        <v>42757.52309196339</v>
      </c>
      <c r="O137" s="48">
        <f t="shared" si="479"/>
        <v>43078.20451515312</v>
      </c>
      <c r="P137" s="48">
        <f t="shared" si="479"/>
        <v>43401.291049016771</v>
      </c>
      <c r="Q137" s="48">
        <f t="shared" si="479"/>
        <v>43726.800731884396</v>
      </c>
      <c r="R137" s="48">
        <f t="shared" si="479"/>
        <v>44054.751737373532</v>
      </c>
      <c r="S137" s="48">
        <f t="shared" si="479"/>
        <v>44385.16237540383</v>
      </c>
      <c r="T137" s="48">
        <f t="shared" si="479"/>
        <v>44718.051093219357</v>
      </c>
      <c r="U137" s="48">
        <f t="shared" si="479"/>
        <v>45053.436476418501</v>
      </c>
      <c r="V137" s="48">
        <f t="shared" si="479"/>
        <v>45391.337249991644</v>
      </c>
      <c r="W137" s="48">
        <f t="shared" si="479"/>
        <v>45731.772279366574</v>
      </c>
      <c r="X137" s="48">
        <f t="shared" si="479"/>
        <v>46074.760571461826</v>
      </c>
      <c r="Y137" s="48">
        <f t="shared" si="479"/>
        <v>46420.321275747789</v>
      </c>
      <c r="Z137" s="48">
        <f t="shared" si="479"/>
        <v>46768.473685315897</v>
      </c>
      <c r="AA137" s="48">
        <f t="shared" si="479"/>
        <v>47119.237237955764</v>
      </c>
      <c r="AB137" s="48">
        <f t="shared" si="479"/>
        <v>47472.631517240428</v>
      </c>
      <c r="AC137" s="48">
        <f t="shared" si="479"/>
        <v>47828.676253619735</v>
      </c>
      <c r="AD137" s="48">
        <f t="shared" si="479"/>
        <v>48187.391325521887</v>
      </c>
      <c r="AE137" s="48">
        <f t="shared" si="479"/>
        <v>48548.796760463301</v>
      </c>
      <c r="AF137" s="48">
        <f t="shared" si="479"/>
        <v>48912.912736166778</v>
      </c>
      <c r="AG137" s="48">
        <f t="shared" si="479"/>
        <v>49279.759581688028</v>
      </c>
      <c r="AH137" s="48">
        <f t="shared" si="479"/>
        <v>49649.357778550686</v>
      </c>
      <c r="AI137" s="48">
        <f t="shared" si="479"/>
        <v>50021.727961889817</v>
      </c>
      <c r="AJ137" s="48">
        <f t="shared" si="479"/>
        <v>50396.89092160399</v>
      </c>
      <c r="AK137" s="48">
        <f t="shared" si="479"/>
        <v>50774.867603516017</v>
      </c>
      <c r="AL137" s="48">
        <f t="shared" si="479"/>
        <v>51155.679110542391</v>
      </c>
      <c r="AM137" s="48">
        <f t="shared" ref="AM137:BR137" si="480">MAX(0,MIN(AL$148-AL$145+AM$136,AM$125+AM$129+AM$133))</f>
        <v>51539.346703871459</v>
      </c>
      <c r="AN137" s="48">
        <f t="shared" si="480"/>
        <v>51925.891804150495</v>
      </c>
      <c r="AO137" s="48">
        <f t="shared" si="480"/>
        <v>52315.335992681619</v>
      </c>
      <c r="AP137" s="48">
        <f t="shared" si="480"/>
        <v>52707.701012626734</v>
      </c>
      <c r="AQ137" s="48">
        <f t="shared" si="480"/>
        <v>53103.008770221437</v>
      </c>
      <c r="AR137" s="48">
        <f t="shared" si="480"/>
        <v>53501.281335998094</v>
      </c>
      <c r="AS137" s="48">
        <f t="shared" si="480"/>
        <v>53902.540946018082</v>
      </c>
      <c r="AT137" s="48">
        <f t="shared" si="480"/>
        <v>54306.810003113213</v>
      </c>
      <c r="AU137" s="48">
        <f t="shared" si="480"/>
        <v>54714.111078136564</v>
      </c>
      <c r="AV137" s="48">
        <f t="shared" si="480"/>
        <v>55124.466911222589</v>
      </c>
      <c r="AW137" s="48">
        <f t="shared" si="480"/>
        <v>55537.900413056755</v>
      </c>
      <c r="AX137" s="48">
        <f t="shared" si="480"/>
        <v>55954.434666154688</v>
      </c>
      <c r="AY137" s="48">
        <f t="shared" si="480"/>
        <v>56374.092926150843</v>
      </c>
      <c r="AZ137" s="48">
        <f t="shared" si="480"/>
        <v>56796.898623096975</v>
      </c>
      <c r="BA137" s="48">
        <f t="shared" si="480"/>
        <v>57222.875362770203</v>
      </c>
      <c r="BB137" s="48">
        <f t="shared" si="480"/>
        <v>57652.046927990981</v>
      </c>
      <c r="BC137" s="48">
        <f t="shared" si="480"/>
        <v>58084.437279950915</v>
      </c>
      <c r="BD137" s="48">
        <f t="shared" si="480"/>
        <v>58520.070559550542</v>
      </c>
      <c r="BE137" s="48">
        <f t="shared" si="480"/>
        <v>58958.971088747174</v>
      </c>
      <c r="BF137" s="48">
        <f t="shared" si="480"/>
        <v>59401.163371912779</v>
      </c>
      <c r="BG137" s="48">
        <f t="shared" si="480"/>
        <v>59846.672097202121</v>
      </c>
      <c r="BH137" s="48">
        <f t="shared" si="480"/>
        <v>60295.522137931141</v>
      </c>
      <c r="BI137" s="48">
        <f t="shared" si="480"/>
        <v>60747.738553965624</v>
      </c>
      <c r="BJ137" s="48">
        <f t="shared" si="480"/>
        <v>61203.346593120361</v>
      </c>
      <c r="BK137" s="48">
        <f t="shared" si="480"/>
        <v>61662.37169256877</v>
      </c>
      <c r="BL137" s="48">
        <f t="shared" si="480"/>
        <v>62124.839480263036</v>
      </c>
      <c r="BM137" s="48">
        <f t="shared" si="480"/>
        <v>62590.775776366791</v>
      </c>
      <c r="BN137" s="48">
        <f t="shared" si="480"/>
        <v>0</v>
      </c>
      <c r="BO137" s="48">
        <f t="shared" si="480"/>
        <v>0</v>
      </c>
      <c r="BP137" s="48">
        <f t="shared" si="480"/>
        <v>0</v>
      </c>
      <c r="BQ137" s="48">
        <f t="shared" si="480"/>
        <v>0</v>
      </c>
      <c r="BR137" s="48">
        <f t="shared" si="480"/>
        <v>0</v>
      </c>
      <c r="BS137" s="48">
        <f t="shared" ref="BS137:CX137" si="481">MAX(0,MIN(BR$148-BR$145+BS$136,BS$125+BS$129+BS$133))</f>
        <v>0</v>
      </c>
      <c r="BT137" s="48">
        <f t="shared" si="481"/>
        <v>0</v>
      </c>
      <c r="BU137" s="48">
        <f t="shared" si="481"/>
        <v>0</v>
      </c>
      <c r="BV137" s="48">
        <f t="shared" si="481"/>
        <v>0</v>
      </c>
      <c r="BW137" s="48">
        <f t="shared" si="481"/>
        <v>0</v>
      </c>
      <c r="BX137" s="48">
        <f t="shared" si="481"/>
        <v>0</v>
      </c>
      <c r="BY137" s="48">
        <f t="shared" si="481"/>
        <v>0</v>
      </c>
      <c r="BZ137" s="48">
        <f t="shared" si="481"/>
        <v>0</v>
      </c>
      <c r="CA137" s="48">
        <f t="shared" si="481"/>
        <v>0</v>
      </c>
      <c r="CB137" s="48">
        <f t="shared" si="481"/>
        <v>0</v>
      </c>
      <c r="CC137" s="48">
        <f t="shared" si="481"/>
        <v>0</v>
      </c>
      <c r="CD137" s="48">
        <f t="shared" si="481"/>
        <v>0</v>
      </c>
      <c r="CE137" s="48">
        <f t="shared" si="481"/>
        <v>0</v>
      </c>
      <c r="CF137" s="48">
        <f t="shared" si="481"/>
        <v>0</v>
      </c>
      <c r="CG137" s="48">
        <f t="shared" si="481"/>
        <v>0</v>
      </c>
      <c r="CH137" s="48">
        <f t="shared" si="481"/>
        <v>0</v>
      </c>
      <c r="CI137" s="48">
        <f t="shared" si="481"/>
        <v>0</v>
      </c>
      <c r="CJ137" s="48">
        <f t="shared" si="481"/>
        <v>0</v>
      </c>
      <c r="CK137" s="48">
        <f t="shared" si="481"/>
        <v>0</v>
      </c>
      <c r="CL137" s="48">
        <f t="shared" si="481"/>
        <v>0</v>
      </c>
      <c r="CM137" s="48">
        <f t="shared" si="481"/>
        <v>0</v>
      </c>
      <c r="CN137" s="48">
        <f t="shared" si="481"/>
        <v>0</v>
      </c>
      <c r="CO137" s="48">
        <f t="shared" si="481"/>
        <v>0</v>
      </c>
      <c r="CP137" s="48">
        <f t="shared" si="481"/>
        <v>0</v>
      </c>
      <c r="CQ137" s="48">
        <f t="shared" si="481"/>
        <v>0</v>
      </c>
      <c r="CR137" s="48">
        <f t="shared" si="481"/>
        <v>0</v>
      </c>
      <c r="CS137" s="48">
        <f t="shared" si="481"/>
        <v>0</v>
      </c>
      <c r="CT137" s="48">
        <f t="shared" si="481"/>
        <v>0</v>
      </c>
      <c r="CU137" s="48">
        <f t="shared" si="481"/>
        <v>0</v>
      </c>
      <c r="CV137" s="48">
        <f t="shared" si="481"/>
        <v>0</v>
      </c>
      <c r="CW137" s="48">
        <f t="shared" si="481"/>
        <v>0</v>
      </c>
      <c r="CX137" s="48">
        <f t="shared" si="481"/>
        <v>0</v>
      </c>
      <c r="CY137" s="48">
        <f t="shared" ref="CY137:ED137" si="482">MAX(0,MIN(CX$148-CX$145+CY$136,CY$125+CY$129+CY$133))</f>
        <v>0</v>
      </c>
      <c r="CZ137" s="48">
        <f t="shared" si="482"/>
        <v>0</v>
      </c>
      <c r="DA137" s="48">
        <f t="shared" si="482"/>
        <v>0</v>
      </c>
      <c r="DB137" s="48">
        <f t="shared" si="482"/>
        <v>0</v>
      </c>
      <c r="DC137" s="48">
        <f t="shared" si="482"/>
        <v>0</v>
      </c>
      <c r="DD137" s="48">
        <f t="shared" si="482"/>
        <v>0</v>
      </c>
      <c r="DE137" s="48">
        <f t="shared" si="482"/>
        <v>0</v>
      </c>
      <c r="DF137" s="48">
        <f t="shared" si="482"/>
        <v>0</v>
      </c>
      <c r="DG137" s="48">
        <f t="shared" si="482"/>
        <v>0</v>
      </c>
      <c r="DH137" s="48">
        <f t="shared" si="482"/>
        <v>0</v>
      </c>
      <c r="DI137" s="48">
        <f t="shared" si="482"/>
        <v>0</v>
      </c>
      <c r="DJ137" s="48">
        <f t="shared" si="482"/>
        <v>0</v>
      </c>
      <c r="DK137" s="48">
        <f t="shared" si="482"/>
        <v>0</v>
      </c>
      <c r="DL137" s="48">
        <f t="shared" si="482"/>
        <v>0</v>
      </c>
      <c r="DM137" s="48">
        <f t="shared" si="482"/>
        <v>0</v>
      </c>
      <c r="DN137" s="48">
        <f t="shared" si="482"/>
        <v>0</v>
      </c>
      <c r="DO137" s="48">
        <f t="shared" si="482"/>
        <v>0</v>
      </c>
      <c r="DP137" s="48">
        <f t="shared" si="482"/>
        <v>0</v>
      </c>
      <c r="DQ137" s="48">
        <f t="shared" si="482"/>
        <v>0</v>
      </c>
      <c r="DR137" s="48">
        <f t="shared" si="482"/>
        <v>0</v>
      </c>
      <c r="DS137" s="48">
        <f t="shared" si="482"/>
        <v>0</v>
      </c>
      <c r="DT137" s="48">
        <f t="shared" si="482"/>
        <v>0</v>
      </c>
      <c r="DU137" s="48">
        <f t="shared" si="482"/>
        <v>0</v>
      </c>
      <c r="DV137" s="48">
        <f t="shared" si="482"/>
        <v>0</v>
      </c>
      <c r="DW137" s="48">
        <f t="shared" si="482"/>
        <v>0</v>
      </c>
      <c r="DX137" s="48">
        <f t="shared" si="482"/>
        <v>0</v>
      </c>
      <c r="DY137" s="48">
        <f t="shared" si="482"/>
        <v>0</v>
      </c>
      <c r="DZ137" s="48">
        <f t="shared" si="482"/>
        <v>0</v>
      </c>
      <c r="EA137" s="48">
        <f t="shared" si="482"/>
        <v>0</v>
      </c>
      <c r="EB137" s="48">
        <f t="shared" si="482"/>
        <v>0</v>
      </c>
      <c r="EC137" s="48">
        <f t="shared" si="482"/>
        <v>0</v>
      </c>
      <c r="ED137" s="48">
        <f t="shared" si="482"/>
        <v>0</v>
      </c>
      <c r="EE137" s="48">
        <f t="shared" ref="EE137:ES137" si="483">MAX(0,MIN(ED$148-ED$145+EE$136,EE$125+EE$129+EE$133))</f>
        <v>0</v>
      </c>
      <c r="EF137" s="48">
        <f t="shared" si="483"/>
        <v>0</v>
      </c>
      <c r="EG137" s="48">
        <f t="shared" si="483"/>
        <v>0</v>
      </c>
      <c r="EH137" s="48">
        <f t="shared" si="483"/>
        <v>0</v>
      </c>
      <c r="EI137" s="48">
        <f t="shared" si="483"/>
        <v>0</v>
      </c>
      <c r="EJ137" s="48">
        <f t="shared" si="483"/>
        <v>0</v>
      </c>
      <c r="EK137" s="48">
        <f t="shared" si="483"/>
        <v>0</v>
      </c>
      <c r="EL137" s="48">
        <f t="shared" si="483"/>
        <v>0</v>
      </c>
      <c r="EM137" s="48">
        <f t="shared" si="483"/>
        <v>0</v>
      </c>
      <c r="EN137" s="48">
        <f t="shared" si="483"/>
        <v>0</v>
      </c>
      <c r="EO137" s="48">
        <f t="shared" si="483"/>
        <v>0</v>
      </c>
      <c r="EP137" s="48">
        <f t="shared" si="483"/>
        <v>0</v>
      </c>
      <c r="EQ137" s="48">
        <f t="shared" si="483"/>
        <v>0</v>
      </c>
      <c r="ER137" s="48">
        <f t="shared" si="483"/>
        <v>0</v>
      </c>
      <c r="ES137" s="48">
        <f t="shared" si="483"/>
        <v>0</v>
      </c>
    </row>
    <row r="138" spans="1:149" x14ac:dyDescent="0.3">
      <c r="A138" s="14" t="s">
        <v>1171</v>
      </c>
      <c r="B138" s="18" t="s">
        <v>1172</v>
      </c>
      <c r="C138" s="18" t="s">
        <v>439</v>
      </c>
      <c r="E138" s="54">
        <f>SUM(F138:ES138)</f>
        <v>1139710</v>
      </c>
      <c r="F138" s="48">
        <f>SUMIF(Ap_MesO,1,Ap_MontoO)*F$9</f>
        <v>767782</v>
      </c>
      <c r="G138" s="48">
        <f>SUMIF(Ap_MesO,2,Ap_MontoO)*G$9</f>
        <v>0</v>
      </c>
      <c r="H138" s="48">
        <f>SUMIF(Ap_MesO,3,Ap_MontoO)*H$9</f>
        <v>0</v>
      </c>
      <c r="I138" s="48">
        <f>SUMIF(Ap_MesO,4,Ap_MontoO)*I$9</f>
        <v>0</v>
      </c>
      <c r="J138" s="48">
        <f>SUMIF(Ap_MesO,5,Ap_MontoO)*J$9</f>
        <v>0</v>
      </c>
      <c r="K138" s="48">
        <f>SUMIF(Ap_MesO,6,Ap_MontoO)*K$9</f>
        <v>0</v>
      </c>
      <c r="L138" s="48">
        <f>SUMIF(Ap_MesO,7,Ap_MontoO)*L$9</f>
        <v>0</v>
      </c>
      <c r="M138" s="48">
        <f>SUMIF(Ap_MesO,8,Ap_MontoO)*M$9</f>
        <v>0</v>
      </c>
      <c r="N138" s="48">
        <f>SUMIF(Ap_MesO,9,Ap_MontoO)*N$9</f>
        <v>0</v>
      </c>
      <c r="O138" s="48">
        <f>SUMIF(Ap_MesO,10,Ap_MontoO)*O$9</f>
        <v>0</v>
      </c>
      <c r="P138" s="48">
        <f>SUMIF(Ap_MesO,11,Ap_MontoO)*P$9</f>
        <v>0</v>
      </c>
      <c r="Q138" s="48">
        <f>SUMIF(Ap_MesO,12,Ap_MontoO)*Q$9</f>
        <v>0</v>
      </c>
      <c r="R138" s="48">
        <f>SUMIF(Ap_MesO,13,Ap_MontoO)*R$9</f>
        <v>371928</v>
      </c>
      <c r="S138" s="48">
        <f>SUMIF(Ap_MesO,14,Ap_MontoO)*S$9</f>
        <v>0</v>
      </c>
      <c r="T138" s="48">
        <f>SUMIF(Ap_MesO,15,Ap_MontoO)*T$9</f>
        <v>0</v>
      </c>
      <c r="U138" s="48">
        <f>SUMIF(Ap_MesO,16,Ap_MontoO)*U$9</f>
        <v>0</v>
      </c>
      <c r="V138" s="48">
        <f>SUMIF(Ap_MesO,17,Ap_MontoO)*V$9</f>
        <v>0</v>
      </c>
      <c r="W138" s="48">
        <f>SUMIF(Ap_MesO,18,Ap_MontoO)*W$9</f>
        <v>0</v>
      </c>
      <c r="X138" s="48">
        <f>SUMIF(Ap_MesO,19,Ap_MontoO)*X$9</f>
        <v>0</v>
      </c>
      <c r="Y138" s="48">
        <f>SUMIF(Ap_MesO,20,Ap_MontoO)*Y$9</f>
        <v>0</v>
      </c>
      <c r="Z138" s="48">
        <f>SUMIF(Ap_MesO,21,Ap_MontoO)*Z$9</f>
        <v>0</v>
      </c>
      <c r="AA138" s="48">
        <f>SUMIF(Ap_MesO,22,Ap_MontoO)*AA$9</f>
        <v>0</v>
      </c>
      <c r="AB138" s="48">
        <f>SUMIF(Ap_MesO,23,Ap_MontoO)*AB$9</f>
        <v>0</v>
      </c>
      <c r="AC138" s="48">
        <f>SUMIF(Ap_MesO,24,Ap_MontoO)*AC$9</f>
        <v>0</v>
      </c>
      <c r="AD138" s="48">
        <f>SUMIF(Ap_MesO,25,Ap_MontoO)*AD$9</f>
        <v>0</v>
      </c>
      <c r="AE138" s="48">
        <f>SUMIF(Ap_MesO,26,Ap_MontoO)*AE$9</f>
        <v>0</v>
      </c>
      <c r="AF138" s="48">
        <f>SUMIF(Ap_MesO,27,Ap_MontoO)*AF$9</f>
        <v>0</v>
      </c>
      <c r="AG138" s="48">
        <f>SUMIF(Ap_MesO,28,Ap_MontoO)*AG$9</f>
        <v>0</v>
      </c>
      <c r="AH138" s="48">
        <f>SUMIF(Ap_MesO,29,Ap_MontoO)*AH$9</f>
        <v>0</v>
      </c>
      <c r="AI138" s="48">
        <f>SUMIF(Ap_MesO,30,Ap_MontoO)*AI$9</f>
        <v>0</v>
      </c>
      <c r="AJ138" s="48">
        <f>SUMIF(Ap_MesO,31,Ap_MontoO)*AJ$9</f>
        <v>0</v>
      </c>
      <c r="AK138" s="48">
        <f>SUMIF(Ap_MesO,32,Ap_MontoO)*AK$9</f>
        <v>0</v>
      </c>
      <c r="AL138" s="48">
        <f>SUMIF(Ap_MesO,33,Ap_MontoO)*AL$9</f>
        <v>0</v>
      </c>
      <c r="AM138" s="48">
        <f>SUMIF(Ap_MesO,34,Ap_MontoO)*AM$9</f>
        <v>0</v>
      </c>
      <c r="AN138" s="48">
        <f>SUMIF(Ap_MesO,35,Ap_MontoO)*AN$9</f>
        <v>0</v>
      </c>
      <c r="AO138" s="48">
        <f>SUMIF(Ap_MesO,36,Ap_MontoO)*AO$9</f>
        <v>0</v>
      </c>
      <c r="AP138" s="48">
        <f>SUMIF(Ap_MesO,37,Ap_MontoO)*AP$9</f>
        <v>0</v>
      </c>
      <c r="AQ138" s="48">
        <f>SUMIF(Ap_MesO,38,Ap_MontoO)*AQ$9</f>
        <v>0</v>
      </c>
      <c r="AR138" s="48">
        <f>SUMIF(Ap_MesO,39,Ap_MontoO)*AR$9</f>
        <v>0</v>
      </c>
      <c r="AS138" s="48">
        <f>SUMIF(Ap_MesO,40,Ap_MontoO)*AS$9</f>
        <v>0</v>
      </c>
      <c r="AT138" s="48">
        <f>SUMIF(Ap_MesO,41,Ap_MontoO)*AT$9</f>
        <v>0</v>
      </c>
      <c r="AU138" s="48">
        <f>SUMIF(Ap_MesO,42,Ap_MontoO)*AU$9</f>
        <v>0</v>
      </c>
      <c r="AV138" s="48">
        <f>SUMIF(Ap_MesO,43,Ap_MontoO)*AV$9</f>
        <v>0</v>
      </c>
      <c r="AW138" s="48">
        <f>SUMIF(Ap_MesO,44,Ap_MontoO)*AW$9</f>
        <v>0</v>
      </c>
      <c r="AX138" s="48">
        <f>SUMIF(Ap_MesO,45,Ap_MontoO)*AX$9</f>
        <v>0</v>
      </c>
      <c r="AY138" s="48">
        <f>SUMIF(Ap_MesO,46,Ap_MontoO)*AY$9</f>
        <v>0</v>
      </c>
      <c r="AZ138" s="48">
        <f>SUMIF(Ap_MesO,47,Ap_MontoO)*AZ$9</f>
        <v>0</v>
      </c>
      <c r="BA138" s="48">
        <f>SUMIF(Ap_MesO,48,Ap_MontoO)*BA$9</f>
        <v>0</v>
      </c>
      <c r="BB138" s="48">
        <f>SUMIF(Ap_MesO,49,Ap_MontoO)*BB$9</f>
        <v>0</v>
      </c>
      <c r="BC138" s="48">
        <f>SUMIF(Ap_MesO,50,Ap_MontoO)*BC$9</f>
        <v>0</v>
      </c>
      <c r="BD138" s="48">
        <f>SUMIF(Ap_MesO,51,Ap_MontoO)*BD$9</f>
        <v>0</v>
      </c>
      <c r="BE138" s="48">
        <f>SUMIF(Ap_MesO,52,Ap_MontoO)*BE$9</f>
        <v>0</v>
      </c>
      <c r="BF138" s="48">
        <f>SUMIF(Ap_MesO,53,Ap_MontoO)*BF$9</f>
        <v>0</v>
      </c>
      <c r="BG138" s="48">
        <f>SUMIF(Ap_MesO,54,Ap_MontoO)*BG$9</f>
        <v>0</v>
      </c>
      <c r="BH138" s="48">
        <f>SUMIF(Ap_MesO,55,Ap_MontoO)*BH$9</f>
        <v>0</v>
      </c>
      <c r="BI138" s="48">
        <f>SUMIF(Ap_MesO,56,Ap_MontoO)*BI$9</f>
        <v>0</v>
      </c>
      <c r="BJ138" s="48">
        <f>SUMIF(Ap_MesO,57,Ap_MontoO)*BJ$9</f>
        <v>0</v>
      </c>
      <c r="BK138" s="48">
        <f>SUMIF(Ap_MesO,58,Ap_MontoO)*BK$9</f>
        <v>0</v>
      </c>
      <c r="BL138" s="48">
        <f>SUMIF(Ap_MesO,59,Ap_MontoO)*BL$9</f>
        <v>0</v>
      </c>
      <c r="BM138" s="48">
        <f>SUMIF(Ap_MesO,60,Ap_MontoO)*BM$9</f>
        <v>0</v>
      </c>
      <c r="BN138" s="48">
        <f>SUMIF(Ap_MesO,61,Ap_MontoO)*BN$9</f>
        <v>0</v>
      </c>
      <c r="BO138" s="48">
        <f>SUMIF(Ap_MesO,62,Ap_MontoO)*BO$9</f>
        <v>0</v>
      </c>
      <c r="BP138" s="48">
        <f>SUMIF(Ap_MesO,63,Ap_MontoO)*BP$9</f>
        <v>0</v>
      </c>
      <c r="BQ138" s="48">
        <f>SUMIF(Ap_MesO,64,Ap_MontoO)*BQ$9</f>
        <v>0</v>
      </c>
      <c r="BR138" s="48">
        <f>SUMIF(Ap_MesO,65,Ap_MontoO)*BR$9</f>
        <v>0</v>
      </c>
      <c r="BS138" s="48">
        <f>SUMIF(Ap_MesO,66,Ap_MontoO)*BS$9</f>
        <v>0</v>
      </c>
      <c r="BT138" s="48">
        <f>SUMIF(Ap_MesO,67,Ap_MontoO)*BT$9</f>
        <v>0</v>
      </c>
      <c r="BU138" s="48">
        <f>SUMIF(Ap_MesO,68,Ap_MontoO)*BU$9</f>
        <v>0</v>
      </c>
      <c r="BV138" s="48">
        <f>SUMIF(Ap_MesO,69,Ap_MontoO)*BV$9</f>
        <v>0</v>
      </c>
      <c r="BW138" s="48">
        <f>SUMIF(Ap_MesO,70,Ap_MontoO)*BW$9</f>
        <v>0</v>
      </c>
      <c r="BX138" s="48">
        <f>SUMIF(Ap_MesO,71,Ap_MontoO)*BX$9</f>
        <v>0</v>
      </c>
      <c r="BY138" s="48">
        <f>SUMIF(Ap_MesO,72,Ap_MontoO)*BY$9</f>
        <v>0</v>
      </c>
      <c r="BZ138" s="48">
        <f>SUMIF(Ap_MesO,73,Ap_MontoO)*BZ$9</f>
        <v>0</v>
      </c>
      <c r="CA138" s="48">
        <f>SUMIF(Ap_MesO,74,Ap_MontoO)*CA$9</f>
        <v>0</v>
      </c>
      <c r="CB138" s="48">
        <f>SUMIF(Ap_MesO,75,Ap_MontoO)*CB$9</f>
        <v>0</v>
      </c>
      <c r="CC138" s="48">
        <f>SUMIF(Ap_MesO,76,Ap_MontoO)*CC$9</f>
        <v>0</v>
      </c>
      <c r="CD138" s="48">
        <f>SUMIF(Ap_MesO,77,Ap_MontoO)*CD$9</f>
        <v>0</v>
      </c>
      <c r="CE138" s="48">
        <f>SUMIF(Ap_MesO,78,Ap_MontoO)*CE$9</f>
        <v>0</v>
      </c>
      <c r="CF138" s="48">
        <f>SUMIF(Ap_MesO,79,Ap_MontoO)*CF$9</f>
        <v>0</v>
      </c>
      <c r="CG138" s="48">
        <f>SUMIF(Ap_MesO,80,Ap_MontoO)*CG$9</f>
        <v>0</v>
      </c>
      <c r="CH138" s="48">
        <f>SUMIF(Ap_MesO,81,Ap_MontoO)*CH$9</f>
        <v>0</v>
      </c>
      <c r="CI138" s="48">
        <f>SUMIF(Ap_MesO,82,Ap_MontoO)*CI$9</f>
        <v>0</v>
      </c>
      <c r="CJ138" s="48">
        <f>SUMIF(Ap_MesO,83,Ap_MontoO)*CJ$9</f>
        <v>0</v>
      </c>
      <c r="CK138" s="48">
        <f>SUMIF(Ap_MesO,84,Ap_MontoO)*CK$9</f>
        <v>0</v>
      </c>
      <c r="CL138" s="48">
        <f>SUMIF(Ap_MesO,85,Ap_MontoO)*CL$9</f>
        <v>0</v>
      </c>
      <c r="CM138" s="48">
        <f>SUMIF(Ap_MesO,86,Ap_MontoO)*CM$9</f>
        <v>0</v>
      </c>
      <c r="CN138" s="48">
        <f>SUMIF(Ap_MesO,87,Ap_MontoO)*CN$9</f>
        <v>0</v>
      </c>
      <c r="CO138" s="48">
        <f>SUMIF(Ap_MesO,88,Ap_MontoO)*CO$9</f>
        <v>0</v>
      </c>
      <c r="CP138" s="48">
        <f>SUMIF(Ap_MesO,89,Ap_MontoO)*CP$9</f>
        <v>0</v>
      </c>
      <c r="CQ138" s="48">
        <f>SUMIF(Ap_MesO,90,Ap_MontoO)*CQ$9</f>
        <v>0</v>
      </c>
      <c r="CR138" s="48">
        <f>SUMIF(Ap_MesO,91,Ap_MontoO)*CR$9</f>
        <v>0</v>
      </c>
      <c r="CS138" s="48">
        <f>SUMIF(Ap_MesO,92,Ap_MontoO)*CS$9</f>
        <v>0</v>
      </c>
      <c r="CT138" s="48">
        <f>SUMIF(Ap_MesO,93,Ap_MontoO)*CT$9</f>
        <v>0</v>
      </c>
      <c r="CU138" s="48">
        <f>SUMIF(Ap_MesO,94,Ap_MontoO)*CU$9</f>
        <v>0</v>
      </c>
      <c r="CV138" s="48">
        <f>SUMIF(Ap_MesO,95,Ap_MontoO)*CV$9</f>
        <v>0</v>
      </c>
      <c r="CW138" s="48">
        <f>SUMIF(Ap_MesO,96,Ap_MontoO)*CW$9</f>
        <v>0</v>
      </c>
      <c r="CX138" s="48">
        <f>SUMIF(Ap_MesO,97,Ap_MontoO)*CX$9</f>
        <v>0</v>
      </c>
      <c r="CY138" s="48">
        <f>SUMIF(Ap_MesO,98,Ap_MontoO)*CY$9</f>
        <v>0</v>
      </c>
      <c r="CZ138" s="48">
        <f>SUMIF(Ap_MesO,99,Ap_MontoO)*CZ$9</f>
        <v>0</v>
      </c>
      <c r="DA138" s="48">
        <f>SUMIF(Ap_MesO,100,Ap_MontoO)*DA$9</f>
        <v>0</v>
      </c>
      <c r="DB138" s="48">
        <f>SUMIF(Ap_MesO,101,Ap_MontoO)*DB$9</f>
        <v>0</v>
      </c>
      <c r="DC138" s="48">
        <f>SUMIF(Ap_MesO,102,Ap_MontoO)*DC$9</f>
        <v>0</v>
      </c>
      <c r="DD138" s="48">
        <f>SUMIF(Ap_MesO,103,Ap_MontoO)*DD$9</f>
        <v>0</v>
      </c>
      <c r="DE138" s="48">
        <f>SUMIF(Ap_MesO,104,Ap_MontoO)*DE$9</f>
        <v>0</v>
      </c>
      <c r="DF138" s="48">
        <f>SUMIF(Ap_MesO,105,Ap_MontoO)*DF$9</f>
        <v>0</v>
      </c>
      <c r="DG138" s="48">
        <f>SUMIF(Ap_MesO,106,Ap_MontoO)*DG$9</f>
        <v>0</v>
      </c>
      <c r="DH138" s="48">
        <f>SUMIF(Ap_MesO,107,Ap_MontoO)*DH$9</f>
        <v>0</v>
      </c>
      <c r="DI138" s="48">
        <f>SUMIF(Ap_MesO,108,Ap_MontoO)*DI$9</f>
        <v>0</v>
      </c>
      <c r="DJ138" s="48">
        <f>SUMIF(Ap_MesO,109,Ap_MontoO)*DJ$9</f>
        <v>0</v>
      </c>
      <c r="DK138" s="48">
        <f>SUMIF(Ap_MesO,110,Ap_MontoO)*DK$9</f>
        <v>0</v>
      </c>
      <c r="DL138" s="48">
        <f>SUMIF(Ap_MesO,111,Ap_MontoO)*DL$9</f>
        <v>0</v>
      </c>
      <c r="DM138" s="48">
        <f>SUMIF(Ap_MesO,112,Ap_MontoO)*DM$9</f>
        <v>0</v>
      </c>
      <c r="DN138" s="48">
        <f>SUMIF(Ap_MesO,113,Ap_MontoO)*DN$9</f>
        <v>0</v>
      </c>
      <c r="DO138" s="48">
        <f>SUMIF(Ap_MesO,114,Ap_MontoO)*DO$9</f>
        <v>0</v>
      </c>
      <c r="DP138" s="48">
        <f>SUMIF(Ap_MesO,115,Ap_MontoO)*DP$9</f>
        <v>0</v>
      </c>
      <c r="DQ138" s="48">
        <f>SUMIF(Ap_MesO,116,Ap_MontoO)*DQ$9</f>
        <v>0</v>
      </c>
      <c r="DR138" s="48">
        <f>SUMIF(Ap_MesO,117,Ap_MontoO)*DR$9</f>
        <v>0</v>
      </c>
      <c r="DS138" s="48">
        <f>SUMIF(Ap_MesO,118,Ap_MontoO)*DS$9</f>
        <v>0</v>
      </c>
      <c r="DT138" s="48">
        <f>SUMIF(Ap_MesO,119,Ap_MontoO)*DT$9</f>
        <v>0</v>
      </c>
      <c r="DU138" s="48">
        <f>SUMIF(Ap_MesO,120,Ap_MontoO)*DU$9</f>
        <v>0</v>
      </c>
      <c r="DV138" s="48">
        <f>SUMIF(Ap_MesO,121,Ap_MontoO)*DV$9</f>
        <v>0</v>
      </c>
      <c r="DW138" s="48">
        <f>SUMIF(Ap_MesO,122,Ap_MontoO)*DW$9</f>
        <v>0</v>
      </c>
      <c r="DX138" s="48">
        <f>SUMIF(Ap_MesO,123,Ap_MontoO)*DX$9</f>
        <v>0</v>
      </c>
      <c r="DY138" s="48">
        <f>SUMIF(Ap_MesO,124,Ap_MontoO)*DY$9</f>
        <v>0</v>
      </c>
      <c r="DZ138" s="48">
        <f>SUMIF(Ap_MesO,125,Ap_MontoO)*DZ$9</f>
        <v>0</v>
      </c>
      <c r="EA138" s="48">
        <f>SUMIF(Ap_MesO,126,Ap_MontoO)*EA$9</f>
        <v>0</v>
      </c>
      <c r="EB138" s="48">
        <f>SUMIF(Ap_MesO,127,Ap_MontoO)*EB$9</f>
        <v>0</v>
      </c>
      <c r="EC138" s="48">
        <f>SUMIF(Ap_MesO,128,Ap_MontoO)*EC$9</f>
        <v>0</v>
      </c>
      <c r="ED138" s="48">
        <f>SUMIF(Ap_MesO,129,Ap_MontoO)*ED$9</f>
        <v>0</v>
      </c>
      <c r="EE138" s="48">
        <f>SUMIF(Ap_MesO,130,Ap_MontoO)*EE$9</f>
        <v>0</v>
      </c>
      <c r="EF138" s="48">
        <f>SUMIF(Ap_MesO,131,Ap_MontoO)*EF$9</f>
        <v>0</v>
      </c>
      <c r="EG138" s="48">
        <f>SUMIF(Ap_MesO,132,Ap_MontoO)*EG$9</f>
        <v>0</v>
      </c>
      <c r="EH138" s="48">
        <f>SUMIF(Ap_MesO,133,Ap_MontoO)*EH$9</f>
        <v>0</v>
      </c>
      <c r="EI138" s="48">
        <f>SUMIF(Ap_MesO,134,Ap_MontoO)*EI$9</f>
        <v>0</v>
      </c>
      <c r="EJ138" s="48">
        <f>SUMIF(Ap_MesO,135,Ap_MontoO)*EJ$9</f>
        <v>0</v>
      </c>
      <c r="EK138" s="48">
        <f>SUMIF(Ap_MesO,136,Ap_MontoO)*EK$9</f>
        <v>0</v>
      </c>
      <c r="EL138" s="48">
        <f>SUMIF(Ap_MesO,137,Ap_MontoO)*EL$9</f>
        <v>0</v>
      </c>
      <c r="EM138" s="48">
        <f>SUMIF(Ap_MesO,138,Ap_MontoO)*EM$9</f>
        <v>0</v>
      </c>
      <c r="EN138" s="48">
        <f>SUMIF(Ap_MesO,139,Ap_MontoO)*EN$9</f>
        <v>0</v>
      </c>
      <c r="EO138" s="48">
        <f>SUMIF(Ap_MesO,140,Ap_MontoO)*EO$9</f>
        <v>0</v>
      </c>
      <c r="EP138" s="48">
        <f>SUMIF(Ap_MesO,141,Ap_MontoO)*EP$9</f>
        <v>0</v>
      </c>
      <c r="EQ138" s="48">
        <f>SUMIF(Ap_MesO,142,Ap_MontoO)*EQ$9</f>
        <v>0</v>
      </c>
      <c r="ER138" s="48">
        <f>SUMIF(Ap_MesO,143,Ap_MontoO)*ER$9</f>
        <v>0</v>
      </c>
      <c r="ES138" s="48">
        <f>SUMIF(Ap_MesO,144,Ap_MontoO)*ES$9</f>
        <v>0</v>
      </c>
    </row>
    <row r="139" spans="1:149" x14ac:dyDescent="0.3">
      <c r="A139" s="14" t="s">
        <v>1173</v>
      </c>
      <c r="B139" s="18" t="s">
        <v>1174</v>
      </c>
      <c r="C139" s="18" t="s">
        <v>989</v>
      </c>
      <c r="F139" s="34">
        <f>IF(AND(N(P_LC_Lim)&gt;0,1&gt;=MAX(1,N(P_LC_Desde)),1&lt;=IF(N(P_LC_Hasta)=0,Fin,N(P_LC_Hasta))),1,0)</f>
        <v>0</v>
      </c>
      <c r="G139" s="34">
        <f>IF(AND(N(P_LC_Lim)&gt;0,2&gt;=MAX(1,N(P_LC_Desde)),2&lt;=IF(N(P_LC_Hasta)=0,Fin,N(P_LC_Hasta))),1,0)</f>
        <v>0</v>
      </c>
      <c r="H139" s="34">
        <f>IF(AND(N(P_LC_Lim)&gt;0,3&gt;=MAX(1,N(P_LC_Desde)),3&lt;=IF(N(P_LC_Hasta)=0,Fin,N(P_LC_Hasta))),1,0)</f>
        <v>0</v>
      </c>
      <c r="I139" s="34">
        <f>IF(AND(N(P_LC_Lim)&gt;0,4&gt;=MAX(1,N(P_LC_Desde)),4&lt;=IF(N(P_LC_Hasta)=0,Fin,N(P_LC_Hasta))),1,0)</f>
        <v>0</v>
      </c>
      <c r="J139" s="34">
        <f>IF(AND(N(P_LC_Lim)&gt;0,5&gt;=MAX(1,N(P_LC_Desde)),5&lt;=IF(N(P_LC_Hasta)=0,Fin,N(P_LC_Hasta))),1,0)</f>
        <v>0</v>
      </c>
      <c r="K139" s="34">
        <f>IF(AND(N(P_LC_Lim)&gt;0,6&gt;=MAX(1,N(P_LC_Desde)),6&lt;=IF(N(P_LC_Hasta)=0,Fin,N(P_LC_Hasta))),1,0)</f>
        <v>0</v>
      </c>
      <c r="L139" s="34">
        <f>IF(AND(N(P_LC_Lim)&gt;0,7&gt;=MAX(1,N(P_LC_Desde)),7&lt;=IF(N(P_LC_Hasta)=0,Fin,N(P_LC_Hasta))),1,0)</f>
        <v>0</v>
      </c>
      <c r="M139" s="34">
        <f>IF(AND(N(P_LC_Lim)&gt;0,8&gt;=MAX(1,N(P_LC_Desde)),8&lt;=IF(N(P_LC_Hasta)=0,Fin,N(P_LC_Hasta))),1,0)</f>
        <v>0</v>
      </c>
      <c r="N139" s="34">
        <f>IF(AND(N(P_LC_Lim)&gt;0,9&gt;=MAX(1,N(P_LC_Desde)),9&lt;=IF(N(P_LC_Hasta)=0,Fin,N(P_LC_Hasta))),1,0)</f>
        <v>0</v>
      </c>
      <c r="O139" s="34">
        <f>IF(AND(N(P_LC_Lim)&gt;0,10&gt;=MAX(1,N(P_LC_Desde)),10&lt;=IF(N(P_LC_Hasta)=0,Fin,N(P_LC_Hasta))),1,0)</f>
        <v>0</v>
      </c>
      <c r="P139" s="34">
        <f>IF(AND(N(P_LC_Lim)&gt;0,11&gt;=MAX(1,N(P_LC_Desde)),11&lt;=IF(N(P_LC_Hasta)=0,Fin,N(P_LC_Hasta))),1,0)</f>
        <v>0</v>
      </c>
      <c r="Q139" s="34">
        <f>IF(AND(N(P_LC_Lim)&gt;0,12&gt;=MAX(1,N(P_LC_Desde)),12&lt;=IF(N(P_LC_Hasta)=0,Fin,N(P_LC_Hasta))),1,0)</f>
        <v>0</v>
      </c>
      <c r="R139" s="34">
        <f>IF(AND(N(P_LC_Lim)&gt;0,13&gt;=MAX(1,N(P_LC_Desde)),13&lt;=IF(N(P_LC_Hasta)=0,Fin,N(P_LC_Hasta))),1,0)</f>
        <v>0</v>
      </c>
      <c r="S139" s="34">
        <f>IF(AND(N(P_LC_Lim)&gt;0,14&gt;=MAX(1,N(P_LC_Desde)),14&lt;=IF(N(P_LC_Hasta)=0,Fin,N(P_LC_Hasta))),1,0)</f>
        <v>0</v>
      </c>
      <c r="T139" s="34">
        <f>IF(AND(N(P_LC_Lim)&gt;0,15&gt;=MAX(1,N(P_LC_Desde)),15&lt;=IF(N(P_LC_Hasta)=0,Fin,N(P_LC_Hasta))),1,0)</f>
        <v>0</v>
      </c>
      <c r="U139" s="34">
        <f>IF(AND(N(P_LC_Lim)&gt;0,16&gt;=MAX(1,N(P_LC_Desde)),16&lt;=IF(N(P_LC_Hasta)=0,Fin,N(P_LC_Hasta))),1,0)</f>
        <v>0</v>
      </c>
      <c r="V139" s="34">
        <f>IF(AND(N(P_LC_Lim)&gt;0,17&gt;=MAX(1,N(P_LC_Desde)),17&lt;=IF(N(P_LC_Hasta)=0,Fin,N(P_LC_Hasta))),1,0)</f>
        <v>0</v>
      </c>
      <c r="W139" s="34">
        <f>IF(AND(N(P_LC_Lim)&gt;0,18&gt;=MAX(1,N(P_LC_Desde)),18&lt;=IF(N(P_LC_Hasta)=0,Fin,N(P_LC_Hasta))),1,0)</f>
        <v>0</v>
      </c>
      <c r="X139" s="34">
        <f>IF(AND(N(P_LC_Lim)&gt;0,19&gt;=MAX(1,N(P_LC_Desde)),19&lt;=IF(N(P_LC_Hasta)=0,Fin,N(P_LC_Hasta))),1,0)</f>
        <v>0</v>
      </c>
      <c r="Y139" s="34">
        <f>IF(AND(N(P_LC_Lim)&gt;0,20&gt;=MAX(1,N(P_LC_Desde)),20&lt;=IF(N(P_LC_Hasta)=0,Fin,N(P_LC_Hasta))),1,0)</f>
        <v>0</v>
      </c>
      <c r="Z139" s="34">
        <f>IF(AND(N(P_LC_Lim)&gt;0,21&gt;=MAX(1,N(P_LC_Desde)),21&lt;=IF(N(P_LC_Hasta)=0,Fin,N(P_LC_Hasta))),1,0)</f>
        <v>0</v>
      </c>
      <c r="AA139" s="34">
        <f>IF(AND(N(P_LC_Lim)&gt;0,22&gt;=MAX(1,N(P_LC_Desde)),22&lt;=IF(N(P_LC_Hasta)=0,Fin,N(P_LC_Hasta))),1,0)</f>
        <v>0</v>
      </c>
      <c r="AB139" s="34">
        <f>IF(AND(N(P_LC_Lim)&gt;0,23&gt;=MAX(1,N(P_LC_Desde)),23&lt;=IF(N(P_LC_Hasta)=0,Fin,N(P_LC_Hasta))),1,0)</f>
        <v>0</v>
      </c>
      <c r="AC139" s="34">
        <f>IF(AND(N(P_LC_Lim)&gt;0,24&gt;=MAX(1,N(P_LC_Desde)),24&lt;=IF(N(P_LC_Hasta)=0,Fin,N(P_LC_Hasta))),1,0)</f>
        <v>0</v>
      </c>
      <c r="AD139" s="34">
        <f>IF(AND(N(P_LC_Lim)&gt;0,25&gt;=MAX(1,N(P_LC_Desde)),25&lt;=IF(N(P_LC_Hasta)=0,Fin,N(P_LC_Hasta))),1,0)</f>
        <v>0</v>
      </c>
      <c r="AE139" s="34">
        <f>IF(AND(N(P_LC_Lim)&gt;0,26&gt;=MAX(1,N(P_LC_Desde)),26&lt;=IF(N(P_LC_Hasta)=0,Fin,N(P_LC_Hasta))),1,0)</f>
        <v>0</v>
      </c>
      <c r="AF139" s="34">
        <f>IF(AND(N(P_LC_Lim)&gt;0,27&gt;=MAX(1,N(P_LC_Desde)),27&lt;=IF(N(P_LC_Hasta)=0,Fin,N(P_LC_Hasta))),1,0)</f>
        <v>0</v>
      </c>
      <c r="AG139" s="34">
        <f>IF(AND(N(P_LC_Lim)&gt;0,28&gt;=MAX(1,N(P_LC_Desde)),28&lt;=IF(N(P_LC_Hasta)=0,Fin,N(P_LC_Hasta))),1,0)</f>
        <v>0</v>
      </c>
      <c r="AH139" s="34">
        <f>IF(AND(N(P_LC_Lim)&gt;0,29&gt;=MAX(1,N(P_LC_Desde)),29&lt;=IF(N(P_LC_Hasta)=0,Fin,N(P_LC_Hasta))),1,0)</f>
        <v>0</v>
      </c>
      <c r="AI139" s="34">
        <f>IF(AND(N(P_LC_Lim)&gt;0,30&gt;=MAX(1,N(P_LC_Desde)),30&lt;=IF(N(P_LC_Hasta)=0,Fin,N(P_LC_Hasta))),1,0)</f>
        <v>0</v>
      </c>
      <c r="AJ139" s="34">
        <f>IF(AND(N(P_LC_Lim)&gt;0,31&gt;=MAX(1,N(P_LC_Desde)),31&lt;=IF(N(P_LC_Hasta)=0,Fin,N(P_LC_Hasta))),1,0)</f>
        <v>0</v>
      </c>
      <c r="AK139" s="34">
        <f>IF(AND(N(P_LC_Lim)&gt;0,32&gt;=MAX(1,N(P_LC_Desde)),32&lt;=IF(N(P_LC_Hasta)=0,Fin,N(P_LC_Hasta))),1,0)</f>
        <v>0</v>
      </c>
      <c r="AL139" s="34">
        <f>IF(AND(N(P_LC_Lim)&gt;0,33&gt;=MAX(1,N(P_LC_Desde)),33&lt;=IF(N(P_LC_Hasta)=0,Fin,N(P_LC_Hasta))),1,0)</f>
        <v>0</v>
      </c>
      <c r="AM139" s="34">
        <f>IF(AND(N(P_LC_Lim)&gt;0,34&gt;=MAX(1,N(P_LC_Desde)),34&lt;=IF(N(P_LC_Hasta)=0,Fin,N(P_LC_Hasta))),1,0)</f>
        <v>0</v>
      </c>
      <c r="AN139" s="34">
        <f>IF(AND(N(P_LC_Lim)&gt;0,35&gt;=MAX(1,N(P_LC_Desde)),35&lt;=IF(N(P_LC_Hasta)=0,Fin,N(P_LC_Hasta))),1,0)</f>
        <v>0</v>
      </c>
      <c r="AO139" s="34">
        <f>IF(AND(N(P_LC_Lim)&gt;0,36&gt;=MAX(1,N(P_LC_Desde)),36&lt;=IF(N(P_LC_Hasta)=0,Fin,N(P_LC_Hasta))),1,0)</f>
        <v>0</v>
      </c>
      <c r="AP139" s="34">
        <f>IF(AND(N(P_LC_Lim)&gt;0,37&gt;=MAX(1,N(P_LC_Desde)),37&lt;=IF(N(P_LC_Hasta)=0,Fin,N(P_LC_Hasta))),1,0)</f>
        <v>0</v>
      </c>
      <c r="AQ139" s="34">
        <f>IF(AND(N(P_LC_Lim)&gt;0,38&gt;=MAX(1,N(P_LC_Desde)),38&lt;=IF(N(P_LC_Hasta)=0,Fin,N(P_LC_Hasta))),1,0)</f>
        <v>0</v>
      </c>
      <c r="AR139" s="34">
        <f>IF(AND(N(P_LC_Lim)&gt;0,39&gt;=MAX(1,N(P_LC_Desde)),39&lt;=IF(N(P_LC_Hasta)=0,Fin,N(P_LC_Hasta))),1,0)</f>
        <v>0</v>
      </c>
      <c r="AS139" s="34">
        <f>IF(AND(N(P_LC_Lim)&gt;0,40&gt;=MAX(1,N(P_LC_Desde)),40&lt;=IF(N(P_LC_Hasta)=0,Fin,N(P_LC_Hasta))),1,0)</f>
        <v>0</v>
      </c>
      <c r="AT139" s="34">
        <f>IF(AND(N(P_LC_Lim)&gt;0,41&gt;=MAX(1,N(P_LC_Desde)),41&lt;=IF(N(P_LC_Hasta)=0,Fin,N(P_LC_Hasta))),1,0)</f>
        <v>0</v>
      </c>
      <c r="AU139" s="34">
        <f>IF(AND(N(P_LC_Lim)&gt;0,42&gt;=MAX(1,N(P_LC_Desde)),42&lt;=IF(N(P_LC_Hasta)=0,Fin,N(P_LC_Hasta))),1,0)</f>
        <v>0</v>
      </c>
      <c r="AV139" s="34">
        <f>IF(AND(N(P_LC_Lim)&gt;0,43&gt;=MAX(1,N(P_LC_Desde)),43&lt;=IF(N(P_LC_Hasta)=0,Fin,N(P_LC_Hasta))),1,0)</f>
        <v>0</v>
      </c>
      <c r="AW139" s="34">
        <f>IF(AND(N(P_LC_Lim)&gt;0,44&gt;=MAX(1,N(P_LC_Desde)),44&lt;=IF(N(P_LC_Hasta)=0,Fin,N(P_LC_Hasta))),1,0)</f>
        <v>0</v>
      </c>
      <c r="AX139" s="34">
        <f>IF(AND(N(P_LC_Lim)&gt;0,45&gt;=MAX(1,N(P_LC_Desde)),45&lt;=IF(N(P_LC_Hasta)=0,Fin,N(P_LC_Hasta))),1,0)</f>
        <v>0</v>
      </c>
      <c r="AY139" s="34">
        <f>IF(AND(N(P_LC_Lim)&gt;0,46&gt;=MAX(1,N(P_LC_Desde)),46&lt;=IF(N(P_LC_Hasta)=0,Fin,N(P_LC_Hasta))),1,0)</f>
        <v>0</v>
      </c>
      <c r="AZ139" s="34">
        <f>IF(AND(N(P_LC_Lim)&gt;0,47&gt;=MAX(1,N(P_LC_Desde)),47&lt;=IF(N(P_LC_Hasta)=0,Fin,N(P_LC_Hasta))),1,0)</f>
        <v>0</v>
      </c>
      <c r="BA139" s="34">
        <f>IF(AND(N(P_LC_Lim)&gt;0,48&gt;=MAX(1,N(P_LC_Desde)),48&lt;=IF(N(P_LC_Hasta)=0,Fin,N(P_LC_Hasta))),1,0)</f>
        <v>0</v>
      </c>
      <c r="BB139" s="34">
        <f>IF(AND(N(P_LC_Lim)&gt;0,49&gt;=MAX(1,N(P_LC_Desde)),49&lt;=IF(N(P_LC_Hasta)=0,Fin,N(P_LC_Hasta))),1,0)</f>
        <v>0</v>
      </c>
      <c r="BC139" s="34">
        <f>IF(AND(N(P_LC_Lim)&gt;0,50&gt;=MAX(1,N(P_LC_Desde)),50&lt;=IF(N(P_LC_Hasta)=0,Fin,N(P_LC_Hasta))),1,0)</f>
        <v>0</v>
      </c>
      <c r="BD139" s="34">
        <f>IF(AND(N(P_LC_Lim)&gt;0,51&gt;=MAX(1,N(P_LC_Desde)),51&lt;=IF(N(P_LC_Hasta)=0,Fin,N(P_LC_Hasta))),1,0)</f>
        <v>0</v>
      </c>
      <c r="BE139" s="34">
        <f>IF(AND(N(P_LC_Lim)&gt;0,52&gt;=MAX(1,N(P_LC_Desde)),52&lt;=IF(N(P_LC_Hasta)=0,Fin,N(P_LC_Hasta))),1,0)</f>
        <v>0</v>
      </c>
      <c r="BF139" s="34">
        <f>IF(AND(N(P_LC_Lim)&gt;0,53&gt;=MAX(1,N(P_LC_Desde)),53&lt;=IF(N(P_LC_Hasta)=0,Fin,N(P_LC_Hasta))),1,0)</f>
        <v>0</v>
      </c>
      <c r="BG139" s="34">
        <f>IF(AND(N(P_LC_Lim)&gt;0,54&gt;=MAX(1,N(P_LC_Desde)),54&lt;=IF(N(P_LC_Hasta)=0,Fin,N(P_LC_Hasta))),1,0)</f>
        <v>0</v>
      </c>
      <c r="BH139" s="34">
        <f>IF(AND(N(P_LC_Lim)&gt;0,55&gt;=MAX(1,N(P_LC_Desde)),55&lt;=IF(N(P_LC_Hasta)=0,Fin,N(P_LC_Hasta))),1,0)</f>
        <v>0</v>
      </c>
      <c r="BI139" s="34">
        <f>IF(AND(N(P_LC_Lim)&gt;0,56&gt;=MAX(1,N(P_LC_Desde)),56&lt;=IF(N(P_LC_Hasta)=0,Fin,N(P_LC_Hasta))),1,0)</f>
        <v>0</v>
      </c>
      <c r="BJ139" s="34">
        <f>IF(AND(N(P_LC_Lim)&gt;0,57&gt;=MAX(1,N(P_LC_Desde)),57&lt;=IF(N(P_LC_Hasta)=0,Fin,N(P_LC_Hasta))),1,0)</f>
        <v>0</v>
      </c>
      <c r="BK139" s="34">
        <f>IF(AND(N(P_LC_Lim)&gt;0,58&gt;=MAX(1,N(P_LC_Desde)),58&lt;=IF(N(P_LC_Hasta)=0,Fin,N(P_LC_Hasta))),1,0)</f>
        <v>0</v>
      </c>
      <c r="BL139" s="34">
        <f>IF(AND(N(P_LC_Lim)&gt;0,59&gt;=MAX(1,N(P_LC_Desde)),59&lt;=IF(N(P_LC_Hasta)=0,Fin,N(P_LC_Hasta))),1,0)</f>
        <v>0</v>
      </c>
      <c r="BM139" s="34">
        <f>IF(AND(N(P_LC_Lim)&gt;0,60&gt;=MAX(1,N(P_LC_Desde)),60&lt;=IF(N(P_LC_Hasta)=0,Fin,N(P_LC_Hasta))),1,0)</f>
        <v>0</v>
      </c>
      <c r="BN139" s="34">
        <f>IF(AND(N(P_LC_Lim)&gt;0,61&gt;=MAX(1,N(P_LC_Desde)),61&lt;=IF(N(P_LC_Hasta)=0,Fin,N(P_LC_Hasta))),1,0)</f>
        <v>0</v>
      </c>
      <c r="BO139" s="34">
        <f>IF(AND(N(P_LC_Lim)&gt;0,62&gt;=MAX(1,N(P_LC_Desde)),62&lt;=IF(N(P_LC_Hasta)=0,Fin,N(P_LC_Hasta))),1,0)</f>
        <v>0</v>
      </c>
      <c r="BP139" s="34">
        <f>IF(AND(N(P_LC_Lim)&gt;0,63&gt;=MAX(1,N(P_LC_Desde)),63&lt;=IF(N(P_LC_Hasta)=0,Fin,N(P_LC_Hasta))),1,0)</f>
        <v>0</v>
      </c>
      <c r="BQ139" s="34">
        <f>IF(AND(N(P_LC_Lim)&gt;0,64&gt;=MAX(1,N(P_LC_Desde)),64&lt;=IF(N(P_LC_Hasta)=0,Fin,N(P_LC_Hasta))),1,0)</f>
        <v>0</v>
      </c>
      <c r="BR139" s="34">
        <f>IF(AND(N(P_LC_Lim)&gt;0,65&gt;=MAX(1,N(P_LC_Desde)),65&lt;=IF(N(P_LC_Hasta)=0,Fin,N(P_LC_Hasta))),1,0)</f>
        <v>0</v>
      </c>
      <c r="BS139" s="34">
        <f>IF(AND(N(P_LC_Lim)&gt;0,66&gt;=MAX(1,N(P_LC_Desde)),66&lt;=IF(N(P_LC_Hasta)=0,Fin,N(P_LC_Hasta))),1,0)</f>
        <v>0</v>
      </c>
      <c r="BT139" s="34">
        <f>IF(AND(N(P_LC_Lim)&gt;0,67&gt;=MAX(1,N(P_LC_Desde)),67&lt;=IF(N(P_LC_Hasta)=0,Fin,N(P_LC_Hasta))),1,0)</f>
        <v>0</v>
      </c>
      <c r="BU139" s="34">
        <f>IF(AND(N(P_LC_Lim)&gt;0,68&gt;=MAX(1,N(P_LC_Desde)),68&lt;=IF(N(P_LC_Hasta)=0,Fin,N(P_LC_Hasta))),1,0)</f>
        <v>0</v>
      </c>
      <c r="BV139" s="34">
        <f>IF(AND(N(P_LC_Lim)&gt;0,69&gt;=MAX(1,N(P_LC_Desde)),69&lt;=IF(N(P_LC_Hasta)=0,Fin,N(P_LC_Hasta))),1,0)</f>
        <v>0</v>
      </c>
      <c r="BW139" s="34">
        <f>IF(AND(N(P_LC_Lim)&gt;0,70&gt;=MAX(1,N(P_LC_Desde)),70&lt;=IF(N(P_LC_Hasta)=0,Fin,N(P_LC_Hasta))),1,0)</f>
        <v>0</v>
      </c>
      <c r="BX139" s="34">
        <f>IF(AND(N(P_LC_Lim)&gt;0,71&gt;=MAX(1,N(P_LC_Desde)),71&lt;=IF(N(P_LC_Hasta)=0,Fin,N(P_LC_Hasta))),1,0)</f>
        <v>0</v>
      </c>
      <c r="BY139" s="34">
        <f>IF(AND(N(P_LC_Lim)&gt;0,72&gt;=MAX(1,N(P_LC_Desde)),72&lt;=IF(N(P_LC_Hasta)=0,Fin,N(P_LC_Hasta))),1,0)</f>
        <v>0</v>
      </c>
      <c r="BZ139" s="34">
        <f>IF(AND(N(P_LC_Lim)&gt;0,73&gt;=MAX(1,N(P_LC_Desde)),73&lt;=IF(N(P_LC_Hasta)=0,Fin,N(P_LC_Hasta))),1,0)</f>
        <v>0</v>
      </c>
      <c r="CA139" s="34">
        <f>IF(AND(N(P_LC_Lim)&gt;0,74&gt;=MAX(1,N(P_LC_Desde)),74&lt;=IF(N(P_LC_Hasta)=0,Fin,N(P_LC_Hasta))),1,0)</f>
        <v>0</v>
      </c>
      <c r="CB139" s="34">
        <f>IF(AND(N(P_LC_Lim)&gt;0,75&gt;=MAX(1,N(P_LC_Desde)),75&lt;=IF(N(P_LC_Hasta)=0,Fin,N(P_LC_Hasta))),1,0)</f>
        <v>0</v>
      </c>
      <c r="CC139" s="34">
        <f>IF(AND(N(P_LC_Lim)&gt;0,76&gt;=MAX(1,N(P_LC_Desde)),76&lt;=IF(N(P_LC_Hasta)=0,Fin,N(P_LC_Hasta))),1,0)</f>
        <v>0</v>
      </c>
      <c r="CD139" s="34">
        <f>IF(AND(N(P_LC_Lim)&gt;0,77&gt;=MAX(1,N(P_LC_Desde)),77&lt;=IF(N(P_LC_Hasta)=0,Fin,N(P_LC_Hasta))),1,0)</f>
        <v>0</v>
      </c>
      <c r="CE139" s="34">
        <f>IF(AND(N(P_LC_Lim)&gt;0,78&gt;=MAX(1,N(P_LC_Desde)),78&lt;=IF(N(P_LC_Hasta)=0,Fin,N(P_LC_Hasta))),1,0)</f>
        <v>0</v>
      </c>
      <c r="CF139" s="34">
        <f>IF(AND(N(P_LC_Lim)&gt;0,79&gt;=MAX(1,N(P_LC_Desde)),79&lt;=IF(N(P_LC_Hasta)=0,Fin,N(P_LC_Hasta))),1,0)</f>
        <v>0</v>
      </c>
      <c r="CG139" s="34">
        <f>IF(AND(N(P_LC_Lim)&gt;0,80&gt;=MAX(1,N(P_LC_Desde)),80&lt;=IF(N(P_LC_Hasta)=0,Fin,N(P_LC_Hasta))),1,0)</f>
        <v>0</v>
      </c>
      <c r="CH139" s="34">
        <f>IF(AND(N(P_LC_Lim)&gt;0,81&gt;=MAX(1,N(P_LC_Desde)),81&lt;=IF(N(P_LC_Hasta)=0,Fin,N(P_LC_Hasta))),1,0)</f>
        <v>0</v>
      </c>
      <c r="CI139" s="34">
        <f>IF(AND(N(P_LC_Lim)&gt;0,82&gt;=MAX(1,N(P_LC_Desde)),82&lt;=IF(N(P_LC_Hasta)=0,Fin,N(P_LC_Hasta))),1,0)</f>
        <v>0</v>
      </c>
      <c r="CJ139" s="34">
        <f>IF(AND(N(P_LC_Lim)&gt;0,83&gt;=MAX(1,N(P_LC_Desde)),83&lt;=IF(N(P_LC_Hasta)=0,Fin,N(P_LC_Hasta))),1,0)</f>
        <v>0</v>
      </c>
      <c r="CK139" s="34">
        <f>IF(AND(N(P_LC_Lim)&gt;0,84&gt;=MAX(1,N(P_LC_Desde)),84&lt;=IF(N(P_LC_Hasta)=0,Fin,N(P_LC_Hasta))),1,0)</f>
        <v>0</v>
      </c>
      <c r="CL139" s="34">
        <f>IF(AND(N(P_LC_Lim)&gt;0,85&gt;=MAX(1,N(P_LC_Desde)),85&lt;=IF(N(P_LC_Hasta)=0,Fin,N(P_LC_Hasta))),1,0)</f>
        <v>0</v>
      </c>
      <c r="CM139" s="34">
        <f>IF(AND(N(P_LC_Lim)&gt;0,86&gt;=MAX(1,N(P_LC_Desde)),86&lt;=IF(N(P_LC_Hasta)=0,Fin,N(P_LC_Hasta))),1,0)</f>
        <v>0</v>
      </c>
      <c r="CN139" s="34">
        <f>IF(AND(N(P_LC_Lim)&gt;0,87&gt;=MAX(1,N(P_LC_Desde)),87&lt;=IF(N(P_LC_Hasta)=0,Fin,N(P_LC_Hasta))),1,0)</f>
        <v>0</v>
      </c>
      <c r="CO139" s="34">
        <f>IF(AND(N(P_LC_Lim)&gt;0,88&gt;=MAX(1,N(P_LC_Desde)),88&lt;=IF(N(P_LC_Hasta)=0,Fin,N(P_LC_Hasta))),1,0)</f>
        <v>0</v>
      </c>
      <c r="CP139" s="34">
        <f>IF(AND(N(P_LC_Lim)&gt;0,89&gt;=MAX(1,N(P_LC_Desde)),89&lt;=IF(N(P_LC_Hasta)=0,Fin,N(P_LC_Hasta))),1,0)</f>
        <v>0</v>
      </c>
      <c r="CQ139" s="34">
        <f>IF(AND(N(P_LC_Lim)&gt;0,90&gt;=MAX(1,N(P_LC_Desde)),90&lt;=IF(N(P_LC_Hasta)=0,Fin,N(P_LC_Hasta))),1,0)</f>
        <v>0</v>
      </c>
      <c r="CR139" s="34">
        <f>IF(AND(N(P_LC_Lim)&gt;0,91&gt;=MAX(1,N(P_LC_Desde)),91&lt;=IF(N(P_LC_Hasta)=0,Fin,N(P_LC_Hasta))),1,0)</f>
        <v>0</v>
      </c>
      <c r="CS139" s="34">
        <f>IF(AND(N(P_LC_Lim)&gt;0,92&gt;=MAX(1,N(P_LC_Desde)),92&lt;=IF(N(P_LC_Hasta)=0,Fin,N(P_LC_Hasta))),1,0)</f>
        <v>0</v>
      </c>
      <c r="CT139" s="34">
        <f>IF(AND(N(P_LC_Lim)&gt;0,93&gt;=MAX(1,N(P_LC_Desde)),93&lt;=IF(N(P_LC_Hasta)=0,Fin,N(P_LC_Hasta))),1,0)</f>
        <v>0</v>
      </c>
      <c r="CU139" s="34">
        <f>IF(AND(N(P_LC_Lim)&gt;0,94&gt;=MAX(1,N(P_LC_Desde)),94&lt;=IF(N(P_LC_Hasta)=0,Fin,N(P_LC_Hasta))),1,0)</f>
        <v>0</v>
      </c>
      <c r="CV139" s="34">
        <f>IF(AND(N(P_LC_Lim)&gt;0,95&gt;=MAX(1,N(P_LC_Desde)),95&lt;=IF(N(P_LC_Hasta)=0,Fin,N(P_LC_Hasta))),1,0)</f>
        <v>0</v>
      </c>
      <c r="CW139" s="34">
        <f>IF(AND(N(P_LC_Lim)&gt;0,96&gt;=MAX(1,N(P_LC_Desde)),96&lt;=IF(N(P_LC_Hasta)=0,Fin,N(P_LC_Hasta))),1,0)</f>
        <v>0</v>
      </c>
      <c r="CX139" s="34">
        <f>IF(AND(N(P_LC_Lim)&gt;0,97&gt;=MAX(1,N(P_LC_Desde)),97&lt;=IF(N(P_LC_Hasta)=0,Fin,N(P_LC_Hasta))),1,0)</f>
        <v>0</v>
      </c>
      <c r="CY139" s="34">
        <f>IF(AND(N(P_LC_Lim)&gt;0,98&gt;=MAX(1,N(P_LC_Desde)),98&lt;=IF(N(P_LC_Hasta)=0,Fin,N(P_LC_Hasta))),1,0)</f>
        <v>0</v>
      </c>
      <c r="CZ139" s="34">
        <f>IF(AND(N(P_LC_Lim)&gt;0,99&gt;=MAX(1,N(P_LC_Desde)),99&lt;=IF(N(P_LC_Hasta)=0,Fin,N(P_LC_Hasta))),1,0)</f>
        <v>0</v>
      </c>
      <c r="DA139" s="34">
        <f>IF(AND(N(P_LC_Lim)&gt;0,100&gt;=MAX(1,N(P_LC_Desde)),100&lt;=IF(N(P_LC_Hasta)=0,Fin,N(P_LC_Hasta))),1,0)</f>
        <v>0</v>
      </c>
      <c r="DB139" s="34">
        <f>IF(AND(N(P_LC_Lim)&gt;0,101&gt;=MAX(1,N(P_LC_Desde)),101&lt;=IF(N(P_LC_Hasta)=0,Fin,N(P_LC_Hasta))),1,0)</f>
        <v>0</v>
      </c>
      <c r="DC139" s="34">
        <f>IF(AND(N(P_LC_Lim)&gt;0,102&gt;=MAX(1,N(P_LC_Desde)),102&lt;=IF(N(P_LC_Hasta)=0,Fin,N(P_LC_Hasta))),1,0)</f>
        <v>0</v>
      </c>
      <c r="DD139" s="34">
        <f>IF(AND(N(P_LC_Lim)&gt;0,103&gt;=MAX(1,N(P_LC_Desde)),103&lt;=IF(N(P_LC_Hasta)=0,Fin,N(P_LC_Hasta))),1,0)</f>
        <v>0</v>
      </c>
      <c r="DE139" s="34">
        <f>IF(AND(N(P_LC_Lim)&gt;0,104&gt;=MAX(1,N(P_LC_Desde)),104&lt;=IF(N(P_LC_Hasta)=0,Fin,N(P_LC_Hasta))),1,0)</f>
        <v>0</v>
      </c>
      <c r="DF139" s="34">
        <f>IF(AND(N(P_LC_Lim)&gt;0,105&gt;=MAX(1,N(P_LC_Desde)),105&lt;=IF(N(P_LC_Hasta)=0,Fin,N(P_LC_Hasta))),1,0)</f>
        <v>0</v>
      </c>
      <c r="DG139" s="34">
        <f>IF(AND(N(P_LC_Lim)&gt;0,106&gt;=MAX(1,N(P_LC_Desde)),106&lt;=IF(N(P_LC_Hasta)=0,Fin,N(P_LC_Hasta))),1,0)</f>
        <v>0</v>
      </c>
      <c r="DH139" s="34">
        <f>IF(AND(N(P_LC_Lim)&gt;0,107&gt;=MAX(1,N(P_LC_Desde)),107&lt;=IF(N(P_LC_Hasta)=0,Fin,N(P_LC_Hasta))),1,0)</f>
        <v>0</v>
      </c>
      <c r="DI139" s="34">
        <f>IF(AND(N(P_LC_Lim)&gt;0,108&gt;=MAX(1,N(P_LC_Desde)),108&lt;=IF(N(P_LC_Hasta)=0,Fin,N(P_LC_Hasta))),1,0)</f>
        <v>0</v>
      </c>
      <c r="DJ139" s="34">
        <f>IF(AND(N(P_LC_Lim)&gt;0,109&gt;=MAX(1,N(P_LC_Desde)),109&lt;=IF(N(P_LC_Hasta)=0,Fin,N(P_LC_Hasta))),1,0)</f>
        <v>0</v>
      </c>
      <c r="DK139" s="34">
        <f>IF(AND(N(P_LC_Lim)&gt;0,110&gt;=MAX(1,N(P_LC_Desde)),110&lt;=IF(N(P_LC_Hasta)=0,Fin,N(P_LC_Hasta))),1,0)</f>
        <v>0</v>
      </c>
      <c r="DL139" s="34">
        <f>IF(AND(N(P_LC_Lim)&gt;0,111&gt;=MAX(1,N(P_LC_Desde)),111&lt;=IF(N(P_LC_Hasta)=0,Fin,N(P_LC_Hasta))),1,0)</f>
        <v>0</v>
      </c>
      <c r="DM139" s="34">
        <f>IF(AND(N(P_LC_Lim)&gt;0,112&gt;=MAX(1,N(P_LC_Desde)),112&lt;=IF(N(P_LC_Hasta)=0,Fin,N(P_LC_Hasta))),1,0)</f>
        <v>0</v>
      </c>
      <c r="DN139" s="34">
        <f>IF(AND(N(P_LC_Lim)&gt;0,113&gt;=MAX(1,N(P_LC_Desde)),113&lt;=IF(N(P_LC_Hasta)=0,Fin,N(P_LC_Hasta))),1,0)</f>
        <v>0</v>
      </c>
      <c r="DO139" s="34">
        <f>IF(AND(N(P_LC_Lim)&gt;0,114&gt;=MAX(1,N(P_LC_Desde)),114&lt;=IF(N(P_LC_Hasta)=0,Fin,N(P_LC_Hasta))),1,0)</f>
        <v>0</v>
      </c>
      <c r="DP139" s="34">
        <f>IF(AND(N(P_LC_Lim)&gt;0,115&gt;=MAX(1,N(P_LC_Desde)),115&lt;=IF(N(P_LC_Hasta)=0,Fin,N(P_LC_Hasta))),1,0)</f>
        <v>0</v>
      </c>
      <c r="DQ139" s="34">
        <f>IF(AND(N(P_LC_Lim)&gt;0,116&gt;=MAX(1,N(P_LC_Desde)),116&lt;=IF(N(P_LC_Hasta)=0,Fin,N(P_LC_Hasta))),1,0)</f>
        <v>0</v>
      </c>
      <c r="DR139" s="34">
        <f>IF(AND(N(P_LC_Lim)&gt;0,117&gt;=MAX(1,N(P_LC_Desde)),117&lt;=IF(N(P_LC_Hasta)=0,Fin,N(P_LC_Hasta))),1,0)</f>
        <v>0</v>
      </c>
      <c r="DS139" s="34">
        <f>IF(AND(N(P_LC_Lim)&gt;0,118&gt;=MAX(1,N(P_LC_Desde)),118&lt;=IF(N(P_LC_Hasta)=0,Fin,N(P_LC_Hasta))),1,0)</f>
        <v>0</v>
      </c>
      <c r="DT139" s="34">
        <f>IF(AND(N(P_LC_Lim)&gt;0,119&gt;=MAX(1,N(P_LC_Desde)),119&lt;=IF(N(P_LC_Hasta)=0,Fin,N(P_LC_Hasta))),1,0)</f>
        <v>0</v>
      </c>
      <c r="DU139" s="34">
        <f>IF(AND(N(P_LC_Lim)&gt;0,120&gt;=MAX(1,N(P_LC_Desde)),120&lt;=IF(N(P_LC_Hasta)=0,Fin,N(P_LC_Hasta))),1,0)</f>
        <v>0</v>
      </c>
      <c r="DV139" s="34">
        <f>IF(AND(N(P_LC_Lim)&gt;0,121&gt;=MAX(1,N(P_LC_Desde)),121&lt;=IF(N(P_LC_Hasta)=0,Fin,N(P_LC_Hasta))),1,0)</f>
        <v>0</v>
      </c>
      <c r="DW139" s="34">
        <f>IF(AND(N(P_LC_Lim)&gt;0,122&gt;=MAX(1,N(P_LC_Desde)),122&lt;=IF(N(P_LC_Hasta)=0,Fin,N(P_LC_Hasta))),1,0)</f>
        <v>0</v>
      </c>
      <c r="DX139" s="34">
        <f>IF(AND(N(P_LC_Lim)&gt;0,123&gt;=MAX(1,N(P_LC_Desde)),123&lt;=IF(N(P_LC_Hasta)=0,Fin,N(P_LC_Hasta))),1,0)</f>
        <v>0</v>
      </c>
      <c r="DY139" s="34">
        <f>IF(AND(N(P_LC_Lim)&gt;0,124&gt;=MAX(1,N(P_LC_Desde)),124&lt;=IF(N(P_LC_Hasta)=0,Fin,N(P_LC_Hasta))),1,0)</f>
        <v>0</v>
      </c>
      <c r="DZ139" s="34">
        <f>IF(AND(N(P_LC_Lim)&gt;0,125&gt;=MAX(1,N(P_LC_Desde)),125&lt;=IF(N(P_LC_Hasta)=0,Fin,N(P_LC_Hasta))),1,0)</f>
        <v>0</v>
      </c>
      <c r="EA139" s="34">
        <f>IF(AND(N(P_LC_Lim)&gt;0,126&gt;=MAX(1,N(P_LC_Desde)),126&lt;=IF(N(P_LC_Hasta)=0,Fin,N(P_LC_Hasta))),1,0)</f>
        <v>0</v>
      </c>
      <c r="EB139" s="34">
        <f>IF(AND(N(P_LC_Lim)&gt;0,127&gt;=MAX(1,N(P_LC_Desde)),127&lt;=IF(N(P_LC_Hasta)=0,Fin,N(P_LC_Hasta))),1,0)</f>
        <v>0</v>
      </c>
      <c r="EC139" s="34">
        <f>IF(AND(N(P_LC_Lim)&gt;0,128&gt;=MAX(1,N(P_LC_Desde)),128&lt;=IF(N(P_LC_Hasta)=0,Fin,N(P_LC_Hasta))),1,0)</f>
        <v>0</v>
      </c>
      <c r="ED139" s="34">
        <f>IF(AND(N(P_LC_Lim)&gt;0,129&gt;=MAX(1,N(P_LC_Desde)),129&lt;=IF(N(P_LC_Hasta)=0,Fin,N(P_LC_Hasta))),1,0)</f>
        <v>0</v>
      </c>
      <c r="EE139" s="34">
        <f>IF(AND(N(P_LC_Lim)&gt;0,130&gt;=MAX(1,N(P_LC_Desde)),130&lt;=IF(N(P_LC_Hasta)=0,Fin,N(P_LC_Hasta))),1,0)</f>
        <v>0</v>
      </c>
      <c r="EF139" s="34">
        <f>IF(AND(N(P_LC_Lim)&gt;0,131&gt;=MAX(1,N(P_LC_Desde)),131&lt;=IF(N(P_LC_Hasta)=0,Fin,N(P_LC_Hasta))),1,0)</f>
        <v>0</v>
      </c>
      <c r="EG139" s="34">
        <f>IF(AND(N(P_LC_Lim)&gt;0,132&gt;=MAX(1,N(P_LC_Desde)),132&lt;=IF(N(P_LC_Hasta)=0,Fin,N(P_LC_Hasta))),1,0)</f>
        <v>0</v>
      </c>
      <c r="EH139" s="34">
        <f>IF(AND(N(P_LC_Lim)&gt;0,133&gt;=MAX(1,N(P_LC_Desde)),133&lt;=IF(N(P_LC_Hasta)=0,Fin,N(P_LC_Hasta))),1,0)</f>
        <v>0</v>
      </c>
      <c r="EI139" s="34">
        <f>IF(AND(N(P_LC_Lim)&gt;0,134&gt;=MAX(1,N(P_LC_Desde)),134&lt;=IF(N(P_LC_Hasta)=0,Fin,N(P_LC_Hasta))),1,0)</f>
        <v>0</v>
      </c>
      <c r="EJ139" s="34">
        <f>IF(AND(N(P_LC_Lim)&gt;0,135&gt;=MAX(1,N(P_LC_Desde)),135&lt;=IF(N(P_LC_Hasta)=0,Fin,N(P_LC_Hasta))),1,0)</f>
        <v>0</v>
      </c>
      <c r="EK139" s="34">
        <f>IF(AND(N(P_LC_Lim)&gt;0,136&gt;=MAX(1,N(P_LC_Desde)),136&lt;=IF(N(P_LC_Hasta)=0,Fin,N(P_LC_Hasta))),1,0)</f>
        <v>0</v>
      </c>
      <c r="EL139" s="34">
        <f>IF(AND(N(P_LC_Lim)&gt;0,137&gt;=MAX(1,N(P_LC_Desde)),137&lt;=IF(N(P_LC_Hasta)=0,Fin,N(P_LC_Hasta))),1,0)</f>
        <v>0</v>
      </c>
      <c r="EM139" s="34">
        <f>IF(AND(N(P_LC_Lim)&gt;0,138&gt;=MAX(1,N(P_LC_Desde)),138&lt;=IF(N(P_LC_Hasta)=0,Fin,N(P_LC_Hasta))),1,0)</f>
        <v>0</v>
      </c>
      <c r="EN139" s="34">
        <f>IF(AND(N(P_LC_Lim)&gt;0,139&gt;=MAX(1,N(P_LC_Desde)),139&lt;=IF(N(P_LC_Hasta)=0,Fin,N(P_LC_Hasta))),1,0)</f>
        <v>0</v>
      </c>
      <c r="EO139" s="34">
        <f>IF(AND(N(P_LC_Lim)&gt;0,140&gt;=MAX(1,N(P_LC_Desde)),140&lt;=IF(N(P_LC_Hasta)=0,Fin,N(P_LC_Hasta))),1,0)</f>
        <v>0</v>
      </c>
      <c r="EP139" s="34">
        <f>IF(AND(N(P_LC_Lim)&gt;0,141&gt;=MAX(1,N(P_LC_Desde)),141&lt;=IF(N(P_LC_Hasta)=0,Fin,N(P_LC_Hasta))),1,0)</f>
        <v>0</v>
      </c>
      <c r="EQ139" s="34">
        <f>IF(AND(N(P_LC_Lim)&gt;0,142&gt;=MAX(1,N(P_LC_Desde)),142&lt;=IF(N(P_LC_Hasta)=0,Fin,N(P_LC_Hasta))),1,0)</f>
        <v>0</v>
      </c>
      <c r="ER139" s="34">
        <f>IF(AND(N(P_LC_Lim)&gt;0,143&gt;=MAX(1,N(P_LC_Desde)),143&lt;=IF(N(P_LC_Hasta)=0,Fin,N(P_LC_Hasta))),1,0)</f>
        <v>0</v>
      </c>
      <c r="ES139" s="34">
        <f>IF(AND(N(P_LC_Lim)&gt;0,144&gt;=MAX(1,N(P_LC_Desde)),144&lt;=IF(N(P_LC_Hasta)=0,Fin,N(P_LC_Hasta))),1,0)</f>
        <v>0</v>
      </c>
    </row>
    <row r="140" spans="1:149" x14ac:dyDescent="0.3">
      <c r="A140" s="14" t="s">
        <v>1175</v>
      </c>
      <c r="B140" s="18" t="s">
        <v>1176</v>
      </c>
      <c r="C140" s="18" t="s">
        <v>439</v>
      </c>
      <c r="E140" s="54">
        <f>SUM(F140:ES140)</f>
        <v>0</v>
      </c>
      <c r="F140" s="48">
        <f>0*N(P_LC_Tasa)/12*F$9</f>
        <v>0</v>
      </c>
      <c r="G140" s="48">
        <f t="shared" ref="G140:AL140" si="484">F$145*N(P_LC_Tasa)/12*G$9</f>
        <v>0</v>
      </c>
      <c r="H140" s="48">
        <f t="shared" si="484"/>
        <v>0</v>
      </c>
      <c r="I140" s="48">
        <f t="shared" si="484"/>
        <v>0</v>
      </c>
      <c r="J140" s="48">
        <f t="shared" si="484"/>
        <v>0</v>
      </c>
      <c r="K140" s="48">
        <f t="shared" si="484"/>
        <v>0</v>
      </c>
      <c r="L140" s="48">
        <f t="shared" si="484"/>
        <v>0</v>
      </c>
      <c r="M140" s="48">
        <f t="shared" si="484"/>
        <v>0</v>
      </c>
      <c r="N140" s="48">
        <f t="shared" si="484"/>
        <v>0</v>
      </c>
      <c r="O140" s="48">
        <f t="shared" si="484"/>
        <v>0</v>
      </c>
      <c r="P140" s="48">
        <f t="shared" si="484"/>
        <v>0</v>
      </c>
      <c r="Q140" s="48">
        <f t="shared" si="484"/>
        <v>0</v>
      </c>
      <c r="R140" s="48">
        <f t="shared" si="484"/>
        <v>0</v>
      </c>
      <c r="S140" s="48">
        <f t="shared" si="484"/>
        <v>0</v>
      </c>
      <c r="T140" s="48">
        <f t="shared" si="484"/>
        <v>0</v>
      </c>
      <c r="U140" s="48">
        <f t="shared" si="484"/>
        <v>0</v>
      </c>
      <c r="V140" s="48">
        <f t="shared" si="484"/>
        <v>0</v>
      </c>
      <c r="W140" s="48">
        <f t="shared" si="484"/>
        <v>0</v>
      </c>
      <c r="X140" s="48">
        <f t="shared" si="484"/>
        <v>0</v>
      </c>
      <c r="Y140" s="48">
        <f t="shared" si="484"/>
        <v>0</v>
      </c>
      <c r="Z140" s="48">
        <f t="shared" si="484"/>
        <v>0</v>
      </c>
      <c r="AA140" s="48">
        <f t="shared" si="484"/>
        <v>0</v>
      </c>
      <c r="AB140" s="48">
        <f t="shared" si="484"/>
        <v>0</v>
      </c>
      <c r="AC140" s="48">
        <f t="shared" si="484"/>
        <v>0</v>
      </c>
      <c r="AD140" s="48">
        <f t="shared" si="484"/>
        <v>0</v>
      </c>
      <c r="AE140" s="48">
        <f t="shared" si="484"/>
        <v>0</v>
      </c>
      <c r="AF140" s="48">
        <f t="shared" si="484"/>
        <v>0</v>
      </c>
      <c r="AG140" s="48">
        <f t="shared" si="484"/>
        <v>0</v>
      </c>
      <c r="AH140" s="48">
        <f t="shared" si="484"/>
        <v>0</v>
      </c>
      <c r="AI140" s="48">
        <f t="shared" si="484"/>
        <v>0</v>
      </c>
      <c r="AJ140" s="48">
        <f t="shared" si="484"/>
        <v>0</v>
      </c>
      <c r="AK140" s="48">
        <f t="shared" si="484"/>
        <v>0</v>
      </c>
      <c r="AL140" s="48">
        <f t="shared" si="484"/>
        <v>0</v>
      </c>
      <c r="AM140" s="48">
        <f t="shared" ref="AM140:BR140" si="485">AL$145*N(P_LC_Tasa)/12*AM$9</f>
        <v>0</v>
      </c>
      <c r="AN140" s="48">
        <f t="shared" si="485"/>
        <v>0</v>
      </c>
      <c r="AO140" s="48">
        <f t="shared" si="485"/>
        <v>0</v>
      </c>
      <c r="AP140" s="48">
        <f t="shared" si="485"/>
        <v>0</v>
      </c>
      <c r="AQ140" s="48">
        <f t="shared" si="485"/>
        <v>0</v>
      </c>
      <c r="AR140" s="48">
        <f t="shared" si="485"/>
        <v>0</v>
      </c>
      <c r="AS140" s="48">
        <f t="shared" si="485"/>
        <v>0</v>
      </c>
      <c r="AT140" s="48">
        <f t="shared" si="485"/>
        <v>0</v>
      </c>
      <c r="AU140" s="48">
        <f t="shared" si="485"/>
        <v>0</v>
      </c>
      <c r="AV140" s="48">
        <f t="shared" si="485"/>
        <v>0</v>
      </c>
      <c r="AW140" s="48">
        <f t="shared" si="485"/>
        <v>0</v>
      </c>
      <c r="AX140" s="48">
        <f t="shared" si="485"/>
        <v>0</v>
      </c>
      <c r="AY140" s="48">
        <f t="shared" si="485"/>
        <v>0</v>
      </c>
      <c r="AZ140" s="48">
        <f t="shared" si="485"/>
        <v>0</v>
      </c>
      <c r="BA140" s="48">
        <f t="shared" si="485"/>
        <v>0</v>
      </c>
      <c r="BB140" s="48">
        <f t="shared" si="485"/>
        <v>0</v>
      </c>
      <c r="BC140" s="48">
        <f t="shared" si="485"/>
        <v>0</v>
      </c>
      <c r="BD140" s="48">
        <f t="shared" si="485"/>
        <v>0</v>
      </c>
      <c r="BE140" s="48">
        <f t="shared" si="485"/>
        <v>0</v>
      </c>
      <c r="BF140" s="48">
        <f t="shared" si="485"/>
        <v>0</v>
      </c>
      <c r="BG140" s="48">
        <f t="shared" si="485"/>
        <v>0</v>
      </c>
      <c r="BH140" s="48">
        <f t="shared" si="485"/>
        <v>0</v>
      </c>
      <c r="BI140" s="48">
        <f t="shared" si="485"/>
        <v>0</v>
      </c>
      <c r="BJ140" s="48">
        <f t="shared" si="485"/>
        <v>0</v>
      </c>
      <c r="BK140" s="48">
        <f t="shared" si="485"/>
        <v>0</v>
      </c>
      <c r="BL140" s="48">
        <f t="shared" si="485"/>
        <v>0</v>
      </c>
      <c r="BM140" s="48">
        <f t="shared" si="485"/>
        <v>0</v>
      </c>
      <c r="BN140" s="48">
        <f t="shared" si="485"/>
        <v>0</v>
      </c>
      <c r="BO140" s="48">
        <f t="shared" si="485"/>
        <v>0</v>
      </c>
      <c r="BP140" s="48">
        <f t="shared" si="485"/>
        <v>0</v>
      </c>
      <c r="BQ140" s="48">
        <f t="shared" si="485"/>
        <v>0</v>
      </c>
      <c r="BR140" s="48">
        <f t="shared" si="485"/>
        <v>0</v>
      </c>
      <c r="BS140" s="48">
        <f t="shared" ref="BS140:CX140" si="486">BR$145*N(P_LC_Tasa)/12*BS$9</f>
        <v>0</v>
      </c>
      <c r="BT140" s="48">
        <f t="shared" si="486"/>
        <v>0</v>
      </c>
      <c r="BU140" s="48">
        <f t="shared" si="486"/>
        <v>0</v>
      </c>
      <c r="BV140" s="48">
        <f t="shared" si="486"/>
        <v>0</v>
      </c>
      <c r="BW140" s="48">
        <f t="shared" si="486"/>
        <v>0</v>
      </c>
      <c r="BX140" s="48">
        <f t="shared" si="486"/>
        <v>0</v>
      </c>
      <c r="BY140" s="48">
        <f t="shared" si="486"/>
        <v>0</v>
      </c>
      <c r="BZ140" s="48">
        <f t="shared" si="486"/>
        <v>0</v>
      </c>
      <c r="CA140" s="48">
        <f t="shared" si="486"/>
        <v>0</v>
      </c>
      <c r="CB140" s="48">
        <f t="shared" si="486"/>
        <v>0</v>
      </c>
      <c r="CC140" s="48">
        <f t="shared" si="486"/>
        <v>0</v>
      </c>
      <c r="CD140" s="48">
        <f t="shared" si="486"/>
        <v>0</v>
      </c>
      <c r="CE140" s="48">
        <f t="shared" si="486"/>
        <v>0</v>
      </c>
      <c r="CF140" s="48">
        <f t="shared" si="486"/>
        <v>0</v>
      </c>
      <c r="CG140" s="48">
        <f t="shared" si="486"/>
        <v>0</v>
      </c>
      <c r="CH140" s="48">
        <f t="shared" si="486"/>
        <v>0</v>
      </c>
      <c r="CI140" s="48">
        <f t="shared" si="486"/>
        <v>0</v>
      </c>
      <c r="CJ140" s="48">
        <f t="shared" si="486"/>
        <v>0</v>
      </c>
      <c r="CK140" s="48">
        <f t="shared" si="486"/>
        <v>0</v>
      </c>
      <c r="CL140" s="48">
        <f t="shared" si="486"/>
        <v>0</v>
      </c>
      <c r="CM140" s="48">
        <f t="shared" si="486"/>
        <v>0</v>
      </c>
      <c r="CN140" s="48">
        <f t="shared" si="486"/>
        <v>0</v>
      </c>
      <c r="CO140" s="48">
        <f t="shared" si="486"/>
        <v>0</v>
      </c>
      <c r="CP140" s="48">
        <f t="shared" si="486"/>
        <v>0</v>
      </c>
      <c r="CQ140" s="48">
        <f t="shared" si="486"/>
        <v>0</v>
      </c>
      <c r="CR140" s="48">
        <f t="shared" si="486"/>
        <v>0</v>
      </c>
      <c r="CS140" s="48">
        <f t="shared" si="486"/>
        <v>0</v>
      </c>
      <c r="CT140" s="48">
        <f t="shared" si="486"/>
        <v>0</v>
      </c>
      <c r="CU140" s="48">
        <f t="shared" si="486"/>
        <v>0</v>
      </c>
      <c r="CV140" s="48">
        <f t="shared" si="486"/>
        <v>0</v>
      </c>
      <c r="CW140" s="48">
        <f t="shared" si="486"/>
        <v>0</v>
      </c>
      <c r="CX140" s="48">
        <f t="shared" si="486"/>
        <v>0</v>
      </c>
      <c r="CY140" s="48">
        <f t="shared" ref="CY140:ED140" si="487">CX$145*N(P_LC_Tasa)/12*CY$9</f>
        <v>0</v>
      </c>
      <c r="CZ140" s="48">
        <f t="shared" si="487"/>
        <v>0</v>
      </c>
      <c r="DA140" s="48">
        <f t="shared" si="487"/>
        <v>0</v>
      </c>
      <c r="DB140" s="48">
        <f t="shared" si="487"/>
        <v>0</v>
      </c>
      <c r="DC140" s="48">
        <f t="shared" si="487"/>
        <v>0</v>
      </c>
      <c r="DD140" s="48">
        <f t="shared" si="487"/>
        <v>0</v>
      </c>
      <c r="DE140" s="48">
        <f t="shared" si="487"/>
        <v>0</v>
      </c>
      <c r="DF140" s="48">
        <f t="shared" si="487"/>
        <v>0</v>
      </c>
      <c r="DG140" s="48">
        <f t="shared" si="487"/>
        <v>0</v>
      </c>
      <c r="DH140" s="48">
        <f t="shared" si="487"/>
        <v>0</v>
      </c>
      <c r="DI140" s="48">
        <f t="shared" si="487"/>
        <v>0</v>
      </c>
      <c r="DJ140" s="48">
        <f t="shared" si="487"/>
        <v>0</v>
      </c>
      <c r="DK140" s="48">
        <f t="shared" si="487"/>
        <v>0</v>
      </c>
      <c r="DL140" s="48">
        <f t="shared" si="487"/>
        <v>0</v>
      </c>
      <c r="DM140" s="48">
        <f t="shared" si="487"/>
        <v>0</v>
      </c>
      <c r="DN140" s="48">
        <f t="shared" si="487"/>
        <v>0</v>
      </c>
      <c r="DO140" s="48">
        <f t="shared" si="487"/>
        <v>0</v>
      </c>
      <c r="DP140" s="48">
        <f t="shared" si="487"/>
        <v>0</v>
      </c>
      <c r="DQ140" s="48">
        <f t="shared" si="487"/>
        <v>0</v>
      </c>
      <c r="DR140" s="48">
        <f t="shared" si="487"/>
        <v>0</v>
      </c>
      <c r="DS140" s="48">
        <f t="shared" si="487"/>
        <v>0</v>
      </c>
      <c r="DT140" s="48">
        <f t="shared" si="487"/>
        <v>0</v>
      </c>
      <c r="DU140" s="48">
        <f t="shared" si="487"/>
        <v>0</v>
      </c>
      <c r="DV140" s="48">
        <f t="shared" si="487"/>
        <v>0</v>
      </c>
      <c r="DW140" s="48">
        <f t="shared" si="487"/>
        <v>0</v>
      </c>
      <c r="DX140" s="48">
        <f t="shared" si="487"/>
        <v>0</v>
      </c>
      <c r="DY140" s="48">
        <f t="shared" si="487"/>
        <v>0</v>
      </c>
      <c r="DZ140" s="48">
        <f t="shared" si="487"/>
        <v>0</v>
      </c>
      <c r="EA140" s="48">
        <f t="shared" si="487"/>
        <v>0</v>
      </c>
      <c r="EB140" s="48">
        <f t="shared" si="487"/>
        <v>0</v>
      </c>
      <c r="EC140" s="48">
        <f t="shared" si="487"/>
        <v>0</v>
      </c>
      <c r="ED140" s="48">
        <f t="shared" si="487"/>
        <v>0</v>
      </c>
      <c r="EE140" s="48">
        <f t="shared" ref="EE140:ES140" si="488">ED$145*N(P_LC_Tasa)/12*EE$9</f>
        <v>0</v>
      </c>
      <c r="EF140" s="48">
        <f t="shared" si="488"/>
        <v>0</v>
      </c>
      <c r="EG140" s="48">
        <f t="shared" si="488"/>
        <v>0</v>
      </c>
      <c r="EH140" s="48">
        <f t="shared" si="488"/>
        <v>0</v>
      </c>
      <c r="EI140" s="48">
        <f t="shared" si="488"/>
        <v>0</v>
      </c>
      <c r="EJ140" s="48">
        <f t="shared" si="488"/>
        <v>0</v>
      </c>
      <c r="EK140" s="48">
        <f t="shared" si="488"/>
        <v>0</v>
      </c>
      <c r="EL140" s="48">
        <f t="shared" si="488"/>
        <v>0</v>
      </c>
      <c r="EM140" s="48">
        <f t="shared" si="488"/>
        <v>0</v>
      </c>
      <c r="EN140" s="48">
        <f t="shared" si="488"/>
        <v>0</v>
      </c>
      <c r="EO140" s="48">
        <f t="shared" si="488"/>
        <v>0</v>
      </c>
      <c r="EP140" s="48">
        <f t="shared" si="488"/>
        <v>0</v>
      </c>
      <c r="EQ140" s="48">
        <f t="shared" si="488"/>
        <v>0</v>
      </c>
      <c r="ER140" s="48">
        <f t="shared" si="488"/>
        <v>0</v>
      </c>
      <c r="ES140" s="48">
        <f t="shared" si="488"/>
        <v>0</v>
      </c>
    </row>
    <row r="141" spans="1:149" x14ac:dyDescent="0.3">
      <c r="A141" s="14" t="s">
        <v>1177</v>
      </c>
      <c r="B141" s="18" t="s">
        <v>1178</v>
      </c>
      <c r="C141" s="18" t="s">
        <v>439</v>
      </c>
      <c r="E141" s="54">
        <f>MIN(F141:ES141)</f>
        <v>-311740.11867261748</v>
      </c>
      <c r="F141" s="48">
        <f>0+F$116-F$117+F$136-F$137-F$105*F$9+F$138</f>
        <v>535727.93036655965</v>
      </c>
      <c r="G141" s="48">
        <f t="shared" ref="G141:AL141" si="489">F$154+G$116-G$117+G$136-G$137-G$105*G$9+G$138</f>
        <v>555194.83809214947</v>
      </c>
      <c r="H141" s="48">
        <f t="shared" si="489"/>
        <v>574661.74581773928</v>
      </c>
      <c r="I141" s="48">
        <f t="shared" si="489"/>
        <v>594128.6535433291</v>
      </c>
      <c r="J141" s="48">
        <f t="shared" si="489"/>
        <v>613595.56126891891</v>
      </c>
      <c r="K141" s="48">
        <f t="shared" si="489"/>
        <v>633062.46899450873</v>
      </c>
      <c r="L141" s="48">
        <f t="shared" si="489"/>
        <v>610406.07262541074</v>
      </c>
      <c r="M141" s="48">
        <f t="shared" si="489"/>
        <v>587781.26873438375</v>
      </c>
      <c r="N141" s="48">
        <f t="shared" si="489"/>
        <v>565188.2942650133</v>
      </c>
      <c r="O141" s="48">
        <f t="shared" si="489"/>
        <v>542627.38793796184</v>
      </c>
      <c r="P141" s="48">
        <f t="shared" si="489"/>
        <v>520098.79026429675</v>
      </c>
      <c r="Q141" s="48">
        <f t="shared" si="489"/>
        <v>497602.74355891842</v>
      </c>
      <c r="R141" s="48">
        <f t="shared" si="489"/>
        <v>129920.95007681983</v>
      </c>
      <c r="S141" s="48">
        <f t="shared" si="489"/>
        <v>145489.64205416848</v>
      </c>
      <c r="T141" s="48">
        <f t="shared" si="489"/>
        <v>161091.62290329867</v>
      </c>
      <c r="U141" s="48">
        <f t="shared" si="489"/>
        <v>176727.1422907488</v>
      </c>
      <c r="V141" s="48">
        <f t="shared" si="489"/>
        <v>192396.45175555622</v>
      </c>
      <c r="W141" s="48">
        <f t="shared" si="489"/>
        <v>208099.80472330115</v>
      </c>
      <c r="X141" s="48">
        <f t="shared" si="489"/>
        <v>223837.4565202556</v>
      </c>
      <c r="Y141" s="48">
        <f t="shared" si="489"/>
        <v>239609.66438763862</v>
      </c>
      <c r="Z141" s="48">
        <f t="shared" si="489"/>
        <v>255416.68749597843</v>
      </c>
      <c r="AA141" s="48">
        <f t="shared" si="489"/>
        <v>271258.7869595823</v>
      </c>
      <c r="AB141" s="48">
        <f t="shared" si="489"/>
        <v>287136.22585111461</v>
      </c>
      <c r="AC141" s="48">
        <f t="shared" si="489"/>
        <v>303049.26921628485</v>
      </c>
      <c r="AD141" s="48">
        <f t="shared" si="489"/>
        <v>-311740.11867261748</v>
      </c>
      <c r="AE141" s="48">
        <f t="shared" si="489"/>
        <v>-259166.43538560302</v>
      </c>
      <c r="AF141" s="48">
        <f t="shared" si="489"/>
        <v>-206556.34050101822</v>
      </c>
      <c r="AG141" s="48">
        <f t="shared" si="489"/>
        <v>-153909.56093188128</v>
      </c>
      <c r="AH141" s="48">
        <f t="shared" si="489"/>
        <v>-101225.82154305807</v>
      </c>
      <c r="AI141" s="48">
        <f t="shared" si="489"/>
        <v>-48504.845135900956</v>
      </c>
      <c r="AJ141" s="48">
        <f t="shared" si="489"/>
        <v>4253.6475672275774</v>
      </c>
      <c r="AK141" s="48">
        <f t="shared" si="489"/>
        <v>57049.937938547329</v>
      </c>
      <c r="AL141" s="48">
        <f t="shared" si="489"/>
        <v>109884.30946056971</v>
      </c>
      <c r="AM141" s="48">
        <f t="shared" ref="AM141:BR141" si="490">AL$154+AM$116-AM$117+AM$136-AM$137-AM$105*AM$9+AM$138</f>
        <v>162757.04774192499</v>
      </c>
      <c r="AN141" s="48">
        <f t="shared" si="490"/>
        <v>215668.4405333082</v>
      </c>
      <c r="AO141" s="48">
        <f t="shared" si="490"/>
        <v>268618.77774354449</v>
      </c>
      <c r="AP141" s="48">
        <f t="shared" si="490"/>
        <v>-204392.16946280401</v>
      </c>
      <c r="AQ141" s="48">
        <f t="shared" si="490"/>
        <v>-118554.51596008008</v>
      </c>
      <c r="AR141" s="48">
        <f t="shared" si="490"/>
        <v>-32677.035200778479</v>
      </c>
      <c r="AS141" s="48">
        <f t="shared" si="490"/>
        <v>53240.571519525118</v>
      </c>
      <c r="AT141" s="48">
        <f t="shared" si="490"/>
        <v>139198.60514553823</v>
      </c>
      <c r="AU141" s="48">
        <f t="shared" si="490"/>
        <v>225197.36887905365</v>
      </c>
      <c r="AV141" s="48">
        <f t="shared" si="490"/>
        <v>311237.16819587769</v>
      </c>
      <c r="AW141" s="48">
        <f t="shared" si="490"/>
        <v>397318.31086288509</v>
      </c>
      <c r="AX141" s="48">
        <f t="shared" si="490"/>
        <v>483441.10695520235</v>
      </c>
      <c r="AY141" s="48">
        <f t="shared" si="490"/>
        <v>569605.86887351924</v>
      </c>
      <c r="AZ141" s="48">
        <f t="shared" si="490"/>
        <v>655812.91136153066</v>
      </c>
      <c r="BA141" s="48">
        <f t="shared" si="490"/>
        <v>742062.55152350944</v>
      </c>
      <c r="BB141" s="48">
        <f t="shared" si="490"/>
        <v>791565.1461326658</v>
      </c>
      <c r="BC141" s="48">
        <f t="shared" si="490"/>
        <v>879220.52748287807</v>
      </c>
      <c r="BD141" s="48">
        <f t="shared" si="490"/>
        <v>966919.4721610503</v>
      </c>
      <c r="BE141" s="48">
        <f t="shared" si="490"/>
        <v>1054662.3068921419</v>
      </c>
      <c r="BF141" s="48">
        <f t="shared" si="490"/>
        <v>337495.98247062822</v>
      </c>
      <c r="BG141" s="48">
        <f t="shared" si="490"/>
        <v>425327.58730256563</v>
      </c>
      <c r="BH141" s="48">
        <f t="shared" si="490"/>
        <v>513204.0771385759</v>
      </c>
      <c r="BI141" s="48">
        <f t="shared" si="490"/>
        <v>601125.78861618962</v>
      </c>
      <c r="BJ141" s="48">
        <f t="shared" si="490"/>
        <v>689093.06089771888</v>
      </c>
      <c r="BK141" s="48">
        <f t="shared" si="490"/>
        <v>777106.23568919289</v>
      </c>
      <c r="BL141" s="48">
        <f t="shared" si="490"/>
        <v>865165.65725943632</v>
      </c>
      <c r="BM141" s="48">
        <f t="shared" si="490"/>
        <v>953271.67245928815</v>
      </c>
      <c r="BN141" s="48">
        <f t="shared" si="490"/>
        <v>1070847.2577885177</v>
      </c>
      <c r="BO141" s="48">
        <f t="shared" si="490"/>
        <v>1226147.699586344</v>
      </c>
      <c r="BP141" s="48">
        <f t="shared" si="490"/>
        <v>1381448.1413841702</v>
      </c>
      <c r="BQ141" s="48">
        <f t="shared" si="490"/>
        <v>1536748.5831819964</v>
      </c>
      <c r="BR141" s="48">
        <f t="shared" si="490"/>
        <v>228122.48061160432</v>
      </c>
      <c r="BS141" s="48">
        <f t="shared" ref="BS141:CX141" si="491">BR$154+BS$116-BS$117+BS$136-BS$137-BS$105*BS$9+BS$138</f>
        <v>383422.92240943044</v>
      </c>
      <c r="BT141" s="48">
        <f t="shared" si="491"/>
        <v>538723.36420725659</v>
      </c>
      <c r="BU141" s="48">
        <f t="shared" si="491"/>
        <v>694023.80600508268</v>
      </c>
      <c r="BV141" s="48">
        <f t="shared" si="491"/>
        <v>849324.24780290877</v>
      </c>
      <c r="BW141" s="48">
        <f t="shared" si="491"/>
        <v>1004624.6896007349</v>
      </c>
      <c r="BX141" s="48">
        <f t="shared" si="491"/>
        <v>1159925.1313985609</v>
      </c>
      <c r="BY141" s="48">
        <f t="shared" si="491"/>
        <v>1315225.5731963872</v>
      </c>
      <c r="BZ141" s="48">
        <f t="shared" si="491"/>
        <v>1436551.7024610066</v>
      </c>
      <c r="CA141" s="48">
        <f t="shared" si="491"/>
        <v>1595967.7249504062</v>
      </c>
      <c r="CB141" s="48">
        <f t="shared" si="491"/>
        <v>1755383.7474398059</v>
      </c>
      <c r="CC141" s="48">
        <f t="shared" si="491"/>
        <v>1914799.7699292055</v>
      </c>
      <c r="CD141" s="48">
        <f t="shared" si="491"/>
        <v>280027.09984469123</v>
      </c>
      <c r="CE141" s="48">
        <f t="shared" si="491"/>
        <v>439443.12233409099</v>
      </c>
      <c r="CF141" s="48">
        <f t="shared" si="491"/>
        <v>598859.14482349076</v>
      </c>
      <c r="CG141" s="48">
        <f t="shared" si="491"/>
        <v>758275.16731289052</v>
      </c>
      <c r="CH141" s="48">
        <f t="shared" si="491"/>
        <v>917691.18980229029</v>
      </c>
      <c r="CI141" s="48">
        <f t="shared" si="491"/>
        <v>1077107.2122916901</v>
      </c>
      <c r="CJ141" s="48">
        <f t="shared" si="491"/>
        <v>1236523.2347810897</v>
      </c>
      <c r="CK141" s="48">
        <f t="shared" si="491"/>
        <v>1395939.2572704894</v>
      </c>
      <c r="CL141" s="48">
        <f t="shared" si="491"/>
        <v>1521040.8581222577</v>
      </c>
      <c r="CM141" s="48">
        <f t="shared" si="491"/>
        <v>1684600.6766685452</v>
      </c>
      <c r="CN141" s="48">
        <f t="shared" si="491"/>
        <v>1848160.4952148327</v>
      </c>
      <c r="CO141" s="48">
        <f t="shared" si="491"/>
        <v>2011720.3137611202</v>
      </c>
      <c r="CP141" s="48">
        <f t="shared" si="491"/>
        <v>331704.4714346102</v>
      </c>
      <c r="CQ141" s="48">
        <f t="shared" si="491"/>
        <v>495264.28998089768</v>
      </c>
      <c r="CR141" s="48">
        <f t="shared" si="491"/>
        <v>658824.10852718516</v>
      </c>
      <c r="CS141" s="48">
        <f t="shared" si="491"/>
        <v>822383.92707347265</v>
      </c>
      <c r="CT141" s="48">
        <f t="shared" si="491"/>
        <v>985943.74561976013</v>
      </c>
      <c r="CU141" s="48">
        <f t="shared" si="491"/>
        <v>1149503.5641660476</v>
      </c>
      <c r="CV141" s="48">
        <f t="shared" si="491"/>
        <v>1313063.3827123351</v>
      </c>
      <c r="CW141" s="48">
        <f t="shared" si="491"/>
        <v>1476623.2012586226</v>
      </c>
      <c r="CX141" s="48">
        <f t="shared" si="491"/>
        <v>1605525.0789581942</v>
      </c>
      <c r="CY141" s="48">
        <f t="shared" ref="CY141:ED141" si="492">CX$154+CY$116-CY$117+CY$136-CY$137-CY$105*CY$9+CY$138</f>
        <v>1773256.8086071019</v>
      </c>
      <c r="CZ141" s="48">
        <f t="shared" si="492"/>
        <v>1940988.5382560096</v>
      </c>
      <c r="DA141" s="48">
        <f t="shared" si="492"/>
        <v>2108720.2679049172</v>
      </c>
      <c r="DB141" s="48">
        <f t="shared" si="492"/>
        <v>383150.78399837494</v>
      </c>
      <c r="DC141" s="48">
        <f t="shared" si="492"/>
        <v>550882.5136472825</v>
      </c>
      <c r="DD141" s="48">
        <f t="shared" si="492"/>
        <v>718614.24329619005</v>
      </c>
      <c r="DE141" s="48">
        <f t="shared" si="492"/>
        <v>886345.9729450976</v>
      </c>
      <c r="DF141" s="48">
        <f t="shared" si="492"/>
        <v>1054077.702594005</v>
      </c>
      <c r="DG141" s="48">
        <f t="shared" si="492"/>
        <v>1221809.4322429127</v>
      </c>
      <c r="DH141" s="48">
        <f t="shared" si="492"/>
        <v>1389541.1618918204</v>
      </c>
      <c r="DI141" s="48">
        <f t="shared" si="492"/>
        <v>1557272.891540728</v>
      </c>
      <c r="DJ141" s="48">
        <f t="shared" si="492"/>
        <v>1689999.7166970363</v>
      </c>
      <c r="DK141" s="48">
        <f t="shared" si="492"/>
        <v>1861931.3598121223</v>
      </c>
      <c r="DL141" s="48">
        <f t="shared" si="492"/>
        <v>2033863.0029272083</v>
      </c>
      <c r="DM141" s="48">
        <f t="shared" si="492"/>
        <v>2205794.6460422943</v>
      </c>
      <c r="DN141" s="48">
        <f t="shared" si="492"/>
        <v>434362.14237049047</v>
      </c>
      <c r="DO141" s="48">
        <f t="shared" si="492"/>
        <v>606293.78548557661</v>
      </c>
      <c r="DP141" s="48">
        <f t="shared" si="492"/>
        <v>778225.42860066274</v>
      </c>
      <c r="DQ141" s="48">
        <f t="shared" si="492"/>
        <v>950157.07171574887</v>
      </c>
      <c r="DR141" s="48">
        <f t="shared" si="492"/>
        <v>1122088.7148308349</v>
      </c>
      <c r="DS141" s="48">
        <f t="shared" si="492"/>
        <v>1294020.3579459209</v>
      </c>
      <c r="DT141" s="48">
        <f t="shared" si="492"/>
        <v>1465952.0010610069</v>
      </c>
      <c r="DU141" s="48">
        <f t="shared" si="492"/>
        <v>1637883.6441760929</v>
      </c>
      <c r="DV141" s="48">
        <f t="shared" si="492"/>
        <v>1637883.6441760929</v>
      </c>
      <c r="DW141" s="48">
        <f t="shared" si="492"/>
        <v>1637883.6441760929</v>
      </c>
      <c r="DX141" s="48">
        <f t="shared" si="492"/>
        <v>1637883.6441760929</v>
      </c>
      <c r="DY141" s="48">
        <f t="shared" si="492"/>
        <v>1637883.6441760929</v>
      </c>
      <c r="DZ141" s="48">
        <f t="shared" si="492"/>
        <v>1637883.6441760929</v>
      </c>
      <c r="EA141" s="48">
        <f t="shared" si="492"/>
        <v>1637883.6441760929</v>
      </c>
      <c r="EB141" s="48">
        <f t="shared" si="492"/>
        <v>1637883.6441760929</v>
      </c>
      <c r="EC141" s="48">
        <f t="shared" si="492"/>
        <v>1637883.6441760929</v>
      </c>
      <c r="ED141" s="48">
        <f t="shared" si="492"/>
        <v>1637883.6441760929</v>
      </c>
      <c r="EE141" s="48">
        <f t="shared" ref="EE141:ES141" si="493">ED$154+EE$116-EE$117+EE$136-EE$137-EE$105*EE$9+EE$138</f>
        <v>1637883.6441760929</v>
      </c>
      <c r="EF141" s="48">
        <f t="shared" si="493"/>
        <v>1637883.6441760929</v>
      </c>
      <c r="EG141" s="48">
        <f t="shared" si="493"/>
        <v>1637883.6441760929</v>
      </c>
      <c r="EH141" s="48">
        <f t="shared" si="493"/>
        <v>1637883.6441760929</v>
      </c>
      <c r="EI141" s="48">
        <f t="shared" si="493"/>
        <v>1637883.6441760929</v>
      </c>
      <c r="EJ141" s="48">
        <f t="shared" si="493"/>
        <v>1637883.6441760929</v>
      </c>
      <c r="EK141" s="48">
        <f t="shared" si="493"/>
        <v>1637883.6441760929</v>
      </c>
      <c r="EL141" s="48">
        <f t="shared" si="493"/>
        <v>1637883.6441760929</v>
      </c>
      <c r="EM141" s="48">
        <f t="shared" si="493"/>
        <v>1637883.6441760929</v>
      </c>
      <c r="EN141" s="48">
        <f t="shared" si="493"/>
        <v>1637883.6441760929</v>
      </c>
      <c r="EO141" s="48">
        <f t="shared" si="493"/>
        <v>1637883.6441760929</v>
      </c>
      <c r="EP141" s="48">
        <f t="shared" si="493"/>
        <v>1637883.6441760929</v>
      </c>
      <c r="EQ141" s="48">
        <f t="shared" si="493"/>
        <v>1637883.6441760929</v>
      </c>
      <c r="ER141" s="48">
        <f t="shared" si="493"/>
        <v>1637883.6441760929</v>
      </c>
      <c r="ES141" s="48">
        <f t="shared" si="493"/>
        <v>1637883.6441760929</v>
      </c>
    </row>
    <row r="142" spans="1:149" x14ac:dyDescent="0.3">
      <c r="A142" s="14" t="s">
        <v>1179</v>
      </c>
      <c r="B142" s="18" t="s">
        <v>353</v>
      </c>
      <c r="C142" s="18" t="s">
        <v>439</v>
      </c>
      <c r="F142" s="48">
        <f t="shared" ref="F142:AK142" si="494">F$71*P_CajaMin/DiasMes*F$9</f>
        <v>39863.013698630137</v>
      </c>
      <c r="G142" s="48">
        <f t="shared" si="494"/>
        <v>39863.013698630137</v>
      </c>
      <c r="H142" s="48">
        <f t="shared" si="494"/>
        <v>39863.013698630137</v>
      </c>
      <c r="I142" s="48">
        <f t="shared" si="494"/>
        <v>39863.013698630137</v>
      </c>
      <c r="J142" s="48">
        <f t="shared" si="494"/>
        <v>39863.013698630137</v>
      </c>
      <c r="K142" s="48">
        <f t="shared" si="494"/>
        <v>39863.013698630137</v>
      </c>
      <c r="L142" s="48">
        <f t="shared" si="494"/>
        <v>39863.013698630137</v>
      </c>
      <c r="M142" s="48">
        <f t="shared" si="494"/>
        <v>39863.013698630137</v>
      </c>
      <c r="N142" s="48">
        <f t="shared" si="494"/>
        <v>39863.013698630137</v>
      </c>
      <c r="O142" s="48">
        <f t="shared" si="494"/>
        <v>39863.013698630137</v>
      </c>
      <c r="P142" s="48">
        <f t="shared" si="494"/>
        <v>39863.013698630137</v>
      </c>
      <c r="Q142" s="48">
        <f t="shared" si="494"/>
        <v>39863.013698630137</v>
      </c>
      <c r="R142" s="48">
        <f t="shared" si="494"/>
        <v>50804.38356164383</v>
      </c>
      <c r="S142" s="48">
        <f t="shared" si="494"/>
        <v>50804.38356164383</v>
      </c>
      <c r="T142" s="48">
        <f t="shared" si="494"/>
        <v>50804.38356164383</v>
      </c>
      <c r="U142" s="48">
        <f t="shared" si="494"/>
        <v>50804.38356164383</v>
      </c>
      <c r="V142" s="48">
        <f t="shared" si="494"/>
        <v>50804.38356164383</v>
      </c>
      <c r="W142" s="48">
        <f t="shared" si="494"/>
        <v>50804.38356164383</v>
      </c>
      <c r="X142" s="48">
        <f t="shared" si="494"/>
        <v>50804.38356164383</v>
      </c>
      <c r="Y142" s="48">
        <f t="shared" si="494"/>
        <v>50804.38356164383</v>
      </c>
      <c r="Z142" s="48">
        <f t="shared" si="494"/>
        <v>50804.38356164383</v>
      </c>
      <c r="AA142" s="48">
        <f t="shared" si="494"/>
        <v>50804.38356164383</v>
      </c>
      <c r="AB142" s="48">
        <f t="shared" si="494"/>
        <v>50804.38356164383</v>
      </c>
      <c r="AC142" s="48">
        <f t="shared" si="494"/>
        <v>50804.38356164383</v>
      </c>
      <c r="AD142" s="48">
        <f t="shared" si="494"/>
        <v>61960.594520547937</v>
      </c>
      <c r="AE142" s="48">
        <f t="shared" si="494"/>
        <v>61960.594520547937</v>
      </c>
      <c r="AF142" s="48">
        <f t="shared" si="494"/>
        <v>61960.594520547937</v>
      </c>
      <c r="AG142" s="48">
        <f t="shared" si="494"/>
        <v>61960.594520547937</v>
      </c>
      <c r="AH142" s="48">
        <f t="shared" si="494"/>
        <v>61960.594520547937</v>
      </c>
      <c r="AI142" s="48">
        <f t="shared" si="494"/>
        <v>61960.594520547937</v>
      </c>
      <c r="AJ142" s="48">
        <f t="shared" si="494"/>
        <v>61960.594520547937</v>
      </c>
      <c r="AK142" s="48">
        <f t="shared" si="494"/>
        <v>61960.594520547937</v>
      </c>
      <c r="AL142" s="48">
        <f t="shared" ref="AL142:BQ142" si="495">AL$71*P_CajaMin/DiasMes*AL$9</f>
        <v>61960.594520547937</v>
      </c>
      <c r="AM142" s="48">
        <f t="shared" si="495"/>
        <v>61960.594520547937</v>
      </c>
      <c r="AN142" s="48">
        <f t="shared" si="495"/>
        <v>61960.594520547937</v>
      </c>
      <c r="AO142" s="48">
        <f t="shared" si="495"/>
        <v>61960.594520547937</v>
      </c>
      <c r="AP142" s="48">
        <f t="shared" si="495"/>
        <v>71387.156958904103</v>
      </c>
      <c r="AQ142" s="48">
        <f t="shared" si="495"/>
        <v>71387.156958904103</v>
      </c>
      <c r="AR142" s="48">
        <f t="shared" si="495"/>
        <v>71387.156958904103</v>
      </c>
      <c r="AS142" s="48">
        <f t="shared" si="495"/>
        <v>71387.156958904103</v>
      </c>
      <c r="AT142" s="48">
        <f t="shared" si="495"/>
        <v>71387.156958904103</v>
      </c>
      <c r="AU142" s="48">
        <f t="shared" si="495"/>
        <v>71387.156958904103</v>
      </c>
      <c r="AV142" s="48">
        <f t="shared" si="495"/>
        <v>71387.156958904103</v>
      </c>
      <c r="AW142" s="48">
        <f t="shared" si="495"/>
        <v>71387.156958904103</v>
      </c>
      <c r="AX142" s="48">
        <f t="shared" si="495"/>
        <v>71387.156958904103</v>
      </c>
      <c r="AY142" s="48">
        <f t="shared" si="495"/>
        <v>71387.156958904103</v>
      </c>
      <c r="AZ142" s="48">
        <f t="shared" si="495"/>
        <v>71387.156958904103</v>
      </c>
      <c r="BA142" s="48">
        <f t="shared" si="495"/>
        <v>71387.156958904103</v>
      </c>
      <c r="BB142" s="48">
        <f t="shared" si="495"/>
        <v>72101.028528493145</v>
      </c>
      <c r="BC142" s="48">
        <f t="shared" si="495"/>
        <v>72101.028528493145</v>
      </c>
      <c r="BD142" s="48">
        <f t="shared" si="495"/>
        <v>72101.028528493145</v>
      </c>
      <c r="BE142" s="48">
        <f t="shared" si="495"/>
        <v>72101.028528493145</v>
      </c>
      <c r="BF142" s="48">
        <f t="shared" si="495"/>
        <v>72101.028528493145</v>
      </c>
      <c r="BG142" s="48">
        <f t="shared" si="495"/>
        <v>72101.028528493145</v>
      </c>
      <c r="BH142" s="48">
        <f t="shared" si="495"/>
        <v>72101.028528493145</v>
      </c>
      <c r="BI142" s="48">
        <f t="shared" si="495"/>
        <v>72101.028528493145</v>
      </c>
      <c r="BJ142" s="48">
        <f t="shared" si="495"/>
        <v>72101.028528493145</v>
      </c>
      <c r="BK142" s="48">
        <f t="shared" si="495"/>
        <v>72101.028528493145</v>
      </c>
      <c r="BL142" s="48">
        <f t="shared" si="495"/>
        <v>72101.028528493145</v>
      </c>
      <c r="BM142" s="48">
        <f t="shared" si="495"/>
        <v>72101.028528493145</v>
      </c>
      <c r="BN142" s="48">
        <f t="shared" si="495"/>
        <v>72822.038813778083</v>
      </c>
      <c r="BO142" s="48">
        <f t="shared" si="495"/>
        <v>72822.038813778083</v>
      </c>
      <c r="BP142" s="48">
        <f t="shared" si="495"/>
        <v>72822.038813778083</v>
      </c>
      <c r="BQ142" s="48">
        <f t="shared" si="495"/>
        <v>72822.038813778083</v>
      </c>
      <c r="BR142" s="48">
        <f t="shared" ref="BR142:CW142" si="496">BR$71*P_CajaMin/DiasMes*BR$9</f>
        <v>72822.038813778083</v>
      </c>
      <c r="BS142" s="48">
        <f t="shared" si="496"/>
        <v>72822.038813778083</v>
      </c>
      <c r="BT142" s="48">
        <f t="shared" si="496"/>
        <v>72822.038813778083</v>
      </c>
      <c r="BU142" s="48">
        <f t="shared" si="496"/>
        <v>72822.038813778083</v>
      </c>
      <c r="BV142" s="48">
        <f t="shared" si="496"/>
        <v>72822.038813778083</v>
      </c>
      <c r="BW142" s="48">
        <f t="shared" si="496"/>
        <v>72822.038813778083</v>
      </c>
      <c r="BX142" s="48">
        <f t="shared" si="496"/>
        <v>72822.038813778083</v>
      </c>
      <c r="BY142" s="48">
        <f t="shared" si="496"/>
        <v>72822.038813778083</v>
      </c>
      <c r="BZ142" s="48">
        <f t="shared" si="496"/>
        <v>73550.259201915862</v>
      </c>
      <c r="CA142" s="48">
        <f t="shared" si="496"/>
        <v>73550.259201915862</v>
      </c>
      <c r="CB142" s="48">
        <f t="shared" si="496"/>
        <v>73550.259201915862</v>
      </c>
      <c r="CC142" s="48">
        <f t="shared" si="496"/>
        <v>73550.259201915862</v>
      </c>
      <c r="CD142" s="48">
        <f t="shared" si="496"/>
        <v>73550.259201915862</v>
      </c>
      <c r="CE142" s="48">
        <f t="shared" si="496"/>
        <v>73550.259201915862</v>
      </c>
      <c r="CF142" s="48">
        <f t="shared" si="496"/>
        <v>73550.259201915862</v>
      </c>
      <c r="CG142" s="48">
        <f t="shared" si="496"/>
        <v>73550.259201915862</v>
      </c>
      <c r="CH142" s="48">
        <f t="shared" si="496"/>
        <v>73550.259201915862</v>
      </c>
      <c r="CI142" s="48">
        <f t="shared" si="496"/>
        <v>73550.259201915862</v>
      </c>
      <c r="CJ142" s="48">
        <f t="shared" si="496"/>
        <v>73550.259201915862</v>
      </c>
      <c r="CK142" s="48">
        <f t="shared" si="496"/>
        <v>73550.259201915862</v>
      </c>
      <c r="CL142" s="48">
        <f t="shared" si="496"/>
        <v>74285.761793935002</v>
      </c>
      <c r="CM142" s="48">
        <f t="shared" si="496"/>
        <v>74285.761793935002</v>
      </c>
      <c r="CN142" s="48">
        <f t="shared" si="496"/>
        <v>74285.761793935002</v>
      </c>
      <c r="CO142" s="48">
        <f t="shared" si="496"/>
        <v>74285.761793935002</v>
      </c>
      <c r="CP142" s="48">
        <f t="shared" si="496"/>
        <v>74285.761793935002</v>
      </c>
      <c r="CQ142" s="48">
        <f t="shared" si="496"/>
        <v>74285.761793935002</v>
      </c>
      <c r="CR142" s="48">
        <f t="shared" si="496"/>
        <v>74285.761793935002</v>
      </c>
      <c r="CS142" s="48">
        <f t="shared" si="496"/>
        <v>74285.761793935002</v>
      </c>
      <c r="CT142" s="48">
        <f t="shared" si="496"/>
        <v>74285.761793935002</v>
      </c>
      <c r="CU142" s="48">
        <f t="shared" si="496"/>
        <v>74285.761793935002</v>
      </c>
      <c r="CV142" s="48">
        <f t="shared" si="496"/>
        <v>74285.761793935002</v>
      </c>
      <c r="CW142" s="48">
        <f t="shared" si="496"/>
        <v>74285.761793935002</v>
      </c>
      <c r="CX142" s="48">
        <f t="shared" ref="CX142:EC142" si="497">CX$71*P_CajaMin/DiasMes*CX$9</f>
        <v>75028.619411874359</v>
      </c>
      <c r="CY142" s="48">
        <f t="shared" si="497"/>
        <v>75028.619411874359</v>
      </c>
      <c r="CZ142" s="48">
        <f t="shared" si="497"/>
        <v>75028.619411874359</v>
      </c>
      <c r="DA142" s="48">
        <f t="shared" si="497"/>
        <v>75028.619411874359</v>
      </c>
      <c r="DB142" s="48">
        <f t="shared" si="497"/>
        <v>75028.619411874359</v>
      </c>
      <c r="DC142" s="48">
        <f t="shared" si="497"/>
        <v>75028.619411874359</v>
      </c>
      <c r="DD142" s="48">
        <f t="shared" si="497"/>
        <v>75028.619411874359</v>
      </c>
      <c r="DE142" s="48">
        <f t="shared" si="497"/>
        <v>75028.619411874359</v>
      </c>
      <c r="DF142" s="48">
        <f t="shared" si="497"/>
        <v>75028.619411874359</v>
      </c>
      <c r="DG142" s="48">
        <f t="shared" si="497"/>
        <v>75028.619411874359</v>
      </c>
      <c r="DH142" s="48">
        <f t="shared" si="497"/>
        <v>75028.619411874359</v>
      </c>
      <c r="DI142" s="48">
        <f t="shared" si="497"/>
        <v>75028.619411874359</v>
      </c>
      <c r="DJ142" s="48">
        <f t="shared" si="497"/>
        <v>75778.905605993117</v>
      </c>
      <c r="DK142" s="48">
        <f t="shared" si="497"/>
        <v>75778.905605993117</v>
      </c>
      <c r="DL142" s="48">
        <f t="shared" si="497"/>
        <v>75778.905605993117</v>
      </c>
      <c r="DM142" s="48">
        <f t="shared" si="497"/>
        <v>75778.905605993117</v>
      </c>
      <c r="DN142" s="48">
        <f t="shared" si="497"/>
        <v>75778.905605993117</v>
      </c>
      <c r="DO142" s="48">
        <f t="shared" si="497"/>
        <v>75778.905605993117</v>
      </c>
      <c r="DP142" s="48">
        <f t="shared" si="497"/>
        <v>75778.905605993117</v>
      </c>
      <c r="DQ142" s="48">
        <f t="shared" si="497"/>
        <v>75778.905605993117</v>
      </c>
      <c r="DR142" s="48">
        <f t="shared" si="497"/>
        <v>75778.905605993117</v>
      </c>
      <c r="DS142" s="48">
        <f t="shared" si="497"/>
        <v>75778.905605993117</v>
      </c>
      <c r="DT142" s="48">
        <f t="shared" si="497"/>
        <v>75778.905605993117</v>
      </c>
      <c r="DU142" s="48">
        <f t="shared" si="497"/>
        <v>75778.905605993117</v>
      </c>
      <c r="DV142" s="48">
        <f t="shared" si="497"/>
        <v>0</v>
      </c>
      <c r="DW142" s="48">
        <f t="shared" si="497"/>
        <v>0</v>
      </c>
      <c r="DX142" s="48">
        <f t="shared" si="497"/>
        <v>0</v>
      </c>
      <c r="DY142" s="48">
        <f t="shared" si="497"/>
        <v>0</v>
      </c>
      <c r="DZ142" s="48">
        <f t="shared" si="497"/>
        <v>0</v>
      </c>
      <c r="EA142" s="48">
        <f t="shared" si="497"/>
        <v>0</v>
      </c>
      <c r="EB142" s="48">
        <f t="shared" si="497"/>
        <v>0</v>
      </c>
      <c r="EC142" s="48">
        <f t="shared" si="497"/>
        <v>0</v>
      </c>
      <c r="ED142" s="48">
        <f t="shared" ref="ED142:ES142" si="498">ED$71*P_CajaMin/DiasMes*ED$9</f>
        <v>0</v>
      </c>
      <c r="EE142" s="48">
        <f t="shared" si="498"/>
        <v>0</v>
      </c>
      <c r="EF142" s="48">
        <f t="shared" si="498"/>
        <v>0</v>
      </c>
      <c r="EG142" s="48">
        <f t="shared" si="498"/>
        <v>0</v>
      </c>
      <c r="EH142" s="48">
        <f t="shared" si="498"/>
        <v>0</v>
      </c>
      <c r="EI142" s="48">
        <f t="shared" si="498"/>
        <v>0</v>
      </c>
      <c r="EJ142" s="48">
        <f t="shared" si="498"/>
        <v>0</v>
      </c>
      <c r="EK142" s="48">
        <f t="shared" si="498"/>
        <v>0</v>
      </c>
      <c r="EL142" s="48">
        <f t="shared" si="498"/>
        <v>0</v>
      </c>
      <c r="EM142" s="48">
        <f t="shared" si="498"/>
        <v>0</v>
      </c>
      <c r="EN142" s="48">
        <f t="shared" si="498"/>
        <v>0</v>
      </c>
      <c r="EO142" s="48">
        <f t="shared" si="498"/>
        <v>0</v>
      </c>
      <c r="EP142" s="48">
        <f t="shared" si="498"/>
        <v>0</v>
      </c>
      <c r="EQ142" s="48">
        <f t="shared" si="498"/>
        <v>0</v>
      </c>
      <c r="ER142" s="48">
        <f t="shared" si="498"/>
        <v>0</v>
      </c>
      <c r="ES142" s="48">
        <f t="shared" si="498"/>
        <v>0</v>
      </c>
    </row>
    <row r="143" spans="1:149" x14ac:dyDescent="0.3">
      <c r="A143" s="14" t="s">
        <v>1180</v>
      </c>
      <c r="B143" s="18" t="s">
        <v>1181</v>
      </c>
      <c r="C143" s="18" t="s">
        <v>439</v>
      </c>
      <c r="E143" s="54">
        <f>SUM(F143:ES143)</f>
        <v>0</v>
      </c>
      <c r="F143" s="48">
        <f>IF(F$139=1,MIN(MAX(0,N(P_LC_Lim)-0),MAX(0,F$142-F$141)),0)*F$9</f>
        <v>0</v>
      </c>
      <c r="G143" s="48">
        <f t="shared" ref="G143:AL143" si="499">IF(G$139=1,MIN(MAX(0,N(P_LC_Lim)-F$145),MAX(0,G$142-G$141)),0)*G$9</f>
        <v>0</v>
      </c>
      <c r="H143" s="48">
        <f t="shared" si="499"/>
        <v>0</v>
      </c>
      <c r="I143" s="48">
        <f t="shared" si="499"/>
        <v>0</v>
      </c>
      <c r="J143" s="48">
        <f t="shared" si="499"/>
        <v>0</v>
      </c>
      <c r="K143" s="48">
        <f t="shared" si="499"/>
        <v>0</v>
      </c>
      <c r="L143" s="48">
        <f t="shared" si="499"/>
        <v>0</v>
      </c>
      <c r="M143" s="48">
        <f t="shared" si="499"/>
        <v>0</v>
      </c>
      <c r="N143" s="48">
        <f t="shared" si="499"/>
        <v>0</v>
      </c>
      <c r="O143" s="48">
        <f t="shared" si="499"/>
        <v>0</v>
      </c>
      <c r="P143" s="48">
        <f t="shared" si="499"/>
        <v>0</v>
      </c>
      <c r="Q143" s="48">
        <f t="shared" si="499"/>
        <v>0</v>
      </c>
      <c r="R143" s="48">
        <f t="shared" si="499"/>
        <v>0</v>
      </c>
      <c r="S143" s="48">
        <f t="shared" si="499"/>
        <v>0</v>
      </c>
      <c r="T143" s="48">
        <f t="shared" si="499"/>
        <v>0</v>
      </c>
      <c r="U143" s="48">
        <f t="shared" si="499"/>
        <v>0</v>
      </c>
      <c r="V143" s="48">
        <f t="shared" si="499"/>
        <v>0</v>
      </c>
      <c r="W143" s="48">
        <f t="shared" si="499"/>
        <v>0</v>
      </c>
      <c r="X143" s="48">
        <f t="shared" si="499"/>
        <v>0</v>
      </c>
      <c r="Y143" s="48">
        <f t="shared" si="499"/>
        <v>0</v>
      </c>
      <c r="Z143" s="48">
        <f t="shared" si="499"/>
        <v>0</v>
      </c>
      <c r="AA143" s="48">
        <f t="shared" si="499"/>
        <v>0</v>
      </c>
      <c r="AB143" s="48">
        <f t="shared" si="499"/>
        <v>0</v>
      </c>
      <c r="AC143" s="48">
        <f t="shared" si="499"/>
        <v>0</v>
      </c>
      <c r="AD143" s="48">
        <f t="shared" si="499"/>
        <v>0</v>
      </c>
      <c r="AE143" s="48">
        <f t="shared" si="499"/>
        <v>0</v>
      </c>
      <c r="AF143" s="48">
        <f t="shared" si="499"/>
        <v>0</v>
      </c>
      <c r="AG143" s="48">
        <f t="shared" si="499"/>
        <v>0</v>
      </c>
      <c r="AH143" s="48">
        <f t="shared" si="499"/>
        <v>0</v>
      </c>
      <c r="AI143" s="48">
        <f t="shared" si="499"/>
        <v>0</v>
      </c>
      <c r="AJ143" s="48">
        <f t="shared" si="499"/>
        <v>0</v>
      </c>
      <c r="AK143" s="48">
        <f t="shared" si="499"/>
        <v>0</v>
      </c>
      <c r="AL143" s="48">
        <f t="shared" si="499"/>
        <v>0</v>
      </c>
      <c r="AM143" s="48">
        <f t="shared" ref="AM143:BR143" si="500">IF(AM$139=1,MIN(MAX(0,N(P_LC_Lim)-AL$145),MAX(0,AM$142-AM$141)),0)*AM$9</f>
        <v>0</v>
      </c>
      <c r="AN143" s="48">
        <f t="shared" si="500"/>
        <v>0</v>
      </c>
      <c r="AO143" s="48">
        <f t="shared" si="500"/>
        <v>0</v>
      </c>
      <c r="AP143" s="48">
        <f t="shared" si="500"/>
        <v>0</v>
      </c>
      <c r="AQ143" s="48">
        <f t="shared" si="500"/>
        <v>0</v>
      </c>
      <c r="AR143" s="48">
        <f t="shared" si="500"/>
        <v>0</v>
      </c>
      <c r="AS143" s="48">
        <f t="shared" si="500"/>
        <v>0</v>
      </c>
      <c r="AT143" s="48">
        <f t="shared" si="500"/>
        <v>0</v>
      </c>
      <c r="AU143" s="48">
        <f t="shared" si="500"/>
        <v>0</v>
      </c>
      <c r="AV143" s="48">
        <f t="shared" si="500"/>
        <v>0</v>
      </c>
      <c r="AW143" s="48">
        <f t="shared" si="500"/>
        <v>0</v>
      </c>
      <c r="AX143" s="48">
        <f t="shared" si="500"/>
        <v>0</v>
      </c>
      <c r="AY143" s="48">
        <f t="shared" si="500"/>
        <v>0</v>
      </c>
      <c r="AZ143" s="48">
        <f t="shared" si="500"/>
        <v>0</v>
      </c>
      <c r="BA143" s="48">
        <f t="shared" si="500"/>
        <v>0</v>
      </c>
      <c r="BB143" s="48">
        <f t="shared" si="500"/>
        <v>0</v>
      </c>
      <c r="BC143" s="48">
        <f t="shared" si="500"/>
        <v>0</v>
      </c>
      <c r="BD143" s="48">
        <f t="shared" si="500"/>
        <v>0</v>
      </c>
      <c r="BE143" s="48">
        <f t="shared" si="500"/>
        <v>0</v>
      </c>
      <c r="BF143" s="48">
        <f t="shared" si="500"/>
        <v>0</v>
      </c>
      <c r="BG143" s="48">
        <f t="shared" si="500"/>
        <v>0</v>
      </c>
      <c r="BH143" s="48">
        <f t="shared" si="500"/>
        <v>0</v>
      </c>
      <c r="BI143" s="48">
        <f t="shared" si="500"/>
        <v>0</v>
      </c>
      <c r="BJ143" s="48">
        <f t="shared" si="500"/>
        <v>0</v>
      </c>
      <c r="BK143" s="48">
        <f t="shared" si="500"/>
        <v>0</v>
      </c>
      <c r="BL143" s="48">
        <f t="shared" si="500"/>
        <v>0</v>
      </c>
      <c r="BM143" s="48">
        <f t="shared" si="500"/>
        <v>0</v>
      </c>
      <c r="BN143" s="48">
        <f t="shared" si="500"/>
        <v>0</v>
      </c>
      <c r="BO143" s="48">
        <f t="shared" si="500"/>
        <v>0</v>
      </c>
      <c r="BP143" s="48">
        <f t="shared" si="500"/>
        <v>0</v>
      </c>
      <c r="BQ143" s="48">
        <f t="shared" si="500"/>
        <v>0</v>
      </c>
      <c r="BR143" s="48">
        <f t="shared" si="500"/>
        <v>0</v>
      </c>
      <c r="BS143" s="48">
        <f t="shared" ref="BS143:CX143" si="501">IF(BS$139=1,MIN(MAX(0,N(P_LC_Lim)-BR$145),MAX(0,BS$142-BS$141)),0)*BS$9</f>
        <v>0</v>
      </c>
      <c r="BT143" s="48">
        <f t="shared" si="501"/>
        <v>0</v>
      </c>
      <c r="BU143" s="48">
        <f t="shared" si="501"/>
        <v>0</v>
      </c>
      <c r="BV143" s="48">
        <f t="shared" si="501"/>
        <v>0</v>
      </c>
      <c r="BW143" s="48">
        <f t="shared" si="501"/>
        <v>0</v>
      </c>
      <c r="BX143" s="48">
        <f t="shared" si="501"/>
        <v>0</v>
      </c>
      <c r="BY143" s="48">
        <f t="shared" si="501"/>
        <v>0</v>
      </c>
      <c r="BZ143" s="48">
        <f t="shared" si="501"/>
        <v>0</v>
      </c>
      <c r="CA143" s="48">
        <f t="shared" si="501"/>
        <v>0</v>
      </c>
      <c r="CB143" s="48">
        <f t="shared" si="501"/>
        <v>0</v>
      </c>
      <c r="CC143" s="48">
        <f t="shared" si="501"/>
        <v>0</v>
      </c>
      <c r="CD143" s="48">
        <f t="shared" si="501"/>
        <v>0</v>
      </c>
      <c r="CE143" s="48">
        <f t="shared" si="501"/>
        <v>0</v>
      </c>
      <c r="CF143" s="48">
        <f t="shared" si="501"/>
        <v>0</v>
      </c>
      <c r="CG143" s="48">
        <f t="shared" si="501"/>
        <v>0</v>
      </c>
      <c r="CH143" s="48">
        <f t="shared" si="501"/>
        <v>0</v>
      </c>
      <c r="CI143" s="48">
        <f t="shared" si="501"/>
        <v>0</v>
      </c>
      <c r="CJ143" s="48">
        <f t="shared" si="501"/>
        <v>0</v>
      </c>
      <c r="CK143" s="48">
        <f t="shared" si="501"/>
        <v>0</v>
      </c>
      <c r="CL143" s="48">
        <f t="shared" si="501"/>
        <v>0</v>
      </c>
      <c r="CM143" s="48">
        <f t="shared" si="501"/>
        <v>0</v>
      </c>
      <c r="CN143" s="48">
        <f t="shared" si="501"/>
        <v>0</v>
      </c>
      <c r="CO143" s="48">
        <f t="shared" si="501"/>
        <v>0</v>
      </c>
      <c r="CP143" s="48">
        <f t="shared" si="501"/>
        <v>0</v>
      </c>
      <c r="CQ143" s="48">
        <f t="shared" si="501"/>
        <v>0</v>
      </c>
      <c r="CR143" s="48">
        <f t="shared" si="501"/>
        <v>0</v>
      </c>
      <c r="CS143" s="48">
        <f t="shared" si="501"/>
        <v>0</v>
      </c>
      <c r="CT143" s="48">
        <f t="shared" si="501"/>
        <v>0</v>
      </c>
      <c r="CU143" s="48">
        <f t="shared" si="501"/>
        <v>0</v>
      </c>
      <c r="CV143" s="48">
        <f t="shared" si="501"/>
        <v>0</v>
      </c>
      <c r="CW143" s="48">
        <f t="shared" si="501"/>
        <v>0</v>
      </c>
      <c r="CX143" s="48">
        <f t="shared" si="501"/>
        <v>0</v>
      </c>
      <c r="CY143" s="48">
        <f t="shared" ref="CY143:ED143" si="502">IF(CY$139=1,MIN(MAX(0,N(P_LC_Lim)-CX$145),MAX(0,CY$142-CY$141)),0)*CY$9</f>
        <v>0</v>
      </c>
      <c r="CZ143" s="48">
        <f t="shared" si="502"/>
        <v>0</v>
      </c>
      <c r="DA143" s="48">
        <f t="shared" si="502"/>
        <v>0</v>
      </c>
      <c r="DB143" s="48">
        <f t="shared" si="502"/>
        <v>0</v>
      </c>
      <c r="DC143" s="48">
        <f t="shared" si="502"/>
        <v>0</v>
      </c>
      <c r="DD143" s="48">
        <f t="shared" si="502"/>
        <v>0</v>
      </c>
      <c r="DE143" s="48">
        <f t="shared" si="502"/>
        <v>0</v>
      </c>
      <c r="DF143" s="48">
        <f t="shared" si="502"/>
        <v>0</v>
      </c>
      <c r="DG143" s="48">
        <f t="shared" si="502"/>
        <v>0</v>
      </c>
      <c r="DH143" s="48">
        <f t="shared" si="502"/>
        <v>0</v>
      </c>
      <c r="DI143" s="48">
        <f t="shared" si="502"/>
        <v>0</v>
      </c>
      <c r="DJ143" s="48">
        <f t="shared" si="502"/>
        <v>0</v>
      </c>
      <c r="DK143" s="48">
        <f t="shared" si="502"/>
        <v>0</v>
      </c>
      <c r="DL143" s="48">
        <f t="shared" si="502"/>
        <v>0</v>
      </c>
      <c r="DM143" s="48">
        <f t="shared" si="502"/>
        <v>0</v>
      </c>
      <c r="DN143" s="48">
        <f t="shared" si="502"/>
        <v>0</v>
      </c>
      <c r="DO143" s="48">
        <f t="shared" si="502"/>
        <v>0</v>
      </c>
      <c r="DP143" s="48">
        <f t="shared" si="502"/>
        <v>0</v>
      </c>
      <c r="DQ143" s="48">
        <f t="shared" si="502"/>
        <v>0</v>
      </c>
      <c r="DR143" s="48">
        <f t="shared" si="502"/>
        <v>0</v>
      </c>
      <c r="DS143" s="48">
        <f t="shared" si="502"/>
        <v>0</v>
      </c>
      <c r="DT143" s="48">
        <f t="shared" si="502"/>
        <v>0</v>
      </c>
      <c r="DU143" s="48">
        <f t="shared" si="502"/>
        <v>0</v>
      </c>
      <c r="DV143" s="48">
        <f t="shared" si="502"/>
        <v>0</v>
      </c>
      <c r="DW143" s="48">
        <f t="shared" si="502"/>
        <v>0</v>
      </c>
      <c r="DX143" s="48">
        <f t="shared" si="502"/>
        <v>0</v>
      </c>
      <c r="DY143" s="48">
        <f t="shared" si="502"/>
        <v>0</v>
      </c>
      <c r="DZ143" s="48">
        <f t="shared" si="502"/>
        <v>0</v>
      </c>
      <c r="EA143" s="48">
        <f t="shared" si="502"/>
        <v>0</v>
      </c>
      <c r="EB143" s="48">
        <f t="shared" si="502"/>
        <v>0</v>
      </c>
      <c r="EC143" s="48">
        <f t="shared" si="502"/>
        <v>0</v>
      </c>
      <c r="ED143" s="48">
        <f t="shared" si="502"/>
        <v>0</v>
      </c>
      <c r="EE143" s="48">
        <f t="shared" ref="EE143:ES143" si="503">IF(EE$139=1,MIN(MAX(0,N(P_LC_Lim)-ED$145),MAX(0,EE$142-EE$141)),0)*EE$9</f>
        <v>0</v>
      </c>
      <c r="EF143" s="48">
        <f t="shared" si="503"/>
        <v>0</v>
      </c>
      <c r="EG143" s="48">
        <f t="shared" si="503"/>
        <v>0</v>
      </c>
      <c r="EH143" s="48">
        <f t="shared" si="503"/>
        <v>0</v>
      </c>
      <c r="EI143" s="48">
        <f t="shared" si="503"/>
        <v>0</v>
      </c>
      <c r="EJ143" s="48">
        <f t="shared" si="503"/>
        <v>0</v>
      </c>
      <c r="EK143" s="48">
        <f t="shared" si="503"/>
        <v>0</v>
      </c>
      <c r="EL143" s="48">
        <f t="shared" si="503"/>
        <v>0</v>
      </c>
      <c r="EM143" s="48">
        <f t="shared" si="503"/>
        <v>0</v>
      </c>
      <c r="EN143" s="48">
        <f t="shared" si="503"/>
        <v>0</v>
      </c>
      <c r="EO143" s="48">
        <f t="shared" si="503"/>
        <v>0</v>
      </c>
      <c r="EP143" s="48">
        <f t="shared" si="503"/>
        <v>0</v>
      </c>
      <c r="EQ143" s="48">
        <f t="shared" si="503"/>
        <v>0</v>
      </c>
      <c r="ER143" s="48">
        <f t="shared" si="503"/>
        <v>0</v>
      </c>
      <c r="ES143" s="48">
        <f t="shared" si="503"/>
        <v>0</v>
      </c>
    </row>
    <row r="144" spans="1:149" x14ac:dyDescent="0.3">
      <c r="A144" s="14" t="s">
        <v>1182</v>
      </c>
      <c r="B144" s="18" t="s">
        <v>1183</v>
      </c>
      <c r="C144" s="18" t="s">
        <v>439</v>
      </c>
      <c r="E144" s="54">
        <f>SUM(F144:ES144)</f>
        <v>0</v>
      </c>
      <c r="F144" s="48">
        <f>IF(F$139=1,MIN(0,MAX(0,F$141-F$142)),0)*F$9</f>
        <v>0</v>
      </c>
      <c r="G144" s="48">
        <f t="shared" ref="G144:AL144" si="504">IF(G$139=1,MIN(F$145,MAX(0,G$141-G$142)),F$145)*G$9</f>
        <v>0</v>
      </c>
      <c r="H144" s="48">
        <f t="shared" si="504"/>
        <v>0</v>
      </c>
      <c r="I144" s="48">
        <f t="shared" si="504"/>
        <v>0</v>
      </c>
      <c r="J144" s="48">
        <f t="shared" si="504"/>
        <v>0</v>
      </c>
      <c r="K144" s="48">
        <f t="shared" si="504"/>
        <v>0</v>
      </c>
      <c r="L144" s="48">
        <f t="shared" si="504"/>
        <v>0</v>
      </c>
      <c r="M144" s="48">
        <f t="shared" si="504"/>
        <v>0</v>
      </c>
      <c r="N144" s="48">
        <f t="shared" si="504"/>
        <v>0</v>
      </c>
      <c r="O144" s="48">
        <f t="shared" si="504"/>
        <v>0</v>
      </c>
      <c r="P144" s="48">
        <f t="shared" si="504"/>
        <v>0</v>
      </c>
      <c r="Q144" s="48">
        <f t="shared" si="504"/>
        <v>0</v>
      </c>
      <c r="R144" s="48">
        <f t="shared" si="504"/>
        <v>0</v>
      </c>
      <c r="S144" s="48">
        <f t="shared" si="504"/>
        <v>0</v>
      </c>
      <c r="T144" s="48">
        <f t="shared" si="504"/>
        <v>0</v>
      </c>
      <c r="U144" s="48">
        <f t="shared" si="504"/>
        <v>0</v>
      </c>
      <c r="V144" s="48">
        <f t="shared" si="504"/>
        <v>0</v>
      </c>
      <c r="W144" s="48">
        <f t="shared" si="504"/>
        <v>0</v>
      </c>
      <c r="X144" s="48">
        <f t="shared" si="504"/>
        <v>0</v>
      </c>
      <c r="Y144" s="48">
        <f t="shared" si="504"/>
        <v>0</v>
      </c>
      <c r="Z144" s="48">
        <f t="shared" si="504"/>
        <v>0</v>
      </c>
      <c r="AA144" s="48">
        <f t="shared" si="504"/>
        <v>0</v>
      </c>
      <c r="AB144" s="48">
        <f t="shared" si="504"/>
        <v>0</v>
      </c>
      <c r="AC144" s="48">
        <f t="shared" si="504"/>
        <v>0</v>
      </c>
      <c r="AD144" s="48">
        <f t="shared" si="504"/>
        <v>0</v>
      </c>
      <c r="AE144" s="48">
        <f t="shared" si="504"/>
        <v>0</v>
      </c>
      <c r="AF144" s="48">
        <f t="shared" si="504"/>
        <v>0</v>
      </c>
      <c r="AG144" s="48">
        <f t="shared" si="504"/>
        <v>0</v>
      </c>
      <c r="AH144" s="48">
        <f t="shared" si="504"/>
        <v>0</v>
      </c>
      <c r="AI144" s="48">
        <f t="shared" si="504"/>
        <v>0</v>
      </c>
      <c r="AJ144" s="48">
        <f t="shared" si="504"/>
        <v>0</v>
      </c>
      <c r="AK144" s="48">
        <f t="shared" si="504"/>
        <v>0</v>
      </c>
      <c r="AL144" s="48">
        <f t="shared" si="504"/>
        <v>0</v>
      </c>
      <c r="AM144" s="48">
        <f t="shared" ref="AM144:BR144" si="505">IF(AM$139=1,MIN(AL$145,MAX(0,AM$141-AM$142)),AL$145)*AM$9</f>
        <v>0</v>
      </c>
      <c r="AN144" s="48">
        <f t="shared" si="505"/>
        <v>0</v>
      </c>
      <c r="AO144" s="48">
        <f t="shared" si="505"/>
        <v>0</v>
      </c>
      <c r="AP144" s="48">
        <f t="shared" si="505"/>
        <v>0</v>
      </c>
      <c r="AQ144" s="48">
        <f t="shared" si="505"/>
        <v>0</v>
      </c>
      <c r="AR144" s="48">
        <f t="shared" si="505"/>
        <v>0</v>
      </c>
      <c r="AS144" s="48">
        <f t="shared" si="505"/>
        <v>0</v>
      </c>
      <c r="AT144" s="48">
        <f t="shared" si="505"/>
        <v>0</v>
      </c>
      <c r="AU144" s="48">
        <f t="shared" si="505"/>
        <v>0</v>
      </c>
      <c r="AV144" s="48">
        <f t="shared" si="505"/>
        <v>0</v>
      </c>
      <c r="AW144" s="48">
        <f t="shared" si="505"/>
        <v>0</v>
      </c>
      <c r="AX144" s="48">
        <f t="shared" si="505"/>
        <v>0</v>
      </c>
      <c r="AY144" s="48">
        <f t="shared" si="505"/>
        <v>0</v>
      </c>
      <c r="AZ144" s="48">
        <f t="shared" si="505"/>
        <v>0</v>
      </c>
      <c r="BA144" s="48">
        <f t="shared" si="505"/>
        <v>0</v>
      </c>
      <c r="BB144" s="48">
        <f t="shared" si="505"/>
        <v>0</v>
      </c>
      <c r="BC144" s="48">
        <f t="shared" si="505"/>
        <v>0</v>
      </c>
      <c r="BD144" s="48">
        <f t="shared" si="505"/>
        <v>0</v>
      </c>
      <c r="BE144" s="48">
        <f t="shared" si="505"/>
        <v>0</v>
      </c>
      <c r="BF144" s="48">
        <f t="shared" si="505"/>
        <v>0</v>
      </c>
      <c r="BG144" s="48">
        <f t="shared" si="505"/>
        <v>0</v>
      </c>
      <c r="BH144" s="48">
        <f t="shared" si="505"/>
        <v>0</v>
      </c>
      <c r="BI144" s="48">
        <f t="shared" si="505"/>
        <v>0</v>
      </c>
      <c r="BJ144" s="48">
        <f t="shared" si="505"/>
        <v>0</v>
      </c>
      <c r="BK144" s="48">
        <f t="shared" si="505"/>
        <v>0</v>
      </c>
      <c r="BL144" s="48">
        <f t="shared" si="505"/>
        <v>0</v>
      </c>
      <c r="BM144" s="48">
        <f t="shared" si="505"/>
        <v>0</v>
      </c>
      <c r="BN144" s="48">
        <f t="shared" si="505"/>
        <v>0</v>
      </c>
      <c r="BO144" s="48">
        <f t="shared" si="505"/>
        <v>0</v>
      </c>
      <c r="BP144" s="48">
        <f t="shared" si="505"/>
        <v>0</v>
      </c>
      <c r="BQ144" s="48">
        <f t="shared" si="505"/>
        <v>0</v>
      </c>
      <c r="BR144" s="48">
        <f t="shared" si="505"/>
        <v>0</v>
      </c>
      <c r="BS144" s="48">
        <f t="shared" ref="BS144:CX144" si="506">IF(BS$139=1,MIN(BR$145,MAX(0,BS$141-BS$142)),BR$145)*BS$9</f>
        <v>0</v>
      </c>
      <c r="BT144" s="48">
        <f t="shared" si="506"/>
        <v>0</v>
      </c>
      <c r="BU144" s="48">
        <f t="shared" si="506"/>
        <v>0</v>
      </c>
      <c r="BV144" s="48">
        <f t="shared" si="506"/>
        <v>0</v>
      </c>
      <c r="BW144" s="48">
        <f t="shared" si="506"/>
        <v>0</v>
      </c>
      <c r="BX144" s="48">
        <f t="shared" si="506"/>
        <v>0</v>
      </c>
      <c r="BY144" s="48">
        <f t="shared" si="506"/>
        <v>0</v>
      </c>
      <c r="BZ144" s="48">
        <f t="shared" si="506"/>
        <v>0</v>
      </c>
      <c r="CA144" s="48">
        <f t="shared" si="506"/>
        <v>0</v>
      </c>
      <c r="CB144" s="48">
        <f t="shared" si="506"/>
        <v>0</v>
      </c>
      <c r="CC144" s="48">
        <f t="shared" si="506"/>
        <v>0</v>
      </c>
      <c r="CD144" s="48">
        <f t="shared" si="506"/>
        <v>0</v>
      </c>
      <c r="CE144" s="48">
        <f t="shared" si="506"/>
        <v>0</v>
      </c>
      <c r="CF144" s="48">
        <f t="shared" si="506"/>
        <v>0</v>
      </c>
      <c r="CG144" s="48">
        <f t="shared" si="506"/>
        <v>0</v>
      </c>
      <c r="CH144" s="48">
        <f t="shared" si="506"/>
        <v>0</v>
      </c>
      <c r="CI144" s="48">
        <f t="shared" si="506"/>
        <v>0</v>
      </c>
      <c r="CJ144" s="48">
        <f t="shared" si="506"/>
        <v>0</v>
      </c>
      <c r="CK144" s="48">
        <f t="shared" si="506"/>
        <v>0</v>
      </c>
      <c r="CL144" s="48">
        <f t="shared" si="506"/>
        <v>0</v>
      </c>
      <c r="CM144" s="48">
        <f t="shared" si="506"/>
        <v>0</v>
      </c>
      <c r="CN144" s="48">
        <f t="shared" si="506"/>
        <v>0</v>
      </c>
      <c r="CO144" s="48">
        <f t="shared" si="506"/>
        <v>0</v>
      </c>
      <c r="CP144" s="48">
        <f t="shared" si="506"/>
        <v>0</v>
      </c>
      <c r="CQ144" s="48">
        <f t="shared" si="506"/>
        <v>0</v>
      </c>
      <c r="CR144" s="48">
        <f t="shared" si="506"/>
        <v>0</v>
      </c>
      <c r="CS144" s="48">
        <f t="shared" si="506"/>
        <v>0</v>
      </c>
      <c r="CT144" s="48">
        <f t="shared" si="506"/>
        <v>0</v>
      </c>
      <c r="CU144" s="48">
        <f t="shared" si="506"/>
        <v>0</v>
      </c>
      <c r="CV144" s="48">
        <f t="shared" si="506"/>
        <v>0</v>
      </c>
      <c r="CW144" s="48">
        <f t="shared" si="506"/>
        <v>0</v>
      </c>
      <c r="CX144" s="48">
        <f t="shared" si="506"/>
        <v>0</v>
      </c>
      <c r="CY144" s="48">
        <f t="shared" ref="CY144:ED144" si="507">IF(CY$139=1,MIN(CX$145,MAX(0,CY$141-CY$142)),CX$145)*CY$9</f>
        <v>0</v>
      </c>
      <c r="CZ144" s="48">
        <f t="shared" si="507"/>
        <v>0</v>
      </c>
      <c r="DA144" s="48">
        <f t="shared" si="507"/>
        <v>0</v>
      </c>
      <c r="DB144" s="48">
        <f t="shared" si="507"/>
        <v>0</v>
      </c>
      <c r="DC144" s="48">
        <f t="shared" si="507"/>
        <v>0</v>
      </c>
      <c r="DD144" s="48">
        <f t="shared" si="507"/>
        <v>0</v>
      </c>
      <c r="DE144" s="48">
        <f t="shared" si="507"/>
        <v>0</v>
      </c>
      <c r="DF144" s="48">
        <f t="shared" si="507"/>
        <v>0</v>
      </c>
      <c r="DG144" s="48">
        <f t="shared" si="507"/>
        <v>0</v>
      </c>
      <c r="DH144" s="48">
        <f t="shared" si="507"/>
        <v>0</v>
      </c>
      <c r="DI144" s="48">
        <f t="shared" si="507"/>
        <v>0</v>
      </c>
      <c r="DJ144" s="48">
        <f t="shared" si="507"/>
        <v>0</v>
      </c>
      <c r="DK144" s="48">
        <f t="shared" si="507"/>
        <v>0</v>
      </c>
      <c r="DL144" s="48">
        <f t="shared" si="507"/>
        <v>0</v>
      </c>
      <c r="DM144" s="48">
        <f t="shared" si="507"/>
        <v>0</v>
      </c>
      <c r="DN144" s="48">
        <f t="shared" si="507"/>
        <v>0</v>
      </c>
      <c r="DO144" s="48">
        <f t="shared" si="507"/>
        <v>0</v>
      </c>
      <c r="DP144" s="48">
        <f t="shared" si="507"/>
        <v>0</v>
      </c>
      <c r="DQ144" s="48">
        <f t="shared" si="507"/>
        <v>0</v>
      </c>
      <c r="DR144" s="48">
        <f t="shared" si="507"/>
        <v>0</v>
      </c>
      <c r="DS144" s="48">
        <f t="shared" si="507"/>
        <v>0</v>
      </c>
      <c r="DT144" s="48">
        <f t="shared" si="507"/>
        <v>0</v>
      </c>
      <c r="DU144" s="48">
        <f t="shared" si="507"/>
        <v>0</v>
      </c>
      <c r="DV144" s="48">
        <f t="shared" si="507"/>
        <v>0</v>
      </c>
      <c r="DW144" s="48">
        <f t="shared" si="507"/>
        <v>0</v>
      </c>
      <c r="DX144" s="48">
        <f t="shared" si="507"/>
        <v>0</v>
      </c>
      <c r="DY144" s="48">
        <f t="shared" si="507"/>
        <v>0</v>
      </c>
      <c r="DZ144" s="48">
        <f t="shared" si="507"/>
        <v>0</v>
      </c>
      <c r="EA144" s="48">
        <f t="shared" si="507"/>
        <v>0</v>
      </c>
      <c r="EB144" s="48">
        <f t="shared" si="507"/>
        <v>0</v>
      </c>
      <c r="EC144" s="48">
        <f t="shared" si="507"/>
        <v>0</v>
      </c>
      <c r="ED144" s="48">
        <f t="shared" si="507"/>
        <v>0</v>
      </c>
      <c r="EE144" s="48">
        <f t="shared" ref="EE144:ES144" si="508">IF(EE$139=1,MIN(ED$145,MAX(0,EE$141-EE$142)),ED$145)*EE$9</f>
        <v>0</v>
      </c>
      <c r="EF144" s="48">
        <f t="shared" si="508"/>
        <v>0</v>
      </c>
      <c r="EG144" s="48">
        <f t="shared" si="508"/>
        <v>0</v>
      </c>
      <c r="EH144" s="48">
        <f t="shared" si="508"/>
        <v>0</v>
      </c>
      <c r="EI144" s="48">
        <f t="shared" si="508"/>
        <v>0</v>
      </c>
      <c r="EJ144" s="48">
        <f t="shared" si="508"/>
        <v>0</v>
      </c>
      <c r="EK144" s="48">
        <f t="shared" si="508"/>
        <v>0</v>
      </c>
      <c r="EL144" s="48">
        <f t="shared" si="508"/>
        <v>0</v>
      </c>
      <c r="EM144" s="48">
        <f t="shared" si="508"/>
        <v>0</v>
      </c>
      <c r="EN144" s="48">
        <f t="shared" si="508"/>
        <v>0</v>
      </c>
      <c r="EO144" s="48">
        <f t="shared" si="508"/>
        <v>0</v>
      </c>
      <c r="EP144" s="48">
        <f t="shared" si="508"/>
        <v>0</v>
      </c>
      <c r="EQ144" s="48">
        <f t="shared" si="508"/>
        <v>0</v>
      </c>
      <c r="ER144" s="48">
        <f t="shared" si="508"/>
        <v>0</v>
      </c>
      <c r="ES144" s="48">
        <f t="shared" si="508"/>
        <v>0</v>
      </c>
    </row>
    <row r="145" spans="1:149" x14ac:dyDescent="0.3">
      <c r="A145" s="14" t="s">
        <v>1184</v>
      </c>
      <c r="B145" s="18" t="s">
        <v>1185</v>
      </c>
      <c r="C145" s="18" t="s">
        <v>439</v>
      </c>
      <c r="E145" s="54">
        <f>MAX(F145:ES145)</f>
        <v>0</v>
      </c>
      <c r="F145" s="48">
        <f>0+F$143-F$144</f>
        <v>0</v>
      </c>
      <c r="G145" s="48">
        <f t="shared" ref="G145:AL145" si="509">F$145+G$143-G$144</f>
        <v>0</v>
      </c>
      <c r="H145" s="48">
        <f t="shared" si="509"/>
        <v>0</v>
      </c>
      <c r="I145" s="48">
        <f t="shared" si="509"/>
        <v>0</v>
      </c>
      <c r="J145" s="48">
        <f t="shared" si="509"/>
        <v>0</v>
      </c>
      <c r="K145" s="48">
        <f t="shared" si="509"/>
        <v>0</v>
      </c>
      <c r="L145" s="48">
        <f t="shared" si="509"/>
        <v>0</v>
      </c>
      <c r="M145" s="48">
        <f t="shared" si="509"/>
        <v>0</v>
      </c>
      <c r="N145" s="48">
        <f t="shared" si="509"/>
        <v>0</v>
      </c>
      <c r="O145" s="48">
        <f t="shared" si="509"/>
        <v>0</v>
      </c>
      <c r="P145" s="48">
        <f t="shared" si="509"/>
        <v>0</v>
      </c>
      <c r="Q145" s="48">
        <f t="shared" si="509"/>
        <v>0</v>
      </c>
      <c r="R145" s="48">
        <f t="shared" si="509"/>
        <v>0</v>
      </c>
      <c r="S145" s="48">
        <f t="shared" si="509"/>
        <v>0</v>
      </c>
      <c r="T145" s="48">
        <f t="shared" si="509"/>
        <v>0</v>
      </c>
      <c r="U145" s="48">
        <f t="shared" si="509"/>
        <v>0</v>
      </c>
      <c r="V145" s="48">
        <f t="shared" si="509"/>
        <v>0</v>
      </c>
      <c r="W145" s="48">
        <f t="shared" si="509"/>
        <v>0</v>
      </c>
      <c r="X145" s="48">
        <f t="shared" si="509"/>
        <v>0</v>
      </c>
      <c r="Y145" s="48">
        <f t="shared" si="509"/>
        <v>0</v>
      </c>
      <c r="Z145" s="48">
        <f t="shared" si="509"/>
        <v>0</v>
      </c>
      <c r="AA145" s="48">
        <f t="shared" si="509"/>
        <v>0</v>
      </c>
      <c r="AB145" s="48">
        <f t="shared" si="509"/>
        <v>0</v>
      </c>
      <c r="AC145" s="48">
        <f t="shared" si="509"/>
        <v>0</v>
      </c>
      <c r="AD145" s="48">
        <f t="shared" si="509"/>
        <v>0</v>
      </c>
      <c r="AE145" s="48">
        <f t="shared" si="509"/>
        <v>0</v>
      </c>
      <c r="AF145" s="48">
        <f t="shared" si="509"/>
        <v>0</v>
      </c>
      <c r="AG145" s="48">
        <f t="shared" si="509"/>
        <v>0</v>
      </c>
      <c r="AH145" s="48">
        <f t="shared" si="509"/>
        <v>0</v>
      </c>
      <c r="AI145" s="48">
        <f t="shared" si="509"/>
        <v>0</v>
      </c>
      <c r="AJ145" s="48">
        <f t="shared" si="509"/>
        <v>0</v>
      </c>
      <c r="AK145" s="48">
        <f t="shared" si="509"/>
        <v>0</v>
      </c>
      <c r="AL145" s="48">
        <f t="shared" si="509"/>
        <v>0</v>
      </c>
      <c r="AM145" s="48">
        <f t="shared" ref="AM145:BR145" si="510">AL$145+AM$143-AM$144</f>
        <v>0</v>
      </c>
      <c r="AN145" s="48">
        <f t="shared" si="510"/>
        <v>0</v>
      </c>
      <c r="AO145" s="48">
        <f t="shared" si="510"/>
        <v>0</v>
      </c>
      <c r="AP145" s="48">
        <f t="shared" si="510"/>
        <v>0</v>
      </c>
      <c r="AQ145" s="48">
        <f t="shared" si="510"/>
        <v>0</v>
      </c>
      <c r="AR145" s="48">
        <f t="shared" si="510"/>
        <v>0</v>
      </c>
      <c r="AS145" s="48">
        <f t="shared" si="510"/>
        <v>0</v>
      </c>
      <c r="AT145" s="48">
        <f t="shared" si="510"/>
        <v>0</v>
      </c>
      <c r="AU145" s="48">
        <f t="shared" si="510"/>
        <v>0</v>
      </c>
      <c r="AV145" s="48">
        <f t="shared" si="510"/>
        <v>0</v>
      </c>
      <c r="AW145" s="48">
        <f t="shared" si="510"/>
        <v>0</v>
      </c>
      <c r="AX145" s="48">
        <f t="shared" si="510"/>
        <v>0</v>
      </c>
      <c r="AY145" s="48">
        <f t="shared" si="510"/>
        <v>0</v>
      </c>
      <c r="AZ145" s="48">
        <f t="shared" si="510"/>
        <v>0</v>
      </c>
      <c r="BA145" s="48">
        <f t="shared" si="510"/>
        <v>0</v>
      </c>
      <c r="BB145" s="48">
        <f t="shared" si="510"/>
        <v>0</v>
      </c>
      <c r="BC145" s="48">
        <f t="shared" si="510"/>
        <v>0</v>
      </c>
      <c r="BD145" s="48">
        <f t="shared" si="510"/>
        <v>0</v>
      </c>
      <c r="BE145" s="48">
        <f t="shared" si="510"/>
        <v>0</v>
      </c>
      <c r="BF145" s="48">
        <f t="shared" si="510"/>
        <v>0</v>
      </c>
      <c r="BG145" s="48">
        <f t="shared" si="510"/>
        <v>0</v>
      </c>
      <c r="BH145" s="48">
        <f t="shared" si="510"/>
        <v>0</v>
      </c>
      <c r="BI145" s="48">
        <f t="shared" si="510"/>
        <v>0</v>
      </c>
      <c r="BJ145" s="48">
        <f t="shared" si="510"/>
        <v>0</v>
      </c>
      <c r="BK145" s="48">
        <f t="shared" si="510"/>
        <v>0</v>
      </c>
      <c r="BL145" s="48">
        <f t="shared" si="510"/>
        <v>0</v>
      </c>
      <c r="BM145" s="48">
        <f t="shared" si="510"/>
        <v>0</v>
      </c>
      <c r="BN145" s="48">
        <f t="shared" si="510"/>
        <v>0</v>
      </c>
      <c r="BO145" s="48">
        <f t="shared" si="510"/>
        <v>0</v>
      </c>
      <c r="BP145" s="48">
        <f t="shared" si="510"/>
        <v>0</v>
      </c>
      <c r="BQ145" s="48">
        <f t="shared" si="510"/>
        <v>0</v>
      </c>
      <c r="BR145" s="48">
        <f t="shared" si="510"/>
        <v>0</v>
      </c>
      <c r="BS145" s="48">
        <f t="shared" ref="BS145:CX145" si="511">BR$145+BS$143-BS$144</f>
        <v>0</v>
      </c>
      <c r="BT145" s="48">
        <f t="shared" si="511"/>
        <v>0</v>
      </c>
      <c r="BU145" s="48">
        <f t="shared" si="511"/>
        <v>0</v>
      </c>
      <c r="BV145" s="48">
        <f t="shared" si="511"/>
        <v>0</v>
      </c>
      <c r="BW145" s="48">
        <f t="shared" si="511"/>
        <v>0</v>
      </c>
      <c r="BX145" s="48">
        <f t="shared" si="511"/>
        <v>0</v>
      </c>
      <c r="BY145" s="48">
        <f t="shared" si="511"/>
        <v>0</v>
      </c>
      <c r="BZ145" s="48">
        <f t="shared" si="511"/>
        <v>0</v>
      </c>
      <c r="CA145" s="48">
        <f t="shared" si="511"/>
        <v>0</v>
      </c>
      <c r="CB145" s="48">
        <f t="shared" si="511"/>
        <v>0</v>
      </c>
      <c r="CC145" s="48">
        <f t="shared" si="511"/>
        <v>0</v>
      </c>
      <c r="CD145" s="48">
        <f t="shared" si="511"/>
        <v>0</v>
      </c>
      <c r="CE145" s="48">
        <f t="shared" si="511"/>
        <v>0</v>
      </c>
      <c r="CF145" s="48">
        <f t="shared" si="511"/>
        <v>0</v>
      </c>
      <c r="CG145" s="48">
        <f t="shared" si="511"/>
        <v>0</v>
      </c>
      <c r="CH145" s="48">
        <f t="shared" si="511"/>
        <v>0</v>
      </c>
      <c r="CI145" s="48">
        <f t="shared" si="511"/>
        <v>0</v>
      </c>
      <c r="CJ145" s="48">
        <f t="shared" si="511"/>
        <v>0</v>
      </c>
      <c r="CK145" s="48">
        <f t="shared" si="511"/>
        <v>0</v>
      </c>
      <c r="CL145" s="48">
        <f t="shared" si="511"/>
        <v>0</v>
      </c>
      <c r="CM145" s="48">
        <f t="shared" si="511"/>
        <v>0</v>
      </c>
      <c r="CN145" s="48">
        <f t="shared" si="511"/>
        <v>0</v>
      </c>
      <c r="CO145" s="48">
        <f t="shared" si="511"/>
        <v>0</v>
      </c>
      <c r="CP145" s="48">
        <f t="shared" si="511"/>
        <v>0</v>
      </c>
      <c r="CQ145" s="48">
        <f t="shared" si="511"/>
        <v>0</v>
      </c>
      <c r="CR145" s="48">
        <f t="shared" si="511"/>
        <v>0</v>
      </c>
      <c r="CS145" s="48">
        <f t="shared" si="511"/>
        <v>0</v>
      </c>
      <c r="CT145" s="48">
        <f t="shared" si="511"/>
        <v>0</v>
      </c>
      <c r="CU145" s="48">
        <f t="shared" si="511"/>
        <v>0</v>
      </c>
      <c r="CV145" s="48">
        <f t="shared" si="511"/>
        <v>0</v>
      </c>
      <c r="CW145" s="48">
        <f t="shared" si="511"/>
        <v>0</v>
      </c>
      <c r="CX145" s="48">
        <f t="shared" si="511"/>
        <v>0</v>
      </c>
      <c r="CY145" s="48">
        <f t="shared" ref="CY145:ED145" si="512">CX$145+CY$143-CY$144</f>
        <v>0</v>
      </c>
      <c r="CZ145" s="48">
        <f t="shared" si="512"/>
        <v>0</v>
      </c>
      <c r="DA145" s="48">
        <f t="shared" si="512"/>
        <v>0</v>
      </c>
      <c r="DB145" s="48">
        <f t="shared" si="512"/>
        <v>0</v>
      </c>
      <c r="DC145" s="48">
        <f t="shared" si="512"/>
        <v>0</v>
      </c>
      <c r="DD145" s="48">
        <f t="shared" si="512"/>
        <v>0</v>
      </c>
      <c r="DE145" s="48">
        <f t="shared" si="512"/>
        <v>0</v>
      </c>
      <c r="DF145" s="48">
        <f t="shared" si="512"/>
        <v>0</v>
      </c>
      <c r="DG145" s="48">
        <f t="shared" si="512"/>
        <v>0</v>
      </c>
      <c r="DH145" s="48">
        <f t="shared" si="512"/>
        <v>0</v>
      </c>
      <c r="DI145" s="48">
        <f t="shared" si="512"/>
        <v>0</v>
      </c>
      <c r="DJ145" s="48">
        <f t="shared" si="512"/>
        <v>0</v>
      </c>
      <c r="DK145" s="48">
        <f t="shared" si="512"/>
        <v>0</v>
      </c>
      <c r="DL145" s="48">
        <f t="shared" si="512"/>
        <v>0</v>
      </c>
      <c r="DM145" s="48">
        <f t="shared" si="512"/>
        <v>0</v>
      </c>
      <c r="DN145" s="48">
        <f t="shared" si="512"/>
        <v>0</v>
      </c>
      <c r="DO145" s="48">
        <f t="shared" si="512"/>
        <v>0</v>
      </c>
      <c r="DP145" s="48">
        <f t="shared" si="512"/>
        <v>0</v>
      </c>
      <c r="DQ145" s="48">
        <f t="shared" si="512"/>
        <v>0</v>
      </c>
      <c r="DR145" s="48">
        <f t="shared" si="512"/>
        <v>0</v>
      </c>
      <c r="DS145" s="48">
        <f t="shared" si="512"/>
        <v>0</v>
      </c>
      <c r="DT145" s="48">
        <f t="shared" si="512"/>
        <v>0</v>
      </c>
      <c r="DU145" s="48">
        <f t="shared" si="512"/>
        <v>0</v>
      </c>
      <c r="DV145" s="48">
        <f t="shared" si="512"/>
        <v>0</v>
      </c>
      <c r="DW145" s="48">
        <f t="shared" si="512"/>
        <v>0</v>
      </c>
      <c r="DX145" s="48">
        <f t="shared" si="512"/>
        <v>0</v>
      </c>
      <c r="DY145" s="48">
        <f t="shared" si="512"/>
        <v>0</v>
      </c>
      <c r="DZ145" s="48">
        <f t="shared" si="512"/>
        <v>0</v>
      </c>
      <c r="EA145" s="48">
        <f t="shared" si="512"/>
        <v>0</v>
      </c>
      <c r="EB145" s="48">
        <f t="shared" si="512"/>
        <v>0</v>
      </c>
      <c r="EC145" s="48">
        <f t="shared" si="512"/>
        <v>0</v>
      </c>
      <c r="ED145" s="48">
        <f t="shared" si="512"/>
        <v>0</v>
      </c>
      <c r="EE145" s="48">
        <f t="shared" ref="EE145:ES145" si="513">ED$145+EE$143-EE$144</f>
        <v>0</v>
      </c>
      <c r="EF145" s="48">
        <f t="shared" si="513"/>
        <v>0</v>
      </c>
      <c r="EG145" s="48">
        <f t="shared" si="513"/>
        <v>0</v>
      </c>
      <c r="EH145" s="48">
        <f t="shared" si="513"/>
        <v>0</v>
      </c>
      <c r="EI145" s="48">
        <f t="shared" si="513"/>
        <v>0</v>
      </c>
      <c r="EJ145" s="48">
        <f t="shared" si="513"/>
        <v>0</v>
      </c>
      <c r="EK145" s="48">
        <f t="shared" si="513"/>
        <v>0</v>
      </c>
      <c r="EL145" s="48">
        <f t="shared" si="513"/>
        <v>0</v>
      </c>
      <c r="EM145" s="48">
        <f t="shared" si="513"/>
        <v>0</v>
      </c>
      <c r="EN145" s="48">
        <f t="shared" si="513"/>
        <v>0</v>
      </c>
      <c r="EO145" s="48">
        <f t="shared" si="513"/>
        <v>0</v>
      </c>
      <c r="EP145" s="48">
        <f t="shared" si="513"/>
        <v>0</v>
      </c>
      <c r="EQ145" s="48">
        <f t="shared" si="513"/>
        <v>0</v>
      </c>
      <c r="ER145" s="48">
        <f t="shared" si="513"/>
        <v>0</v>
      </c>
      <c r="ES145" s="48">
        <f t="shared" si="513"/>
        <v>0</v>
      </c>
    </row>
    <row r="146" spans="1:149" x14ac:dyDescent="0.3">
      <c r="A146" s="14" t="s">
        <v>1186</v>
      </c>
      <c r="B146" s="18" t="s">
        <v>1187</v>
      </c>
      <c r="C146" s="18" t="s">
        <v>439</v>
      </c>
      <c r="E146" s="54">
        <f>SUM(F146:ES146)</f>
        <v>2791587</v>
      </c>
      <c r="F146" s="48">
        <f t="shared" ref="F146:AK146" si="514">F$136+F$143</f>
        <v>2791587</v>
      </c>
      <c r="G146" s="48">
        <f t="shared" si="514"/>
        <v>0</v>
      </c>
      <c r="H146" s="48">
        <f t="shared" si="514"/>
        <v>0</v>
      </c>
      <c r="I146" s="48">
        <f t="shared" si="514"/>
        <v>0</v>
      </c>
      <c r="J146" s="48">
        <f t="shared" si="514"/>
        <v>0</v>
      </c>
      <c r="K146" s="48">
        <f t="shared" si="514"/>
        <v>0</v>
      </c>
      <c r="L146" s="48">
        <f t="shared" si="514"/>
        <v>0</v>
      </c>
      <c r="M146" s="48">
        <f t="shared" si="514"/>
        <v>0</v>
      </c>
      <c r="N146" s="48">
        <f t="shared" si="514"/>
        <v>0</v>
      </c>
      <c r="O146" s="48">
        <f t="shared" si="514"/>
        <v>0</v>
      </c>
      <c r="P146" s="48">
        <f t="shared" si="514"/>
        <v>0</v>
      </c>
      <c r="Q146" s="48">
        <f t="shared" si="514"/>
        <v>0</v>
      </c>
      <c r="R146" s="48">
        <f t="shared" si="514"/>
        <v>0</v>
      </c>
      <c r="S146" s="48">
        <f t="shared" si="514"/>
        <v>0</v>
      </c>
      <c r="T146" s="48">
        <f t="shared" si="514"/>
        <v>0</v>
      </c>
      <c r="U146" s="48">
        <f t="shared" si="514"/>
        <v>0</v>
      </c>
      <c r="V146" s="48">
        <f t="shared" si="514"/>
        <v>0</v>
      </c>
      <c r="W146" s="48">
        <f t="shared" si="514"/>
        <v>0</v>
      </c>
      <c r="X146" s="48">
        <f t="shared" si="514"/>
        <v>0</v>
      </c>
      <c r="Y146" s="48">
        <f t="shared" si="514"/>
        <v>0</v>
      </c>
      <c r="Z146" s="48">
        <f t="shared" si="514"/>
        <v>0</v>
      </c>
      <c r="AA146" s="48">
        <f t="shared" si="514"/>
        <v>0</v>
      </c>
      <c r="AB146" s="48">
        <f t="shared" si="514"/>
        <v>0</v>
      </c>
      <c r="AC146" s="48">
        <f t="shared" si="514"/>
        <v>0</v>
      </c>
      <c r="AD146" s="48">
        <f t="shared" si="514"/>
        <v>0</v>
      </c>
      <c r="AE146" s="48">
        <f t="shared" si="514"/>
        <v>0</v>
      </c>
      <c r="AF146" s="48">
        <f t="shared" si="514"/>
        <v>0</v>
      </c>
      <c r="AG146" s="48">
        <f t="shared" si="514"/>
        <v>0</v>
      </c>
      <c r="AH146" s="48">
        <f t="shared" si="514"/>
        <v>0</v>
      </c>
      <c r="AI146" s="48">
        <f t="shared" si="514"/>
        <v>0</v>
      </c>
      <c r="AJ146" s="48">
        <f t="shared" si="514"/>
        <v>0</v>
      </c>
      <c r="AK146" s="48">
        <f t="shared" si="514"/>
        <v>0</v>
      </c>
      <c r="AL146" s="48">
        <f t="shared" ref="AL146:BQ146" si="515">AL$136+AL$143</f>
        <v>0</v>
      </c>
      <c r="AM146" s="48">
        <f t="shared" si="515"/>
        <v>0</v>
      </c>
      <c r="AN146" s="48">
        <f t="shared" si="515"/>
        <v>0</v>
      </c>
      <c r="AO146" s="48">
        <f t="shared" si="515"/>
        <v>0</v>
      </c>
      <c r="AP146" s="48">
        <f t="shared" si="515"/>
        <v>0</v>
      </c>
      <c r="AQ146" s="48">
        <f t="shared" si="515"/>
        <v>0</v>
      </c>
      <c r="AR146" s="48">
        <f t="shared" si="515"/>
        <v>0</v>
      </c>
      <c r="AS146" s="48">
        <f t="shared" si="515"/>
        <v>0</v>
      </c>
      <c r="AT146" s="48">
        <f t="shared" si="515"/>
        <v>0</v>
      </c>
      <c r="AU146" s="48">
        <f t="shared" si="515"/>
        <v>0</v>
      </c>
      <c r="AV146" s="48">
        <f t="shared" si="515"/>
        <v>0</v>
      </c>
      <c r="AW146" s="48">
        <f t="shared" si="515"/>
        <v>0</v>
      </c>
      <c r="AX146" s="48">
        <f t="shared" si="515"/>
        <v>0</v>
      </c>
      <c r="AY146" s="48">
        <f t="shared" si="515"/>
        <v>0</v>
      </c>
      <c r="AZ146" s="48">
        <f t="shared" si="515"/>
        <v>0</v>
      </c>
      <c r="BA146" s="48">
        <f t="shared" si="515"/>
        <v>0</v>
      </c>
      <c r="BB146" s="48">
        <f t="shared" si="515"/>
        <v>0</v>
      </c>
      <c r="BC146" s="48">
        <f t="shared" si="515"/>
        <v>0</v>
      </c>
      <c r="BD146" s="48">
        <f t="shared" si="515"/>
        <v>0</v>
      </c>
      <c r="BE146" s="48">
        <f t="shared" si="515"/>
        <v>0</v>
      </c>
      <c r="BF146" s="48">
        <f t="shared" si="515"/>
        <v>0</v>
      </c>
      <c r="BG146" s="48">
        <f t="shared" si="515"/>
        <v>0</v>
      </c>
      <c r="BH146" s="48">
        <f t="shared" si="515"/>
        <v>0</v>
      </c>
      <c r="BI146" s="48">
        <f t="shared" si="515"/>
        <v>0</v>
      </c>
      <c r="BJ146" s="48">
        <f t="shared" si="515"/>
        <v>0</v>
      </c>
      <c r="BK146" s="48">
        <f t="shared" si="515"/>
        <v>0</v>
      </c>
      <c r="BL146" s="48">
        <f t="shared" si="515"/>
        <v>0</v>
      </c>
      <c r="BM146" s="48">
        <f t="shared" si="515"/>
        <v>0</v>
      </c>
      <c r="BN146" s="48">
        <f t="shared" si="515"/>
        <v>0</v>
      </c>
      <c r="BO146" s="48">
        <f t="shared" si="515"/>
        <v>0</v>
      </c>
      <c r="BP146" s="48">
        <f t="shared" si="515"/>
        <v>0</v>
      </c>
      <c r="BQ146" s="48">
        <f t="shared" si="515"/>
        <v>0</v>
      </c>
      <c r="BR146" s="48">
        <f t="shared" ref="BR146:CW146" si="516">BR$136+BR$143</f>
        <v>0</v>
      </c>
      <c r="BS146" s="48">
        <f t="shared" si="516"/>
        <v>0</v>
      </c>
      <c r="BT146" s="48">
        <f t="shared" si="516"/>
        <v>0</v>
      </c>
      <c r="BU146" s="48">
        <f t="shared" si="516"/>
        <v>0</v>
      </c>
      <c r="BV146" s="48">
        <f t="shared" si="516"/>
        <v>0</v>
      </c>
      <c r="BW146" s="48">
        <f t="shared" si="516"/>
        <v>0</v>
      </c>
      <c r="BX146" s="48">
        <f t="shared" si="516"/>
        <v>0</v>
      </c>
      <c r="BY146" s="48">
        <f t="shared" si="516"/>
        <v>0</v>
      </c>
      <c r="BZ146" s="48">
        <f t="shared" si="516"/>
        <v>0</v>
      </c>
      <c r="CA146" s="48">
        <f t="shared" si="516"/>
        <v>0</v>
      </c>
      <c r="CB146" s="48">
        <f t="shared" si="516"/>
        <v>0</v>
      </c>
      <c r="CC146" s="48">
        <f t="shared" si="516"/>
        <v>0</v>
      </c>
      <c r="CD146" s="48">
        <f t="shared" si="516"/>
        <v>0</v>
      </c>
      <c r="CE146" s="48">
        <f t="shared" si="516"/>
        <v>0</v>
      </c>
      <c r="CF146" s="48">
        <f t="shared" si="516"/>
        <v>0</v>
      </c>
      <c r="CG146" s="48">
        <f t="shared" si="516"/>
        <v>0</v>
      </c>
      <c r="CH146" s="48">
        <f t="shared" si="516"/>
        <v>0</v>
      </c>
      <c r="CI146" s="48">
        <f t="shared" si="516"/>
        <v>0</v>
      </c>
      <c r="CJ146" s="48">
        <f t="shared" si="516"/>
        <v>0</v>
      </c>
      <c r="CK146" s="48">
        <f t="shared" si="516"/>
        <v>0</v>
      </c>
      <c r="CL146" s="48">
        <f t="shared" si="516"/>
        <v>0</v>
      </c>
      <c r="CM146" s="48">
        <f t="shared" si="516"/>
        <v>0</v>
      </c>
      <c r="CN146" s="48">
        <f t="shared" si="516"/>
        <v>0</v>
      </c>
      <c r="CO146" s="48">
        <f t="shared" si="516"/>
        <v>0</v>
      </c>
      <c r="CP146" s="48">
        <f t="shared" si="516"/>
        <v>0</v>
      </c>
      <c r="CQ146" s="48">
        <f t="shared" si="516"/>
        <v>0</v>
      </c>
      <c r="CR146" s="48">
        <f t="shared" si="516"/>
        <v>0</v>
      </c>
      <c r="CS146" s="48">
        <f t="shared" si="516"/>
        <v>0</v>
      </c>
      <c r="CT146" s="48">
        <f t="shared" si="516"/>
        <v>0</v>
      </c>
      <c r="CU146" s="48">
        <f t="shared" si="516"/>
        <v>0</v>
      </c>
      <c r="CV146" s="48">
        <f t="shared" si="516"/>
        <v>0</v>
      </c>
      <c r="CW146" s="48">
        <f t="shared" si="516"/>
        <v>0</v>
      </c>
      <c r="CX146" s="48">
        <f t="shared" ref="CX146:EC146" si="517">CX$136+CX$143</f>
        <v>0</v>
      </c>
      <c r="CY146" s="48">
        <f t="shared" si="517"/>
        <v>0</v>
      </c>
      <c r="CZ146" s="48">
        <f t="shared" si="517"/>
        <v>0</v>
      </c>
      <c r="DA146" s="48">
        <f t="shared" si="517"/>
        <v>0</v>
      </c>
      <c r="DB146" s="48">
        <f t="shared" si="517"/>
        <v>0</v>
      </c>
      <c r="DC146" s="48">
        <f t="shared" si="517"/>
        <v>0</v>
      </c>
      <c r="DD146" s="48">
        <f t="shared" si="517"/>
        <v>0</v>
      </c>
      <c r="DE146" s="48">
        <f t="shared" si="517"/>
        <v>0</v>
      </c>
      <c r="DF146" s="48">
        <f t="shared" si="517"/>
        <v>0</v>
      </c>
      <c r="DG146" s="48">
        <f t="shared" si="517"/>
        <v>0</v>
      </c>
      <c r="DH146" s="48">
        <f t="shared" si="517"/>
        <v>0</v>
      </c>
      <c r="DI146" s="48">
        <f t="shared" si="517"/>
        <v>0</v>
      </c>
      <c r="DJ146" s="48">
        <f t="shared" si="517"/>
        <v>0</v>
      </c>
      <c r="DK146" s="48">
        <f t="shared" si="517"/>
        <v>0</v>
      </c>
      <c r="DL146" s="48">
        <f t="shared" si="517"/>
        <v>0</v>
      </c>
      <c r="DM146" s="48">
        <f t="shared" si="517"/>
        <v>0</v>
      </c>
      <c r="DN146" s="48">
        <f t="shared" si="517"/>
        <v>0</v>
      </c>
      <c r="DO146" s="48">
        <f t="shared" si="517"/>
        <v>0</v>
      </c>
      <c r="DP146" s="48">
        <f t="shared" si="517"/>
        <v>0</v>
      </c>
      <c r="DQ146" s="48">
        <f t="shared" si="517"/>
        <v>0</v>
      </c>
      <c r="DR146" s="48">
        <f t="shared" si="517"/>
        <v>0</v>
      </c>
      <c r="DS146" s="48">
        <f t="shared" si="517"/>
        <v>0</v>
      </c>
      <c r="DT146" s="48">
        <f t="shared" si="517"/>
        <v>0</v>
      </c>
      <c r="DU146" s="48">
        <f t="shared" si="517"/>
        <v>0</v>
      </c>
      <c r="DV146" s="48">
        <f t="shared" si="517"/>
        <v>0</v>
      </c>
      <c r="DW146" s="48">
        <f t="shared" si="517"/>
        <v>0</v>
      </c>
      <c r="DX146" s="48">
        <f t="shared" si="517"/>
        <v>0</v>
      </c>
      <c r="DY146" s="48">
        <f t="shared" si="517"/>
        <v>0</v>
      </c>
      <c r="DZ146" s="48">
        <f t="shared" si="517"/>
        <v>0</v>
      </c>
      <c r="EA146" s="48">
        <f t="shared" si="517"/>
        <v>0</v>
      </c>
      <c r="EB146" s="48">
        <f t="shared" si="517"/>
        <v>0</v>
      </c>
      <c r="EC146" s="48">
        <f t="shared" si="517"/>
        <v>0</v>
      </c>
      <c r="ED146" s="48">
        <f t="shared" ref="ED146:ES146" si="518">ED$136+ED$143</f>
        <v>0</v>
      </c>
      <c r="EE146" s="48">
        <f t="shared" si="518"/>
        <v>0</v>
      </c>
      <c r="EF146" s="48">
        <f t="shared" si="518"/>
        <v>0</v>
      </c>
      <c r="EG146" s="48">
        <f t="shared" si="518"/>
        <v>0</v>
      </c>
      <c r="EH146" s="48">
        <f t="shared" si="518"/>
        <v>0</v>
      </c>
      <c r="EI146" s="48">
        <f t="shared" si="518"/>
        <v>0</v>
      </c>
      <c r="EJ146" s="48">
        <f t="shared" si="518"/>
        <v>0</v>
      </c>
      <c r="EK146" s="48">
        <f t="shared" si="518"/>
        <v>0</v>
      </c>
      <c r="EL146" s="48">
        <f t="shared" si="518"/>
        <v>0</v>
      </c>
      <c r="EM146" s="48">
        <f t="shared" si="518"/>
        <v>0</v>
      </c>
      <c r="EN146" s="48">
        <f t="shared" si="518"/>
        <v>0</v>
      </c>
      <c r="EO146" s="48">
        <f t="shared" si="518"/>
        <v>0</v>
      </c>
      <c r="EP146" s="48">
        <f t="shared" si="518"/>
        <v>0</v>
      </c>
      <c r="EQ146" s="48">
        <f t="shared" si="518"/>
        <v>0</v>
      </c>
      <c r="ER146" s="48">
        <f t="shared" si="518"/>
        <v>0</v>
      </c>
      <c r="ES146" s="48">
        <f t="shared" si="518"/>
        <v>0</v>
      </c>
    </row>
    <row r="147" spans="1:149" x14ac:dyDescent="0.3">
      <c r="A147" s="14" t="s">
        <v>1188</v>
      </c>
      <c r="B147" s="18" t="s">
        <v>1189</v>
      </c>
      <c r="C147" s="18" t="s">
        <v>439</v>
      </c>
      <c r="E147" s="54">
        <f>SUM(F147:ES147)</f>
        <v>2791587.0000000005</v>
      </c>
      <c r="F147" s="48">
        <f t="shared" ref="F147:AK147" si="519">F$137+F$144</f>
        <v>0</v>
      </c>
      <c r="G147" s="48">
        <f t="shared" si="519"/>
        <v>0</v>
      </c>
      <c r="H147" s="48">
        <f t="shared" si="519"/>
        <v>0</v>
      </c>
      <c r="I147" s="48">
        <f t="shared" si="519"/>
        <v>0</v>
      </c>
      <c r="J147" s="48">
        <f t="shared" si="519"/>
        <v>0</v>
      </c>
      <c r="K147" s="48">
        <f t="shared" si="519"/>
        <v>0</v>
      </c>
      <c r="L147" s="48">
        <f t="shared" si="519"/>
        <v>42123.304094687759</v>
      </c>
      <c r="M147" s="48">
        <f t="shared" si="519"/>
        <v>42439.228875397908</v>
      </c>
      <c r="N147" s="48">
        <f t="shared" si="519"/>
        <v>42757.52309196339</v>
      </c>
      <c r="O147" s="48">
        <f t="shared" si="519"/>
        <v>43078.20451515312</v>
      </c>
      <c r="P147" s="48">
        <f t="shared" si="519"/>
        <v>43401.291049016771</v>
      </c>
      <c r="Q147" s="48">
        <f t="shared" si="519"/>
        <v>43726.800731884396</v>
      </c>
      <c r="R147" s="48">
        <f t="shared" si="519"/>
        <v>44054.751737373532</v>
      </c>
      <c r="S147" s="48">
        <f t="shared" si="519"/>
        <v>44385.16237540383</v>
      </c>
      <c r="T147" s="48">
        <f t="shared" si="519"/>
        <v>44718.051093219357</v>
      </c>
      <c r="U147" s="48">
        <f t="shared" si="519"/>
        <v>45053.436476418501</v>
      </c>
      <c r="V147" s="48">
        <f t="shared" si="519"/>
        <v>45391.337249991644</v>
      </c>
      <c r="W147" s="48">
        <f t="shared" si="519"/>
        <v>45731.772279366574</v>
      </c>
      <c r="X147" s="48">
        <f t="shared" si="519"/>
        <v>46074.760571461826</v>
      </c>
      <c r="Y147" s="48">
        <f t="shared" si="519"/>
        <v>46420.321275747789</v>
      </c>
      <c r="Z147" s="48">
        <f t="shared" si="519"/>
        <v>46768.473685315897</v>
      </c>
      <c r="AA147" s="48">
        <f t="shared" si="519"/>
        <v>47119.237237955764</v>
      </c>
      <c r="AB147" s="48">
        <f t="shared" si="519"/>
        <v>47472.631517240428</v>
      </c>
      <c r="AC147" s="48">
        <f t="shared" si="519"/>
        <v>47828.676253619735</v>
      </c>
      <c r="AD147" s="48">
        <f t="shared" si="519"/>
        <v>48187.391325521887</v>
      </c>
      <c r="AE147" s="48">
        <f t="shared" si="519"/>
        <v>48548.796760463301</v>
      </c>
      <c r="AF147" s="48">
        <f t="shared" si="519"/>
        <v>48912.912736166778</v>
      </c>
      <c r="AG147" s="48">
        <f t="shared" si="519"/>
        <v>49279.759581688028</v>
      </c>
      <c r="AH147" s="48">
        <f t="shared" si="519"/>
        <v>49649.357778550686</v>
      </c>
      <c r="AI147" s="48">
        <f t="shared" si="519"/>
        <v>50021.727961889817</v>
      </c>
      <c r="AJ147" s="48">
        <f t="shared" si="519"/>
        <v>50396.89092160399</v>
      </c>
      <c r="AK147" s="48">
        <f t="shared" si="519"/>
        <v>50774.867603516017</v>
      </c>
      <c r="AL147" s="48">
        <f t="shared" ref="AL147:BQ147" si="520">AL$137+AL$144</f>
        <v>51155.679110542391</v>
      </c>
      <c r="AM147" s="48">
        <f t="shared" si="520"/>
        <v>51539.346703871459</v>
      </c>
      <c r="AN147" s="48">
        <f t="shared" si="520"/>
        <v>51925.891804150495</v>
      </c>
      <c r="AO147" s="48">
        <f t="shared" si="520"/>
        <v>52315.335992681619</v>
      </c>
      <c r="AP147" s="48">
        <f t="shared" si="520"/>
        <v>52707.701012626734</v>
      </c>
      <c r="AQ147" s="48">
        <f t="shared" si="520"/>
        <v>53103.008770221437</v>
      </c>
      <c r="AR147" s="48">
        <f t="shared" si="520"/>
        <v>53501.281335998094</v>
      </c>
      <c r="AS147" s="48">
        <f t="shared" si="520"/>
        <v>53902.540946018082</v>
      </c>
      <c r="AT147" s="48">
        <f t="shared" si="520"/>
        <v>54306.810003113213</v>
      </c>
      <c r="AU147" s="48">
        <f t="shared" si="520"/>
        <v>54714.111078136564</v>
      </c>
      <c r="AV147" s="48">
        <f t="shared" si="520"/>
        <v>55124.466911222589</v>
      </c>
      <c r="AW147" s="48">
        <f t="shared" si="520"/>
        <v>55537.900413056755</v>
      </c>
      <c r="AX147" s="48">
        <f t="shared" si="520"/>
        <v>55954.434666154688</v>
      </c>
      <c r="AY147" s="48">
        <f t="shared" si="520"/>
        <v>56374.092926150843</v>
      </c>
      <c r="AZ147" s="48">
        <f t="shared" si="520"/>
        <v>56796.898623096975</v>
      </c>
      <c r="BA147" s="48">
        <f t="shared" si="520"/>
        <v>57222.875362770203</v>
      </c>
      <c r="BB147" s="48">
        <f t="shared" si="520"/>
        <v>57652.046927990981</v>
      </c>
      <c r="BC147" s="48">
        <f t="shared" si="520"/>
        <v>58084.437279950915</v>
      </c>
      <c r="BD147" s="48">
        <f t="shared" si="520"/>
        <v>58520.070559550542</v>
      </c>
      <c r="BE147" s="48">
        <f t="shared" si="520"/>
        <v>58958.971088747174</v>
      </c>
      <c r="BF147" s="48">
        <f t="shared" si="520"/>
        <v>59401.163371912779</v>
      </c>
      <c r="BG147" s="48">
        <f t="shared" si="520"/>
        <v>59846.672097202121</v>
      </c>
      <c r="BH147" s="48">
        <f t="shared" si="520"/>
        <v>60295.522137931141</v>
      </c>
      <c r="BI147" s="48">
        <f t="shared" si="520"/>
        <v>60747.738553965624</v>
      </c>
      <c r="BJ147" s="48">
        <f t="shared" si="520"/>
        <v>61203.346593120361</v>
      </c>
      <c r="BK147" s="48">
        <f t="shared" si="520"/>
        <v>61662.37169256877</v>
      </c>
      <c r="BL147" s="48">
        <f t="shared" si="520"/>
        <v>62124.839480263036</v>
      </c>
      <c r="BM147" s="48">
        <f t="shared" si="520"/>
        <v>62590.775776366791</v>
      </c>
      <c r="BN147" s="48">
        <f t="shared" si="520"/>
        <v>0</v>
      </c>
      <c r="BO147" s="48">
        <f t="shared" si="520"/>
        <v>0</v>
      </c>
      <c r="BP147" s="48">
        <f t="shared" si="520"/>
        <v>0</v>
      </c>
      <c r="BQ147" s="48">
        <f t="shared" si="520"/>
        <v>0</v>
      </c>
      <c r="BR147" s="48">
        <f t="shared" ref="BR147:CW147" si="521">BR$137+BR$144</f>
        <v>0</v>
      </c>
      <c r="BS147" s="48">
        <f t="shared" si="521"/>
        <v>0</v>
      </c>
      <c r="BT147" s="48">
        <f t="shared" si="521"/>
        <v>0</v>
      </c>
      <c r="BU147" s="48">
        <f t="shared" si="521"/>
        <v>0</v>
      </c>
      <c r="BV147" s="48">
        <f t="shared" si="521"/>
        <v>0</v>
      </c>
      <c r="BW147" s="48">
        <f t="shared" si="521"/>
        <v>0</v>
      </c>
      <c r="BX147" s="48">
        <f t="shared" si="521"/>
        <v>0</v>
      </c>
      <c r="BY147" s="48">
        <f t="shared" si="521"/>
        <v>0</v>
      </c>
      <c r="BZ147" s="48">
        <f t="shared" si="521"/>
        <v>0</v>
      </c>
      <c r="CA147" s="48">
        <f t="shared" si="521"/>
        <v>0</v>
      </c>
      <c r="CB147" s="48">
        <f t="shared" si="521"/>
        <v>0</v>
      </c>
      <c r="CC147" s="48">
        <f t="shared" si="521"/>
        <v>0</v>
      </c>
      <c r="CD147" s="48">
        <f t="shared" si="521"/>
        <v>0</v>
      </c>
      <c r="CE147" s="48">
        <f t="shared" si="521"/>
        <v>0</v>
      </c>
      <c r="CF147" s="48">
        <f t="shared" si="521"/>
        <v>0</v>
      </c>
      <c r="CG147" s="48">
        <f t="shared" si="521"/>
        <v>0</v>
      </c>
      <c r="CH147" s="48">
        <f t="shared" si="521"/>
        <v>0</v>
      </c>
      <c r="CI147" s="48">
        <f t="shared" si="521"/>
        <v>0</v>
      </c>
      <c r="CJ147" s="48">
        <f t="shared" si="521"/>
        <v>0</v>
      </c>
      <c r="CK147" s="48">
        <f t="shared" si="521"/>
        <v>0</v>
      </c>
      <c r="CL147" s="48">
        <f t="shared" si="521"/>
        <v>0</v>
      </c>
      <c r="CM147" s="48">
        <f t="shared" si="521"/>
        <v>0</v>
      </c>
      <c r="CN147" s="48">
        <f t="shared" si="521"/>
        <v>0</v>
      </c>
      <c r="CO147" s="48">
        <f t="shared" si="521"/>
        <v>0</v>
      </c>
      <c r="CP147" s="48">
        <f t="shared" si="521"/>
        <v>0</v>
      </c>
      <c r="CQ147" s="48">
        <f t="shared" si="521"/>
        <v>0</v>
      </c>
      <c r="CR147" s="48">
        <f t="shared" si="521"/>
        <v>0</v>
      </c>
      <c r="CS147" s="48">
        <f t="shared" si="521"/>
        <v>0</v>
      </c>
      <c r="CT147" s="48">
        <f t="shared" si="521"/>
        <v>0</v>
      </c>
      <c r="CU147" s="48">
        <f t="shared" si="521"/>
        <v>0</v>
      </c>
      <c r="CV147" s="48">
        <f t="shared" si="521"/>
        <v>0</v>
      </c>
      <c r="CW147" s="48">
        <f t="shared" si="521"/>
        <v>0</v>
      </c>
      <c r="CX147" s="48">
        <f t="shared" ref="CX147:EC147" si="522">CX$137+CX$144</f>
        <v>0</v>
      </c>
      <c r="CY147" s="48">
        <f t="shared" si="522"/>
        <v>0</v>
      </c>
      <c r="CZ147" s="48">
        <f t="shared" si="522"/>
        <v>0</v>
      </c>
      <c r="DA147" s="48">
        <f t="shared" si="522"/>
        <v>0</v>
      </c>
      <c r="DB147" s="48">
        <f t="shared" si="522"/>
        <v>0</v>
      </c>
      <c r="DC147" s="48">
        <f t="shared" si="522"/>
        <v>0</v>
      </c>
      <c r="DD147" s="48">
        <f t="shared" si="522"/>
        <v>0</v>
      </c>
      <c r="DE147" s="48">
        <f t="shared" si="522"/>
        <v>0</v>
      </c>
      <c r="DF147" s="48">
        <f t="shared" si="522"/>
        <v>0</v>
      </c>
      <c r="DG147" s="48">
        <f t="shared" si="522"/>
        <v>0</v>
      </c>
      <c r="DH147" s="48">
        <f t="shared" si="522"/>
        <v>0</v>
      </c>
      <c r="DI147" s="48">
        <f t="shared" si="522"/>
        <v>0</v>
      </c>
      <c r="DJ147" s="48">
        <f t="shared" si="522"/>
        <v>0</v>
      </c>
      <c r="DK147" s="48">
        <f t="shared" si="522"/>
        <v>0</v>
      </c>
      <c r="DL147" s="48">
        <f t="shared" si="522"/>
        <v>0</v>
      </c>
      <c r="DM147" s="48">
        <f t="shared" si="522"/>
        <v>0</v>
      </c>
      <c r="DN147" s="48">
        <f t="shared" si="522"/>
        <v>0</v>
      </c>
      <c r="DO147" s="48">
        <f t="shared" si="522"/>
        <v>0</v>
      </c>
      <c r="DP147" s="48">
        <f t="shared" si="522"/>
        <v>0</v>
      </c>
      <c r="DQ147" s="48">
        <f t="shared" si="522"/>
        <v>0</v>
      </c>
      <c r="DR147" s="48">
        <f t="shared" si="522"/>
        <v>0</v>
      </c>
      <c r="DS147" s="48">
        <f t="shared" si="522"/>
        <v>0</v>
      </c>
      <c r="DT147" s="48">
        <f t="shared" si="522"/>
        <v>0</v>
      </c>
      <c r="DU147" s="48">
        <f t="shared" si="522"/>
        <v>0</v>
      </c>
      <c r="DV147" s="48">
        <f t="shared" si="522"/>
        <v>0</v>
      </c>
      <c r="DW147" s="48">
        <f t="shared" si="522"/>
        <v>0</v>
      </c>
      <c r="DX147" s="48">
        <f t="shared" si="522"/>
        <v>0</v>
      </c>
      <c r="DY147" s="48">
        <f t="shared" si="522"/>
        <v>0</v>
      </c>
      <c r="DZ147" s="48">
        <f t="shared" si="522"/>
        <v>0</v>
      </c>
      <c r="EA147" s="48">
        <f t="shared" si="522"/>
        <v>0</v>
      </c>
      <c r="EB147" s="48">
        <f t="shared" si="522"/>
        <v>0</v>
      </c>
      <c r="EC147" s="48">
        <f t="shared" si="522"/>
        <v>0</v>
      </c>
      <c r="ED147" s="48">
        <f t="shared" ref="ED147:ES147" si="523">ED$137+ED$144</f>
        <v>0</v>
      </c>
      <c r="EE147" s="48">
        <f t="shared" si="523"/>
        <v>0</v>
      </c>
      <c r="EF147" s="48">
        <f t="shared" si="523"/>
        <v>0</v>
      </c>
      <c r="EG147" s="48">
        <f t="shared" si="523"/>
        <v>0</v>
      </c>
      <c r="EH147" s="48">
        <f t="shared" si="523"/>
        <v>0</v>
      </c>
      <c r="EI147" s="48">
        <f t="shared" si="523"/>
        <v>0</v>
      </c>
      <c r="EJ147" s="48">
        <f t="shared" si="523"/>
        <v>0</v>
      </c>
      <c r="EK147" s="48">
        <f t="shared" si="523"/>
        <v>0</v>
      </c>
      <c r="EL147" s="48">
        <f t="shared" si="523"/>
        <v>0</v>
      </c>
      <c r="EM147" s="48">
        <f t="shared" si="523"/>
        <v>0</v>
      </c>
      <c r="EN147" s="48">
        <f t="shared" si="523"/>
        <v>0</v>
      </c>
      <c r="EO147" s="48">
        <f t="shared" si="523"/>
        <v>0</v>
      </c>
      <c r="EP147" s="48">
        <f t="shared" si="523"/>
        <v>0</v>
      </c>
      <c r="EQ147" s="48">
        <f t="shared" si="523"/>
        <v>0</v>
      </c>
      <c r="ER147" s="48">
        <f t="shared" si="523"/>
        <v>0</v>
      </c>
      <c r="ES147" s="48">
        <f t="shared" si="523"/>
        <v>0</v>
      </c>
    </row>
    <row r="148" spans="1:149" x14ac:dyDescent="0.3">
      <c r="A148" s="14" t="s">
        <v>1190</v>
      </c>
      <c r="B148" s="68" t="s">
        <v>1191</v>
      </c>
      <c r="C148" s="18" t="s">
        <v>439</v>
      </c>
      <c r="E148" s="54">
        <f>MAX(F148:ES148)</f>
        <v>2791587</v>
      </c>
      <c r="F148" s="22">
        <f>0+F$146-F$147</f>
        <v>2791587</v>
      </c>
      <c r="G148" s="22">
        <f t="shared" ref="G148:AL148" si="524">F$148+G$146-G$147</f>
        <v>2791587</v>
      </c>
      <c r="H148" s="22">
        <f t="shared" si="524"/>
        <v>2791587</v>
      </c>
      <c r="I148" s="22">
        <f t="shared" si="524"/>
        <v>2791587</v>
      </c>
      <c r="J148" s="22">
        <f t="shared" si="524"/>
        <v>2791587</v>
      </c>
      <c r="K148" s="22">
        <f t="shared" si="524"/>
        <v>2791587</v>
      </c>
      <c r="L148" s="22">
        <f t="shared" si="524"/>
        <v>2749463.6959053124</v>
      </c>
      <c r="M148" s="22">
        <f t="shared" si="524"/>
        <v>2707024.4670299147</v>
      </c>
      <c r="N148" s="22">
        <f t="shared" si="524"/>
        <v>2664266.9439379512</v>
      </c>
      <c r="O148" s="22">
        <f t="shared" si="524"/>
        <v>2621188.7394227982</v>
      </c>
      <c r="P148" s="22">
        <f t="shared" si="524"/>
        <v>2577787.4483737815</v>
      </c>
      <c r="Q148" s="22">
        <f t="shared" si="524"/>
        <v>2534060.6476418972</v>
      </c>
      <c r="R148" s="22">
        <f t="shared" si="524"/>
        <v>2490005.8959045238</v>
      </c>
      <c r="S148" s="22">
        <f t="shared" si="524"/>
        <v>2445620.7335291198</v>
      </c>
      <c r="T148" s="22">
        <f t="shared" si="524"/>
        <v>2400902.6824359004</v>
      </c>
      <c r="U148" s="22">
        <f t="shared" si="524"/>
        <v>2355849.2459594822</v>
      </c>
      <c r="V148" s="22">
        <f t="shared" si="524"/>
        <v>2310457.9087094907</v>
      </c>
      <c r="W148" s="22">
        <f t="shared" si="524"/>
        <v>2264726.1364301243</v>
      </c>
      <c r="X148" s="22">
        <f t="shared" si="524"/>
        <v>2218651.3758586626</v>
      </c>
      <c r="Y148" s="22">
        <f t="shared" si="524"/>
        <v>2172231.0545829148</v>
      </c>
      <c r="Z148" s="22">
        <f t="shared" si="524"/>
        <v>2125462.580897599</v>
      </c>
      <c r="AA148" s="22">
        <f t="shared" si="524"/>
        <v>2078343.3436596433</v>
      </c>
      <c r="AB148" s="22">
        <f t="shared" si="524"/>
        <v>2030870.7121424028</v>
      </c>
      <c r="AC148" s="22">
        <f t="shared" si="524"/>
        <v>1983042.0358887829</v>
      </c>
      <c r="AD148" s="22">
        <f t="shared" si="524"/>
        <v>1934854.644563261</v>
      </c>
      <c r="AE148" s="22">
        <f t="shared" si="524"/>
        <v>1886305.8478027976</v>
      </c>
      <c r="AF148" s="22">
        <f t="shared" si="524"/>
        <v>1837392.9350666308</v>
      </c>
      <c r="AG148" s="22">
        <f t="shared" si="524"/>
        <v>1788113.1754849427</v>
      </c>
      <c r="AH148" s="22">
        <f t="shared" si="524"/>
        <v>1738463.8177063921</v>
      </c>
      <c r="AI148" s="22">
        <f t="shared" si="524"/>
        <v>1688442.0897445022</v>
      </c>
      <c r="AJ148" s="22">
        <f t="shared" si="524"/>
        <v>1638045.1988228983</v>
      </c>
      <c r="AK148" s="22">
        <f t="shared" si="524"/>
        <v>1587270.3312193824</v>
      </c>
      <c r="AL148" s="22">
        <f t="shared" si="524"/>
        <v>1536114.6521088399</v>
      </c>
      <c r="AM148" s="22">
        <f t="shared" ref="AM148:BR148" si="525">AL$148+AM$146-AM$147</f>
        <v>1484575.3054049686</v>
      </c>
      <c r="AN148" s="22">
        <f t="shared" si="525"/>
        <v>1432649.413600818</v>
      </c>
      <c r="AO148" s="22">
        <f t="shared" si="525"/>
        <v>1380334.0776081365</v>
      </c>
      <c r="AP148" s="22">
        <f t="shared" si="525"/>
        <v>1327626.3765955097</v>
      </c>
      <c r="AQ148" s="22">
        <f t="shared" si="525"/>
        <v>1274523.3678252883</v>
      </c>
      <c r="AR148" s="22">
        <f t="shared" si="525"/>
        <v>1221022.0864892902</v>
      </c>
      <c r="AS148" s="22">
        <f t="shared" si="525"/>
        <v>1167119.545543272</v>
      </c>
      <c r="AT148" s="22">
        <f t="shared" si="525"/>
        <v>1112812.7355401588</v>
      </c>
      <c r="AU148" s="22">
        <f t="shared" si="525"/>
        <v>1058098.6244620222</v>
      </c>
      <c r="AV148" s="22">
        <f t="shared" si="525"/>
        <v>1002974.1575507997</v>
      </c>
      <c r="AW148" s="22">
        <f t="shared" si="525"/>
        <v>947436.25713774294</v>
      </c>
      <c r="AX148" s="22">
        <f t="shared" si="525"/>
        <v>891481.82247158827</v>
      </c>
      <c r="AY148" s="22">
        <f t="shared" si="525"/>
        <v>835107.72954543738</v>
      </c>
      <c r="AZ148" s="22">
        <f t="shared" si="525"/>
        <v>778310.83092234039</v>
      </c>
      <c r="BA148" s="22">
        <f t="shared" si="525"/>
        <v>721087.95555957023</v>
      </c>
      <c r="BB148" s="22">
        <f t="shared" si="525"/>
        <v>663435.90863157925</v>
      </c>
      <c r="BC148" s="22">
        <f t="shared" si="525"/>
        <v>605351.47135162831</v>
      </c>
      <c r="BD148" s="22">
        <f t="shared" si="525"/>
        <v>546831.40079207777</v>
      </c>
      <c r="BE148" s="22">
        <f t="shared" si="525"/>
        <v>487872.42970333062</v>
      </c>
      <c r="BF148" s="22">
        <f t="shared" si="525"/>
        <v>428471.26633141784</v>
      </c>
      <c r="BG148" s="22">
        <f t="shared" si="525"/>
        <v>368624.59423421574</v>
      </c>
      <c r="BH148" s="22">
        <f t="shared" si="525"/>
        <v>308329.0720962846</v>
      </c>
      <c r="BI148" s="22">
        <f t="shared" si="525"/>
        <v>247581.33354231896</v>
      </c>
      <c r="BJ148" s="22">
        <f t="shared" si="525"/>
        <v>186377.98694919859</v>
      </c>
      <c r="BK148" s="22">
        <f t="shared" si="525"/>
        <v>124715.61525662983</v>
      </c>
      <c r="BL148" s="22">
        <f t="shared" si="525"/>
        <v>62590.775776366791</v>
      </c>
      <c r="BM148" s="22">
        <f t="shared" si="525"/>
        <v>0</v>
      </c>
      <c r="BN148" s="22">
        <f t="shared" si="525"/>
        <v>0</v>
      </c>
      <c r="BO148" s="22">
        <f t="shared" si="525"/>
        <v>0</v>
      </c>
      <c r="BP148" s="22">
        <f t="shared" si="525"/>
        <v>0</v>
      </c>
      <c r="BQ148" s="22">
        <f t="shared" si="525"/>
        <v>0</v>
      </c>
      <c r="BR148" s="22">
        <f t="shared" si="525"/>
        <v>0</v>
      </c>
      <c r="BS148" s="22">
        <f t="shared" ref="BS148:CX148" si="526">BR$148+BS$146-BS$147</f>
        <v>0</v>
      </c>
      <c r="BT148" s="22">
        <f t="shared" si="526"/>
        <v>0</v>
      </c>
      <c r="BU148" s="22">
        <f t="shared" si="526"/>
        <v>0</v>
      </c>
      <c r="BV148" s="22">
        <f t="shared" si="526"/>
        <v>0</v>
      </c>
      <c r="BW148" s="22">
        <f t="shared" si="526"/>
        <v>0</v>
      </c>
      <c r="BX148" s="22">
        <f t="shared" si="526"/>
        <v>0</v>
      </c>
      <c r="BY148" s="22">
        <f t="shared" si="526"/>
        <v>0</v>
      </c>
      <c r="BZ148" s="22">
        <f t="shared" si="526"/>
        <v>0</v>
      </c>
      <c r="CA148" s="22">
        <f t="shared" si="526"/>
        <v>0</v>
      </c>
      <c r="CB148" s="22">
        <f t="shared" si="526"/>
        <v>0</v>
      </c>
      <c r="CC148" s="22">
        <f t="shared" si="526"/>
        <v>0</v>
      </c>
      <c r="CD148" s="22">
        <f t="shared" si="526"/>
        <v>0</v>
      </c>
      <c r="CE148" s="22">
        <f t="shared" si="526"/>
        <v>0</v>
      </c>
      <c r="CF148" s="22">
        <f t="shared" si="526"/>
        <v>0</v>
      </c>
      <c r="CG148" s="22">
        <f t="shared" si="526"/>
        <v>0</v>
      </c>
      <c r="CH148" s="22">
        <f t="shared" si="526"/>
        <v>0</v>
      </c>
      <c r="CI148" s="22">
        <f t="shared" si="526"/>
        <v>0</v>
      </c>
      <c r="CJ148" s="22">
        <f t="shared" si="526"/>
        <v>0</v>
      </c>
      <c r="CK148" s="22">
        <f t="shared" si="526"/>
        <v>0</v>
      </c>
      <c r="CL148" s="22">
        <f t="shared" si="526"/>
        <v>0</v>
      </c>
      <c r="CM148" s="22">
        <f t="shared" si="526"/>
        <v>0</v>
      </c>
      <c r="CN148" s="22">
        <f t="shared" si="526"/>
        <v>0</v>
      </c>
      <c r="CO148" s="22">
        <f t="shared" si="526"/>
        <v>0</v>
      </c>
      <c r="CP148" s="22">
        <f t="shared" si="526"/>
        <v>0</v>
      </c>
      <c r="CQ148" s="22">
        <f t="shared" si="526"/>
        <v>0</v>
      </c>
      <c r="CR148" s="22">
        <f t="shared" si="526"/>
        <v>0</v>
      </c>
      <c r="CS148" s="22">
        <f t="shared" si="526"/>
        <v>0</v>
      </c>
      <c r="CT148" s="22">
        <f t="shared" si="526"/>
        <v>0</v>
      </c>
      <c r="CU148" s="22">
        <f t="shared" si="526"/>
        <v>0</v>
      </c>
      <c r="CV148" s="22">
        <f t="shared" si="526"/>
        <v>0</v>
      </c>
      <c r="CW148" s="22">
        <f t="shared" si="526"/>
        <v>0</v>
      </c>
      <c r="CX148" s="22">
        <f t="shared" si="526"/>
        <v>0</v>
      </c>
      <c r="CY148" s="22">
        <f t="shared" ref="CY148:ED148" si="527">CX$148+CY$146-CY$147</f>
        <v>0</v>
      </c>
      <c r="CZ148" s="22">
        <f t="shared" si="527"/>
        <v>0</v>
      </c>
      <c r="DA148" s="22">
        <f t="shared" si="527"/>
        <v>0</v>
      </c>
      <c r="DB148" s="22">
        <f t="shared" si="527"/>
        <v>0</v>
      </c>
      <c r="DC148" s="22">
        <f t="shared" si="527"/>
        <v>0</v>
      </c>
      <c r="DD148" s="22">
        <f t="shared" si="527"/>
        <v>0</v>
      </c>
      <c r="DE148" s="22">
        <f t="shared" si="527"/>
        <v>0</v>
      </c>
      <c r="DF148" s="22">
        <f t="shared" si="527"/>
        <v>0</v>
      </c>
      <c r="DG148" s="22">
        <f t="shared" si="527"/>
        <v>0</v>
      </c>
      <c r="DH148" s="22">
        <f t="shared" si="527"/>
        <v>0</v>
      </c>
      <c r="DI148" s="22">
        <f t="shared" si="527"/>
        <v>0</v>
      </c>
      <c r="DJ148" s="22">
        <f t="shared" si="527"/>
        <v>0</v>
      </c>
      <c r="DK148" s="22">
        <f t="shared" si="527"/>
        <v>0</v>
      </c>
      <c r="DL148" s="22">
        <f t="shared" si="527"/>
        <v>0</v>
      </c>
      <c r="DM148" s="22">
        <f t="shared" si="527"/>
        <v>0</v>
      </c>
      <c r="DN148" s="22">
        <f t="shared" si="527"/>
        <v>0</v>
      </c>
      <c r="DO148" s="22">
        <f t="shared" si="527"/>
        <v>0</v>
      </c>
      <c r="DP148" s="22">
        <f t="shared" si="527"/>
        <v>0</v>
      </c>
      <c r="DQ148" s="22">
        <f t="shared" si="527"/>
        <v>0</v>
      </c>
      <c r="DR148" s="22">
        <f t="shared" si="527"/>
        <v>0</v>
      </c>
      <c r="DS148" s="22">
        <f t="shared" si="527"/>
        <v>0</v>
      </c>
      <c r="DT148" s="22">
        <f t="shared" si="527"/>
        <v>0</v>
      </c>
      <c r="DU148" s="22">
        <f t="shared" si="527"/>
        <v>0</v>
      </c>
      <c r="DV148" s="22">
        <f t="shared" si="527"/>
        <v>0</v>
      </c>
      <c r="DW148" s="22">
        <f t="shared" si="527"/>
        <v>0</v>
      </c>
      <c r="DX148" s="22">
        <f t="shared" si="527"/>
        <v>0</v>
      </c>
      <c r="DY148" s="22">
        <f t="shared" si="527"/>
        <v>0</v>
      </c>
      <c r="DZ148" s="22">
        <f t="shared" si="527"/>
        <v>0</v>
      </c>
      <c r="EA148" s="22">
        <f t="shared" si="527"/>
        <v>0</v>
      </c>
      <c r="EB148" s="22">
        <f t="shared" si="527"/>
        <v>0</v>
      </c>
      <c r="EC148" s="22">
        <f t="shared" si="527"/>
        <v>0</v>
      </c>
      <c r="ED148" s="22">
        <f t="shared" si="527"/>
        <v>0</v>
      </c>
      <c r="EE148" s="22">
        <f t="shared" ref="EE148:ES148" si="528">ED$148+EE$146-EE$147</f>
        <v>0</v>
      </c>
      <c r="EF148" s="22">
        <f t="shared" si="528"/>
        <v>0</v>
      </c>
      <c r="EG148" s="22">
        <f t="shared" si="528"/>
        <v>0</v>
      </c>
      <c r="EH148" s="22">
        <f t="shared" si="528"/>
        <v>0</v>
      </c>
      <c r="EI148" s="22">
        <f t="shared" si="528"/>
        <v>0</v>
      </c>
      <c r="EJ148" s="22">
        <f t="shared" si="528"/>
        <v>0</v>
      </c>
      <c r="EK148" s="22">
        <f t="shared" si="528"/>
        <v>0</v>
      </c>
      <c r="EL148" s="22">
        <f t="shared" si="528"/>
        <v>0</v>
      </c>
      <c r="EM148" s="22">
        <f t="shared" si="528"/>
        <v>0</v>
      </c>
      <c r="EN148" s="22">
        <f t="shared" si="528"/>
        <v>0</v>
      </c>
      <c r="EO148" s="22">
        <f t="shared" si="528"/>
        <v>0</v>
      </c>
      <c r="EP148" s="22">
        <f t="shared" si="528"/>
        <v>0</v>
      </c>
      <c r="EQ148" s="22">
        <f t="shared" si="528"/>
        <v>0</v>
      </c>
      <c r="ER148" s="22">
        <f t="shared" si="528"/>
        <v>0</v>
      </c>
      <c r="ES148" s="22">
        <f t="shared" si="528"/>
        <v>0</v>
      </c>
    </row>
    <row r="149" spans="1:149" x14ac:dyDescent="0.3">
      <c r="A149" s="14" t="s">
        <v>1192</v>
      </c>
      <c r="B149" s="18" t="s">
        <v>1193</v>
      </c>
      <c r="C149" s="18" t="s">
        <v>439</v>
      </c>
      <c r="E149" s="54">
        <f>MIN(F149:ES149)</f>
        <v>-311740.11867261748</v>
      </c>
      <c r="F149" s="48">
        <f t="shared" ref="F149:AK149" si="529">F$141+F$143-F$144</f>
        <v>535727.93036655965</v>
      </c>
      <c r="G149" s="48">
        <f t="shared" si="529"/>
        <v>555194.83809214947</v>
      </c>
      <c r="H149" s="48">
        <f t="shared" si="529"/>
        <v>574661.74581773928</v>
      </c>
      <c r="I149" s="48">
        <f t="shared" si="529"/>
        <v>594128.6535433291</v>
      </c>
      <c r="J149" s="48">
        <f t="shared" si="529"/>
        <v>613595.56126891891</v>
      </c>
      <c r="K149" s="48">
        <f t="shared" si="529"/>
        <v>633062.46899450873</v>
      </c>
      <c r="L149" s="48">
        <f t="shared" si="529"/>
        <v>610406.07262541074</v>
      </c>
      <c r="M149" s="48">
        <f t="shared" si="529"/>
        <v>587781.26873438375</v>
      </c>
      <c r="N149" s="48">
        <f t="shared" si="529"/>
        <v>565188.2942650133</v>
      </c>
      <c r="O149" s="48">
        <f t="shared" si="529"/>
        <v>542627.38793796184</v>
      </c>
      <c r="P149" s="48">
        <f t="shared" si="529"/>
        <v>520098.79026429675</v>
      </c>
      <c r="Q149" s="48">
        <f t="shared" si="529"/>
        <v>497602.74355891842</v>
      </c>
      <c r="R149" s="48">
        <f t="shared" si="529"/>
        <v>129920.95007681983</v>
      </c>
      <c r="S149" s="48">
        <f t="shared" si="529"/>
        <v>145489.64205416848</v>
      </c>
      <c r="T149" s="48">
        <f t="shared" si="529"/>
        <v>161091.62290329867</v>
      </c>
      <c r="U149" s="48">
        <f t="shared" si="529"/>
        <v>176727.1422907488</v>
      </c>
      <c r="V149" s="48">
        <f t="shared" si="529"/>
        <v>192396.45175555622</v>
      </c>
      <c r="W149" s="48">
        <f t="shared" si="529"/>
        <v>208099.80472330115</v>
      </c>
      <c r="X149" s="48">
        <f t="shared" si="529"/>
        <v>223837.4565202556</v>
      </c>
      <c r="Y149" s="48">
        <f t="shared" si="529"/>
        <v>239609.66438763862</v>
      </c>
      <c r="Z149" s="48">
        <f t="shared" si="529"/>
        <v>255416.68749597843</v>
      </c>
      <c r="AA149" s="48">
        <f t="shared" si="529"/>
        <v>271258.7869595823</v>
      </c>
      <c r="AB149" s="48">
        <f t="shared" si="529"/>
        <v>287136.22585111461</v>
      </c>
      <c r="AC149" s="48">
        <f t="shared" si="529"/>
        <v>303049.26921628485</v>
      </c>
      <c r="AD149" s="48">
        <f t="shared" si="529"/>
        <v>-311740.11867261748</v>
      </c>
      <c r="AE149" s="48">
        <f t="shared" si="529"/>
        <v>-259166.43538560302</v>
      </c>
      <c r="AF149" s="48">
        <f t="shared" si="529"/>
        <v>-206556.34050101822</v>
      </c>
      <c r="AG149" s="48">
        <f t="shared" si="529"/>
        <v>-153909.56093188128</v>
      </c>
      <c r="AH149" s="48">
        <f t="shared" si="529"/>
        <v>-101225.82154305807</v>
      </c>
      <c r="AI149" s="48">
        <f t="shared" si="529"/>
        <v>-48504.845135900956</v>
      </c>
      <c r="AJ149" s="48">
        <f t="shared" si="529"/>
        <v>4253.6475672275774</v>
      </c>
      <c r="AK149" s="48">
        <f t="shared" si="529"/>
        <v>57049.937938547329</v>
      </c>
      <c r="AL149" s="48">
        <f t="shared" ref="AL149:BQ149" si="530">AL$141+AL$143-AL$144</f>
        <v>109884.30946056971</v>
      </c>
      <c r="AM149" s="48">
        <f t="shared" si="530"/>
        <v>162757.04774192499</v>
      </c>
      <c r="AN149" s="48">
        <f t="shared" si="530"/>
        <v>215668.4405333082</v>
      </c>
      <c r="AO149" s="48">
        <f t="shared" si="530"/>
        <v>268618.77774354449</v>
      </c>
      <c r="AP149" s="48">
        <f t="shared" si="530"/>
        <v>-204392.16946280401</v>
      </c>
      <c r="AQ149" s="48">
        <f t="shared" si="530"/>
        <v>-118554.51596008008</v>
      </c>
      <c r="AR149" s="48">
        <f t="shared" si="530"/>
        <v>-32677.035200778479</v>
      </c>
      <c r="AS149" s="48">
        <f t="shared" si="530"/>
        <v>53240.571519525118</v>
      </c>
      <c r="AT149" s="48">
        <f t="shared" si="530"/>
        <v>139198.60514553823</v>
      </c>
      <c r="AU149" s="48">
        <f t="shared" si="530"/>
        <v>225197.36887905365</v>
      </c>
      <c r="AV149" s="48">
        <f t="shared" si="530"/>
        <v>311237.16819587769</v>
      </c>
      <c r="AW149" s="48">
        <f t="shared" si="530"/>
        <v>397318.31086288509</v>
      </c>
      <c r="AX149" s="48">
        <f t="shared" si="530"/>
        <v>483441.10695520235</v>
      </c>
      <c r="AY149" s="48">
        <f t="shared" si="530"/>
        <v>569605.86887351924</v>
      </c>
      <c r="AZ149" s="48">
        <f t="shared" si="530"/>
        <v>655812.91136153066</v>
      </c>
      <c r="BA149" s="48">
        <f t="shared" si="530"/>
        <v>742062.55152350944</v>
      </c>
      <c r="BB149" s="48">
        <f t="shared" si="530"/>
        <v>791565.1461326658</v>
      </c>
      <c r="BC149" s="48">
        <f t="shared" si="530"/>
        <v>879220.52748287807</v>
      </c>
      <c r="BD149" s="48">
        <f t="shared" si="530"/>
        <v>966919.4721610503</v>
      </c>
      <c r="BE149" s="48">
        <f t="shared" si="530"/>
        <v>1054662.3068921419</v>
      </c>
      <c r="BF149" s="48">
        <f t="shared" si="530"/>
        <v>337495.98247062822</v>
      </c>
      <c r="BG149" s="48">
        <f t="shared" si="530"/>
        <v>425327.58730256563</v>
      </c>
      <c r="BH149" s="48">
        <f t="shared" si="530"/>
        <v>513204.0771385759</v>
      </c>
      <c r="BI149" s="48">
        <f t="shared" si="530"/>
        <v>601125.78861618962</v>
      </c>
      <c r="BJ149" s="48">
        <f t="shared" si="530"/>
        <v>689093.06089771888</v>
      </c>
      <c r="BK149" s="48">
        <f t="shared" si="530"/>
        <v>777106.23568919289</v>
      </c>
      <c r="BL149" s="48">
        <f t="shared" si="530"/>
        <v>865165.65725943632</v>
      </c>
      <c r="BM149" s="48">
        <f t="shared" si="530"/>
        <v>953271.67245928815</v>
      </c>
      <c r="BN149" s="48">
        <f t="shared" si="530"/>
        <v>1070847.2577885177</v>
      </c>
      <c r="BO149" s="48">
        <f t="shared" si="530"/>
        <v>1226147.699586344</v>
      </c>
      <c r="BP149" s="48">
        <f t="shared" si="530"/>
        <v>1381448.1413841702</v>
      </c>
      <c r="BQ149" s="48">
        <f t="shared" si="530"/>
        <v>1536748.5831819964</v>
      </c>
      <c r="BR149" s="48">
        <f t="shared" ref="BR149:CW149" si="531">BR$141+BR$143-BR$144</f>
        <v>228122.48061160432</v>
      </c>
      <c r="BS149" s="48">
        <f t="shared" si="531"/>
        <v>383422.92240943044</v>
      </c>
      <c r="BT149" s="48">
        <f t="shared" si="531"/>
        <v>538723.36420725659</v>
      </c>
      <c r="BU149" s="48">
        <f t="shared" si="531"/>
        <v>694023.80600508268</v>
      </c>
      <c r="BV149" s="48">
        <f t="shared" si="531"/>
        <v>849324.24780290877</v>
      </c>
      <c r="BW149" s="48">
        <f t="shared" si="531"/>
        <v>1004624.6896007349</v>
      </c>
      <c r="BX149" s="48">
        <f t="shared" si="531"/>
        <v>1159925.1313985609</v>
      </c>
      <c r="BY149" s="48">
        <f t="shared" si="531"/>
        <v>1315225.5731963872</v>
      </c>
      <c r="BZ149" s="48">
        <f t="shared" si="531"/>
        <v>1436551.7024610066</v>
      </c>
      <c r="CA149" s="48">
        <f t="shared" si="531"/>
        <v>1595967.7249504062</v>
      </c>
      <c r="CB149" s="48">
        <f t="shared" si="531"/>
        <v>1755383.7474398059</v>
      </c>
      <c r="CC149" s="48">
        <f t="shared" si="531"/>
        <v>1914799.7699292055</v>
      </c>
      <c r="CD149" s="48">
        <f t="shared" si="531"/>
        <v>280027.09984469123</v>
      </c>
      <c r="CE149" s="48">
        <f t="shared" si="531"/>
        <v>439443.12233409099</v>
      </c>
      <c r="CF149" s="48">
        <f t="shared" si="531"/>
        <v>598859.14482349076</v>
      </c>
      <c r="CG149" s="48">
        <f t="shared" si="531"/>
        <v>758275.16731289052</v>
      </c>
      <c r="CH149" s="48">
        <f t="shared" si="531"/>
        <v>917691.18980229029</v>
      </c>
      <c r="CI149" s="48">
        <f t="shared" si="531"/>
        <v>1077107.2122916901</v>
      </c>
      <c r="CJ149" s="48">
        <f t="shared" si="531"/>
        <v>1236523.2347810897</v>
      </c>
      <c r="CK149" s="48">
        <f t="shared" si="531"/>
        <v>1395939.2572704894</v>
      </c>
      <c r="CL149" s="48">
        <f t="shared" si="531"/>
        <v>1521040.8581222577</v>
      </c>
      <c r="CM149" s="48">
        <f t="shared" si="531"/>
        <v>1684600.6766685452</v>
      </c>
      <c r="CN149" s="48">
        <f t="shared" si="531"/>
        <v>1848160.4952148327</v>
      </c>
      <c r="CO149" s="48">
        <f t="shared" si="531"/>
        <v>2011720.3137611202</v>
      </c>
      <c r="CP149" s="48">
        <f t="shared" si="531"/>
        <v>331704.4714346102</v>
      </c>
      <c r="CQ149" s="48">
        <f t="shared" si="531"/>
        <v>495264.28998089768</v>
      </c>
      <c r="CR149" s="48">
        <f t="shared" si="531"/>
        <v>658824.10852718516</v>
      </c>
      <c r="CS149" s="48">
        <f t="shared" si="531"/>
        <v>822383.92707347265</v>
      </c>
      <c r="CT149" s="48">
        <f t="shared" si="531"/>
        <v>985943.74561976013</v>
      </c>
      <c r="CU149" s="48">
        <f t="shared" si="531"/>
        <v>1149503.5641660476</v>
      </c>
      <c r="CV149" s="48">
        <f t="shared" si="531"/>
        <v>1313063.3827123351</v>
      </c>
      <c r="CW149" s="48">
        <f t="shared" si="531"/>
        <v>1476623.2012586226</v>
      </c>
      <c r="CX149" s="48">
        <f t="shared" ref="CX149:EC149" si="532">CX$141+CX$143-CX$144</f>
        <v>1605525.0789581942</v>
      </c>
      <c r="CY149" s="48">
        <f t="shared" si="532"/>
        <v>1773256.8086071019</v>
      </c>
      <c r="CZ149" s="48">
        <f t="shared" si="532"/>
        <v>1940988.5382560096</v>
      </c>
      <c r="DA149" s="48">
        <f t="shared" si="532"/>
        <v>2108720.2679049172</v>
      </c>
      <c r="DB149" s="48">
        <f t="shared" si="532"/>
        <v>383150.78399837494</v>
      </c>
      <c r="DC149" s="48">
        <f t="shared" si="532"/>
        <v>550882.5136472825</v>
      </c>
      <c r="DD149" s="48">
        <f t="shared" si="532"/>
        <v>718614.24329619005</v>
      </c>
      <c r="DE149" s="48">
        <f t="shared" si="532"/>
        <v>886345.9729450976</v>
      </c>
      <c r="DF149" s="48">
        <f t="shared" si="532"/>
        <v>1054077.702594005</v>
      </c>
      <c r="DG149" s="48">
        <f t="shared" si="532"/>
        <v>1221809.4322429127</v>
      </c>
      <c r="DH149" s="48">
        <f t="shared" si="532"/>
        <v>1389541.1618918204</v>
      </c>
      <c r="DI149" s="48">
        <f t="shared" si="532"/>
        <v>1557272.891540728</v>
      </c>
      <c r="DJ149" s="48">
        <f t="shared" si="532"/>
        <v>1689999.7166970363</v>
      </c>
      <c r="DK149" s="48">
        <f t="shared" si="532"/>
        <v>1861931.3598121223</v>
      </c>
      <c r="DL149" s="48">
        <f t="shared" si="532"/>
        <v>2033863.0029272083</v>
      </c>
      <c r="DM149" s="48">
        <f t="shared" si="532"/>
        <v>2205794.6460422943</v>
      </c>
      <c r="DN149" s="48">
        <f t="shared" si="532"/>
        <v>434362.14237049047</v>
      </c>
      <c r="DO149" s="48">
        <f t="shared" si="532"/>
        <v>606293.78548557661</v>
      </c>
      <c r="DP149" s="48">
        <f t="shared" si="532"/>
        <v>778225.42860066274</v>
      </c>
      <c r="DQ149" s="48">
        <f t="shared" si="532"/>
        <v>950157.07171574887</v>
      </c>
      <c r="DR149" s="48">
        <f t="shared" si="532"/>
        <v>1122088.7148308349</v>
      </c>
      <c r="DS149" s="48">
        <f t="shared" si="532"/>
        <v>1294020.3579459209</v>
      </c>
      <c r="DT149" s="48">
        <f t="shared" si="532"/>
        <v>1465952.0010610069</v>
      </c>
      <c r="DU149" s="48">
        <f t="shared" si="532"/>
        <v>1637883.6441760929</v>
      </c>
      <c r="DV149" s="48">
        <f t="shared" si="532"/>
        <v>1637883.6441760929</v>
      </c>
      <c r="DW149" s="48">
        <f t="shared" si="532"/>
        <v>1637883.6441760929</v>
      </c>
      <c r="DX149" s="48">
        <f t="shared" si="532"/>
        <v>1637883.6441760929</v>
      </c>
      <c r="DY149" s="48">
        <f t="shared" si="532"/>
        <v>1637883.6441760929</v>
      </c>
      <c r="DZ149" s="48">
        <f t="shared" si="532"/>
        <v>1637883.6441760929</v>
      </c>
      <c r="EA149" s="48">
        <f t="shared" si="532"/>
        <v>1637883.6441760929</v>
      </c>
      <c r="EB149" s="48">
        <f t="shared" si="532"/>
        <v>1637883.6441760929</v>
      </c>
      <c r="EC149" s="48">
        <f t="shared" si="532"/>
        <v>1637883.6441760929</v>
      </c>
      <c r="ED149" s="48">
        <f t="shared" ref="ED149:ES149" si="533">ED$141+ED$143-ED$144</f>
        <v>1637883.6441760929</v>
      </c>
      <c r="EE149" s="48">
        <f t="shared" si="533"/>
        <v>1637883.6441760929</v>
      </c>
      <c r="EF149" s="48">
        <f t="shared" si="533"/>
        <v>1637883.6441760929</v>
      </c>
      <c r="EG149" s="48">
        <f t="shared" si="533"/>
        <v>1637883.6441760929</v>
      </c>
      <c r="EH149" s="48">
        <f t="shared" si="533"/>
        <v>1637883.6441760929</v>
      </c>
      <c r="EI149" s="48">
        <f t="shared" si="533"/>
        <v>1637883.6441760929</v>
      </c>
      <c r="EJ149" s="48">
        <f t="shared" si="533"/>
        <v>1637883.6441760929</v>
      </c>
      <c r="EK149" s="48">
        <f t="shared" si="533"/>
        <v>1637883.6441760929</v>
      </c>
      <c r="EL149" s="48">
        <f t="shared" si="533"/>
        <v>1637883.6441760929</v>
      </c>
      <c r="EM149" s="48">
        <f t="shared" si="533"/>
        <v>1637883.6441760929</v>
      </c>
      <c r="EN149" s="48">
        <f t="shared" si="533"/>
        <v>1637883.6441760929</v>
      </c>
      <c r="EO149" s="48">
        <f t="shared" si="533"/>
        <v>1637883.6441760929</v>
      </c>
      <c r="EP149" s="48">
        <f t="shared" si="533"/>
        <v>1637883.6441760929</v>
      </c>
      <c r="EQ149" s="48">
        <f t="shared" si="533"/>
        <v>1637883.6441760929</v>
      </c>
      <c r="ER149" s="48">
        <f t="shared" si="533"/>
        <v>1637883.6441760929</v>
      </c>
      <c r="ES149" s="48">
        <f t="shared" si="533"/>
        <v>1637883.6441760929</v>
      </c>
    </row>
    <row r="150" spans="1:149" x14ac:dyDescent="0.3">
      <c r="A150" s="14" t="s">
        <v>1194</v>
      </c>
      <c r="B150" s="18" t="s">
        <v>1195</v>
      </c>
      <c r="C150" s="18" t="s">
        <v>439</v>
      </c>
      <c r="F150" s="48">
        <f>IF(F$7=1,F$107,0+F$107)</f>
        <v>13500.890308923073</v>
      </c>
      <c r="G150" s="48">
        <f t="shared" ref="G150:AL150" si="534">IF(G$7=1,G$107,F$150+G$107)</f>
        <v>27001.780617846147</v>
      </c>
      <c r="H150" s="48">
        <f t="shared" si="534"/>
        <v>40502.67092676922</v>
      </c>
      <c r="I150" s="48">
        <f t="shared" si="534"/>
        <v>54003.561235692294</v>
      </c>
      <c r="J150" s="48">
        <f t="shared" si="534"/>
        <v>67504.451544615367</v>
      </c>
      <c r="K150" s="48">
        <f t="shared" si="534"/>
        <v>81005.341853538441</v>
      </c>
      <c r="L150" s="48">
        <f t="shared" si="534"/>
        <v>94506.232162461514</v>
      </c>
      <c r="M150" s="48">
        <f t="shared" si="534"/>
        <v>108354.63973016576</v>
      </c>
      <c r="N150" s="48">
        <f t="shared" si="534"/>
        <v>122553.17093609204</v>
      </c>
      <c r="O150" s="48">
        <f t="shared" si="534"/>
        <v>137104.45170752701</v>
      </c>
      <c r="P150" s="48">
        <f t="shared" si="534"/>
        <v>152011.12766621201</v>
      </c>
      <c r="Q150" s="48">
        <f t="shared" si="534"/>
        <v>167275.86427605138</v>
      </c>
      <c r="R150" s="48">
        <f t="shared" si="534"/>
        <v>52791.051900919134</v>
      </c>
      <c r="S150" s="48">
        <f t="shared" si="534"/>
        <v>105945.5555036716</v>
      </c>
      <c r="T150" s="48">
        <f t="shared" si="534"/>
        <v>159466.23669602117</v>
      </c>
      <c r="U150" s="48">
        <f t="shared" si="534"/>
        <v>213355.84180988977</v>
      </c>
      <c r="V150" s="48">
        <f t="shared" si="534"/>
        <v>267617.13777468883</v>
      </c>
      <c r="W150" s="48">
        <f t="shared" si="534"/>
        <v>322252.91227180033</v>
      </c>
      <c r="X150" s="48">
        <f t="shared" si="534"/>
        <v>377265.97389021661</v>
      </c>
      <c r="Y150" s="48">
        <f t="shared" si="534"/>
        <v>432659.15228334744</v>
      </c>
      <c r="Z150" s="48">
        <f t="shared" si="534"/>
        <v>488435.2983270032</v>
      </c>
      <c r="AA150" s="48">
        <f t="shared" si="534"/>
        <v>544597.28427856276</v>
      </c>
      <c r="AB150" s="48">
        <f t="shared" si="534"/>
        <v>601148.00393733545</v>
      </c>
      <c r="AC150" s="48">
        <f t="shared" si="534"/>
        <v>658090.37280612544</v>
      </c>
      <c r="AD150" s="48">
        <f t="shared" si="534"/>
        <v>93925.583319042213</v>
      </c>
      <c r="AE150" s="48">
        <f t="shared" si="534"/>
        <v>188248.71261652</v>
      </c>
      <c r="AF150" s="48">
        <f t="shared" si="534"/>
        <v>282972.36948727159</v>
      </c>
      <c r="AG150" s="48">
        <f t="shared" si="534"/>
        <v>378099.55788809655</v>
      </c>
      <c r="AH150" s="48">
        <f t="shared" si="534"/>
        <v>473633.30430547043</v>
      </c>
      <c r="AI150" s="48">
        <f t="shared" si="534"/>
        <v>569576.65792451741</v>
      </c>
      <c r="AJ150" s="48">
        <f t="shared" si="534"/>
        <v>665932.69079924992</v>
      </c>
      <c r="AK150" s="48">
        <f t="shared" si="534"/>
        <v>762704.49802408565</v>
      </c>
      <c r="AL150" s="48">
        <f t="shared" si="534"/>
        <v>859895.19790665037</v>
      </c>
      <c r="AM150" s="48">
        <f t="shared" ref="AM150:BR150" si="535">IF(AM$7=1,AM$107,AL$150+AM$107)</f>
        <v>957507.93214187713</v>
      </c>
      <c r="AN150" s="48">
        <f t="shared" si="535"/>
        <v>1055545.8659874108</v>
      </c>
      <c r="AO150" s="48">
        <f t="shared" si="535"/>
        <v>1154012.1884403287</v>
      </c>
      <c r="AP150" s="48">
        <f t="shared" si="535"/>
        <v>131706.47298959119</v>
      </c>
      <c r="AQ150" s="48">
        <f t="shared" si="535"/>
        <v>263847.78451253654</v>
      </c>
      <c r="AR150" s="48">
        <f t="shared" si="535"/>
        <v>396427.19585783622</v>
      </c>
      <c r="AS150" s="48">
        <f t="shared" si="535"/>
        <v>529447.9927741579</v>
      </c>
      <c r="AT150" s="48">
        <f t="shared" si="535"/>
        <v>662913.48565328424</v>
      </c>
      <c r="AU150" s="48">
        <f t="shared" si="535"/>
        <v>796827.00971493626</v>
      </c>
      <c r="AV150" s="48">
        <f t="shared" si="535"/>
        <v>931191.92519298289</v>
      </c>
      <c r="AW150" s="48">
        <f t="shared" si="535"/>
        <v>1066011.6175230471</v>
      </c>
      <c r="AX150" s="48">
        <f t="shared" si="535"/>
        <v>1201289.497531519</v>
      </c>
      <c r="AY150" s="48">
        <f t="shared" si="535"/>
        <v>1337029.0016259868</v>
      </c>
      <c r="AZ150" s="48">
        <f t="shared" si="535"/>
        <v>1473233.5919870953</v>
      </c>
      <c r="BA150" s="48">
        <f t="shared" si="535"/>
        <v>1609906.7567618443</v>
      </c>
      <c r="BB150" s="48">
        <f t="shared" si="535"/>
        <v>138464.83849300724</v>
      </c>
      <c r="BC150" s="48">
        <f t="shared" si="535"/>
        <v>277405.30637317034</v>
      </c>
      <c r="BD150" s="48">
        <f t="shared" si="535"/>
        <v>416824.97086089308</v>
      </c>
      <c r="BE150" s="48">
        <f t="shared" si="535"/>
        <v>556727.42593073216</v>
      </c>
      <c r="BF150" s="48">
        <f t="shared" si="535"/>
        <v>697116.29251205339</v>
      </c>
      <c r="BG150" s="48">
        <f t="shared" si="535"/>
        <v>837995.2186911928</v>
      </c>
      <c r="BH150" s="48">
        <f t="shared" si="535"/>
        <v>979367.87991513417</v>
      </c>
      <c r="BI150" s="48">
        <f t="shared" si="535"/>
        <v>1121237.9791967135</v>
      </c>
      <c r="BJ150" s="48">
        <f t="shared" si="535"/>
        <v>1263609.2473213631</v>
      </c>
      <c r="BK150" s="48">
        <f t="shared" si="535"/>
        <v>1406485.4430554057</v>
      </c>
      <c r="BL150" s="48">
        <f t="shared" si="535"/>
        <v>1549870.3533559123</v>
      </c>
      <c r="BM150" s="48">
        <f t="shared" si="535"/>
        <v>1693767.7935821309</v>
      </c>
      <c r="BN150" s="48">
        <f t="shared" si="535"/>
        <v>149515.72438115947</v>
      </c>
      <c r="BO150" s="48">
        <f t="shared" si="535"/>
        <v>299031.44876231893</v>
      </c>
      <c r="BP150" s="48">
        <f t="shared" si="535"/>
        <v>448547.1731434784</v>
      </c>
      <c r="BQ150" s="48">
        <f t="shared" si="535"/>
        <v>598062.89752463787</v>
      </c>
      <c r="BR150" s="48">
        <f t="shared" si="535"/>
        <v>747578.62190579739</v>
      </c>
      <c r="BS150" s="48">
        <f t="shared" ref="BS150:CX150" si="536">IF(BS$7=1,BS$107,BR$150+BS$107)</f>
        <v>897094.34628695692</v>
      </c>
      <c r="BT150" s="48">
        <f t="shared" si="536"/>
        <v>1046610.0706681164</v>
      </c>
      <c r="BU150" s="48">
        <f t="shared" si="536"/>
        <v>1196125.795049276</v>
      </c>
      <c r="BV150" s="48">
        <f t="shared" si="536"/>
        <v>1345641.5194304355</v>
      </c>
      <c r="BW150" s="48">
        <f t="shared" si="536"/>
        <v>1495157.243811595</v>
      </c>
      <c r="BX150" s="48">
        <f t="shared" si="536"/>
        <v>1644672.9681927545</v>
      </c>
      <c r="BY150" s="48">
        <f t="shared" si="536"/>
        <v>1794188.6925739141</v>
      </c>
      <c r="BZ150" s="48">
        <f t="shared" si="536"/>
        <v>153631.30507273308</v>
      </c>
      <c r="CA150" s="48">
        <f t="shared" si="536"/>
        <v>307262.61014546617</v>
      </c>
      <c r="CB150" s="48">
        <f t="shared" si="536"/>
        <v>460893.91521819925</v>
      </c>
      <c r="CC150" s="48">
        <f t="shared" si="536"/>
        <v>614525.22029093234</v>
      </c>
      <c r="CD150" s="48">
        <f t="shared" si="536"/>
        <v>768156.52536366542</v>
      </c>
      <c r="CE150" s="48">
        <f t="shared" si="536"/>
        <v>921787.83043639851</v>
      </c>
      <c r="CF150" s="48">
        <f t="shared" si="536"/>
        <v>1075419.1355091315</v>
      </c>
      <c r="CG150" s="48">
        <f t="shared" si="536"/>
        <v>1229050.4405818647</v>
      </c>
      <c r="CH150" s="48">
        <f t="shared" si="536"/>
        <v>1382681.7456545979</v>
      </c>
      <c r="CI150" s="48">
        <f t="shared" si="536"/>
        <v>1536313.0507273311</v>
      </c>
      <c r="CJ150" s="48">
        <f t="shared" si="536"/>
        <v>1689944.3558000643</v>
      </c>
      <c r="CK150" s="48">
        <f t="shared" si="536"/>
        <v>1843575.6608727975</v>
      </c>
      <c r="CL150" s="48">
        <f t="shared" si="536"/>
        <v>157775.10112962086</v>
      </c>
      <c r="CM150" s="48">
        <f t="shared" si="536"/>
        <v>315550.20225924172</v>
      </c>
      <c r="CN150" s="48">
        <f t="shared" si="536"/>
        <v>473325.30338886258</v>
      </c>
      <c r="CO150" s="48">
        <f t="shared" si="536"/>
        <v>631100.40451848344</v>
      </c>
      <c r="CP150" s="48">
        <f t="shared" si="536"/>
        <v>788875.50564810424</v>
      </c>
      <c r="CQ150" s="48">
        <f t="shared" si="536"/>
        <v>946650.60677772504</v>
      </c>
      <c r="CR150" s="48">
        <f t="shared" si="536"/>
        <v>1104425.7079073458</v>
      </c>
      <c r="CS150" s="48">
        <f t="shared" si="536"/>
        <v>1262200.8090369666</v>
      </c>
      <c r="CT150" s="48">
        <f t="shared" si="536"/>
        <v>1419975.9101665874</v>
      </c>
      <c r="CU150" s="48">
        <f t="shared" si="536"/>
        <v>1577751.0112962082</v>
      </c>
      <c r="CV150" s="48">
        <f t="shared" si="536"/>
        <v>1735526.1124258291</v>
      </c>
      <c r="CW150" s="48">
        <f t="shared" si="536"/>
        <v>1893301.2135554499</v>
      </c>
      <c r="CX150" s="48">
        <f t="shared" si="536"/>
        <v>161947.01223224087</v>
      </c>
      <c r="CY150" s="48">
        <f t="shared" ref="CY150:ED150" si="537">IF(CY$7=1,CY$107,CX$150+CY$107)</f>
        <v>323894.02446448174</v>
      </c>
      <c r="CZ150" s="48">
        <f t="shared" si="537"/>
        <v>485841.03669672261</v>
      </c>
      <c r="DA150" s="48">
        <f t="shared" si="537"/>
        <v>647788.04892896349</v>
      </c>
      <c r="DB150" s="48">
        <f t="shared" si="537"/>
        <v>809735.06116120436</v>
      </c>
      <c r="DC150" s="48">
        <f t="shared" si="537"/>
        <v>971682.07339344523</v>
      </c>
      <c r="DD150" s="48">
        <f t="shared" si="537"/>
        <v>1133629.0856256862</v>
      </c>
      <c r="DE150" s="48">
        <f t="shared" si="537"/>
        <v>1295576.097857927</v>
      </c>
      <c r="DF150" s="48">
        <f t="shared" si="537"/>
        <v>1457523.1100901677</v>
      </c>
      <c r="DG150" s="48">
        <f t="shared" si="537"/>
        <v>1619470.1223224085</v>
      </c>
      <c r="DH150" s="48">
        <f t="shared" si="537"/>
        <v>1781417.1345546492</v>
      </c>
      <c r="DI150" s="48">
        <f t="shared" si="537"/>
        <v>1943364.14678689</v>
      </c>
      <c r="DJ150" s="48">
        <f t="shared" si="537"/>
        <v>166146.92569841945</v>
      </c>
      <c r="DK150" s="48">
        <f t="shared" si="537"/>
        <v>332293.8513968389</v>
      </c>
      <c r="DL150" s="48">
        <f t="shared" si="537"/>
        <v>498440.77709525835</v>
      </c>
      <c r="DM150" s="48">
        <f t="shared" si="537"/>
        <v>664587.7027936778</v>
      </c>
      <c r="DN150" s="48">
        <f t="shared" si="537"/>
        <v>830734.62849209725</v>
      </c>
      <c r="DO150" s="48">
        <f t="shared" si="537"/>
        <v>996881.5541905167</v>
      </c>
      <c r="DP150" s="48">
        <f t="shared" si="537"/>
        <v>1163028.479888936</v>
      </c>
      <c r="DQ150" s="48">
        <f t="shared" si="537"/>
        <v>1329175.4055873556</v>
      </c>
      <c r="DR150" s="48">
        <f t="shared" si="537"/>
        <v>1495322.3312857752</v>
      </c>
      <c r="DS150" s="48">
        <f t="shared" si="537"/>
        <v>1661469.2569841947</v>
      </c>
      <c r="DT150" s="48">
        <f t="shared" si="537"/>
        <v>1827616.1826826143</v>
      </c>
      <c r="DU150" s="48">
        <f t="shared" si="537"/>
        <v>1993763.1083810339</v>
      </c>
      <c r="DV150" s="48">
        <f t="shared" si="537"/>
        <v>0</v>
      </c>
      <c r="DW150" s="48">
        <f t="shared" si="537"/>
        <v>0</v>
      </c>
      <c r="DX150" s="48">
        <f t="shared" si="537"/>
        <v>0</v>
      </c>
      <c r="DY150" s="48">
        <f t="shared" si="537"/>
        <v>0</v>
      </c>
      <c r="DZ150" s="48">
        <f t="shared" si="537"/>
        <v>0</v>
      </c>
      <c r="EA150" s="48">
        <f t="shared" si="537"/>
        <v>0</v>
      </c>
      <c r="EB150" s="48">
        <f t="shared" si="537"/>
        <v>0</v>
      </c>
      <c r="EC150" s="48">
        <f t="shared" si="537"/>
        <v>0</v>
      </c>
      <c r="ED150" s="48">
        <f t="shared" si="537"/>
        <v>0</v>
      </c>
      <c r="EE150" s="48">
        <f t="shared" ref="EE150:ES150" si="538">IF(EE$7=1,EE$107,ED$150+EE$107)</f>
        <v>0</v>
      </c>
      <c r="EF150" s="48">
        <f t="shared" si="538"/>
        <v>0</v>
      </c>
      <c r="EG150" s="48">
        <f t="shared" si="538"/>
        <v>0</v>
      </c>
      <c r="EH150" s="48">
        <f t="shared" si="538"/>
        <v>0</v>
      </c>
      <c r="EI150" s="48">
        <f t="shared" si="538"/>
        <v>0</v>
      </c>
      <c r="EJ150" s="48">
        <f t="shared" si="538"/>
        <v>0</v>
      </c>
      <c r="EK150" s="48">
        <f t="shared" si="538"/>
        <v>0</v>
      </c>
      <c r="EL150" s="48">
        <f t="shared" si="538"/>
        <v>0</v>
      </c>
      <c r="EM150" s="48">
        <f t="shared" si="538"/>
        <v>0</v>
      </c>
      <c r="EN150" s="48">
        <f t="shared" si="538"/>
        <v>0</v>
      </c>
      <c r="EO150" s="48">
        <f t="shared" si="538"/>
        <v>0</v>
      </c>
      <c r="EP150" s="48">
        <f t="shared" si="538"/>
        <v>0</v>
      </c>
      <c r="EQ150" s="48">
        <f t="shared" si="538"/>
        <v>0</v>
      </c>
      <c r="ER150" s="48">
        <f t="shared" si="538"/>
        <v>0</v>
      </c>
      <c r="ES150" s="48">
        <f t="shared" si="538"/>
        <v>0</v>
      </c>
    </row>
    <row r="151" spans="1:149" x14ac:dyDescent="0.3">
      <c r="A151" s="14" t="s">
        <v>1196</v>
      </c>
      <c r="B151" s="18" t="s">
        <v>1197</v>
      </c>
      <c r="C151" s="18" t="s">
        <v>439</v>
      </c>
      <c r="F151" s="48">
        <f>0</f>
        <v>0</v>
      </c>
      <c r="G151" s="48">
        <f t="shared" ref="G151:AL151" si="539">IF(G$7=1,F$150,F$151)</f>
        <v>0</v>
      </c>
      <c r="H151" s="48">
        <f t="shared" si="539"/>
        <v>0</v>
      </c>
      <c r="I151" s="48">
        <f t="shared" si="539"/>
        <v>0</v>
      </c>
      <c r="J151" s="48">
        <f t="shared" si="539"/>
        <v>0</v>
      </c>
      <c r="K151" s="48">
        <f t="shared" si="539"/>
        <v>0</v>
      </c>
      <c r="L151" s="48">
        <f t="shared" si="539"/>
        <v>0</v>
      </c>
      <c r="M151" s="48">
        <f t="shared" si="539"/>
        <v>0</v>
      </c>
      <c r="N151" s="48">
        <f t="shared" si="539"/>
        <v>0</v>
      </c>
      <c r="O151" s="48">
        <f t="shared" si="539"/>
        <v>0</v>
      </c>
      <c r="P151" s="48">
        <f t="shared" si="539"/>
        <v>0</v>
      </c>
      <c r="Q151" s="48">
        <f t="shared" si="539"/>
        <v>0</v>
      </c>
      <c r="R151" s="48">
        <f t="shared" si="539"/>
        <v>167275.86427605138</v>
      </c>
      <c r="S151" s="48">
        <f t="shared" si="539"/>
        <v>167275.86427605138</v>
      </c>
      <c r="T151" s="48">
        <f t="shared" si="539"/>
        <v>167275.86427605138</v>
      </c>
      <c r="U151" s="48">
        <f t="shared" si="539"/>
        <v>167275.86427605138</v>
      </c>
      <c r="V151" s="48">
        <f t="shared" si="539"/>
        <v>167275.86427605138</v>
      </c>
      <c r="W151" s="48">
        <f t="shared" si="539"/>
        <v>167275.86427605138</v>
      </c>
      <c r="X151" s="48">
        <f t="shared" si="539"/>
        <v>167275.86427605138</v>
      </c>
      <c r="Y151" s="48">
        <f t="shared" si="539"/>
        <v>167275.86427605138</v>
      </c>
      <c r="Z151" s="48">
        <f t="shared" si="539"/>
        <v>167275.86427605138</v>
      </c>
      <c r="AA151" s="48">
        <f t="shared" si="539"/>
        <v>167275.86427605138</v>
      </c>
      <c r="AB151" s="48">
        <f t="shared" si="539"/>
        <v>167275.86427605138</v>
      </c>
      <c r="AC151" s="48">
        <f t="shared" si="539"/>
        <v>167275.86427605138</v>
      </c>
      <c r="AD151" s="48">
        <f t="shared" si="539"/>
        <v>658090.37280612544</v>
      </c>
      <c r="AE151" s="48">
        <f t="shared" si="539"/>
        <v>658090.37280612544</v>
      </c>
      <c r="AF151" s="48">
        <f t="shared" si="539"/>
        <v>658090.37280612544</v>
      </c>
      <c r="AG151" s="48">
        <f t="shared" si="539"/>
        <v>658090.37280612544</v>
      </c>
      <c r="AH151" s="48">
        <f t="shared" si="539"/>
        <v>658090.37280612544</v>
      </c>
      <c r="AI151" s="48">
        <f t="shared" si="539"/>
        <v>658090.37280612544</v>
      </c>
      <c r="AJ151" s="48">
        <f t="shared" si="539"/>
        <v>658090.37280612544</v>
      </c>
      <c r="AK151" s="48">
        <f t="shared" si="539"/>
        <v>658090.37280612544</v>
      </c>
      <c r="AL151" s="48">
        <f t="shared" si="539"/>
        <v>658090.37280612544</v>
      </c>
      <c r="AM151" s="48">
        <f t="shared" ref="AM151:BR151" si="540">IF(AM$7=1,AL$150,AL$151)</f>
        <v>658090.37280612544</v>
      </c>
      <c r="AN151" s="48">
        <f t="shared" si="540"/>
        <v>658090.37280612544</v>
      </c>
      <c r="AO151" s="48">
        <f t="shared" si="540"/>
        <v>658090.37280612544</v>
      </c>
      <c r="AP151" s="48">
        <f t="shared" si="540"/>
        <v>1154012.1884403287</v>
      </c>
      <c r="AQ151" s="48">
        <f t="shared" si="540"/>
        <v>1154012.1884403287</v>
      </c>
      <c r="AR151" s="48">
        <f t="shared" si="540"/>
        <v>1154012.1884403287</v>
      </c>
      <c r="AS151" s="48">
        <f t="shared" si="540"/>
        <v>1154012.1884403287</v>
      </c>
      <c r="AT151" s="48">
        <f t="shared" si="540"/>
        <v>1154012.1884403287</v>
      </c>
      <c r="AU151" s="48">
        <f t="shared" si="540"/>
        <v>1154012.1884403287</v>
      </c>
      <c r="AV151" s="48">
        <f t="shared" si="540"/>
        <v>1154012.1884403287</v>
      </c>
      <c r="AW151" s="48">
        <f t="shared" si="540"/>
        <v>1154012.1884403287</v>
      </c>
      <c r="AX151" s="48">
        <f t="shared" si="540"/>
        <v>1154012.1884403287</v>
      </c>
      <c r="AY151" s="48">
        <f t="shared" si="540"/>
        <v>1154012.1884403287</v>
      </c>
      <c r="AZ151" s="48">
        <f t="shared" si="540"/>
        <v>1154012.1884403287</v>
      </c>
      <c r="BA151" s="48">
        <f t="shared" si="540"/>
        <v>1154012.1884403287</v>
      </c>
      <c r="BB151" s="48">
        <f t="shared" si="540"/>
        <v>1609906.7567618443</v>
      </c>
      <c r="BC151" s="48">
        <f t="shared" si="540"/>
        <v>1609906.7567618443</v>
      </c>
      <c r="BD151" s="48">
        <f t="shared" si="540"/>
        <v>1609906.7567618443</v>
      </c>
      <c r="BE151" s="48">
        <f t="shared" si="540"/>
        <v>1609906.7567618443</v>
      </c>
      <c r="BF151" s="48">
        <f t="shared" si="540"/>
        <v>1609906.7567618443</v>
      </c>
      <c r="BG151" s="48">
        <f t="shared" si="540"/>
        <v>1609906.7567618443</v>
      </c>
      <c r="BH151" s="48">
        <f t="shared" si="540"/>
        <v>1609906.7567618443</v>
      </c>
      <c r="BI151" s="48">
        <f t="shared" si="540"/>
        <v>1609906.7567618443</v>
      </c>
      <c r="BJ151" s="48">
        <f t="shared" si="540"/>
        <v>1609906.7567618443</v>
      </c>
      <c r="BK151" s="48">
        <f t="shared" si="540"/>
        <v>1609906.7567618443</v>
      </c>
      <c r="BL151" s="48">
        <f t="shared" si="540"/>
        <v>1609906.7567618443</v>
      </c>
      <c r="BM151" s="48">
        <f t="shared" si="540"/>
        <v>1609906.7567618443</v>
      </c>
      <c r="BN151" s="48">
        <f t="shared" si="540"/>
        <v>1693767.7935821309</v>
      </c>
      <c r="BO151" s="48">
        <f t="shared" si="540"/>
        <v>1693767.7935821309</v>
      </c>
      <c r="BP151" s="48">
        <f t="shared" si="540"/>
        <v>1693767.7935821309</v>
      </c>
      <c r="BQ151" s="48">
        <f t="shared" si="540"/>
        <v>1693767.7935821309</v>
      </c>
      <c r="BR151" s="48">
        <f t="shared" si="540"/>
        <v>1693767.7935821309</v>
      </c>
      <c r="BS151" s="48">
        <f t="shared" ref="BS151:CX151" si="541">IF(BS$7=1,BR$150,BR$151)</f>
        <v>1693767.7935821309</v>
      </c>
      <c r="BT151" s="48">
        <f t="shared" si="541"/>
        <v>1693767.7935821309</v>
      </c>
      <c r="BU151" s="48">
        <f t="shared" si="541"/>
        <v>1693767.7935821309</v>
      </c>
      <c r="BV151" s="48">
        <f t="shared" si="541"/>
        <v>1693767.7935821309</v>
      </c>
      <c r="BW151" s="48">
        <f t="shared" si="541"/>
        <v>1693767.7935821309</v>
      </c>
      <c r="BX151" s="48">
        <f t="shared" si="541"/>
        <v>1693767.7935821309</v>
      </c>
      <c r="BY151" s="48">
        <f t="shared" si="541"/>
        <v>1693767.7935821309</v>
      </c>
      <c r="BZ151" s="48">
        <f t="shared" si="541"/>
        <v>1794188.6925739141</v>
      </c>
      <c r="CA151" s="48">
        <f t="shared" si="541"/>
        <v>1794188.6925739141</v>
      </c>
      <c r="CB151" s="48">
        <f t="shared" si="541"/>
        <v>1794188.6925739141</v>
      </c>
      <c r="CC151" s="48">
        <f t="shared" si="541"/>
        <v>1794188.6925739141</v>
      </c>
      <c r="CD151" s="48">
        <f t="shared" si="541"/>
        <v>1794188.6925739141</v>
      </c>
      <c r="CE151" s="48">
        <f t="shared" si="541"/>
        <v>1794188.6925739141</v>
      </c>
      <c r="CF151" s="48">
        <f t="shared" si="541"/>
        <v>1794188.6925739141</v>
      </c>
      <c r="CG151" s="48">
        <f t="shared" si="541"/>
        <v>1794188.6925739141</v>
      </c>
      <c r="CH151" s="48">
        <f t="shared" si="541"/>
        <v>1794188.6925739141</v>
      </c>
      <c r="CI151" s="48">
        <f t="shared" si="541"/>
        <v>1794188.6925739141</v>
      </c>
      <c r="CJ151" s="48">
        <f t="shared" si="541"/>
        <v>1794188.6925739141</v>
      </c>
      <c r="CK151" s="48">
        <f t="shared" si="541"/>
        <v>1794188.6925739141</v>
      </c>
      <c r="CL151" s="48">
        <f t="shared" si="541"/>
        <v>1843575.6608727975</v>
      </c>
      <c r="CM151" s="48">
        <f t="shared" si="541"/>
        <v>1843575.6608727975</v>
      </c>
      <c r="CN151" s="48">
        <f t="shared" si="541"/>
        <v>1843575.6608727975</v>
      </c>
      <c r="CO151" s="48">
        <f t="shared" si="541"/>
        <v>1843575.6608727975</v>
      </c>
      <c r="CP151" s="48">
        <f t="shared" si="541"/>
        <v>1843575.6608727975</v>
      </c>
      <c r="CQ151" s="48">
        <f t="shared" si="541"/>
        <v>1843575.6608727975</v>
      </c>
      <c r="CR151" s="48">
        <f t="shared" si="541"/>
        <v>1843575.6608727975</v>
      </c>
      <c r="CS151" s="48">
        <f t="shared" si="541"/>
        <v>1843575.6608727975</v>
      </c>
      <c r="CT151" s="48">
        <f t="shared" si="541"/>
        <v>1843575.6608727975</v>
      </c>
      <c r="CU151" s="48">
        <f t="shared" si="541"/>
        <v>1843575.6608727975</v>
      </c>
      <c r="CV151" s="48">
        <f t="shared" si="541"/>
        <v>1843575.6608727975</v>
      </c>
      <c r="CW151" s="48">
        <f t="shared" si="541"/>
        <v>1843575.6608727975</v>
      </c>
      <c r="CX151" s="48">
        <f t="shared" si="541"/>
        <v>1893301.2135554499</v>
      </c>
      <c r="CY151" s="48">
        <f t="shared" ref="CY151:ED151" si="542">IF(CY$7=1,CX$150,CX$151)</f>
        <v>1893301.2135554499</v>
      </c>
      <c r="CZ151" s="48">
        <f t="shared" si="542"/>
        <v>1893301.2135554499</v>
      </c>
      <c r="DA151" s="48">
        <f t="shared" si="542"/>
        <v>1893301.2135554499</v>
      </c>
      <c r="DB151" s="48">
        <f t="shared" si="542"/>
        <v>1893301.2135554499</v>
      </c>
      <c r="DC151" s="48">
        <f t="shared" si="542"/>
        <v>1893301.2135554499</v>
      </c>
      <c r="DD151" s="48">
        <f t="shared" si="542"/>
        <v>1893301.2135554499</v>
      </c>
      <c r="DE151" s="48">
        <f t="shared" si="542"/>
        <v>1893301.2135554499</v>
      </c>
      <c r="DF151" s="48">
        <f t="shared" si="542"/>
        <v>1893301.2135554499</v>
      </c>
      <c r="DG151" s="48">
        <f t="shared" si="542"/>
        <v>1893301.2135554499</v>
      </c>
      <c r="DH151" s="48">
        <f t="shared" si="542"/>
        <v>1893301.2135554499</v>
      </c>
      <c r="DI151" s="48">
        <f t="shared" si="542"/>
        <v>1893301.2135554499</v>
      </c>
      <c r="DJ151" s="48">
        <f t="shared" si="542"/>
        <v>1943364.14678689</v>
      </c>
      <c r="DK151" s="48">
        <f t="shared" si="542"/>
        <v>1943364.14678689</v>
      </c>
      <c r="DL151" s="48">
        <f t="shared" si="542"/>
        <v>1943364.14678689</v>
      </c>
      <c r="DM151" s="48">
        <f t="shared" si="542"/>
        <v>1943364.14678689</v>
      </c>
      <c r="DN151" s="48">
        <f t="shared" si="542"/>
        <v>1943364.14678689</v>
      </c>
      <c r="DO151" s="48">
        <f t="shared" si="542"/>
        <v>1943364.14678689</v>
      </c>
      <c r="DP151" s="48">
        <f t="shared" si="542"/>
        <v>1943364.14678689</v>
      </c>
      <c r="DQ151" s="48">
        <f t="shared" si="542"/>
        <v>1943364.14678689</v>
      </c>
      <c r="DR151" s="48">
        <f t="shared" si="542"/>
        <v>1943364.14678689</v>
      </c>
      <c r="DS151" s="48">
        <f t="shared" si="542"/>
        <v>1943364.14678689</v>
      </c>
      <c r="DT151" s="48">
        <f t="shared" si="542"/>
        <v>1943364.14678689</v>
      </c>
      <c r="DU151" s="48">
        <f t="shared" si="542"/>
        <v>1943364.14678689</v>
      </c>
      <c r="DV151" s="48">
        <f t="shared" si="542"/>
        <v>1993763.1083810339</v>
      </c>
      <c r="DW151" s="48">
        <f t="shared" si="542"/>
        <v>1993763.1083810339</v>
      </c>
      <c r="DX151" s="48">
        <f t="shared" si="542"/>
        <v>1993763.1083810339</v>
      </c>
      <c r="DY151" s="48">
        <f t="shared" si="542"/>
        <v>1993763.1083810339</v>
      </c>
      <c r="DZ151" s="48">
        <f t="shared" si="542"/>
        <v>1993763.1083810339</v>
      </c>
      <c r="EA151" s="48">
        <f t="shared" si="542"/>
        <v>1993763.1083810339</v>
      </c>
      <c r="EB151" s="48">
        <f t="shared" si="542"/>
        <v>1993763.1083810339</v>
      </c>
      <c r="EC151" s="48">
        <f t="shared" si="542"/>
        <v>1993763.1083810339</v>
      </c>
      <c r="ED151" s="48">
        <f t="shared" si="542"/>
        <v>1993763.1083810339</v>
      </c>
      <c r="EE151" s="48">
        <f t="shared" ref="EE151:ES151" si="543">IF(EE$7=1,ED$150,ED$151)</f>
        <v>1993763.1083810339</v>
      </c>
      <c r="EF151" s="48">
        <f t="shared" si="543"/>
        <v>1993763.1083810339</v>
      </c>
      <c r="EG151" s="48">
        <f t="shared" si="543"/>
        <v>1993763.1083810339</v>
      </c>
      <c r="EH151" s="48">
        <f t="shared" si="543"/>
        <v>0</v>
      </c>
      <c r="EI151" s="48">
        <f t="shared" si="543"/>
        <v>0</v>
      </c>
      <c r="EJ151" s="48">
        <f t="shared" si="543"/>
        <v>0</v>
      </c>
      <c r="EK151" s="48">
        <f t="shared" si="543"/>
        <v>0</v>
      </c>
      <c r="EL151" s="48">
        <f t="shared" si="543"/>
        <v>0</v>
      </c>
      <c r="EM151" s="48">
        <f t="shared" si="543"/>
        <v>0</v>
      </c>
      <c r="EN151" s="48">
        <f t="shared" si="543"/>
        <v>0</v>
      </c>
      <c r="EO151" s="48">
        <f t="shared" si="543"/>
        <v>0</v>
      </c>
      <c r="EP151" s="48">
        <f t="shared" si="543"/>
        <v>0</v>
      </c>
      <c r="EQ151" s="48">
        <f t="shared" si="543"/>
        <v>0</v>
      </c>
      <c r="ER151" s="48">
        <f t="shared" si="543"/>
        <v>0</v>
      </c>
      <c r="ES151" s="48">
        <f t="shared" si="543"/>
        <v>0</v>
      </c>
    </row>
    <row r="152" spans="1:149" x14ac:dyDescent="0.3">
      <c r="A152" s="14" t="s">
        <v>1198</v>
      </c>
      <c r="B152" s="18" t="s">
        <v>1199</v>
      </c>
      <c r="C152" s="18" t="s">
        <v>439</v>
      </c>
      <c r="E152" s="54">
        <f>SUM(F152:ES152)</f>
        <v>10319354.542284202</v>
      </c>
      <c r="F152" s="48">
        <f t="shared" ref="F152:AK152" si="544">IF(AND(F$7=MAX(1,P_MesDiv),F$6&gt;=2),INDEX(Payout_O,1,MIN(10,F$6-1))*MAX(0,F$151),0)*F$9</f>
        <v>0</v>
      </c>
      <c r="G152" s="48">
        <f t="shared" si="544"/>
        <v>0</v>
      </c>
      <c r="H152" s="48">
        <f t="shared" si="544"/>
        <v>0</v>
      </c>
      <c r="I152" s="48">
        <f t="shared" si="544"/>
        <v>0</v>
      </c>
      <c r="J152" s="48">
        <f t="shared" si="544"/>
        <v>0</v>
      </c>
      <c r="K152" s="48">
        <f t="shared" si="544"/>
        <v>0</v>
      </c>
      <c r="L152" s="48">
        <f t="shared" si="544"/>
        <v>0</v>
      </c>
      <c r="M152" s="48">
        <f t="shared" si="544"/>
        <v>0</v>
      </c>
      <c r="N152" s="48">
        <f t="shared" si="544"/>
        <v>0</v>
      </c>
      <c r="O152" s="48">
        <f t="shared" si="544"/>
        <v>0</v>
      </c>
      <c r="P152" s="48">
        <f t="shared" si="544"/>
        <v>0</v>
      </c>
      <c r="Q152" s="48">
        <f t="shared" si="544"/>
        <v>0</v>
      </c>
      <c r="R152" s="48">
        <f t="shared" si="544"/>
        <v>0</v>
      </c>
      <c r="S152" s="48">
        <f t="shared" si="544"/>
        <v>0</v>
      </c>
      <c r="T152" s="48">
        <f t="shared" si="544"/>
        <v>0</v>
      </c>
      <c r="U152" s="48">
        <f t="shared" si="544"/>
        <v>0</v>
      </c>
      <c r="V152" s="48">
        <f t="shared" si="544"/>
        <v>0</v>
      </c>
      <c r="W152" s="48">
        <f t="shared" si="544"/>
        <v>0</v>
      </c>
      <c r="X152" s="48">
        <f t="shared" si="544"/>
        <v>0</v>
      </c>
      <c r="Y152" s="48">
        <f t="shared" si="544"/>
        <v>0</v>
      </c>
      <c r="Z152" s="48">
        <f t="shared" si="544"/>
        <v>0</v>
      </c>
      <c r="AA152" s="48">
        <f t="shared" si="544"/>
        <v>0</v>
      </c>
      <c r="AB152" s="48">
        <f t="shared" si="544"/>
        <v>0</v>
      </c>
      <c r="AC152" s="48">
        <f t="shared" si="544"/>
        <v>0</v>
      </c>
      <c r="AD152" s="48">
        <f t="shared" si="544"/>
        <v>0</v>
      </c>
      <c r="AE152" s="48">
        <f t="shared" si="544"/>
        <v>0</v>
      </c>
      <c r="AF152" s="48">
        <f t="shared" si="544"/>
        <v>0</v>
      </c>
      <c r="AG152" s="48">
        <f t="shared" si="544"/>
        <v>0</v>
      </c>
      <c r="AH152" s="48">
        <f t="shared" si="544"/>
        <v>0</v>
      </c>
      <c r="AI152" s="48">
        <f t="shared" si="544"/>
        <v>0</v>
      </c>
      <c r="AJ152" s="48">
        <f t="shared" si="544"/>
        <v>0</v>
      </c>
      <c r="AK152" s="48">
        <f t="shared" si="544"/>
        <v>0</v>
      </c>
      <c r="AL152" s="48">
        <f t="shared" ref="AL152:BQ152" si="545">IF(AND(AL$7=MAX(1,P_MesDiv),AL$6&gt;=2),INDEX(Payout_O,1,MIN(10,AL$6-1))*MAX(0,AL$151),0)*AL$9</f>
        <v>0</v>
      </c>
      <c r="AM152" s="48">
        <f t="shared" si="545"/>
        <v>0</v>
      </c>
      <c r="AN152" s="48">
        <f t="shared" si="545"/>
        <v>0</v>
      </c>
      <c r="AO152" s="48">
        <f t="shared" si="545"/>
        <v>0</v>
      </c>
      <c r="AP152" s="48">
        <f t="shared" si="545"/>
        <v>0</v>
      </c>
      <c r="AQ152" s="48">
        <f t="shared" si="545"/>
        <v>0</v>
      </c>
      <c r="AR152" s="48">
        <f t="shared" si="545"/>
        <v>0</v>
      </c>
      <c r="AS152" s="48">
        <f t="shared" si="545"/>
        <v>346203.6565320986</v>
      </c>
      <c r="AT152" s="48">
        <f t="shared" si="545"/>
        <v>0</v>
      </c>
      <c r="AU152" s="48">
        <f t="shared" si="545"/>
        <v>0</v>
      </c>
      <c r="AV152" s="48">
        <f t="shared" si="545"/>
        <v>0</v>
      </c>
      <c r="AW152" s="48">
        <f t="shared" si="545"/>
        <v>0</v>
      </c>
      <c r="AX152" s="48">
        <f t="shared" si="545"/>
        <v>0</v>
      </c>
      <c r="AY152" s="48">
        <f t="shared" si="545"/>
        <v>0</v>
      </c>
      <c r="AZ152" s="48">
        <f t="shared" si="545"/>
        <v>0</v>
      </c>
      <c r="BA152" s="48">
        <f t="shared" si="545"/>
        <v>0</v>
      </c>
      <c r="BB152" s="48">
        <f t="shared" si="545"/>
        <v>0</v>
      </c>
      <c r="BC152" s="48">
        <f t="shared" si="545"/>
        <v>0</v>
      </c>
      <c r="BD152" s="48">
        <f t="shared" si="545"/>
        <v>0</v>
      </c>
      <c r="BE152" s="48">
        <f t="shared" si="545"/>
        <v>804953.37838092213</v>
      </c>
      <c r="BF152" s="48">
        <f t="shared" si="545"/>
        <v>0</v>
      </c>
      <c r="BG152" s="48">
        <f t="shared" si="545"/>
        <v>0</v>
      </c>
      <c r="BH152" s="48">
        <f t="shared" si="545"/>
        <v>0</v>
      </c>
      <c r="BI152" s="48">
        <f t="shared" si="545"/>
        <v>0</v>
      </c>
      <c r="BJ152" s="48">
        <f t="shared" si="545"/>
        <v>0</v>
      </c>
      <c r="BK152" s="48">
        <f t="shared" si="545"/>
        <v>0</v>
      </c>
      <c r="BL152" s="48">
        <f t="shared" si="545"/>
        <v>0</v>
      </c>
      <c r="BM152" s="48">
        <f t="shared" si="545"/>
        <v>0</v>
      </c>
      <c r="BN152" s="48">
        <f t="shared" si="545"/>
        <v>0</v>
      </c>
      <c r="BO152" s="48">
        <f t="shared" si="545"/>
        <v>0</v>
      </c>
      <c r="BP152" s="48">
        <f t="shared" si="545"/>
        <v>0</v>
      </c>
      <c r="BQ152" s="48">
        <f t="shared" si="545"/>
        <v>1693767.7935821309</v>
      </c>
      <c r="BR152" s="48">
        <f t="shared" ref="BR152:CW152" si="546">IF(AND(BR$7=MAX(1,P_MesDiv),BR$6&gt;=2),INDEX(Payout_O,1,MIN(10,BR$6-1))*MAX(0,BR$151),0)*BR$9</f>
        <v>0</v>
      </c>
      <c r="BS152" s="48">
        <f t="shared" si="546"/>
        <v>0</v>
      </c>
      <c r="BT152" s="48">
        <f t="shared" si="546"/>
        <v>0</v>
      </c>
      <c r="BU152" s="48">
        <f t="shared" si="546"/>
        <v>0</v>
      </c>
      <c r="BV152" s="48">
        <f t="shared" si="546"/>
        <v>0</v>
      </c>
      <c r="BW152" s="48">
        <f t="shared" si="546"/>
        <v>0</v>
      </c>
      <c r="BX152" s="48">
        <f t="shared" si="546"/>
        <v>0</v>
      </c>
      <c r="BY152" s="48">
        <f t="shared" si="546"/>
        <v>0</v>
      </c>
      <c r="BZ152" s="48">
        <f t="shared" si="546"/>
        <v>0</v>
      </c>
      <c r="CA152" s="48">
        <f t="shared" si="546"/>
        <v>0</v>
      </c>
      <c r="CB152" s="48">
        <f t="shared" si="546"/>
        <v>0</v>
      </c>
      <c r="CC152" s="48">
        <f t="shared" si="546"/>
        <v>1794188.6925739141</v>
      </c>
      <c r="CD152" s="48">
        <f t="shared" si="546"/>
        <v>0</v>
      </c>
      <c r="CE152" s="48">
        <f t="shared" si="546"/>
        <v>0</v>
      </c>
      <c r="CF152" s="48">
        <f t="shared" si="546"/>
        <v>0</v>
      </c>
      <c r="CG152" s="48">
        <f t="shared" si="546"/>
        <v>0</v>
      </c>
      <c r="CH152" s="48">
        <f t="shared" si="546"/>
        <v>0</v>
      </c>
      <c r="CI152" s="48">
        <f t="shared" si="546"/>
        <v>0</v>
      </c>
      <c r="CJ152" s="48">
        <f t="shared" si="546"/>
        <v>0</v>
      </c>
      <c r="CK152" s="48">
        <f t="shared" si="546"/>
        <v>0</v>
      </c>
      <c r="CL152" s="48">
        <f t="shared" si="546"/>
        <v>0</v>
      </c>
      <c r="CM152" s="48">
        <f t="shared" si="546"/>
        <v>0</v>
      </c>
      <c r="CN152" s="48">
        <f t="shared" si="546"/>
        <v>0</v>
      </c>
      <c r="CO152" s="48">
        <f t="shared" si="546"/>
        <v>1843575.6608727975</v>
      </c>
      <c r="CP152" s="48">
        <f t="shared" si="546"/>
        <v>0</v>
      </c>
      <c r="CQ152" s="48">
        <f t="shared" si="546"/>
        <v>0</v>
      </c>
      <c r="CR152" s="48">
        <f t="shared" si="546"/>
        <v>0</v>
      </c>
      <c r="CS152" s="48">
        <f t="shared" si="546"/>
        <v>0</v>
      </c>
      <c r="CT152" s="48">
        <f t="shared" si="546"/>
        <v>0</v>
      </c>
      <c r="CU152" s="48">
        <f t="shared" si="546"/>
        <v>0</v>
      </c>
      <c r="CV152" s="48">
        <f t="shared" si="546"/>
        <v>0</v>
      </c>
      <c r="CW152" s="48">
        <f t="shared" si="546"/>
        <v>0</v>
      </c>
      <c r="CX152" s="48">
        <f t="shared" ref="CX152:EC152" si="547">IF(AND(CX$7=MAX(1,P_MesDiv),CX$6&gt;=2),INDEX(Payout_O,1,MIN(10,CX$6-1))*MAX(0,CX$151),0)*CX$9</f>
        <v>0</v>
      </c>
      <c r="CY152" s="48">
        <f t="shared" si="547"/>
        <v>0</v>
      </c>
      <c r="CZ152" s="48">
        <f t="shared" si="547"/>
        <v>0</v>
      </c>
      <c r="DA152" s="48">
        <f t="shared" si="547"/>
        <v>1893301.2135554499</v>
      </c>
      <c r="DB152" s="48">
        <f t="shared" si="547"/>
        <v>0</v>
      </c>
      <c r="DC152" s="48">
        <f t="shared" si="547"/>
        <v>0</v>
      </c>
      <c r="DD152" s="48">
        <f t="shared" si="547"/>
        <v>0</v>
      </c>
      <c r="DE152" s="48">
        <f t="shared" si="547"/>
        <v>0</v>
      </c>
      <c r="DF152" s="48">
        <f t="shared" si="547"/>
        <v>0</v>
      </c>
      <c r="DG152" s="48">
        <f t="shared" si="547"/>
        <v>0</v>
      </c>
      <c r="DH152" s="48">
        <f t="shared" si="547"/>
        <v>0</v>
      </c>
      <c r="DI152" s="48">
        <f t="shared" si="547"/>
        <v>0</v>
      </c>
      <c r="DJ152" s="48">
        <f t="shared" si="547"/>
        <v>0</v>
      </c>
      <c r="DK152" s="48">
        <f t="shared" si="547"/>
        <v>0</v>
      </c>
      <c r="DL152" s="48">
        <f t="shared" si="547"/>
        <v>0</v>
      </c>
      <c r="DM152" s="48">
        <f t="shared" si="547"/>
        <v>1943364.14678689</v>
      </c>
      <c r="DN152" s="48">
        <f t="shared" si="547"/>
        <v>0</v>
      </c>
      <c r="DO152" s="48">
        <f t="shared" si="547"/>
        <v>0</v>
      </c>
      <c r="DP152" s="48">
        <f t="shared" si="547"/>
        <v>0</v>
      </c>
      <c r="DQ152" s="48">
        <f t="shared" si="547"/>
        <v>0</v>
      </c>
      <c r="DR152" s="48">
        <f t="shared" si="547"/>
        <v>0</v>
      </c>
      <c r="DS152" s="48">
        <f t="shared" si="547"/>
        <v>0</v>
      </c>
      <c r="DT152" s="48">
        <f t="shared" si="547"/>
        <v>0</v>
      </c>
      <c r="DU152" s="48">
        <f t="shared" si="547"/>
        <v>0</v>
      </c>
      <c r="DV152" s="48">
        <f t="shared" si="547"/>
        <v>0</v>
      </c>
      <c r="DW152" s="48">
        <f t="shared" si="547"/>
        <v>0</v>
      </c>
      <c r="DX152" s="48">
        <f t="shared" si="547"/>
        <v>0</v>
      </c>
      <c r="DY152" s="48">
        <f t="shared" si="547"/>
        <v>0</v>
      </c>
      <c r="DZ152" s="48">
        <f t="shared" si="547"/>
        <v>0</v>
      </c>
      <c r="EA152" s="48">
        <f t="shared" si="547"/>
        <v>0</v>
      </c>
      <c r="EB152" s="48">
        <f t="shared" si="547"/>
        <v>0</v>
      </c>
      <c r="EC152" s="48">
        <f t="shared" si="547"/>
        <v>0</v>
      </c>
      <c r="ED152" s="48">
        <f t="shared" ref="ED152:ES152" si="548">IF(AND(ED$7=MAX(1,P_MesDiv),ED$6&gt;=2),INDEX(Payout_O,1,MIN(10,ED$6-1))*MAX(0,ED$151),0)*ED$9</f>
        <v>0</v>
      </c>
      <c r="EE152" s="48">
        <f t="shared" si="548"/>
        <v>0</v>
      </c>
      <c r="EF152" s="48">
        <f t="shared" si="548"/>
        <v>0</v>
      </c>
      <c r="EG152" s="48">
        <f t="shared" si="548"/>
        <v>0</v>
      </c>
      <c r="EH152" s="48">
        <f t="shared" si="548"/>
        <v>0</v>
      </c>
      <c r="EI152" s="48">
        <f t="shared" si="548"/>
        <v>0</v>
      </c>
      <c r="EJ152" s="48">
        <f t="shared" si="548"/>
        <v>0</v>
      </c>
      <c r="EK152" s="48">
        <f t="shared" si="548"/>
        <v>0</v>
      </c>
      <c r="EL152" s="48">
        <f t="shared" si="548"/>
        <v>0</v>
      </c>
      <c r="EM152" s="48">
        <f t="shared" si="548"/>
        <v>0</v>
      </c>
      <c r="EN152" s="48">
        <f t="shared" si="548"/>
        <v>0</v>
      </c>
      <c r="EO152" s="48">
        <f t="shared" si="548"/>
        <v>0</v>
      </c>
      <c r="EP152" s="48">
        <f t="shared" si="548"/>
        <v>0</v>
      </c>
      <c r="EQ152" s="48">
        <f t="shared" si="548"/>
        <v>0</v>
      </c>
      <c r="ER152" s="48">
        <f t="shared" si="548"/>
        <v>0</v>
      </c>
      <c r="ES152" s="48">
        <f t="shared" si="548"/>
        <v>0</v>
      </c>
    </row>
    <row r="153" spans="1:149" x14ac:dyDescent="0.3">
      <c r="A153" s="14" t="s">
        <v>1200</v>
      </c>
      <c r="B153" s="18" t="s">
        <v>1201</v>
      </c>
      <c r="C153" s="18" t="s">
        <v>439</v>
      </c>
      <c r="E153" s="54">
        <f>SUM(F153:ES153)</f>
        <v>9743309.6365381926</v>
      </c>
      <c r="F153" s="48">
        <f t="shared" ref="F153:AK153" si="549">MIN(F$152,MAX(0,F$149-F$142))</f>
        <v>0</v>
      </c>
      <c r="G153" s="48">
        <f t="shared" si="549"/>
        <v>0</v>
      </c>
      <c r="H153" s="48">
        <f t="shared" si="549"/>
        <v>0</v>
      </c>
      <c r="I153" s="48">
        <f t="shared" si="549"/>
        <v>0</v>
      </c>
      <c r="J153" s="48">
        <f t="shared" si="549"/>
        <v>0</v>
      </c>
      <c r="K153" s="48">
        <f t="shared" si="549"/>
        <v>0</v>
      </c>
      <c r="L153" s="48">
        <f t="shared" si="549"/>
        <v>0</v>
      </c>
      <c r="M153" s="48">
        <f t="shared" si="549"/>
        <v>0</v>
      </c>
      <c r="N153" s="48">
        <f t="shared" si="549"/>
        <v>0</v>
      </c>
      <c r="O153" s="48">
        <f t="shared" si="549"/>
        <v>0</v>
      </c>
      <c r="P153" s="48">
        <f t="shared" si="549"/>
        <v>0</v>
      </c>
      <c r="Q153" s="48">
        <f t="shared" si="549"/>
        <v>0</v>
      </c>
      <c r="R153" s="48">
        <f t="shared" si="549"/>
        <v>0</v>
      </c>
      <c r="S153" s="48">
        <f t="shared" si="549"/>
        <v>0</v>
      </c>
      <c r="T153" s="48">
        <f t="shared" si="549"/>
        <v>0</v>
      </c>
      <c r="U153" s="48">
        <f t="shared" si="549"/>
        <v>0</v>
      </c>
      <c r="V153" s="48">
        <f t="shared" si="549"/>
        <v>0</v>
      </c>
      <c r="W153" s="48">
        <f t="shared" si="549"/>
        <v>0</v>
      </c>
      <c r="X153" s="48">
        <f t="shared" si="549"/>
        <v>0</v>
      </c>
      <c r="Y153" s="48">
        <f t="shared" si="549"/>
        <v>0</v>
      </c>
      <c r="Z153" s="48">
        <f t="shared" si="549"/>
        <v>0</v>
      </c>
      <c r="AA153" s="48">
        <f t="shared" si="549"/>
        <v>0</v>
      </c>
      <c r="AB153" s="48">
        <f t="shared" si="549"/>
        <v>0</v>
      </c>
      <c r="AC153" s="48">
        <f t="shared" si="549"/>
        <v>0</v>
      </c>
      <c r="AD153" s="48">
        <f t="shared" si="549"/>
        <v>0</v>
      </c>
      <c r="AE153" s="48">
        <f t="shared" si="549"/>
        <v>0</v>
      </c>
      <c r="AF153" s="48">
        <f t="shared" si="549"/>
        <v>0</v>
      </c>
      <c r="AG153" s="48">
        <f t="shared" si="549"/>
        <v>0</v>
      </c>
      <c r="AH153" s="48">
        <f t="shared" si="549"/>
        <v>0</v>
      </c>
      <c r="AI153" s="48">
        <f t="shared" si="549"/>
        <v>0</v>
      </c>
      <c r="AJ153" s="48">
        <f t="shared" si="549"/>
        <v>0</v>
      </c>
      <c r="AK153" s="48">
        <f t="shared" si="549"/>
        <v>0</v>
      </c>
      <c r="AL153" s="48">
        <f t="shared" ref="AL153:BQ153" si="550">MIN(AL$152,MAX(0,AL$149-AL$142))</f>
        <v>0</v>
      </c>
      <c r="AM153" s="48">
        <f t="shared" si="550"/>
        <v>0</v>
      </c>
      <c r="AN153" s="48">
        <f t="shared" si="550"/>
        <v>0</v>
      </c>
      <c r="AO153" s="48">
        <f t="shared" si="550"/>
        <v>0</v>
      </c>
      <c r="AP153" s="48">
        <f t="shared" si="550"/>
        <v>0</v>
      </c>
      <c r="AQ153" s="48">
        <f t="shared" si="550"/>
        <v>0</v>
      </c>
      <c r="AR153" s="48">
        <f t="shared" si="550"/>
        <v>0</v>
      </c>
      <c r="AS153" s="48">
        <f t="shared" si="550"/>
        <v>0</v>
      </c>
      <c r="AT153" s="48">
        <f t="shared" si="550"/>
        <v>0</v>
      </c>
      <c r="AU153" s="48">
        <f t="shared" si="550"/>
        <v>0</v>
      </c>
      <c r="AV153" s="48">
        <f t="shared" si="550"/>
        <v>0</v>
      </c>
      <c r="AW153" s="48">
        <f t="shared" si="550"/>
        <v>0</v>
      </c>
      <c r="AX153" s="48">
        <f t="shared" si="550"/>
        <v>0</v>
      </c>
      <c r="AY153" s="48">
        <f t="shared" si="550"/>
        <v>0</v>
      </c>
      <c r="AZ153" s="48">
        <f t="shared" si="550"/>
        <v>0</v>
      </c>
      <c r="BA153" s="48">
        <f t="shared" si="550"/>
        <v>0</v>
      </c>
      <c r="BB153" s="48">
        <f t="shared" si="550"/>
        <v>0</v>
      </c>
      <c r="BC153" s="48">
        <f t="shared" si="550"/>
        <v>0</v>
      </c>
      <c r="BD153" s="48">
        <f t="shared" si="550"/>
        <v>0</v>
      </c>
      <c r="BE153" s="48">
        <f t="shared" si="550"/>
        <v>804953.37838092213</v>
      </c>
      <c r="BF153" s="48">
        <f t="shared" si="550"/>
        <v>0</v>
      </c>
      <c r="BG153" s="48">
        <f t="shared" si="550"/>
        <v>0</v>
      </c>
      <c r="BH153" s="48">
        <f t="shared" si="550"/>
        <v>0</v>
      </c>
      <c r="BI153" s="48">
        <f t="shared" si="550"/>
        <v>0</v>
      </c>
      <c r="BJ153" s="48">
        <f t="shared" si="550"/>
        <v>0</v>
      </c>
      <c r="BK153" s="48">
        <f t="shared" si="550"/>
        <v>0</v>
      </c>
      <c r="BL153" s="48">
        <f t="shared" si="550"/>
        <v>0</v>
      </c>
      <c r="BM153" s="48">
        <f t="shared" si="550"/>
        <v>0</v>
      </c>
      <c r="BN153" s="48">
        <f t="shared" si="550"/>
        <v>0</v>
      </c>
      <c r="BO153" s="48">
        <f t="shared" si="550"/>
        <v>0</v>
      </c>
      <c r="BP153" s="48">
        <f t="shared" si="550"/>
        <v>0</v>
      </c>
      <c r="BQ153" s="48">
        <f t="shared" si="550"/>
        <v>1463926.5443682182</v>
      </c>
      <c r="BR153" s="48">
        <f t="shared" ref="BR153:CW153" si="551">MIN(BR$152,MAX(0,BR$149-BR$142))</f>
        <v>0</v>
      </c>
      <c r="BS153" s="48">
        <f t="shared" si="551"/>
        <v>0</v>
      </c>
      <c r="BT153" s="48">
        <f t="shared" si="551"/>
        <v>0</v>
      </c>
      <c r="BU153" s="48">
        <f t="shared" si="551"/>
        <v>0</v>
      </c>
      <c r="BV153" s="48">
        <f t="shared" si="551"/>
        <v>0</v>
      </c>
      <c r="BW153" s="48">
        <f t="shared" si="551"/>
        <v>0</v>
      </c>
      <c r="BX153" s="48">
        <f t="shared" si="551"/>
        <v>0</v>
      </c>
      <c r="BY153" s="48">
        <f t="shared" si="551"/>
        <v>0</v>
      </c>
      <c r="BZ153" s="48">
        <f t="shared" si="551"/>
        <v>0</v>
      </c>
      <c r="CA153" s="48">
        <f t="shared" si="551"/>
        <v>0</v>
      </c>
      <c r="CB153" s="48">
        <f t="shared" si="551"/>
        <v>0</v>
      </c>
      <c r="CC153" s="48">
        <f t="shared" si="551"/>
        <v>1794188.6925739141</v>
      </c>
      <c r="CD153" s="48">
        <f t="shared" si="551"/>
        <v>0</v>
      </c>
      <c r="CE153" s="48">
        <f t="shared" si="551"/>
        <v>0</v>
      </c>
      <c r="CF153" s="48">
        <f t="shared" si="551"/>
        <v>0</v>
      </c>
      <c r="CG153" s="48">
        <f t="shared" si="551"/>
        <v>0</v>
      </c>
      <c r="CH153" s="48">
        <f t="shared" si="551"/>
        <v>0</v>
      </c>
      <c r="CI153" s="48">
        <f t="shared" si="551"/>
        <v>0</v>
      </c>
      <c r="CJ153" s="48">
        <f t="shared" si="551"/>
        <v>0</v>
      </c>
      <c r="CK153" s="48">
        <f t="shared" si="551"/>
        <v>0</v>
      </c>
      <c r="CL153" s="48">
        <f t="shared" si="551"/>
        <v>0</v>
      </c>
      <c r="CM153" s="48">
        <f t="shared" si="551"/>
        <v>0</v>
      </c>
      <c r="CN153" s="48">
        <f t="shared" si="551"/>
        <v>0</v>
      </c>
      <c r="CO153" s="48">
        <f t="shared" si="551"/>
        <v>1843575.6608727975</v>
      </c>
      <c r="CP153" s="48">
        <f t="shared" si="551"/>
        <v>0</v>
      </c>
      <c r="CQ153" s="48">
        <f t="shared" si="551"/>
        <v>0</v>
      </c>
      <c r="CR153" s="48">
        <f t="shared" si="551"/>
        <v>0</v>
      </c>
      <c r="CS153" s="48">
        <f t="shared" si="551"/>
        <v>0</v>
      </c>
      <c r="CT153" s="48">
        <f t="shared" si="551"/>
        <v>0</v>
      </c>
      <c r="CU153" s="48">
        <f t="shared" si="551"/>
        <v>0</v>
      </c>
      <c r="CV153" s="48">
        <f t="shared" si="551"/>
        <v>0</v>
      </c>
      <c r="CW153" s="48">
        <f t="shared" si="551"/>
        <v>0</v>
      </c>
      <c r="CX153" s="48">
        <f t="shared" ref="CX153:EC153" si="552">MIN(CX$152,MAX(0,CX$149-CX$142))</f>
        <v>0</v>
      </c>
      <c r="CY153" s="48">
        <f t="shared" si="552"/>
        <v>0</v>
      </c>
      <c r="CZ153" s="48">
        <f t="shared" si="552"/>
        <v>0</v>
      </c>
      <c r="DA153" s="48">
        <f t="shared" si="552"/>
        <v>1893301.2135554499</v>
      </c>
      <c r="DB153" s="48">
        <f t="shared" si="552"/>
        <v>0</v>
      </c>
      <c r="DC153" s="48">
        <f t="shared" si="552"/>
        <v>0</v>
      </c>
      <c r="DD153" s="48">
        <f t="shared" si="552"/>
        <v>0</v>
      </c>
      <c r="DE153" s="48">
        <f t="shared" si="552"/>
        <v>0</v>
      </c>
      <c r="DF153" s="48">
        <f t="shared" si="552"/>
        <v>0</v>
      </c>
      <c r="DG153" s="48">
        <f t="shared" si="552"/>
        <v>0</v>
      </c>
      <c r="DH153" s="48">
        <f t="shared" si="552"/>
        <v>0</v>
      </c>
      <c r="DI153" s="48">
        <f t="shared" si="552"/>
        <v>0</v>
      </c>
      <c r="DJ153" s="48">
        <f t="shared" si="552"/>
        <v>0</v>
      </c>
      <c r="DK153" s="48">
        <f t="shared" si="552"/>
        <v>0</v>
      </c>
      <c r="DL153" s="48">
        <f t="shared" si="552"/>
        <v>0</v>
      </c>
      <c r="DM153" s="48">
        <f t="shared" si="552"/>
        <v>1943364.14678689</v>
      </c>
      <c r="DN153" s="48">
        <f t="shared" si="552"/>
        <v>0</v>
      </c>
      <c r="DO153" s="48">
        <f t="shared" si="552"/>
        <v>0</v>
      </c>
      <c r="DP153" s="48">
        <f t="shared" si="552"/>
        <v>0</v>
      </c>
      <c r="DQ153" s="48">
        <f t="shared" si="552"/>
        <v>0</v>
      </c>
      <c r="DR153" s="48">
        <f t="shared" si="552"/>
        <v>0</v>
      </c>
      <c r="DS153" s="48">
        <f t="shared" si="552"/>
        <v>0</v>
      </c>
      <c r="DT153" s="48">
        <f t="shared" si="552"/>
        <v>0</v>
      </c>
      <c r="DU153" s="48">
        <f t="shared" si="552"/>
        <v>0</v>
      </c>
      <c r="DV153" s="48">
        <f t="shared" si="552"/>
        <v>0</v>
      </c>
      <c r="DW153" s="48">
        <f t="shared" si="552"/>
        <v>0</v>
      </c>
      <c r="DX153" s="48">
        <f t="shared" si="552"/>
        <v>0</v>
      </c>
      <c r="DY153" s="48">
        <f t="shared" si="552"/>
        <v>0</v>
      </c>
      <c r="DZ153" s="48">
        <f t="shared" si="552"/>
        <v>0</v>
      </c>
      <c r="EA153" s="48">
        <f t="shared" si="552"/>
        <v>0</v>
      </c>
      <c r="EB153" s="48">
        <f t="shared" si="552"/>
        <v>0</v>
      </c>
      <c r="EC153" s="48">
        <f t="shared" si="552"/>
        <v>0</v>
      </c>
      <c r="ED153" s="48">
        <f t="shared" ref="ED153:ES153" si="553">MIN(ED$152,MAX(0,ED$149-ED$142))</f>
        <v>0</v>
      </c>
      <c r="EE153" s="48">
        <f t="shared" si="553"/>
        <v>0</v>
      </c>
      <c r="EF153" s="48">
        <f t="shared" si="553"/>
        <v>0</v>
      </c>
      <c r="EG153" s="48">
        <f t="shared" si="553"/>
        <v>0</v>
      </c>
      <c r="EH153" s="48">
        <f t="shared" si="553"/>
        <v>0</v>
      </c>
      <c r="EI153" s="48">
        <f t="shared" si="553"/>
        <v>0</v>
      </c>
      <c r="EJ153" s="48">
        <f t="shared" si="553"/>
        <v>0</v>
      </c>
      <c r="EK153" s="48">
        <f t="shared" si="553"/>
        <v>0</v>
      </c>
      <c r="EL153" s="48">
        <f t="shared" si="553"/>
        <v>0</v>
      </c>
      <c r="EM153" s="48">
        <f t="shared" si="553"/>
        <v>0</v>
      </c>
      <c r="EN153" s="48">
        <f t="shared" si="553"/>
        <v>0</v>
      </c>
      <c r="EO153" s="48">
        <f t="shared" si="553"/>
        <v>0</v>
      </c>
      <c r="EP153" s="48">
        <f t="shared" si="553"/>
        <v>0</v>
      </c>
      <c r="EQ153" s="48">
        <f t="shared" si="553"/>
        <v>0</v>
      </c>
      <c r="ER153" s="48">
        <f t="shared" si="553"/>
        <v>0</v>
      </c>
      <c r="ES153" s="48">
        <f t="shared" si="553"/>
        <v>0</v>
      </c>
    </row>
    <row r="154" spans="1:149" x14ac:dyDescent="0.3">
      <c r="A154" s="14" t="s">
        <v>1202</v>
      </c>
      <c r="B154" s="68" t="s">
        <v>1203</v>
      </c>
      <c r="C154" s="18" t="s">
        <v>439</v>
      </c>
      <c r="E154" s="54">
        <f>MIN(F154:ES154)</f>
        <v>-311740.11867261748</v>
      </c>
      <c r="F154" s="22">
        <f t="shared" ref="F154:AK154" si="554">F$149-F$153</f>
        <v>535727.93036655965</v>
      </c>
      <c r="G154" s="22">
        <f t="shared" si="554"/>
        <v>555194.83809214947</v>
      </c>
      <c r="H154" s="22">
        <f t="shared" si="554"/>
        <v>574661.74581773928</v>
      </c>
      <c r="I154" s="22">
        <f t="shared" si="554"/>
        <v>594128.6535433291</v>
      </c>
      <c r="J154" s="22">
        <f t="shared" si="554"/>
        <v>613595.56126891891</v>
      </c>
      <c r="K154" s="22">
        <f t="shared" si="554"/>
        <v>633062.46899450873</v>
      </c>
      <c r="L154" s="22">
        <f t="shared" si="554"/>
        <v>610406.07262541074</v>
      </c>
      <c r="M154" s="22">
        <f t="shared" si="554"/>
        <v>587781.26873438375</v>
      </c>
      <c r="N154" s="22">
        <f t="shared" si="554"/>
        <v>565188.2942650133</v>
      </c>
      <c r="O154" s="22">
        <f t="shared" si="554"/>
        <v>542627.38793796184</v>
      </c>
      <c r="P154" s="22">
        <f t="shared" si="554"/>
        <v>520098.79026429675</v>
      </c>
      <c r="Q154" s="22">
        <f t="shared" si="554"/>
        <v>497602.74355891842</v>
      </c>
      <c r="R154" s="22">
        <f t="shared" si="554"/>
        <v>129920.95007681983</v>
      </c>
      <c r="S154" s="22">
        <f t="shared" si="554"/>
        <v>145489.64205416848</v>
      </c>
      <c r="T154" s="22">
        <f t="shared" si="554"/>
        <v>161091.62290329867</v>
      </c>
      <c r="U154" s="22">
        <f t="shared" si="554"/>
        <v>176727.1422907488</v>
      </c>
      <c r="V154" s="22">
        <f t="shared" si="554"/>
        <v>192396.45175555622</v>
      </c>
      <c r="W154" s="22">
        <f t="shared" si="554"/>
        <v>208099.80472330115</v>
      </c>
      <c r="X154" s="22">
        <f t="shared" si="554"/>
        <v>223837.4565202556</v>
      </c>
      <c r="Y154" s="22">
        <f t="shared" si="554"/>
        <v>239609.66438763862</v>
      </c>
      <c r="Z154" s="22">
        <f t="shared" si="554"/>
        <v>255416.68749597843</v>
      </c>
      <c r="AA154" s="22">
        <f t="shared" si="554"/>
        <v>271258.7869595823</v>
      </c>
      <c r="AB154" s="22">
        <f t="shared" si="554"/>
        <v>287136.22585111461</v>
      </c>
      <c r="AC154" s="22">
        <f t="shared" si="554"/>
        <v>303049.26921628485</v>
      </c>
      <c r="AD154" s="22">
        <f t="shared" si="554"/>
        <v>-311740.11867261748</v>
      </c>
      <c r="AE154" s="22">
        <f t="shared" si="554"/>
        <v>-259166.43538560302</v>
      </c>
      <c r="AF154" s="22">
        <f t="shared" si="554"/>
        <v>-206556.34050101822</v>
      </c>
      <c r="AG154" s="22">
        <f t="shared" si="554"/>
        <v>-153909.56093188128</v>
      </c>
      <c r="AH154" s="22">
        <f t="shared" si="554"/>
        <v>-101225.82154305807</v>
      </c>
      <c r="AI154" s="22">
        <f t="shared" si="554"/>
        <v>-48504.845135900956</v>
      </c>
      <c r="AJ154" s="22">
        <f t="shared" si="554"/>
        <v>4253.6475672275774</v>
      </c>
      <c r="AK154" s="22">
        <f t="shared" si="554"/>
        <v>57049.937938547329</v>
      </c>
      <c r="AL154" s="22">
        <f t="shared" ref="AL154:BQ154" si="555">AL$149-AL$153</f>
        <v>109884.30946056971</v>
      </c>
      <c r="AM154" s="22">
        <f t="shared" si="555"/>
        <v>162757.04774192499</v>
      </c>
      <c r="AN154" s="22">
        <f t="shared" si="555"/>
        <v>215668.4405333082</v>
      </c>
      <c r="AO154" s="22">
        <f t="shared" si="555"/>
        <v>268618.77774354449</v>
      </c>
      <c r="AP154" s="22">
        <f t="shared" si="555"/>
        <v>-204392.16946280401</v>
      </c>
      <c r="AQ154" s="22">
        <f t="shared" si="555"/>
        <v>-118554.51596008008</v>
      </c>
      <c r="AR154" s="22">
        <f t="shared" si="555"/>
        <v>-32677.035200778479</v>
      </c>
      <c r="AS154" s="22">
        <f t="shared" si="555"/>
        <v>53240.571519525118</v>
      </c>
      <c r="AT154" s="22">
        <f t="shared" si="555"/>
        <v>139198.60514553823</v>
      </c>
      <c r="AU154" s="22">
        <f t="shared" si="555"/>
        <v>225197.36887905365</v>
      </c>
      <c r="AV154" s="22">
        <f t="shared" si="555"/>
        <v>311237.16819587769</v>
      </c>
      <c r="AW154" s="22">
        <f t="shared" si="555"/>
        <v>397318.31086288509</v>
      </c>
      <c r="AX154" s="22">
        <f t="shared" si="555"/>
        <v>483441.10695520235</v>
      </c>
      <c r="AY154" s="22">
        <f t="shared" si="555"/>
        <v>569605.86887351924</v>
      </c>
      <c r="AZ154" s="22">
        <f t="shared" si="555"/>
        <v>655812.91136153066</v>
      </c>
      <c r="BA154" s="22">
        <f t="shared" si="555"/>
        <v>742062.55152350944</v>
      </c>
      <c r="BB154" s="22">
        <f t="shared" si="555"/>
        <v>791565.1461326658</v>
      </c>
      <c r="BC154" s="22">
        <f t="shared" si="555"/>
        <v>879220.52748287807</v>
      </c>
      <c r="BD154" s="22">
        <f t="shared" si="555"/>
        <v>966919.4721610503</v>
      </c>
      <c r="BE154" s="22">
        <f t="shared" si="555"/>
        <v>249708.9285112198</v>
      </c>
      <c r="BF154" s="22">
        <f t="shared" si="555"/>
        <v>337495.98247062822</v>
      </c>
      <c r="BG154" s="22">
        <f t="shared" si="555"/>
        <v>425327.58730256563</v>
      </c>
      <c r="BH154" s="22">
        <f t="shared" si="555"/>
        <v>513204.0771385759</v>
      </c>
      <c r="BI154" s="22">
        <f t="shared" si="555"/>
        <v>601125.78861618962</v>
      </c>
      <c r="BJ154" s="22">
        <f t="shared" si="555"/>
        <v>689093.06089771888</v>
      </c>
      <c r="BK154" s="22">
        <f t="shared" si="555"/>
        <v>777106.23568919289</v>
      </c>
      <c r="BL154" s="22">
        <f t="shared" si="555"/>
        <v>865165.65725943632</v>
      </c>
      <c r="BM154" s="22">
        <f t="shared" si="555"/>
        <v>953271.67245928815</v>
      </c>
      <c r="BN154" s="22">
        <f t="shared" si="555"/>
        <v>1070847.2577885177</v>
      </c>
      <c r="BO154" s="22">
        <f t="shared" si="555"/>
        <v>1226147.699586344</v>
      </c>
      <c r="BP154" s="22">
        <f t="shared" si="555"/>
        <v>1381448.1413841702</v>
      </c>
      <c r="BQ154" s="22">
        <f t="shared" si="555"/>
        <v>72822.038813778199</v>
      </c>
      <c r="BR154" s="22">
        <f t="shared" ref="BR154:CW154" si="556">BR$149-BR$153</f>
        <v>228122.48061160432</v>
      </c>
      <c r="BS154" s="22">
        <f t="shared" si="556"/>
        <v>383422.92240943044</v>
      </c>
      <c r="BT154" s="22">
        <f t="shared" si="556"/>
        <v>538723.36420725659</v>
      </c>
      <c r="BU154" s="22">
        <f t="shared" si="556"/>
        <v>694023.80600508268</v>
      </c>
      <c r="BV154" s="22">
        <f t="shared" si="556"/>
        <v>849324.24780290877</v>
      </c>
      <c r="BW154" s="22">
        <f t="shared" si="556"/>
        <v>1004624.6896007349</v>
      </c>
      <c r="BX154" s="22">
        <f t="shared" si="556"/>
        <v>1159925.1313985609</v>
      </c>
      <c r="BY154" s="22">
        <f t="shared" si="556"/>
        <v>1315225.5731963872</v>
      </c>
      <c r="BZ154" s="22">
        <f t="shared" si="556"/>
        <v>1436551.7024610066</v>
      </c>
      <c r="CA154" s="22">
        <f t="shared" si="556"/>
        <v>1595967.7249504062</v>
      </c>
      <c r="CB154" s="22">
        <f t="shared" si="556"/>
        <v>1755383.7474398059</v>
      </c>
      <c r="CC154" s="22">
        <f t="shared" si="556"/>
        <v>120611.07735529146</v>
      </c>
      <c r="CD154" s="22">
        <f t="shared" si="556"/>
        <v>280027.09984469123</v>
      </c>
      <c r="CE154" s="22">
        <f t="shared" si="556"/>
        <v>439443.12233409099</v>
      </c>
      <c r="CF154" s="22">
        <f t="shared" si="556"/>
        <v>598859.14482349076</v>
      </c>
      <c r="CG154" s="22">
        <f t="shared" si="556"/>
        <v>758275.16731289052</v>
      </c>
      <c r="CH154" s="22">
        <f t="shared" si="556"/>
        <v>917691.18980229029</v>
      </c>
      <c r="CI154" s="22">
        <f t="shared" si="556"/>
        <v>1077107.2122916901</v>
      </c>
      <c r="CJ154" s="22">
        <f t="shared" si="556"/>
        <v>1236523.2347810897</v>
      </c>
      <c r="CK154" s="22">
        <f t="shared" si="556"/>
        <v>1395939.2572704894</v>
      </c>
      <c r="CL154" s="22">
        <f t="shared" si="556"/>
        <v>1521040.8581222577</v>
      </c>
      <c r="CM154" s="22">
        <f t="shared" si="556"/>
        <v>1684600.6766685452</v>
      </c>
      <c r="CN154" s="22">
        <f t="shared" si="556"/>
        <v>1848160.4952148327</v>
      </c>
      <c r="CO154" s="22">
        <f t="shared" si="556"/>
        <v>168144.65288832271</v>
      </c>
      <c r="CP154" s="22">
        <f t="shared" si="556"/>
        <v>331704.4714346102</v>
      </c>
      <c r="CQ154" s="22">
        <f t="shared" si="556"/>
        <v>495264.28998089768</v>
      </c>
      <c r="CR154" s="22">
        <f t="shared" si="556"/>
        <v>658824.10852718516</v>
      </c>
      <c r="CS154" s="22">
        <f t="shared" si="556"/>
        <v>822383.92707347265</v>
      </c>
      <c r="CT154" s="22">
        <f t="shared" si="556"/>
        <v>985943.74561976013</v>
      </c>
      <c r="CU154" s="22">
        <f t="shared" si="556"/>
        <v>1149503.5641660476</v>
      </c>
      <c r="CV154" s="22">
        <f t="shared" si="556"/>
        <v>1313063.3827123351</v>
      </c>
      <c r="CW154" s="22">
        <f t="shared" si="556"/>
        <v>1476623.2012586226</v>
      </c>
      <c r="CX154" s="22">
        <f t="shared" ref="CX154:EC154" si="557">CX$149-CX$153</f>
        <v>1605525.0789581942</v>
      </c>
      <c r="CY154" s="22">
        <f t="shared" si="557"/>
        <v>1773256.8086071019</v>
      </c>
      <c r="CZ154" s="22">
        <f t="shared" si="557"/>
        <v>1940988.5382560096</v>
      </c>
      <c r="DA154" s="22">
        <f t="shared" si="557"/>
        <v>215419.05434946739</v>
      </c>
      <c r="DB154" s="22">
        <f t="shared" si="557"/>
        <v>383150.78399837494</v>
      </c>
      <c r="DC154" s="22">
        <f t="shared" si="557"/>
        <v>550882.5136472825</v>
      </c>
      <c r="DD154" s="22">
        <f t="shared" si="557"/>
        <v>718614.24329619005</v>
      </c>
      <c r="DE154" s="22">
        <f t="shared" si="557"/>
        <v>886345.9729450976</v>
      </c>
      <c r="DF154" s="22">
        <f t="shared" si="557"/>
        <v>1054077.702594005</v>
      </c>
      <c r="DG154" s="22">
        <f t="shared" si="557"/>
        <v>1221809.4322429127</v>
      </c>
      <c r="DH154" s="22">
        <f t="shared" si="557"/>
        <v>1389541.1618918204</v>
      </c>
      <c r="DI154" s="22">
        <f t="shared" si="557"/>
        <v>1557272.891540728</v>
      </c>
      <c r="DJ154" s="22">
        <f t="shared" si="557"/>
        <v>1689999.7166970363</v>
      </c>
      <c r="DK154" s="22">
        <f t="shared" si="557"/>
        <v>1861931.3598121223</v>
      </c>
      <c r="DL154" s="22">
        <f t="shared" si="557"/>
        <v>2033863.0029272083</v>
      </c>
      <c r="DM154" s="22">
        <f t="shared" si="557"/>
        <v>262430.49925540434</v>
      </c>
      <c r="DN154" s="22">
        <f t="shared" si="557"/>
        <v>434362.14237049047</v>
      </c>
      <c r="DO154" s="22">
        <f t="shared" si="557"/>
        <v>606293.78548557661</v>
      </c>
      <c r="DP154" s="22">
        <f t="shared" si="557"/>
        <v>778225.42860066274</v>
      </c>
      <c r="DQ154" s="22">
        <f t="shared" si="557"/>
        <v>950157.07171574887</v>
      </c>
      <c r="DR154" s="22">
        <f t="shared" si="557"/>
        <v>1122088.7148308349</v>
      </c>
      <c r="DS154" s="22">
        <f t="shared" si="557"/>
        <v>1294020.3579459209</v>
      </c>
      <c r="DT154" s="22">
        <f t="shared" si="557"/>
        <v>1465952.0010610069</v>
      </c>
      <c r="DU154" s="22">
        <f t="shared" si="557"/>
        <v>1637883.6441760929</v>
      </c>
      <c r="DV154" s="22">
        <f t="shared" si="557"/>
        <v>1637883.6441760929</v>
      </c>
      <c r="DW154" s="22">
        <f t="shared" si="557"/>
        <v>1637883.6441760929</v>
      </c>
      <c r="DX154" s="22">
        <f t="shared" si="557"/>
        <v>1637883.6441760929</v>
      </c>
      <c r="DY154" s="22">
        <f t="shared" si="557"/>
        <v>1637883.6441760929</v>
      </c>
      <c r="DZ154" s="22">
        <f t="shared" si="557"/>
        <v>1637883.6441760929</v>
      </c>
      <c r="EA154" s="22">
        <f t="shared" si="557"/>
        <v>1637883.6441760929</v>
      </c>
      <c r="EB154" s="22">
        <f t="shared" si="557"/>
        <v>1637883.6441760929</v>
      </c>
      <c r="EC154" s="22">
        <f t="shared" si="557"/>
        <v>1637883.6441760929</v>
      </c>
      <c r="ED154" s="22">
        <f t="shared" ref="ED154:ES154" si="558">ED$149-ED$153</f>
        <v>1637883.6441760929</v>
      </c>
      <c r="EE154" s="22">
        <f t="shared" si="558"/>
        <v>1637883.6441760929</v>
      </c>
      <c r="EF154" s="22">
        <f t="shared" si="558"/>
        <v>1637883.6441760929</v>
      </c>
      <c r="EG154" s="22">
        <f t="shared" si="558"/>
        <v>1637883.6441760929</v>
      </c>
      <c r="EH154" s="22">
        <f t="shared" si="558"/>
        <v>1637883.6441760929</v>
      </c>
      <c r="EI154" s="22">
        <f t="shared" si="558"/>
        <v>1637883.6441760929</v>
      </c>
      <c r="EJ154" s="22">
        <f t="shared" si="558"/>
        <v>1637883.6441760929</v>
      </c>
      <c r="EK154" s="22">
        <f t="shared" si="558"/>
        <v>1637883.6441760929</v>
      </c>
      <c r="EL154" s="22">
        <f t="shared" si="558"/>
        <v>1637883.6441760929</v>
      </c>
      <c r="EM154" s="22">
        <f t="shared" si="558"/>
        <v>1637883.6441760929</v>
      </c>
      <c r="EN154" s="22">
        <f t="shared" si="558"/>
        <v>1637883.6441760929</v>
      </c>
      <c r="EO154" s="22">
        <f t="shared" si="558"/>
        <v>1637883.6441760929</v>
      </c>
      <c r="EP154" s="22">
        <f t="shared" si="558"/>
        <v>1637883.6441760929</v>
      </c>
      <c r="EQ154" s="22">
        <f t="shared" si="558"/>
        <v>1637883.6441760929</v>
      </c>
      <c r="ER154" s="22">
        <f t="shared" si="558"/>
        <v>1637883.6441760929</v>
      </c>
      <c r="ES154" s="22">
        <f t="shared" si="558"/>
        <v>1637883.6441760929</v>
      </c>
    </row>
    <row r="155" spans="1:149" x14ac:dyDescent="0.3">
      <c r="A155" s="14" t="s">
        <v>1204</v>
      </c>
      <c r="B155" s="18" t="s">
        <v>1205</v>
      </c>
      <c r="C155" s="18" t="s">
        <v>439</v>
      </c>
      <c r="E155" s="54">
        <f>SUM(F155:ES155)</f>
        <v>0</v>
      </c>
      <c r="F155" s="48">
        <f t="shared" ref="F155:AK155" si="559">F$154-(F$149-F$153)</f>
        <v>0</v>
      </c>
      <c r="G155" s="48">
        <f t="shared" si="559"/>
        <v>0</v>
      </c>
      <c r="H155" s="48">
        <f t="shared" si="559"/>
        <v>0</v>
      </c>
      <c r="I155" s="48">
        <f t="shared" si="559"/>
        <v>0</v>
      </c>
      <c r="J155" s="48">
        <f t="shared" si="559"/>
        <v>0</v>
      </c>
      <c r="K155" s="48">
        <f t="shared" si="559"/>
        <v>0</v>
      </c>
      <c r="L155" s="48">
        <f t="shared" si="559"/>
        <v>0</v>
      </c>
      <c r="M155" s="48">
        <f t="shared" si="559"/>
        <v>0</v>
      </c>
      <c r="N155" s="48">
        <f t="shared" si="559"/>
        <v>0</v>
      </c>
      <c r="O155" s="48">
        <f t="shared" si="559"/>
        <v>0</v>
      </c>
      <c r="P155" s="48">
        <f t="shared" si="559"/>
        <v>0</v>
      </c>
      <c r="Q155" s="48">
        <f t="shared" si="559"/>
        <v>0</v>
      </c>
      <c r="R155" s="48">
        <f t="shared" si="559"/>
        <v>0</v>
      </c>
      <c r="S155" s="48">
        <f t="shared" si="559"/>
        <v>0</v>
      </c>
      <c r="T155" s="48">
        <f t="shared" si="559"/>
        <v>0</v>
      </c>
      <c r="U155" s="48">
        <f t="shared" si="559"/>
        <v>0</v>
      </c>
      <c r="V155" s="48">
        <f t="shared" si="559"/>
        <v>0</v>
      </c>
      <c r="W155" s="48">
        <f t="shared" si="559"/>
        <v>0</v>
      </c>
      <c r="X155" s="48">
        <f t="shared" si="559"/>
        <v>0</v>
      </c>
      <c r="Y155" s="48">
        <f t="shared" si="559"/>
        <v>0</v>
      </c>
      <c r="Z155" s="48">
        <f t="shared" si="559"/>
        <v>0</v>
      </c>
      <c r="AA155" s="48">
        <f t="shared" si="559"/>
        <v>0</v>
      </c>
      <c r="AB155" s="48">
        <f t="shared" si="559"/>
        <v>0</v>
      </c>
      <c r="AC155" s="48">
        <f t="shared" si="559"/>
        <v>0</v>
      </c>
      <c r="AD155" s="48">
        <f t="shared" si="559"/>
        <v>0</v>
      </c>
      <c r="AE155" s="48">
        <f t="shared" si="559"/>
        <v>0</v>
      </c>
      <c r="AF155" s="48">
        <f t="shared" si="559"/>
        <v>0</v>
      </c>
      <c r="AG155" s="48">
        <f t="shared" si="559"/>
        <v>0</v>
      </c>
      <c r="AH155" s="48">
        <f t="shared" si="559"/>
        <v>0</v>
      </c>
      <c r="AI155" s="48">
        <f t="shared" si="559"/>
        <v>0</v>
      </c>
      <c r="AJ155" s="48">
        <f t="shared" si="559"/>
        <v>0</v>
      </c>
      <c r="AK155" s="48">
        <f t="shared" si="559"/>
        <v>0</v>
      </c>
      <c r="AL155" s="48">
        <f t="shared" ref="AL155:BQ155" si="560">AL$154-(AL$149-AL$153)</f>
        <v>0</v>
      </c>
      <c r="AM155" s="48">
        <f t="shared" si="560"/>
        <v>0</v>
      </c>
      <c r="AN155" s="48">
        <f t="shared" si="560"/>
        <v>0</v>
      </c>
      <c r="AO155" s="48">
        <f t="shared" si="560"/>
        <v>0</v>
      </c>
      <c r="AP155" s="48">
        <f t="shared" si="560"/>
        <v>0</v>
      </c>
      <c r="AQ155" s="48">
        <f t="shared" si="560"/>
        <v>0</v>
      </c>
      <c r="AR155" s="48">
        <f t="shared" si="560"/>
        <v>0</v>
      </c>
      <c r="AS155" s="48">
        <f t="shared" si="560"/>
        <v>0</v>
      </c>
      <c r="AT155" s="48">
        <f t="shared" si="560"/>
        <v>0</v>
      </c>
      <c r="AU155" s="48">
        <f t="shared" si="560"/>
        <v>0</v>
      </c>
      <c r="AV155" s="48">
        <f t="shared" si="560"/>
        <v>0</v>
      </c>
      <c r="AW155" s="48">
        <f t="shared" si="560"/>
        <v>0</v>
      </c>
      <c r="AX155" s="48">
        <f t="shared" si="560"/>
        <v>0</v>
      </c>
      <c r="AY155" s="48">
        <f t="shared" si="560"/>
        <v>0</v>
      </c>
      <c r="AZ155" s="48">
        <f t="shared" si="560"/>
        <v>0</v>
      </c>
      <c r="BA155" s="48">
        <f t="shared" si="560"/>
        <v>0</v>
      </c>
      <c r="BB155" s="48">
        <f t="shared" si="560"/>
        <v>0</v>
      </c>
      <c r="BC155" s="48">
        <f t="shared" si="560"/>
        <v>0</v>
      </c>
      <c r="BD155" s="48">
        <f t="shared" si="560"/>
        <v>0</v>
      </c>
      <c r="BE155" s="48">
        <f t="shared" si="560"/>
        <v>0</v>
      </c>
      <c r="BF155" s="48">
        <f t="shared" si="560"/>
        <v>0</v>
      </c>
      <c r="BG155" s="48">
        <f t="shared" si="560"/>
        <v>0</v>
      </c>
      <c r="BH155" s="48">
        <f t="shared" si="560"/>
        <v>0</v>
      </c>
      <c r="BI155" s="48">
        <f t="shared" si="560"/>
        <v>0</v>
      </c>
      <c r="BJ155" s="48">
        <f t="shared" si="560"/>
        <v>0</v>
      </c>
      <c r="BK155" s="48">
        <f t="shared" si="560"/>
        <v>0</v>
      </c>
      <c r="BL155" s="48">
        <f t="shared" si="560"/>
        <v>0</v>
      </c>
      <c r="BM155" s="48">
        <f t="shared" si="560"/>
        <v>0</v>
      </c>
      <c r="BN155" s="48">
        <f t="shared" si="560"/>
        <v>0</v>
      </c>
      <c r="BO155" s="48">
        <f t="shared" si="560"/>
        <v>0</v>
      </c>
      <c r="BP155" s="48">
        <f t="shared" si="560"/>
        <v>0</v>
      </c>
      <c r="BQ155" s="48">
        <f t="shared" si="560"/>
        <v>0</v>
      </c>
      <c r="BR155" s="48">
        <f t="shared" ref="BR155:CW155" si="561">BR$154-(BR$149-BR$153)</f>
        <v>0</v>
      </c>
      <c r="BS155" s="48">
        <f t="shared" si="561"/>
        <v>0</v>
      </c>
      <c r="BT155" s="48">
        <f t="shared" si="561"/>
        <v>0</v>
      </c>
      <c r="BU155" s="48">
        <f t="shared" si="561"/>
        <v>0</v>
      </c>
      <c r="BV155" s="48">
        <f t="shared" si="561"/>
        <v>0</v>
      </c>
      <c r="BW155" s="48">
        <f t="shared" si="561"/>
        <v>0</v>
      </c>
      <c r="BX155" s="48">
        <f t="shared" si="561"/>
        <v>0</v>
      </c>
      <c r="BY155" s="48">
        <f t="shared" si="561"/>
        <v>0</v>
      </c>
      <c r="BZ155" s="48">
        <f t="shared" si="561"/>
        <v>0</v>
      </c>
      <c r="CA155" s="48">
        <f t="shared" si="561"/>
        <v>0</v>
      </c>
      <c r="CB155" s="48">
        <f t="shared" si="561"/>
        <v>0</v>
      </c>
      <c r="CC155" s="48">
        <f t="shared" si="561"/>
        <v>0</v>
      </c>
      <c r="CD155" s="48">
        <f t="shared" si="561"/>
        <v>0</v>
      </c>
      <c r="CE155" s="48">
        <f t="shared" si="561"/>
        <v>0</v>
      </c>
      <c r="CF155" s="48">
        <f t="shared" si="561"/>
        <v>0</v>
      </c>
      <c r="CG155" s="48">
        <f t="shared" si="561"/>
        <v>0</v>
      </c>
      <c r="CH155" s="48">
        <f t="shared" si="561"/>
        <v>0</v>
      </c>
      <c r="CI155" s="48">
        <f t="shared" si="561"/>
        <v>0</v>
      </c>
      <c r="CJ155" s="48">
        <f t="shared" si="561"/>
        <v>0</v>
      </c>
      <c r="CK155" s="48">
        <f t="shared" si="561"/>
        <v>0</v>
      </c>
      <c r="CL155" s="48">
        <f t="shared" si="561"/>
        <v>0</v>
      </c>
      <c r="CM155" s="48">
        <f t="shared" si="561"/>
        <v>0</v>
      </c>
      <c r="CN155" s="48">
        <f t="shared" si="561"/>
        <v>0</v>
      </c>
      <c r="CO155" s="48">
        <f t="shared" si="561"/>
        <v>0</v>
      </c>
      <c r="CP155" s="48">
        <f t="shared" si="561"/>
        <v>0</v>
      </c>
      <c r="CQ155" s="48">
        <f t="shared" si="561"/>
        <v>0</v>
      </c>
      <c r="CR155" s="48">
        <f t="shared" si="561"/>
        <v>0</v>
      </c>
      <c r="CS155" s="48">
        <f t="shared" si="561"/>
        <v>0</v>
      </c>
      <c r="CT155" s="48">
        <f t="shared" si="561"/>
        <v>0</v>
      </c>
      <c r="CU155" s="48">
        <f t="shared" si="561"/>
        <v>0</v>
      </c>
      <c r="CV155" s="48">
        <f t="shared" si="561"/>
        <v>0</v>
      </c>
      <c r="CW155" s="48">
        <f t="shared" si="561"/>
        <v>0</v>
      </c>
      <c r="CX155" s="48">
        <f t="shared" ref="CX155:EC155" si="562">CX$154-(CX$149-CX$153)</f>
        <v>0</v>
      </c>
      <c r="CY155" s="48">
        <f t="shared" si="562"/>
        <v>0</v>
      </c>
      <c r="CZ155" s="48">
        <f t="shared" si="562"/>
        <v>0</v>
      </c>
      <c r="DA155" s="48">
        <f t="shared" si="562"/>
        <v>0</v>
      </c>
      <c r="DB155" s="48">
        <f t="shared" si="562"/>
        <v>0</v>
      </c>
      <c r="DC155" s="48">
        <f t="shared" si="562"/>
        <v>0</v>
      </c>
      <c r="DD155" s="48">
        <f t="shared" si="562"/>
        <v>0</v>
      </c>
      <c r="DE155" s="48">
        <f t="shared" si="562"/>
        <v>0</v>
      </c>
      <c r="DF155" s="48">
        <f t="shared" si="562"/>
        <v>0</v>
      </c>
      <c r="DG155" s="48">
        <f t="shared" si="562"/>
        <v>0</v>
      </c>
      <c r="DH155" s="48">
        <f t="shared" si="562"/>
        <v>0</v>
      </c>
      <c r="DI155" s="48">
        <f t="shared" si="562"/>
        <v>0</v>
      </c>
      <c r="DJ155" s="48">
        <f t="shared" si="562"/>
        <v>0</v>
      </c>
      <c r="DK155" s="48">
        <f t="shared" si="562"/>
        <v>0</v>
      </c>
      <c r="DL155" s="48">
        <f t="shared" si="562"/>
        <v>0</v>
      </c>
      <c r="DM155" s="48">
        <f t="shared" si="562"/>
        <v>0</v>
      </c>
      <c r="DN155" s="48">
        <f t="shared" si="562"/>
        <v>0</v>
      </c>
      <c r="DO155" s="48">
        <f t="shared" si="562"/>
        <v>0</v>
      </c>
      <c r="DP155" s="48">
        <f t="shared" si="562"/>
        <v>0</v>
      </c>
      <c r="DQ155" s="48">
        <f t="shared" si="562"/>
        <v>0</v>
      </c>
      <c r="DR155" s="48">
        <f t="shared" si="562"/>
        <v>0</v>
      </c>
      <c r="DS155" s="48">
        <f t="shared" si="562"/>
        <v>0</v>
      </c>
      <c r="DT155" s="48">
        <f t="shared" si="562"/>
        <v>0</v>
      </c>
      <c r="DU155" s="48">
        <f t="shared" si="562"/>
        <v>0</v>
      </c>
      <c r="DV155" s="48">
        <f t="shared" si="562"/>
        <v>0</v>
      </c>
      <c r="DW155" s="48">
        <f t="shared" si="562"/>
        <v>0</v>
      </c>
      <c r="DX155" s="48">
        <f t="shared" si="562"/>
        <v>0</v>
      </c>
      <c r="DY155" s="48">
        <f t="shared" si="562"/>
        <v>0</v>
      </c>
      <c r="DZ155" s="48">
        <f t="shared" si="562"/>
        <v>0</v>
      </c>
      <c r="EA155" s="48">
        <f t="shared" si="562"/>
        <v>0</v>
      </c>
      <c r="EB155" s="48">
        <f t="shared" si="562"/>
        <v>0</v>
      </c>
      <c r="EC155" s="48">
        <f t="shared" si="562"/>
        <v>0</v>
      </c>
      <c r="ED155" s="48">
        <f t="shared" ref="ED155:ES155" si="563">ED$154-(ED$149-ED$153)</f>
        <v>0</v>
      </c>
      <c r="EE155" s="48">
        <f t="shared" si="563"/>
        <v>0</v>
      </c>
      <c r="EF155" s="48">
        <f t="shared" si="563"/>
        <v>0</v>
      </c>
      <c r="EG155" s="48">
        <f t="shared" si="563"/>
        <v>0</v>
      </c>
      <c r="EH155" s="48">
        <f t="shared" si="563"/>
        <v>0</v>
      </c>
      <c r="EI155" s="48">
        <f t="shared" si="563"/>
        <v>0</v>
      </c>
      <c r="EJ155" s="48">
        <f t="shared" si="563"/>
        <v>0</v>
      </c>
      <c r="EK155" s="48">
        <f t="shared" si="563"/>
        <v>0</v>
      </c>
      <c r="EL155" s="48">
        <f t="shared" si="563"/>
        <v>0</v>
      </c>
      <c r="EM155" s="48">
        <f t="shared" si="563"/>
        <v>0</v>
      </c>
      <c r="EN155" s="48">
        <f t="shared" si="563"/>
        <v>0</v>
      </c>
      <c r="EO155" s="48">
        <f t="shared" si="563"/>
        <v>0</v>
      </c>
      <c r="EP155" s="48">
        <f t="shared" si="563"/>
        <v>0</v>
      </c>
      <c r="EQ155" s="48">
        <f t="shared" si="563"/>
        <v>0</v>
      </c>
      <c r="ER155" s="48">
        <f t="shared" si="563"/>
        <v>0</v>
      </c>
      <c r="ES155" s="48">
        <f t="shared" si="563"/>
        <v>0</v>
      </c>
    </row>
    <row r="156" spans="1:149" x14ac:dyDescent="0.3">
      <c r="A156" s="14" t="s">
        <v>1206</v>
      </c>
      <c r="B156" s="68" t="s">
        <v>1207</v>
      </c>
      <c r="C156" s="18" t="s">
        <v>439</v>
      </c>
      <c r="E156" s="54">
        <f>MAX(F156:ES156)</f>
        <v>373700.71319316543</v>
      </c>
      <c r="F156" s="22">
        <f t="shared" ref="F156:AK156" si="564">MAX(0,F$142-F$154)*F$9</f>
        <v>0</v>
      </c>
      <c r="G156" s="22">
        <f t="shared" si="564"/>
        <v>0</v>
      </c>
      <c r="H156" s="22">
        <f t="shared" si="564"/>
        <v>0</v>
      </c>
      <c r="I156" s="22">
        <f t="shared" si="564"/>
        <v>0</v>
      </c>
      <c r="J156" s="22">
        <f t="shared" si="564"/>
        <v>0</v>
      </c>
      <c r="K156" s="22">
        <f t="shared" si="564"/>
        <v>0</v>
      </c>
      <c r="L156" s="22">
        <f t="shared" si="564"/>
        <v>0</v>
      </c>
      <c r="M156" s="22">
        <f t="shared" si="564"/>
        <v>0</v>
      </c>
      <c r="N156" s="22">
        <f t="shared" si="564"/>
        <v>0</v>
      </c>
      <c r="O156" s="22">
        <f t="shared" si="564"/>
        <v>0</v>
      </c>
      <c r="P156" s="22">
        <f t="shared" si="564"/>
        <v>0</v>
      </c>
      <c r="Q156" s="22">
        <f t="shared" si="564"/>
        <v>0</v>
      </c>
      <c r="R156" s="22">
        <f t="shared" si="564"/>
        <v>0</v>
      </c>
      <c r="S156" s="22">
        <f t="shared" si="564"/>
        <v>0</v>
      </c>
      <c r="T156" s="22">
        <f t="shared" si="564"/>
        <v>0</v>
      </c>
      <c r="U156" s="22">
        <f t="shared" si="564"/>
        <v>0</v>
      </c>
      <c r="V156" s="22">
        <f t="shared" si="564"/>
        <v>0</v>
      </c>
      <c r="W156" s="22">
        <f t="shared" si="564"/>
        <v>0</v>
      </c>
      <c r="X156" s="22">
        <f t="shared" si="564"/>
        <v>0</v>
      </c>
      <c r="Y156" s="22">
        <f t="shared" si="564"/>
        <v>0</v>
      </c>
      <c r="Z156" s="22">
        <f t="shared" si="564"/>
        <v>0</v>
      </c>
      <c r="AA156" s="22">
        <f t="shared" si="564"/>
        <v>0</v>
      </c>
      <c r="AB156" s="22">
        <f t="shared" si="564"/>
        <v>0</v>
      </c>
      <c r="AC156" s="22">
        <f t="shared" si="564"/>
        <v>0</v>
      </c>
      <c r="AD156" s="22">
        <f t="shared" si="564"/>
        <v>373700.71319316543</v>
      </c>
      <c r="AE156" s="22">
        <f t="shared" si="564"/>
        <v>321127.02990615094</v>
      </c>
      <c r="AF156" s="22">
        <f t="shared" si="564"/>
        <v>268516.93502156617</v>
      </c>
      <c r="AG156" s="22">
        <f t="shared" si="564"/>
        <v>215870.1554524292</v>
      </c>
      <c r="AH156" s="22">
        <f t="shared" si="564"/>
        <v>163186.41606360601</v>
      </c>
      <c r="AI156" s="22">
        <f t="shared" si="564"/>
        <v>110465.4396564489</v>
      </c>
      <c r="AJ156" s="22">
        <f t="shared" si="564"/>
        <v>57706.946953320359</v>
      </c>
      <c r="AK156" s="22">
        <f t="shared" si="564"/>
        <v>4910.6565820006072</v>
      </c>
      <c r="AL156" s="22">
        <f t="shared" ref="AL156:BQ156" si="565">MAX(0,AL$142-AL$154)*AL$9</f>
        <v>0</v>
      </c>
      <c r="AM156" s="22">
        <f t="shared" si="565"/>
        <v>0</v>
      </c>
      <c r="AN156" s="22">
        <f t="shared" si="565"/>
        <v>0</v>
      </c>
      <c r="AO156" s="22">
        <f t="shared" si="565"/>
        <v>0</v>
      </c>
      <c r="AP156" s="22">
        <f t="shared" si="565"/>
        <v>275779.3264217081</v>
      </c>
      <c r="AQ156" s="22">
        <f t="shared" si="565"/>
        <v>189941.6729189842</v>
      </c>
      <c r="AR156" s="22">
        <f t="shared" si="565"/>
        <v>104064.19215968259</v>
      </c>
      <c r="AS156" s="22">
        <f t="shared" si="565"/>
        <v>18146.585439378985</v>
      </c>
      <c r="AT156" s="22">
        <f t="shared" si="565"/>
        <v>0</v>
      </c>
      <c r="AU156" s="22">
        <f t="shared" si="565"/>
        <v>0</v>
      </c>
      <c r="AV156" s="22">
        <f t="shared" si="565"/>
        <v>0</v>
      </c>
      <c r="AW156" s="22">
        <f t="shared" si="565"/>
        <v>0</v>
      </c>
      <c r="AX156" s="22">
        <f t="shared" si="565"/>
        <v>0</v>
      </c>
      <c r="AY156" s="22">
        <f t="shared" si="565"/>
        <v>0</v>
      </c>
      <c r="AZ156" s="22">
        <f t="shared" si="565"/>
        <v>0</v>
      </c>
      <c r="BA156" s="22">
        <f t="shared" si="565"/>
        <v>0</v>
      </c>
      <c r="BB156" s="22">
        <f t="shared" si="565"/>
        <v>0</v>
      </c>
      <c r="BC156" s="22">
        <f t="shared" si="565"/>
        <v>0</v>
      </c>
      <c r="BD156" s="22">
        <f t="shared" si="565"/>
        <v>0</v>
      </c>
      <c r="BE156" s="22">
        <f t="shared" si="565"/>
        <v>0</v>
      </c>
      <c r="BF156" s="22">
        <f t="shared" si="565"/>
        <v>0</v>
      </c>
      <c r="BG156" s="22">
        <f t="shared" si="565"/>
        <v>0</v>
      </c>
      <c r="BH156" s="22">
        <f t="shared" si="565"/>
        <v>0</v>
      </c>
      <c r="BI156" s="22">
        <f t="shared" si="565"/>
        <v>0</v>
      </c>
      <c r="BJ156" s="22">
        <f t="shared" si="565"/>
        <v>0</v>
      </c>
      <c r="BK156" s="22">
        <f t="shared" si="565"/>
        <v>0</v>
      </c>
      <c r="BL156" s="22">
        <f t="shared" si="565"/>
        <v>0</v>
      </c>
      <c r="BM156" s="22">
        <f t="shared" si="565"/>
        <v>0</v>
      </c>
      <c r="BN156" s="22">
        <f t="shared" si="565"/>
        <v>0</v>
      </c>
      <c r="BO156" s="22">
        <f t="shared" si="565"/>
        <v>0</v>
      </c>
      <c r="BP156" s="22">
        <f t="shared" si="565"/>
        <v>0</v>
      </c>
      <c r="BQ156" s="22">
        <f t="shared" si="565"/>
        <v>0</v>
      </c>
      <c r="BR156" s="22">
        <f t="shared" ref="BR156:CW156" si="566">MAX(0,BR$142-BR$154)*BR$9</f>
        <v>0</v>
      </c>
      <c r="BS156" s="22">
        <f t="shared" si="566"/>
        <v>0</v>
      </c>
      <c r="BT156" s="22">
        <f t="shared" si="566"/>
        <v>0</v>
      </c>
      <c r="BU156" s="22">
        <f t="shared" si="566"/>
        <v>0</v>
      </c>
      <c r="BV156" s="22">
        <f t="shared" si="566"/>
        <v>0</v>
      </c>
      <c r="BW156" s="22">
        <f t="shared" si="566"/>
        <v>0</v>
      </c>
      <c r="BX156" s="22">
        <f t="shared" si="566"/>
        <v>0</v>
      </c>
      <c r="BY156" s="22">
        <f t="shared" si="566"/>
        <v>0</v>
      </c>
      <c r="BZ156" s="22">
        <f t="shared" si="566"/>
        <v>0</v>
      </c>
      <c r="CA156" s="22">
        <f t="shared" si="566"/>
        <v>0</v>
      </c>
      <c r="CB156" s="22">
        <f t="shared" si="566"/>
        <v>0</v>
      </c>
      <c r="CC156" s="22">
        <f t="shared" si="566"/>
        <v>0</v>
      </c>
      <c r="CD156" s="22">
        <f t="shared" si="566"/>
        <v>0</v>
      </c>
      <c r="CE156" s="22">
        <f t="shared" si="566"/>
        <v>0</v>
      </c>
      <c r="CF156" s="22">
        <f t="shared" si="566"/>
        <v>0</v>
      </c>
      <c r="CG156" s="22">
        <f t="shared" si="566"/>
        <v>0</v>
      </c>
      <c r="CH156" s="22">
        <f t="shared" si="566"/>
        <v>0</v>
      </c>
      <c r="CI156" s="22">
        <f t="shared" si="566"/>
        <v>0</v>
      </c>
      <c r="CJ156" s="22">
        <f t="shared" si="566"/>
        <v>0</v>
      </c>
      <c r="CK156" s="22">
        <f t="shared" si="566"/>
        <v>0</v>
      </c>
      <c r="CL156" s="22">
        <f t="shared" si="566"/>
        <v>0</v>
      </c>
      <c r="CM156" s="22">
        <f t="shared" si="566"/>
        <v>0</v>
      </c>
      <c r="CN156" s="22">
        <f t="shared" si="566"/>
        <v>0</v>
      </c>
      <c r="CO156" s="22">
        <f t="shared" si="566"/>
        <v>0</v>
      </c>
      <c r="CP156" s="22">
        <f t="shared" si="566"/>
        <v>0</v>
      </c>
      <c r="CQ156" s="22">
        <f t="shared" si="566"/>
        <v>0</v>
      </c>
      <c r="CR156" s="22">
        <f t="shared" si="566"/>
        <v>0</v>
      </c>
      <c r="CS156" s="22">
        <f t="shared" si="566"/>
        <v>0</v>
      </c>
      <c r="CT156" s="22">
        <f t="shared" si="566"/>
        <v>0</v>
      </c>
      <c r="CU156" s="22">
        <f t="shared" si="566"/>
        <v>0</v>
      </c>
      <c r="CV156" s="22">
        <f t="shared" si="566"/>
        <v>0</v>
      </c>
      <c r="CW156" s="22">
        <f t="shared" si="566"/>
        <v>0</v>
      </c>
      <c r="CX156" s="22">
        <f t="shared" ref="CX156:EC156" si="567">MAX(0,CX$142-CX$154)*CX$9</f>
        <v>0</v>
      </c>
      <c r="CY156" s="22">
        <f t="shared" si="567"/>
        <v>0</v>
      </c>
      <c r="CZ156" s="22">
        <f t="shared" si="567"/>
        <v>0</v>
      </c>
      <c r="DA156" s="22">
        <f t="shared" si="567"/>
        <v>0</v>
      </c>
      <c r="DB156" s="22">
        <f t="shared" si="567"/>
        <v>0</v>
      </c>
      <c r="DC156" s="22">
        <f t="shared" si="567"/>
        <v>0</v>
      </c>
      <c r="DD156" s="22">
        <f t="shared" si="567"/>
        <v>0</v>
      </c>
      <c r="DE156" s="22">
        <f t="shared" si="567"/>
        <v>0</v>
      </c>
      <c r="DF156" s="22">
        <f t="shared" si="567"/>
        <v>0</v>
      </c>
      <c r="DG156" s="22">
        <f t="shared" si="567"/>
        <v>0</v>
      </c>
      <c r="DH156" s="22">
        <f t="shared" si="567"/>
        <v>0</v>
      </c>
      <c r="DI156" s="22">
        <f t="shared" si="567"/>
        <v>0</v>
      </c>
      <c r="DJ156" s="22">
        <f t="shared" si="567"/>
        <v>0</v>
      </c>
      <c r="DK156" s="22">
        <f t="shared" si="567"/>
        <v>0</v>
      </c>
      <c r="DL156" s="22">
        <f t="shared" si="567"/>
        <v>0</v>
      </c>
      <c r="DM156" s="22">
        <f t="shared" si="567"/>
        <v>0</v>
      </c>
      <c r="DN156" s="22">
        <f t="shared" si="567"/>
        <v>0</v>
      </c>
      <c r="DO156" s="22">
        <f t="shared" si="567"/>
        <v>0</v>
      </c>
      <c r="DP156" s="22">
        <f t="shared" si="567"/>
        <v>0</v>
      </c>
      <c r="DQ156" s="22">
        <f t="shared" si="567"/>
        <v>0</v>
      </c>
      <c r="DR156" s="22">
        <f t="shared" si="567"/>
        <v>0</v>
      </c>
      <c r="DS156" s="22">
        <f t="shared" si="567"/>
        <v>0</v>
      </c>
      <c r="DT156" s="22">
        <f t="shared" si="567"/>
        <v>0</v>
      </c>
      <c r="DU156" s="22">
        <f t="shared" si="567"/>
        <v>0</v>
      </c>
      <c r="DV156" s="22">
        <f t="shared" si="567"/>
        <v>0</v>
      </c>
      <c r="DW156" s="22">
        <f t="shared" si="567"/>
        <v>0</v>
      </c>
      <c r="DX156" s="22">
        <f t="shared" si="567"/>
        <v>0</v>
      </c>
      <c r="DY156" s="22">
        <f t="shared" si="567"/>
        <v>0</v>
      </c>
      <c r="DZ156" s="22">
        <f t="shared" si="567"/>
        <v>0</v>
      </c>
      <c r="EA156" s="22">
        <f t="shared" si="567"/>
        <v>0</v>
      </c>
      <c r="EB156" s="22">
        <f t="shared" si="567"/>
        <v>0</v>
      </c>
      <c r="EC156" s="22">
        <f t="shared" si="567"/>
        <v>0</v>
      </c>
      <c r="ED156" s="22">
        <f t="shared" ref="ED156:ES156" si="568">MAX(0,ED$142-ED$154)*ED$9</f>
        <v>0</v>
      </c>
      <c r="EE156" s="22">
        <f t="shared" si="568"/>
        <v>0</v>
      </c>
      <c r="EF156" s="22">
        <f t="shared" si="568"/>
        <v>0</v>
      </c>
      <c r="EG156" s="22">
        <f t="shared" si="568"/>
        <v>0</v>
      </c>
      <c r="EH156" s="22">
        <f t="shared" si="568"/>
        <v>0</v>
      </c>
      <c r="EI156" s="22">
        <f t="shared" si="568"/>
        <v>0</v>
      </c>
      <c r="EJ156" s="22">
        <f t="shared" si="568"/>
        <v>0</v>
      </c>
      <c r="EK156" s="22">
        <f t="shared" si="568"/>
        <v>0</v>
      </c>
      <c r="EL156" s="22">
        <f t="shared" si="568"/>
        <v>0</v>
      </c>
      <c r="EM156" s="22">
        <f t="shared" si="568"/>
        <v>0</v>
      </c>
      <c r="EN156" s="22">
        <f t="shared" si="568"/>
        <v>0</v>
      </c>
      <c r="EO156" s="22">
        <f t="shared" si="568"/>
        <v>0</v>
      </c>
      <c r="EP156" s="22">
        <f t="shared" si="568"/>
        <v>0</v>
      </c>
      <c r="EQ156" s="22">
        <f t="shared" si="568"/>
        <v>0</v>
      </c>
      <c r="ER156" s="22">
        <f t="shared" si="568"/>
        <v>0</v>
      </c>
      <c r="ES156" s="22">
        <f t="shared" si="568"/>
        <v>0</v>
      </c>
    </row>
    <row r="157" spans="1:149" x14ac:dyDescent="0.3">
      <c r="A157" s="14" t="s">
        <v>1208</v>
      </c>
      <c r="B157" s="18" t="s">
        <v>1209</v>
      </c>
      <c r="C157" s="18" t="s">
        <v>439</v>
      </c>
      <c r="E157" s="54">
        <f>MAX(F157:ES157)</f>
        <v>311740.11867261748</v>
      </c>
      <c r="F157" s="48">
        <f t="shared" ref="F157:AK157" si="569">MAX(0,-F$154)</f>
        <v>0</v>
      </c>
      <c r="G157" s="48">
        <f t="shared" si="569"/>
        <v>0</v>
      </c>
      <c r="H157" s="48">
        <f t="shared" si="569"/>
        <v>0</v>
      </c>
      <c r="I157" s="48">
        <f t="shared" si="569"/>
        <v>0</v>
      </c>
      <c r="J157" s="48">
        <f t="shared" si="569"/>
        <v>0</v>
      </c>
      <c r="K157" s="48">
        <f t="shared" si="569"/>
        <v>0</v>
      </c>
      <c r="L157" s="48">
        <f t="shared" si="569"/>
        <v>0</v>
      </c>
      <c r="M157" s="48">
        <f t="shared" si="569"/>
        <v>0</v>
      </c>
      <c r="N157" s="48">
        <f t="shared" si="569"/>
        <v>0</v>
      </c>
      <c r="O157" s="48">
        <f t="shared" si="569"/>
        <v>0</v>
      </c>
      <c r="P157" s="48">
        <f t="shared" si="569"/>
        <v>0</v>
      </c>
      <c r="Q157" s="48">
        <f t="shared" si="569"/>
        <v>0</v>
      </c>
      <c r="R157" s="48">
        <f t="shared" si="569"/>
        <v>0</v>
      </c>
      <c r="S157" s="48">
        <f t="shared" si="569"/>
        <v>0</v>
      </c>
      <c r="T157" s="48">
        <f t="shared" si="569"/>
        <v>0</v>
      </c>
      <c r="U157" s="48">
        <f t="shared" si="569"/>
        <v>0</v>
      </c>
      <c r="V157" s="48">
        <f t="shared" si="569"/>
        <v>0</v>
      </c>
      <c r="W157" s="48">
        <f t="shared" si="569"/>
        <v>0</v>
      </c>
      <c r="X157" s="48">
        <f t="shared" si="569"/>
        <v>0</v>
      </c>
      <c r="Y157" s="48">
        <f t="shared" si="569"/>
        <v>0</v>
      </c>
      <c r="Z157" s="48">
        <f t="shared" si="569"/>
        <v>0</v>
      </c>
      <c r="AA157" s="48">
        <f t="shared" si="569"/>
        <v>0</v>
      </c>
      <c r="AB157" s="48">
        <f t="shared" si="569"/>
        <v>0</v>
      </c>
      <c r="AC157" s="48">
        <f t="shared" si="569"/>
        <v>0</v>
      </c>
      <c r="AD157" s="48">
        <f t="shared" si="569"/>
        <v>311740.11867261748</v>
      </c>
      <c r="AE157" s="48">
        <f t="shared" si="569"/>
        <v>259166.43538560302</v>
      </c>
      <c r="AF157" s="48">
        <f t="shared" si="569"/>
        <v>206556.34050101822</v>
      </c>
      <c r="AG157" s="48">
        <f t="shared" si="569"/>
        <v>153909.56093188128</v>
      </c>
      <c r="AH157" s="48">
        <f t="shared" si="569"/>
        <v>101225.82154305807</v>
      </c>
      <c r="AI157" s="48">
        <f t="shared" si="569"/>
        <v>48504.845135900956</v>
      </c>
      <c r="AJ157" s="48">
        <f t="shared" si="569"/>
        <v>0</v>
      </c>
      <c r="AK157" s="48">
        <f t="shared" si="569"/>
        <v>0</v>
      </c>
      <c r="AL157" s="48">
        <f t="shared" ref="AL157:BQ157" si="570">MAX(0,-AL$154)</f>
        <v>0</v>
      </c>
      <c r="AM157" s="48">
        <f t="shared" si="570"/>
        <v>0</v>
      </c>
      <c r="AN157" s="48">
        <f t="shared" si="570"/>
        <v>0</v>
      </c>
      <c r="AO157" s="48">
        <f t="shared" si="570"/>
        <v>0</v>
      </c>
      <c r="AP157" s="48">
        <f t="shared" si="570"/>
        <v>204392.16946280401</v>
      </c>
      <c r="AQ157" s="48">
        <f t="shared" si="570"/>
        <v>118554.51596008008</v>
      </c>
      <c r="AR157" s="48">
        <f t="shared" si="570"/>
        <v>32677.035200778479</v>
      </c>
      <c r="AS157" s="48">
        <f t="shared" si="570"/>
        <v>0</v>
      </c>
      <c r="AT157" s="48">
        <f t="shared" si="570"/>
        <v>0</v>
      </c>
      <c r="AU157" s="48">
        <f t="shared" si="570"/>
        <v>0</v>
      </c>
      <c r="AV157" s="48">
        <f t="shared" si="570"/>
        <v>0</v>
      </c>
      <c r="AW157" s="48">
        <f t="shared" si="570"/>
        <v>0</v>
      </c>
      <c r="AX157" s="48">
        <f t="shared" si="570"/>
        <v>0</v>
      </c>
      <c r="AY157" s="48">
        <f t="shared" si="570"/>
        <v>0</v>
      </c>
      <c r="AZ157" s="48">
        <f t="shared" si="570"/>
        <v>0</v>
      </c>
      <c r="BA157" s="48">
        <f t="shared" si="570"/>
        <v>0</v>
      </c>
      <c r="BB157" s="48">
        <f t="shared" si="570"/>
        <v>0</v>
      </c>
      <c r="BC157" s="48">
        <f t="shared" si="570"/>
        <v>0</v>
      </c>
      <c r="BD157" s="48">
        <f t="shared" si="570"/>
        <v>0</v>
      </c>
      <c r="BE157" s="48">
        <f t="shared" si="570"/>
        <v>0</v>
      </c>
      <c r="BF157" s="48">
        <f t="shared" si="570"/>
        <v>0</v>
      </c>
      <c r="BG157" s="48">
        <f t="shared" si="570"/>
        <v>0</v>
      </c>
      <c r="BH157" s="48">
        <f t="shared" si="570"/>
        <v>0</v>
      </c>
      <c r="BI157" s="48">
        <f t="shared" si="570"/>
        <v>0</v>
      </c>
      <c r="BJ157" s="48">
        <f t="shared" si="570"/>
        <v>0</v>
      </c>
      <c r="BK157" s="48">
        <f t="shared" si="570"/>
        <v>0</v>
      </c>
      <c r="BL157" s="48">
        <f t="shared" si="570"/>
        <v>0</v>
      </c>
      <c r="BM157" s="48">
        <f t="shared" si="570"/>
        <v>0</v>
      </c>
      <c r="BN157" s="48">
        <f t="shared" si="570"/>
        <v>0</v>
      </c>
      <c r="BO157" s="48">
        <f t="shared" si="570"/>
        <v>0</v>
      </c>
      <c r="BP157" s="48">
        <f t="shared" si="570"/>
        <v>0</v>
      </c>
      <c r="BQ157" s="48">
        <f t="shared" si="570"/>
        <v>0</v>
      </c>
      <c r="BR157" s="48">
        <f t="shared" ref="BR157:CW157" si="571">MAX(0,-BR$154)</f>
        <v>0</v>
      </c>
      <c r="BS157" s="48">
        <f t="shared" si="571"/>
        <v>0</v>
      </c>
      <c r="BT157" s="48">
        <f t="shared" si="571"/>
        <v>0</v>
      </c>
      <c r="BU157" s="48">
        <f t="shared" si="571"/>
        <v>0</v>
      </c>
      <c r="BV157" s="48">
        <f t="shared" si="571"/>
        <v>0</v>
      </c>
      <c r="BW157" s="48">
        <f t="shared" si="571"/>
        <v>0</v>
      </c>
      <c r="BX157" s="48">
        <f t="shared" si="571"/>
        <v>0</v>
      </c>
      <c r="BY157" s="48">
        <f t="shared" si="571"/>
        <v>0</v>
      </c>
      <c r="BZ157" s="48">
        <f t="shared" si="571"/>
        <v>0</v>
      </c>
      <c r="CA157" s="48">
        <f t="shared" si="571"/>
        <v>0</v>
      </c>
      <c r="CB157" s="48">
        <f t="shared" si="571"/>
        <v>0</v>
      </c>
      <c r="CC157" s="48">
        <f t="shared" si="571"/>
        <v>0</v>
      </c>
      <c r="CD157" s="48">
        <f t="shared" si="571"/>
        <v>0</v>
      </c>
      <c r="CE157" s="48">
        <f t="shared" si="571"/>
        <v>0</v>
      </c>
      <c r="CF157" s="48">
        <f t="shared" si="571"/>
        <v>0</v>
      </c>
      <c r="CG157" s="48">
        <f t="shared" si="571"/>
        <v>0</v>
      </c>
      <c r="CH157" s="48">
        <f t="shared" si="571"/>
        <v>0</v>
      </c>
      <c r="CI157" s="48">
        <f t="shared" si="571"/>
        <v>0</v>
      </c>
      <c r="CJ157" s="48">
        <f t="shared" si="571"/>
        <v>0</v>
      </c>
      <c r="CK157" s="48">
        <f t="shared" si="571"/>
        <v>0</v>
      </c>
      <c r="CL157" s="48">
        <f t="shared" si="571"/>
        <v>0</v>
      </c>
      <c r="CM157" s="48">
        <f t="shared" si="571"/>
        <v>0</v>
      </c>
      <c r="CN157" s="48">
        <f t="shared" si="571"/>
        <v>0</v>
      </c>
      <c r="CO157" s="48">
        <f t="shared" si="571"/>
        <v>0</v>
      </c>
      <c r="CP157" s="48">
        <f t="shared" si="571"/>
        <v>0</v>
      </c>
      <c r="CQ157" s="48">
        <f t="shared" si="571"/>
        <v>0</v>
      </c>
      <c r="CR157" s="48">
        <f t="shared" si="571"/>
        <v>0</v>
      </c>
      <c r="CS157" s="48">
        <f t="shared" si="571"/>
        <v>0</v>
      </c>
      <c r="CT157" s="48">
        <f t="shared" si="571"/>
        <v>0</v>
      </c>
      <c r="CU157" s="48">
        <f t="shared" si="571"/>
        <v>0</v>
      </c>
      <c r="CV157" s="48">
        <f t="shared" si="571"/>
        <v>0</v>
      </c>
      <c r="CW157" s="48">
        <f t="shared" si="571"/>
        <v>0</v>
      </c>
      <c r="CX157" s="48">
        <f t="shared" ref="CX157:EC157" si="572">MAX(0,-CX$154)</f>
        <v>0</v>
      </c>
      <c r="CY157" s="48">
        <f t="shared" si="572"/>
        <v>0</v>
      </c>
      <c r="CZ157" s="48">
        <f t="shared" si="572"/>
        <v>0</v>
      </c>
      <c r="DA157" s="48">
        <f t="shared" si="572"/>
        <v>0</v>
      </c>
      <c r="DB157" s="48">
        <f t="shared" si="572"/>
        <v>0</v>
      </c>
      <c r="DC157" s="48">
        <f t="shared" si="572"/>
        <v>0</v>
      </c>
      <c r="DD157" s="48">
        <f t="shared" si="572"/>
        <v>0</v>
      </c>
      <c r="DE157" s="48">
        <f t="shared" si="572"/>
        <v>0</v>
      </c>
      <c r="DF157" s="48">
        <f t="shared" si="572"/>
        <v>0</v>
      </c>
      <c r="DG157" s="48">
        <f t="shared" si="572"/>
        <v>0</v>
      </c>
      <c r="DH157" s="48">
        <f t="shared" si="572"/>
        <v>0</v>
      </c>
      <c r="DI157" s="48">
        <f t="shared" si="572"/>
        <v>0</v>
      </c>
      <c r="DJ157" s="48">
        <f t="shared" si="572"/>
        <v>0</v>
      </c>
      <c r="DK157" s="48">
        <f t="shared" si="572"/>
        <v>0</v>
      </c>
      <c r="DL157" s="48">
        <f t="shared" si="572"/>
        <v>0</v>
      </c>
      <c r="DM157" s="48">
        <f t="shared" si="572"/>
        <v>0</v>
      </c>
      <c r="DN157" s="48">
        <f t="shared" si="572"/>
        <v>0</v>
      </c>
      <c r="DO157" s="48">
        <f t="shared" si="572"/>
        <v>0</v>
      </c>
      <c r="DP157" s="48">
        <f t="shared" si="572"/>
        <v>0</v>
      </c>
      <c r="DQ157" s="48">
        <f t="shared" si="572"/>
        <v>0</v>
      </c>
      <c r="DR157" s="48">
        <f t="shared" si="572"/>
        <v>0</v>
      </c>
      <c r="DS157" s="48">
        <f t="shared" si="572"/>
        <v>0</v>
      </c>
      <c r="DT157" s="48">
        <f t="shared" si="572"/>
        <v>0</v>
      </c>
      <c r="DU157" s="48">
        <f t="shared" si="572"/>
        <v>0</v>
      </c>
      <c r="DV157" s="48">
        <f t="shared" si="572"/>
        <v>0</v>
      </c>
      <c r="DW157" s="48">
        <f t="shared" si="572"/>
        <v>0</v>
      </c>
      <c r="DX157" s="48">
        <f t="shared" si="572"/>
        <v>0</v>
      </c>
      <c r="DY157" s="48">
        <f t="shared" si="572"/>
        <v>0</v>
      </c>
      <c r="DZ157" s="48">
        <f t="shared" si="572"/>
        <v>0</v>
      </c>
      <c r="EA157" s="48">
        <f t="shared" si="572"/>
        <v>0</v>
      </c>
      <c r="EB157" s="48">
        <f t="shared" si="572"/>
        <v>0</v>
      </c>
      <c r="EC157" s="48">
        <f t="shared" si="572"/>
        <v>0</v>
      </c>
      <c r="ED157" s="48">
        <f t="shared" ref="ED157:ES157" si="573">MAX(0,-ED$154)</f>
        <v>0</v>
      </c>
      <c r="EE157" s="48">
        <f t="shared" si="573"/>
        <v>0</v>
      </c>
      <c r="EF157" s="48">
        <f t="shared" si="573"/>
        <v>0</v>
      </c>
      <c r="EG157" s="48">
        <f t="shared" si="573"/>
        <v>0</v>
      </c>
      <c r="EH157" s="48">
        <f t="shared" si="573"/>
        <v>0</v>
      </c>
      <c r="EI157" s="48">
        <f t="shared" si="573"/>
        <v>0</v>
      </c>
      <c r="EJ157" s="48">
        <f t="shared" si="573"/>
        <v>0</v>
      </c>
      <c r="EK157" s="48">
        <f t="shared" si="573"/>
        <v>0</v>
      </c>
      <c r="EL157" s="48">
        <f t="shared" si="573"/>
        <v>0</v>
      </c>
      <c r="EM157" s="48">
        <f t="shared" si="573"/>
        <v>0</v>
      </c>
      <c r="EN157" s="48">
        <f t="shared" si="573"/>
        <v>0</v>
      </c>
      <c r="EO157" s="48">
        <f t="shared" si="573"/>
        <v>0</v>
      </c>
      <c r="EP157" s="48">
        <f t="shared" si="573"/>
        <v>0</v>
      </c>
      <c r="EQ157" s="48">
        <f t="shared" si="573"/>
        <v>0</v>
      </c>
      <c r="ER157" s="48">
        <f t="shared" si="573"/>
        <v>0</v>
      </c>
      <c r="ES157" s="48">
        <f t="shared" si="573"/>
        <v>0</v>
      </c>
    </row>
    <row r="158" spans="1:149" x14ac:dyDescent="0.3">
      <c r="A158" s="16"/>
      <c r="B158" s="15" t="s">
        <v>1210</v>
      </c>
      <c r="C158" s="16"/>
      <c r="D158" s="16"/>
      <c r="E158" s="16"/>
    </row>
    <row r="159" spans="1:149" x14ac:dyDescent="0.3">
      <c r="A159" s="14" t="s">
        <v>1211</v>
      </c>
      <c r="B159" s="18" t="s">
        <v>1212</v>
      </c>
      <c r="C159" s="18"/>
      <c r="F159" s="42">
        <f>1/(1+P_WACC)^((1-1)/12)</f>
        <v>1</v>
      </c>
      <c r="G159" s="42">
        <f>1/(1+P_WACC)^((2-1)/12)</f>
        <v>0.99247369216100989</v>
      </c>
      <c r="H159" s="42">
        <f>1/(1+P_WACC)^((3-1)/12)</f>
        <v>0.98500402963170708</v>
      </c>
      <c r="I159" s="42">
        <f>1/(1+P_WACC)^((4-1)/12)</f>
        <v>0.97759058608205318</v>
      </c>
      <c r="J159" s="42">
        <f>1/(1+P_WACC)^((5-1)/12)</f>
        <v>0.97023293839070091</v>
      </c>
      <c r="K159" s="42">
        <f>1/(1+P_WACC)^((6-1)/12)</f>
        <v>0.9629306666208447</v>
      </c>
      <c r="L159" s="42">
        <f>1/(1+P_WACC)^((7-1)/12)</f>
        <v>0.95568335399625237</v>
      </c>
      <c r="M159" s="42">
        <f>1/(1+P_WACC)^((8-1)/12)</f>
        <v>0.948490586877478</v>
      </c>
      <c r="N159" s="42">
        <f>1/(1+P_WACC)^((9-1)/12)</f>
        <v>0.94135195473825362</v>
      </c>
      <c r="O159" s="42">
        <f>1/(1+P_WACC)^((10-1)/12)</f>
        <v>0.93426705014205857</v>
      </c>
      <c r="P159" s="42">
        <f>1/(1+P_WACC)^((11-1)/12)</f>
        <v>0.92723546871886431</v>
      </c>
      <c r="Q159" s="42">
        <f>1/(1+P_WACC)^((12-1)/12)</f>
        <v>0.92025680914205599</v>
      </c>
      <c r="R159" s="42">
        <f>1/(1+P_WACC)^((13-1)/12)</f>
        <v>0.91333067310552607</v>
      </c>
      <c r="S159" s="42">
        <f>1/(1+P_WACC)^((14-1)/12)</f>
        <v>0.90645666530094182</v>
      </c>
      <c r="T159" s="42">
        <f>1/(1+P_WACC)^((15-1)/12)</f>
        <v>0.89963439339518259</v>
      </c>
      <c r="U159" s="42">
        <f>1/(1+P_WACC)^((16-1)/12)</f>
        <v>0.89286346800794736</v>
      </c>
      <c r="V159" s="42">
        <f>1/(1+P_WACC)^((17-1)/12)</f>
        <v>0.88614350268953135</v>
      </c>
      <c r="W159" s="42">
        <f>1/(1+P_WACC)^((18-1)/12)</f>
        <v>0.87947411389876906</v>
      </c>
      <c r="X159" s="42">
        <f>1/(1+P_WACC)^((19-1)/12)</f>
        <v>0.87285492098114381</v>
      </c>
      <c r="Y159" s="42">
        <f>1/(1+P_WACC)^((20-1)/12)</f>
        <v>0.86628554614706244</v>
      </c>
      <c r="Z159" s="42">
        <f>1/(1+P_WACC)^((21-1)/12)</f>
        <v>0.85976561445029198</v>
      </c>
      <c r="AA159" s="42">
        <f>1/(1+P_WACC)^((22-1)/12)</f>
        <v>0.85329475376656072</v>
      </c>
      <c r="AB159" s="42">
        <f>1/(1+P_WACC)^((23-1)/12)</f>
        <v>0.84687259477231824</v>
      </c>
      <c r="AC159" s="42">
        <f>1/(1+P_WACC)^((24-1)/12)</f>
        <v>0.84049877092365755</v>
      </c>
      <c r="AD159" s="42">
        <f>1/(1+P_WACC)^((25-1)/12)</f>
        <v>0.83417291843539343</v>
      </c>
      <c r="AE159" s="42">
        <f>1/(1+P_WACC)^((26-1)/12)</f>
        <v>0.82789467626029978</v>
      </c>
      <c r="AF159" s="42">
        <f>1/(1+P_WACC)^((27-1)/12)</f>
        <v>0.82166368606850371</v>
      </c>
      <c r="AG159" s="42">
        <f>1/(1+P_WACC)^((28-1)/12)</f>
        <v>0.81547959222703292</v>
      </c>
      <c r="AH159" s="42">
        <f>1/(1+P_WACC)^((29-1)/12)</f>
        <v>0.80934204177951818</v>
      </c>
      <c r="AI159" s="42">
        <f>1/(1+P_WACC)^((30-1)/12)</f>
        <v>0.80325068442604874</v>
      </c>
      <c r="AJ159" s="42">
        <f>1/(1+P_WACC)^((31-1)/12)</f>
        <v>0.7972051725031789</v>
      </c>
      <c r="AK159" s="42">
        <f>1/(1+P_WACC)^((32-1)/12)</f>
        <v>0.79120516096408466</v>
      </c>
      <c r="AL159" s="42">
        <f>1/(1+P_WACC)^((33-1)/12)</f>
        <v>0.78525030735887136</v>
      </c>
      <c r="AM159" s="42">
        <f>1/(1+P_WACC)^((34-1)/12)</f>
        <v>0.77934027181502696</v>
      </c>
      <c r="AN159" s="42">
        <f>1/(1+P_WACC)^((35-1)/12)</f>
        <v>0.77347471701802495</v>
      </c>
      <c r="AO159" s="42">
        <f>1/(1+P_WACC)^((36-1)/12)</f>
        <v>0.76765330819207156</v>
      </c>
      <c r="AP159" s="42">
        <f>1/(1+P_WACC)^((37-1)/12)</f>
        <v>0.761875713080999</v>
      </c>
      <c r="AQ159" s="42">
        <f>1/(1+P_WACC)^((38-1)/12)</f>
        <v>0.75614160192930124</v>
      </c>
      <c r="AR159" s="42">
        <f>1/(1+P_WACC)^((39-1)/12)</f>
        <v>0.75045064746331425</v>
      </c>
      <c r="AS159" s="42">
        <f>1/(1+P_WACC)^((40-1)/12)</f>
        <v>0.74480252487253595</v>
      </c>
      <c r="AT159" s="42">
        <f>1/(1+P_WACC)^((41-1)/12)</f>
        <v>0.73919691179108815</v>
      </c>
      <c r="AU159" s="42">
        <f>1/(1+P_WACC)^((42-1)/12)</f>
        <v>0.73363348827931762</v>
      </c>
      <c r="AV159" s="42">
        <f>1/(1+P_WACC)^((43-1)/12)</f>
        <v>0.72811193680553532</v>
      </c>
      <c r="AW159" s="42">
        <f>1/(1+P_WACC)^((44-1)/12)</f>
        <v>0.72263194222789373</v>
      </c>
      <c r="AX159" s="42">
        <f>1/(1+P_WACC)^((45-1)/12)</f>
        <v>0.71719319177639929</v>
      </c>
      <c r="AY159" s="42">
        <f>1/(1+P_WACC)^((46-1)/12)</f>
        <v>0.71179537503506218</v>
      </c>
      <c r="AZ159" s="42">
        <f>1/(1+P_WACC)^((47-1)/12)</f>
        <v>0.70643818392417901</v>
      </c>
      <c r="BA159" s="42">
        <f>1/(1+P_WACC)^((48-1)/12)</f>
        <v>0.70112131268274858</v>
      </c>
      <c r="BB159" s="42">
        <f>1/(1+P_WACC)^((49-1)/12)</f>
        <v>0.69584445785102145</v>
      </c>
      <c r="BC159" s="42">
        <f>1/(1+P_WACC)^((50-1)/12)</f>
        <v>0.69060731825317945</v>
      </c>
      <c r="BD159" s="42">
        <f>1/(1+P_WACC)^((51-1)/12)</f>
        <v>0.68540959498014664</v>
      </c>
      <c r="BE159" s="42">
        <f>1/(1+P_WACC)^((52-1)/12)</f>
        <v>0.68025099137252865</v>
      </c>
      <c r="BF159" s="42">
        <f>1/(1+P_WACC)^((53-1)/12)</f>
        <v>0.67513121300368073</v>
      </c>
      <c r="BG159" s="42">
        <f>1/(1+P_WACC)^((54-1)/12)</f>
        <v>0.67004996766290426</v>
      </c>
      <c r="BH159" s="42">
        <f>1/(1+P_WACC)^((55-1)/12)</f>
        <v>0.66500696533876791</v>
      </c>
      <c r="BI159" s="42">
        <f>1/(1+P_WACC)^((56-1)/12)</f>
        <v>0.66000191820255583</v>
      </c>
      <c r="BJ159" s="42">
        <f>1/(1+P_WACC)^((57-1)/12)</f>
        <v>0.6550345405918393</v>
      </c>
      <c r="BK159" s="42">
        <f>1/(1+P_WACC)^((58-1)/12)</f>
        <v>0.65010454899417369</v>
      </c>
      <c r="BL159" s="42">
        <f>1/(1+P_WACC)^((59-1)/12)</f>
        <v>0.64521166203091584</v>
      </c>
      <c r="BM159" s="42">
        <f>1/(1+P_WACC)^((60-1)/12)</f>
        <v>0.6403556004411648</v>
      </c>
      <c r="BN159" s="42">
        <f>1/(1+P_WACC)^((61-1)/12)</f>
        <v>0.63553608706582321</v>
      </c>
      <c r="BO159" s="42">
        <f>1/(1+P_WACC)^((62-1)/12)</f>
        <v>0.63075284683177868</v>
      </c>
      <c r="BP159" s="42">
        <f>1/(1+P_WACC)^((63-1)/12)</f>
        <v>0.62600560673620331</v>
      </c>
      <c r="BQ159" s="42">
        <f>1/(1+P_WACC)^((64-1)/12)</f>
        <v>0.62129409583097284</v>
      </c>
      <c r="BR159" s="42">
        <f>1/(1+P_WACC)^((65-1)/12)</f>
        <v>0.61661804520720198</v>
      </c>
      <c r="BS159" s="42">
        <f>1/(1+P_WACC)^((66-1)/12)</f>
        <v>0.61197718797989631</v>
      </c>
      <c r="BT159" s="42">
        <f>1/(1+P_WACC)^((67-1)/12)</f>
        <v>0.60737125927272018</v>
      </c>
      <c r="BU159" s="42">
        <f>1/(1+P_WACC)^((68-1)/12)</f>
        <v>0.60279999620287861</v>
      </c>
      <c r="BV159" s="42">
        <f>1/(1+P_WACC)^((69-1)/12)</f>
        <v>0.59826313786611374</v>
      </c>
      <c r="BW159" s="42">
        <f>1/(1+P_WACC)^((70-1)/12)</f>
        <v>0.59376042532181317</v>
      </c>
      <c r="BX159" s="42">
        <f>1/(1+P_WACC)^((71-1)/12)</f>
        <v>0.58929160157823157</v>
      </c>
      <c r="BY159" s="42">
        <f>1/(1+P_WACC)^((72-1)/12)</f>
        <v>0.58485641157782231</v>
      </c>
      <c r="BZ159" s="42">
        <f>1/(1+P_WACC)^((73-1)/12)</f>
        <v>0.58045460218268063</v>
      </c>
      <c r="CA159" s="42">
        <f>1/(1+P_WACC)^((74-1)/12)</f>
        <v>0.57608592216009513</v>
      </c>
      <c r="CB159" s="42">
        <f>1/(1+P_WACC)^((75-1)/12)</f>
        <v>0.57175012216820986</v>
      </c>
      <c r="CC159" s="42">
        <f>1/(1+P_WACC)^((76-1)/12)</f>
        <v>0.56744695474179174</v>
      </c>
      <c r="CD159" s="42">
        <f>1/(1+P_WACC)^((77-1)/12)</f>
        <v>0.56317617427810762</v>
      </c>
      <c r="CE159" s="42">
        <f>1/(1+P_WACC)^((78-1)/12)</f>
        <v>0.55893753702290572</v>
      </c>
      <c r="CF159" s="42">
        <f>1/(1+P_WACC)^((79-1)/12)</f>
        <v>0.55473080105650452</v>
      </c>
      <c r="CG159" s="42">
        <f>1/(1+P_WACC)^((80-1)/12)</f>
        <v>0.55055572627998361</v>
      </c>
      <c r="CH159" s="42">
        <f>1/(1+P_WACC)^((81-1)/12)</f>
        <v>0.54641207440148176</v>
      </c>
      <c r="CI159" s="42">
        <f>1/(1+P_WACC)^((82-1)/12)</f>
        <v>0.5422996089225951</v>
      </c>
      <c r="CJ159" s="42">
        <f>1/(1+P_WACC)^((83-1)/12)</f>
        <v>0.53821809512487973</v>
      </c>
      <c r="CK159" s="42">
        <f>1/(1+P_WACC)^((84-1)/12)</f>
        <v>0.53416730005645507</v>
      </c>
      <c r="CL159" s="42">
        <f>1/(1+P_WACC)^((85-1)/12)</f>
        <v>0.53014699251870812</v>
      </c>
      <c r="CM159" s="42">
        <f>1/(1+P_WACC)^((86-1)/12)</f>
        <v>0.52615694305309746</v>
      </c>
      <c r="CN159" s="42">
        <f>1/(1+P_WACC)^((87-1)/12)</f>
        <v>0.52219692392805783</v>
      </c>
      <c r="CO159" s="42">
        <f>1/(1+P_WACC)^((88-1)/12)</f>
        <v>0.51826670912600159</v>
      </c>
      <c r="CP159" s="42">
        <f>1/(1+P_WACC)^((89-1)/12)</f>
        <v>0.51436607433041903</v>
      </c>
      <c r="CQ159" s="42">
        <f>1/(1+P_WACC)^((90-1)/12)</f>
        <v>0.51049479691307542</v>
      </c>
      <c r="CR159" s="42">
        <f>1/(1+P_WACC)^((91-1)/12)</f>
        <v>0.50665265592130493</v>
      </c>
      <c r="CS159" s="42">
        <f>1/(1+P_WACC)^((92-1)/12)</f>
        <v>0.50283943206539927</v>
      </c>
      <c r="CT159" s="42">
        <f>1/(1+P_WACC)^((93-1)/12)</f>
        <v>0.49905490770609212</v>
      </c>
      <c r="CU159" s="42">
        <f>1/(1+P_WACC)^((94-1)/12)</f>
        <v>0.49529886684213736</v>
      </c>
      <c r="CV159" s="42">
        <f>1/(1+P_WACC)^((95-1)/12)</f>
        <v>0.49157109509798053</v>
      </c>
      <c r="CW159" s="42">
        <f>1/(1+P_WACC)^((96-1)/12)</f>
        <v>0.48787137971152356</v>
      </c>
      <c r="CX159" s="42">
        <f>1/(1+P_WACC)^((97-1)/12)</f>
        <v>0.48419950952198199</v>
      </c>
      <c r="CY159" s="42">
        <f>1/(1+P_WACC)^((98-1)/12)</f>
        <v>0.4805552749578314</v>
      </c>
      <c r="CZ159" s="42">
        <f>1/(1+P_WACC)^((99-1)/12)</f>
        <v>0.47693846802484829</v>
      </c>
      <c r="DA159" s="42">
        <f>1/(1+P_WACC)^((100-1)/12)</f>
        <v>0.47334888229423688</v>
      </c>
      <c r="DB159" s="42">
        <f>1/(1+P_WACC)^((101-1)/12)</f>
        <v>0.46978631289084866</v>
      </c>
      <c r="DC159" s="42">
        <f>1/(1+P_WACC)^((102-1)/12)</f>
        <v>0.466250556481488</v>
      </c>
      <c r="DD159" s="42">
        <f>1/(1+P_WACC)^((103-1)/12)</f>
        <v>0.46274141126330792</v>
      </c>
      <c r="DE159" s="42">
        <f>1/(1+P_WACC)^((104-1)/12)</f>
        <v>0.45925867695229156</v>
      </c>
      <c r="DF159" s="42">
        <f>1/(1+P_WACC)^((105-1)/12)</f>
        <v>0.45580215477182134</v>
      </c>
      <c r="DG159" s="42">
        <f>1/(1+P_WACC)^((106-1)/12)</f>
        <v>0.45237164744133362</v>
      </c>
      <c r="DH159" s="42">
        <f>1/(1+P_WACC)^((107-1)/12)</f>
        <v>0.44896695916505897</v>
      </c>
      <c r="DI159" s="42">
        <f>1/(1+P_WACC)^((108-1)/12)</f>
        <v>0.44558789562084755</v>
      </c>
      <c r="DJ159" s="42">
        <f>1/(1+P_WACC)^((109-1)/12)</f>
        <v>0.44223426394907739</v>
      </c>
      <c r="DK159" s="42">
        <f>1/(1+P_WACC)^((110-1)/12)</f>
        <v>0.43890587274164738</v>
      </c>
      <c r="DL159" s="42">
        <f>1/(1+P_WACC)^((111-1)/12)</f>
        <v>0.43560253203105309</v>
      </c>
      <c r="DM159" s="42">
        <f>1/(1+P_WACC)^((112-1)/12)</f>
        <v>0.43232405327954393</v>
      </c>
      <c r="DN159" s="42">
        <f>1/(1+P_WACC)^((113-1)/12)</f>
        <v>0.42907024936836208</v>
      </c>
      <c r="DO159" s="42">
        <f>1/(1+P_WACC)^((114-1)/12)</f>
        <v>0.42584093458706357</v>
      </c>
      <c r="DP159" s="42">
        <f>1/(1+P_WACC)^((115-1)/12)</f>
        <v>0.4226359246229181</v>
      </c>
      <c r="DQ159" s="42">
        <f>1/(1+P_WACC)^((116-1)/12)</f>
        <v>0.41945503655038974</v>
      </c>
      <c r="DR159" s="42">
        <f>1/(1+P_WACC)^((117-1)/12)</f>
        <v>0.4162980888206968</v>
      </c>
      <c r="DS159" s="42">
        <f>1/(1+P_WACC)^((118-1)/12)</f>
        <v>0.41316490125144895</v>
      </c>
      <c r="DT159" s="42">
        <f>1/(1+P_WACC)^((119-1)/12)</f>
        <v>0.41005529501636462</v>
      </c>
      <c r="DU159" s="42">
        <f>1/(1+P_WACC)^((120-1)/12)</f>
        <v>0.40696909263506353</v>
      </c>
      <c r="DV159" s="42">
        <f>1/(1+P_WACC)^((121-1)/12)</f>
        <v>0.40390611796293779</v>
      </c>
      <c r="DW159" s="42">
        <f>1/(1+P_WACC)^((122-1)/12)</f>
        <v>0.40086619618109709</v>
      </c>
      <c r="DX159" s="42">
        <f>1/(1+P_WACC)^((123-1)/12)</f>
        <v>0.39784915378639324</v>
      </c>
      <c r="DY159" s="42">
        <f>1/(1+P_WACC)^((124-1)/12)</f>
        <v>0.39485481858151511</v>
      </c>
      <c r="DZ159" s="42">
        <f>1/(1+P_WACC)^((125-1)/12)</f>
        <v>0.39188301966516204</v>
      </c>
      <c r="EA159" s="42">
        <f>1/(1+P_WACC)^((126-1)/12)</f>
        <v>0.38893358742228906</v>
      </c>
      <c r="EB159" s="42">
        <f>1/(1+P_WACC)^((127-1)/12)</f>
        <v>0.38600635351442614</v>
      </c>
      <c r="EC159" s="42">
        <f>1/(1+P_WACC)^((128-1)/12)</f>
        <v>0.38310115087007057</v>
      </c>
      <c r="ED159" s="42">
        <f>1/(1+P_WACC)^((129-1)/12)</f>
        <v>0.38021781367515101</v>
      </c>
      <c r="EE159" s="42">
        <f>1/(1+P_WACC)^((130-1)/12)</f>
        <v>0.37735617736356414</v>
      </c>
      <c r="EF159" s="42">
        <f>1/(1+P_WACC)^((131-1)/12)</f>
        <v>0.37451607860778136</v>
      </c>
      <c r="EG159" s="42">
        <f>1/(1+P_WACC)^((132-1)/12)</f>
        <v>0.3716973553095278</v>
      </c>
      <c r="EH159" s="42">
        <f>1/(1+P_WACC)^((133-1)/12)</f>
        <v>0.36889984659052999</v>
      </c>
      <c r="EI159" s="42">
        <f>1/(1+P_WACC)^((134-1)/12)</f>
        <v>0.36612339278333328</v>
      </c>
      <c r="EJ159" s="42">
        <f>1/(1+P_WACC)^((135-1)/12)</f>
        <v>0.36336783542219053</v>
      </c>
      <c r="EK159" s="42">
        <f>1/(1+P_WACC)^((136-1)/12)</f>
        <v>0.36063301723401553</v>
      </c>
      <c r="EL159" s="42">
        <f>1/(1+P_WACC)^((137-1)/12)</f>
        <v>0.35791878212940853</v>
      </c>
      <c r="EM159" s="42">
        <f>1/(1+P_WACC)^((138-1)/12)</f>
        <v>0.35522497519374624</v>
      </c>
      <c r="EN159" s="42">
        <f>1/(1+P_WACC)^((139-1)/12)</f>
        <v>0.35255144267834049</v>
      </c>
      <c r="EO159" s="42">
        <f>1/(1+P_WACC)^((140-1)/12)</f>
        <v>0.34989803199166325</v>
      </c>
      <c r="EP159" s="42">
        <f>1/(1+P_WACC)^((141-1)/12)</f>
        <v>0.34726459169063723</v>
      </c>
      <c r="EQ159" s="42">
        <f>1/(1+P_WACC)^((142-1)/12)</f>
        <v>0.34465097147199231</v>
      </c>
      <c r="ER159" s="42">
        <f>1/(1+P_WACC)^((143-1)/12)</f>
        <v>0.34205702216368705</v>
      </c>
      <c r="ES159" s="42">
        <f>1/(1+P_WACC)^((144-1)/12)</f>
        <v>0.339482595716395</v>
      </c>
    </row>
    <row r="160" spans="1:149" x14ac:dyDescent="0.3">
      <c r="A160" s="14" t="s">
        <v>1213</v>
      </c>
      <c r="B160" s="18" t="s">
        <v>1214</v>
      </c>
      <c r="C160" s="18"/>
      <c r="F160" s="42">
        <f>1/(1+P_Ke)^((1-1)/12)</f>
        <v>1</v>
      </c>
      <c r="G160" s="42">
        <f>1/(1+P_Ke)^((2-1)/12)</f>
        <v>0.9874811190723064</v>
      </c>
      <c r="H160" s="42">
        <f>1/(1+P_Ke)^((3-1)/12)</f>
        <v>0.97511896052429481</v>
      </c>
      <c r="I160" s="42">
        <f>1/(1+P_Ke)^((4-1)/12)</f>
        <v>0.96291156236715481</v>
      </c>
      <c r="J160" s="42">
        <f>1/(1+P_Ke)^((5-1)/12)</f>
        <v>0.95085698717398115</v>
      </c>
      <c r="K160" s="42">
        <f>1/(1+P_Ke)^((6-1)/12)</f>
        <v>0.93895332177228463</v>
      </c>
      <c r="L160" s="42">
        <f>1/(1+P_Ke)^((7-1)/12)</f>
        <v>0.92719867694035496</v>
      </c>
      <c r="M160" s="42">
        <f>1/(1+P_Ke)^((8-1)/12)</f>
        <v>0.91559118710742382</v>
      </c>
      <c r="N160" s="42">
        <f>1/(1+P_Ke)^((9-1)/12)</f>
        <v>0.9041290100575804</v>
      </c>
      <c r="O160" s="42">
        <f>1/(1+P_Ke)^((10-1)/12)</f>
        <v>0.89281032663739623</v>
      </c>
      <c r="P160" s="42">
        <f>1/(1+P_Ke)^((11-1)/12)</f>
        <v>0.88163334046720732</v>
      </c>
      <c r="Q160" s="42">
        <f>1/(1+P_Ke)^((12-1)/12)</f>
        <v>0.87059627765601377</v>
      </c>
      <c r="R160" s="42">
        <f>1/(1+P_Ke)^((13-1)/12)</f>
        <v>0.85969738651994498</v>
      </c>
      <c r="S160" s="42">
        <f>1/(1+P_Ke)^((14-1)/12)</f>
        <v>0.8489349373042524</v>
      </c>
      <c r="T160" s="42">
        <f>1/(1+P_Ke)^((15-1)/12)</f>
        <v>0.8383072219087816</v>
      </c>
      <c r="U160" s="42">
        <f>1/(1+P_Ke)^((16-1)/12)</f>
        <v>0.82781255361687989</v>
      </c>
      <c r="V160" s="42">
        <f>1/(1+P_Ke)^((17-1)/12)</f>
        <v>0.81744926682770036</v>
      </c>
      <c r="W160" s="42">
        <f>1/(1+P_Ke)^((18-1)/12)</f>
        <v>0.80721571679185411</v>
      </c>
      <c r="X160" s="42">
        <f>1/(1+P_Ke)^((19-1)/12)</f>
        <v>0.79711027935037404</v>
      </c>
      <c r="Y160" s="42">
        <f>1/(1+P_Ke)^((20-1)/12)</f>
        <v>0.78713135067694617</v>
      </c>
      <c r="Z160" s="42">
        <f>1/(1+P_Ke)^((21-1)/12)</f>
        <v>0.77727734702336704</v>
      </c>
      <c r="AA160" s="42">
        <f>1/(1+P_Ke)^((22-1)/12)</f>
        <v>0.76754670446818785</v>
      </c>
      <c r="AB160" s="42">
        <f>1/(1+P_Ke)^((23-1)/12)</f>
        <v>0.75793787866850715</v>
      </c>
      <c r="AC160" s="42">
        <f>1/(1+P_Ke)^((24-1)/12)</f>
        <v>0.74844934461486734</v>
      </c>
      <c r="AD160" s="42">
        <f>1/(1+P_Ke)^((25-1)/12)</f>
        <v>0.73907959638922371</v>
      </c>
      <c r="AE160" s="42">
        <f>1/(1+P_Ke)^((26-1)/12)</f>
        <v>0.7298271469259392</v>
      </c>
      <c r="AF160" s="42">
        <f>1/(1+P_Ke)^((27-1)/12)</f>
        <v>0.72069052777577502</v>
      </c>
      <c r="AG160" s="42">
        <f>1/(1+P_Ke)^((28-1)/12)</f>
        <v>0.71166828887283362</v>
      </c>
      <c r="AH160" s="42">
        <f>1/(1+P_Ke)^((29-1)/12)</f>
        <v>0.70275899830441924</v>
      </c>
      <c r="AI160" s="42">
        <f>1/(1+P_Ke)^((30-1)/12)</f>
        <v>0.69396124208378096</v>
      </c>
      <c r="AJ160" s="42">
        <f>1/(1+P_Ke)^((31-1)/12)</f>
        <v>0.68527362392569979</v>
      </c>
      <c r="AK160" s="42">
        <f>1/(1+P_Ke)^((32-1)/12)</f>
        <v>0.67669476502488501</v>
      </c>
      <c r="AL160" s="42">
        <f>1/(1+P_Ke)^((33-1)/12)</f>
        <v>0.66822330383714479</v>
      </c>
      <c r="AM160" s="42">
        <f>1/(1+P_Ke)^((34-1)/12)</f>
        <v>0.65985789586329768</v>
      </c>
      <c r="AN160" s="42">
        <f>1/(1+P_Ke)^((35-1)/12)</f>
        <v>0.65159721343578669</v>
      </c>
      <c r="AO160" s="42">
        <f>1/(1+P_Ke)^((36-1)/12)</f>
        <v>0.64343994550796724</v>
      </c>
      <c r="AP160" s="42">
        <f>1/(1+P_Ke)^((37-1)/12)</f>
        <v>0.63538479744603138</v>
      </c>
      <c r="AQ160" s="42">
        <f>1/(1+P_Ke)^((38-1)/12)</f>
        <v>0.62743049082353786</v>
      </c>
      <c r="AR160" s="42">
        <f>1/(1+P_Ke)^((39-1)/12)</f>
        <v>0.6195757632185136</v>
      </c>
      <c r="AS160" s="42">
        <f>1/(1+P_Ke)^((40-1)/12)</f>
        <v>0.61181936801309622</v>
      </c>
      <c r="AT160" s="42">
        <f>1/(1+P_Ke)^((41-1)/12)</f>
        <v>0.60416007419568363</v>
      </c>
      <c r="AU160" s="42">
        <f>1/(1+P_Ke)^((42-1)/12)</f>
        <v>0.59659666616556128</v>
      </c>
      <c r="AV160" s="42">
        <f>1/(1+P_Ke)^((43-1)/12)</f>
        <v>0.58912794353997577</v>
      </c>
      <c r="AW160" s="42">
        <f>1/(1+P_Ke)^((44-1)/12)</f>
        <v>0.58175272096362185</v>
      </c>
      <c r="AX160" s="42">
        <f>1/(1+P_Ke)^((45-1)/12)</f>
        <v>0.5744698279205166</v>
      </c>
      <c r="AY160" s="42">
        <f>1/(1+P_Ke)^((46-1)/12)</f>
        <v>0.56727810854822702</v>
      </c>
      <c r="AZ160" s="42">
        <f>1/(1+P_Ke)^((47-1)/12)</f>
        <v>0.56017642145442459</v>
      </c>
      <c r="BA160" s="42">
        <f>1/(1+P_Ke)^((48-1)/12)</f>
        <v>0.55316363953573522</v>
      </c>
      <c r="BB160" s="42">
        <f>1/(1+P_Ke)^((49-1)/12)</f>
        <v>0.54623864979885783</v>
      </c>
      <c r="BC160" s="42">
        <f>1/(1+P_Ke)^((50-1)/12)</f>
        <v>0.53940035318392177</v>
      </c>
      <c r="BD160" s="42">
        <f>1/(1+P_Ke)^((51-1)/12)</f>
        <v>0.5326476643900564</v>
      </c>
      <c r="BE160" s="42">
        <f>1/(1+P_Ke)^((52-1)/12)</f>
        <v>0.52597951170314317</v>
      </c>
      <c r="BF160" s="42">
        <f>1/(1+P_Ke)^((53-1)/12)</f>
        <v>0.51939483682572518</v>
      </c>
      <c r="BG160" s="42">
        <f>1/(1+P_Ke)^((54-1)/12)</f>
        <v>0.51289259470904514</v>
      </c>
      <c r="BH160" s="42">
        <f>1/(1+P_Ke)^((55-1)/12)</f>
        <v>0.50647175338718686</v>
      </c>
      <c r="BI160" s="42">
        <f>1/(1+P_Ke)^((56-1)/12)</f>
        <v>0.50013129381329247</v>
      </c>
      <c r="BJ160" s="42">
        <f>1/(1+P_Ke)^((57-1)/12)</f>
        <v>0.49387020969783058</v>
      </c>
      <c r="BK160" s="42">
        <f>1/(1+P_Ke)^((58-1)/12)</f>
        <v>0.48768750734888844</v>
      </c>
      <c r="BL160" s="42">
        <f>1/(1+P_Ke)^((59-1)/12)</f>
        <v>0.48158220551446407</v>
      </c>
      <c r="BM160" s="42">
        <f>1/(1+P_Ke)^((60-1)/12)</f>
        <v>0.47555333522673243</v>
      </c>
      <c r="BN160" s="42">
        <f>1/(1+P_Ke)^((61-1)/12)</f>
        <v>0.46959993964826147</v>
      </c>
      <c r="BO160" s="42">
        <f>1/(1+P_Ke)^((62-1)/12)</f>
        <v>0.46372107392015283</v>
      </c>
      <c r="BP160" s="42">
        <f>1/(1+P_Ke)^((63-1)/12)</f>
        <v>0.45791580501208423</v>
      </c>
      <c r="BQ160" s="42">
        <f>1/(1+P_Ke)^((64-1)/12)</f>
        <v>0.45218321157422903</v>
      </c>
      <c r="BR160" s="42">
        <f>1/(1+P_Ke)^((65-1)/12)</f>
        <v>0.44652238379102926</v>
      </c>
      <c r="BS160" s="42">
        <f>1/(1+P_Ke)^((66-1)/12)</f>
        <v>0.44093242323679949</v>
      </c>
      <c r="BT160" s="42">
        <f>1/(1+P_Ke)^((67-1)/12)</f>
        <v>0.43541244273313856</v>
      </c>
      <c r="BU160" s="42">
        <f>1/(1+P_Ke)^((68-1)/12)</f>
        <v>0.42996156620812631</v>
      </c>
      <c r="BV160" s="42">
        <f>1/(1+P_Ke)^((69-1)/12)</f>
        <v>0.42457892855728213</v>
      </c>
      <c r="BW160" s="42">
        <f>1/(1+P_Ke)^((70-1)/12)</f>
        <v>0.41926367550626581</v>
      </c>
      <c r="BX160" s="42">
        <f>1/(1+P_Ke)^((71-1)/12)</f>
        <v>0.41401496347529582</v>
      </c>
      <c r="BY160" s="42">
        <f>1/(1+P_Ke)^((72-1)/12)</f>
        <v>0.40883195944526518</v>
      </c>
      <c r="BZ160" s="42">
        <f>1/(1+P_Ke)^((73-1)/12)</f>
        <v>0.40371384082553435</v>
      </c>
      <c r="CA160" s="42">
        <f>1/(1+P_Ke)^((74-1)/12)</f>
        <v>0.39865979532337764</v>
      </c>
      <c r="CB160" s="42">
        <f>1/(1+P_Ke)^((75-1)/12)</f>
        <v>0.39366902081506555</v>
      </c>
      <c r="CC160" s="42">
        <f>1/(1+P_Ke)^((76-1)/12)</f>
        <v>0.38874072521856001</v>
      </c>
      <c r="CD160" s="42">
        <f>1/(1+P_Ke)^((77-1)/12)</f>
        <v>0.38387412636780366</v>
      </c>
      <c r="CE160" s="42">
        <f>1/(1+P_Ke)^((78-1)/12)</f>
        <v>0.37906845188858279</v>
      </c>
      <c r="CF160" s="42">
        <f>1/(1+P_Ke)^((79-1)/12)</f>
        <v>0.37432293907594444</v>
      </c>
      <c r="CG160" s="42">
        <f>1/(1+P_Ke)^((80-1)/12)</f>
        <v>0.36963683477314851</v>
      </c>
      <c r="CH160" s="42">
        <f>1/(1+P_Ke)^((81-1)/12)</f>
        <v>0.36500939525213388</v>
      </c>
      <c r="CI160" s="42">
        <f>1/(1+P_Ke)^((82-1)/12)</f>
        <v>0.36043988609548305</v>
      </c>
      <c r="CJ160" s="42">
        <f>1/(1+P_Ke)^((83-1)/12)</f>
        <v>0.3559275820798623</v>
      </c>
      <c r="CK160" s="42">
        <f>1/(1+P_Ke)^((84-1)/12)</f>
        <v>0.35147176706092259</v>
      </c>
      <c r="CL160" s="42">
        <f>1/(1+P_Ke)^((85-1)/12)</f>
        <v>0.34707173385964091</v>
      </c>
      <c r="CM160" s="42">
        <f>1/(1+P_Ke)^((86-1)/12)</f>
        <v>0.3427267841500839</v>
      </c>
      <c r="CN160" s="42">
        <f>1/(1+P_Ke)^((87-1)/12)</f>
        <v>0.33843622834857762</v>
      </c>
      <c r="CO160" s="42">
        <f>1/(1+P_Ke)^((88-1)/12)</f>
        <v>0.33419938550426415</v>
      </c>
      <c r="CP160" s="42">
        <f>1/(1+P_Ke)^((89-1)/12)</f>
        <v>0.33001558319102792</v>
      </c>
      <c r="CQ160" s="42">
        <f>1/(1+P_Ke)^((90-1)/12)</f>
        <v>0.32588415740077609</v>
      </c>
      <c r="CR160" s="42">
        <f>1/(1+P_Ke)^((91-1)/12)</f>
        <v>0.32180445243805406</v>
      </c>
      <c r="CS160" s="42">
        <f>1/(1+P_Ke)^((92-1)/12)</f>
        <v>0.31777582081598044</v>
      </c>
      <c r="CT160" s="42">
        <f>1/(1+P_Ke)^((93-1)/12)</f>
        <v>0.31379762315348514</v>
      </c>
      <c r="CU160" s="42">
        <f>1/(1+P_Ke)^((94-1)/12)</f>
        <v>0.30986922807383338</v>
      </c>
      <c r="CV160" s="42">
        <f>1/(1+P_Ke)^((95-1)/12)</f>
        <v>0.30599001210442078</v>
      </c>
      <c r="CW160" s="42">
        <f>1/(1+P_Ke)^((96-1)/12)</f>
        <v>0.30215935957782197</v>
      </c>
      <c r="CX160" s="42">
        <f>1/(1+P_Ke)^((97-1)/12)</f>
        <v>0.29837666253407918</v>
      </c>
      <c r="CY160" s="42">
        <f>1/(1+P_Ke)^((98-1)/12)</f>
        <v>0.29464132062421239</v>
      </c>
      <c r="CZ160" s="42">
        <f>1/(1+P_Ke)^((99-1)/12)</f>
        <v>0.29095274101493956</v>
      </c>
      <c r="DA160" s="42">
        <f>1/(1+P_Ke)^((100-1)/12)</f>
        <v>0.28731033829458741</v>
      </c>
      <c r="DB160" s="42">
        <f>1/(1+P_Ke)^((101-1)/12)</f>
        <v>0.28371353438018215</v>
      </c>
      <c r="DC160" s="42">
        <f>1/(1+P_Ke)^((102-1)/12)</f>
        <v>0.28016175842570157</v>
      </c>
      <c r="DD160" s="42">
        <f>1/(1+P_Ke)^((103-1)/12)</f>
        <v>0.27665444673147693</v>
      </c>
      <c r="DE160" s="42">
        <f>1/(1+P_Ke)^((104-1)/12)</f>
        <v>0.27319104265472871</v>
      </c>
      <c r="DF160" s="42">
        <f>1/(1+P_Ke)^((105-1)/12)</f>
        <v>0.26977099652122172</v>
      </c>
      <c r="DG160" s="42">
        <f>1/(1+P_Ke)^((106-1)/12)</f>
        <v>0.26639376553802735</v>
      </c>
      <c r="DH160" s="42">
        <f>1/(1+P_Ke)^((107-1)/12)</f>
        <v>0.26305881370737683</v>
      </c>
      <c r="DI160" s="42">
        <f>1/(1+P_Ke)^((108-1)/12)</f>
        <v>0.25976561174159396</v>
      </c>
      <c r="DJ160" s="42">
        <f>1/(1+P_Ke)^((109-1)/12)</f>
        <v>0.25651363697909146</v>
      </c>
      <c r="DK160" s="42">
        <f>1/(1+P_Ke)^((110-1)/12)</f>
        <v>0.25330237330142052</v>
      </c>
      <c r="DL160" s="42">
        <f>1/(1+P_Ke)^((111-1)/12)</f>
        <v>0.25013131105135794</v>
      </c>
      <c r="DM160" s="42">
        <f>1/(1+P_Ke)^((112-1)/12)</f>
        <v>0.2469999469520181</v>
      </c>
      <c r="DN160" s="42">
        <f>1/(1+P_Ke)^((113-1)/12)</f>
        <v>0.24390778402697916</v>
      </c>
      <c r="DO160" s="42">
        <f>1/(1+P_Ke)^((114-1)/12)</f>
        <v>0.24085433152140787</v>
      </c>
      <c r="DP160" s="42">
        <f>1/(1+P_Ke)^((115-1)/12)</f>
        <v>0.23783910482417214</v>
      </c>
      <c r="DQ160" s="42">
        <f>1/(1+P_Ke)^((116-1)/12)</f>
        <v>0.23486162539092909</v>
      </c>
      <c r="DR160" s="42">
        <f>1/(1+P_Ke)^((117-1)/12)</f>
        <v>0.23192142066817548</v>
      </c>
      <c r="DS160" s="42">
        <f>1/(1+P_Ke)^((118-1)/12)</f>
        <v>0.22901802401824908</v>
      </c>
      <c r="DT160" s="42">
        <f>1/(1+P_Ke)^((119-1)/12)</f>
        <v>0.22615097464526893</v>
      </c>
      <c r="DU160" s="42">
        <f>1/(1+P_Ke)^((120-1)/12)</f>
        <v>0.22331981752200303</v>
      </c>
      <c r="DV160" s="42">
        <f>1/(1+P_Ke)^((121-1)/12)</f>
        <v>0.22052410331765085</v>
      </c>
      <c r="DW160" s="42">
        <f>1/(1+P_Ke)^((122-1)/12)</f>
        <v>0.21776338832653072</v>
      </c>
      <c r="DX160" s="42">
        <f>1/(1+P_Ke)^((123-1)/12)</f>
        <v>0.21503723439765987</v>
      </c>
      <c r="DY160" s="42">
        <f>1/(1+P_Ke)^((124-1)/12)</f>
        <v>0.21234520886521499</v>
      </c>
      <c r="DZ160" s="42">
        <f>1/(1+P_Ke)^((125-1)/12)</f>
        <v>0.20968688447986519</v>
      </c>
      <c r="EA160" s="42">
        <f>1/(1+P_Ke)^((126-1)/12)</f>
        <v>0.20706183934096273</v>
      </c>
      <c r="EB160" s="42">
        <f>1/(1+P_Ke)^((127-1)/12)</f>
        <v>0.20446965682958396</v>
      </c>
      <c r="EC160" s="42">
        <f>1/(1+P_Ke)^((128-1)/12)</f>
        <v>0.20190992554240805</v>
      </c>
      <c r="ED160" s="42">
        <f>1/(1+P_Ke)^((129-1)/12)</f>
        <v>0.1993822392264232</v>
      </c>
      <c r="EE160" s="42">
        <f>1/(1+P_Ke)^((130-1)/12)</f>
        <v>0.19688619671445073</v>
      </c>
      <c r="EF160" s="42">
        <f>1/(1+P_Ke)^((131-1)/12)</f>
        <v>0.19442140186147605</v>
      </c>
      <c r="EG160" s="42">
        <f>1/(1+P_Ke)^((132-1)/12)</f>
        <v>0.19198746348177703</v>
      </c>
      <c r="EH160" s="42">
        <f>1/(1+P_Ke)^((133-1)/12)</f>
        <v>0.18958399528683875</v>
      </c>
      <c r="EI160" s="42">
        <f>1/(1+P_Ke)^((134-1)/12)</f>
        <v>0.18721061582404633</v>
      </c>
      <c r="EJ160" s="42">
        <f>1/(1+P_Ke)^((135-1)/12)</f>
        <v>0.18486694841614498</v>
      </c>
      <c r="EK160" s="42">
        <f>1/(1+P_Ke)^((136-1)/12)</f>
        <v>0.18255262110145717</v>
      </c>
      <c r="EL160" s="42">
        <f>1/(1+P_Ke)^((137-1)/12)</f>
        <v>0.18026726657484968</v>
      </c>
      <c r="EM160" s="42">
        <f>1/(1+P_Ke)^((138-1)/12)</f>
        <v>0.17801052212943838</v>
      </c>
      <c r="EN160" s="42">
        <f>1/(1+P_Ke)^((139-1)/12)</f>
        <v>0.17578202959902339</v>
      </c>
      <c r="EO160" s="42">
        <f>1/(1+P_Ke)^((140-1)/12)</f>
        <v>0.1735814353012449</v>
      </c>
      <c r="EP160" s="42">
        <f>1/(1+P_Ke)^((141-1)/12)</f>
        <v>0.17140838998145047</v>
      </c>
      <c r="EQ160" s="42">
        <f>1/(1+P_Ke)^((142-1)/12)</f>
        <v>0.16926254875726504</v>
      </c>
      <c r="ER160" s="42">
        <f>1/(1+P_Ke)^((143-1)/12)</f>
        <v>0.16714357106385491</v>
      </c>
      <c r="ES160" s="42">
        <f>1/(1+P_Ke)^((144-1)/12)</f>
        <v>0.16505112059987709</v>
      </c>
    </row>
    <row r="161" spans="1:149" x14ac:dyDescent="0.3">
      <c r="A161" s="14" t="s">
        <v>1215</v>
      </c>
      <c r="B161" s="18" t="s">
        <v>1216</v>
      </c>
      <c r="C161" s="18" t="s">
        <v>439</v>
      </c>
      <c r="E161" s="54">
        <f>SUM(F161:ES161)</f>
        <v>14751245.798036566</v>
      </c>
      <c r="F161" s="48">
        <f>-F$138-(F$157-0)+F$153+IF(1=Fin,F$154+F$157+F$119-F$148,0)</f>
        <v>-767782</v>
      </c>
      <c r="G161" s="48">
        <f>-G$138-(G$157-F$157)+G$153+IF(2=Fin,G$154+G$157+G$119-G$148,0)</f>
        <v>0</v>
      </c>
      <c r="H161" s="48">
        <f>-H$138-(H$157-G$157)+H$153+IF(3=Fin,H$154+H$157+H$119-H$148,0)</f>
        <v>0</v>
      </c>
      <c r="I161" s="48">
        <f>-I$138-(I$157-H$157)+I$153+IF(4=Fin,I$154+I$157+I$119-I$148,0)</f>
        <v>0</v>
      </c>
      <c r="J161" s="48">
        <f>-J$138-(J$157-I$157)+J$153+IF(5=Fin,J$154+J$157+J$119-J$148,0)</f>
        <v>0</v>
      </c>
      <c r="K161" s="48">
        <f>-K$138-(K$157-J$157)+K$153+IF(6=Fin,K$154+K$157+K$119-K$148,0)</f>
        <v>0</v>
      </c>
      <c r="L161" s="48">
        <f>-L$138-(L$157-K$157)+L$153+IF(7=Fin,L$154+L$157+L$119-L$148,0)</f>
        <v>0</v>
      </c>
      <c r="M161" s="48">
        <f>-M$138-(M$157-L$157)+M$153+IF(8=Fin,M$154+M$157+M$119-M$148,0)</f>
        <v>0</v>
      </c>
      <c r="N161" s="48">
        <f>-N$138-(N$157-M$157)+N$153+IF(9=Fin,N$154+N$157+N$119-N$148,0)</f>
        <v>0</v>
      </c>
      <c r="O161" s="48">
        <f>-O$138-(O$157-N$157)+O$153+IF(10=Fin,O$154+O$157+O$119-O$148,0)</f>
        <v>0</v>
      </c>
      <c r="P161" s="48">
        <f>-P$138-(P$157-O$157)+P$153+IF(11=Fin,P$154+P$157+P$119-P$148,0)</f>
        <v>0</v>
      </c>
      <c r="Q161" s="48">
        <f>-Q$138-(Q$157-P$157)+Q$153+IF(12=Fin,Q$154+Q$157+Q$119-Q$148,0)</f>
        <v>0</v>
      </c>
      <c r="R161" s="48">
        <f>-R$138-(R$157-Q$157)+R$153+IF(13=Fin,R$154+R$157+R$119-R$148,0)</f>
        <v>-371928</v>
      </c>
      <c r="S161" s="48">
        <f>-S$138-(S$157-R$157)+S$153+IF(14=Fin,S$154+S$157+S$119-S$148,0)</f>
        <v>0</v>
      </c>
      <c r="T161" s="48">
        <f>-T$138-(T$157-S$157)+T$153+IF(15=Fin,T$154+T$157+T$119-T$148,0)</f>
        <v>0</v>
      </c>
      <c r="U161" s="48">
        <f>-U$138-(U$157-T$157)+U$153+IF(16=Fin,U$154+U$157+U$119-U$148,0)</f>
        <v>0</v>
      </c>
      <c r="V161" s="48">
        <f>-V$138-(V$157-U$157)+V$153+IF(17=Fin,V$154+V$157+V$119-V$148,0)</f>
        <v>0</v>
      </c>
      <c r="W161" s="48">
        <f>-W$138-(W$157-V$157)+W$153+IF(18=Fin,W$154+W$157+W$119-W$148,0)</f>
        <v>0</v>
      </c>
      <c r="X161" s="48">
        <f>-X$138-(X$157-W$157)+X$153+IF(19=Fin,X$154+X$157+X$119-X$148,0)</f>
        <v>0</v>
      </c>
      <c r="Y161" s="48">
        <f>-Y$138-(Y$157-X$157)+Y$153+IF(20=Fin,Y$154+Y$157+Y$119-Y$148,0)</f>
        <v>0</v>
      </c>
      <c r="Z161" s="48">
        <f>-Z$138-(Z$157-Y$157)+Z$153+IF(21=Fin,Z$154+Z$157+Z$119-Z$148,0)</f>
        <v>0</v>
      </c>
      <c r="AA161" s="48">
        <f>-AA$138-(AA$157-Z$157)+AA$153+IF(22=Fin,AA$154+AA$157+AA$119-AA$148,0)</f>
        <v>0</v>
      </c>
      <c r="AB161" s="48">
        <f>-AB$138-(AB$157-AA$157)+AB$153+IF(23=Fin,AB$154+AB$157+AB$119-AB$148,0)</f>
        <v>0</v>
      </c>
      <c r="AC161" s="48">
        <f>-AC$138-(AC$157-AB$157)+AC$153+IF(24=Fin,AC$154+AC$157+AC$119-AC$148,0)</f>
        <v>0</v>
      </c>
      <c r="AD161" s="48">
        <f>-AD$138-(AD$157-AC$157)+AD$153+IF(25=Fin,AD$154+AD$157+AD$119-AD$148,0)</f>
        <v>-311740.11867261748</v>
      </c>
      <c r="AE161" s="48">
        <f>-AE$138-(AE$157-AD$157)+AE$153+IF(26=Fin,AE$154+AE$157+AE$119-AE$148,0)</f>
        <v>52573.683287014457</v>
      </c>
      <c r="AF161" s="48">
        <f>-AF$138-(AF$157-AE$157)+AF$153+IF(27=Fin,AF$154+AF$157+AF$119-AF$148,0)</f>
        <v>52610.094884584803</v>
      </c>
      <c r="AG161" s="48">
        <f>-AG$138-(AG$157-AF$157)+AG$153+IF(28=Fin,AG$154+AG$157+AG$119-AG$148,0)</f>
        <v>52646.779569136939</v>
      </c>
      <c r="AH161" s="48">
        <f>-AH$138-(AH$157-AG$157)+AH$153+IF(29=Fin,AH$154+AH$157+AH$119-AH$148,0)</f>
        <v>52683.739388823204</v>
      </c>
      <c r="AI161" s="48">
        <f>-AI$138-(AI$157-AH$157)+AI$153+IF(30=Fin,AI$154+AI$157+AI$119-AI$148,0)</f>
        <v>52720.976407157119</v>
      </c>
      <c r="AJ161" s="48">
        <f>-AJ$138-(AJ$157-AI$157)+AJ$153+IF(31=Fin,AJ$154+AJ$157+AJ$119-AJ$148,0)</f>
        <v>48504.845135900956</v>
      </c>
      <c r="AK161" s="48">
        <f>-AK$138-(AK$157-AJ$157)+AK$153+IF(32=Fin,AK$154+AK$157+AK$119-AK$148,0)</f>
        <v>0</v>
      </c>
      <c r="AL161" s="48">
        <f>-AL$138-(AL$157-AK$157)+AL$153+IF(33=Fin,AL$154+AL$157+AL$119-AL$148,0)</f>
        <v>0</v>
      </c>
      <c r="AM161" s="48">
        <f>-AM$138-(AM$157-AL$157)+AM$153+IF(34=Fin,AM$154+AM$157+AM$119-AM$148,0)</f>
        <v>0</v>
      </c>
      <c r="AN161" s="48">
        <f>-AN$138-(AN$157-AM$157)+AN$153+IF(35=Fin,AN$154+AN$157+AN$119-AN$148,0)</f>
        <v>0</v>
      </c>
      <c r="AO161" s="48">
        <f>-AO$138-(AO$157-AN$157)+AO$153+IF(36=Fin,AO$154+AO$157+AO$119-AO$148,0)</f>
        <v>0</v>
      </c>
      <c r="AP161" s="48">
        <f>-AP$138-(AP$157-AO$157)+AP$153+IF(37=Fin,AP$154+AP$157+AP$119-AP$148,0)</f>
        <v>-204392.16946280401</v>
      </c>
      <c r="AQ161" s="48">
        <f>-AQ$138-(AQ$157-AP$157)+AQ$153+IF(38=Fin,AQ$154+AQ$157+AQ$119-AQ$148,0)</f>
        <v>85837.65350272393</v>
      </c>
      <c r="AR161" s="48">
        <f>-AR$138-(AR$157-AQ$157)+AR$153+IF(39=Fin,AR$154+AR$157+AR$119-AR$148,0)</f>
        <v>85877.480759301601</v>
      </c>
      <c r="AS161" s="48">
        <f>-AS$138-(AS$157-AR$157)+AS$153+IF(40=Fin,AS$154+AS$157+AS$119-AS$148,0)</f>
        <v>32677.035200778479</v>
      </c>
      <c r="AT161" s="48">
        <f>-AT$138-(AT$157-AS$157)+AT$153+IF(41=Fin,AT$154+AT$157+AT$119-AT$148,0)</f>
        <v>0</v>
      </c>
      <c r="AU161" s="48">
        <f>-AU$138-(AU$157-AT$157)+AU$153+IF(42=Fin,AU$154+AU$157+AU$119-AU$148,0)</f>
        <v>0</v>
      </c>
      <c r="AV161" s="48">
        <f>-AV$138-(AV$157-AU$157)+AV$153+IF(43=Fin,AV$154+AV$157+AV$119-AV$148,0)</f>
        <v>0</v>
      </c>
      <c r="AW161" s="48">
        <f>-AW$138-(AW$157-AV$157)+AW$153+IF(44=Fin,AW$154+AW$157+AW$119-AW$148,0)</f>
        <v>0</v>
      </c>
      <c r="AX161" s="48">
        <f>-AX$138-(AX$157-AW$157)+AX$153+IF(45=Fin,AX$154+AX$157+AX$119-AX$148,0)</f>
        <v>0</v>
      </c>
      <c r="AY161" s="48">
        <f>-AY$138-(AY$157-AX$157)+AY$153+IF(46=Fin,AY$154+AY$157+AY$119-AY$148,0)</f>
        <v>0</v>
      </c>
      <c r="AZ161" s="48">
        <f>-AZ$138-(AZ$157-AY$157)+AZ$153+IF(47=Fin,AZ$154+AZ$157+AZ$119-AZ$148,0)</f>
        <v>0</v>
      </c>
      <c r="BA161" s="48">
        <f>-BA$138-(BA$157-AZ$157)+BA$153+IF(48=Fin,BA$154+BA$157+BA$119-BA$148,0)</f>
        <v>0</v>
      </c>
      <c r="BB161" s="48">
        <f>-BB$138-(BB$157-BA$157)+BB$153+IF(49=Fin,BB$154+BB$157+BB$119-BB$148,0)</f>
        <v>0</v>
      </c>
      <c r="BC161" s="48">
        <f>-BC$138-(BC$157-BB$157)+BC$153+IF(50=Fin,BC$154+BC$157+BC$119-BC$148,0)</f>
        <v>0</v>
      </c>
      <c r="BD161" s="48">
        <f>-BD$138-(BD$157-BC$157)+BD$153+IF(51=Fin,BD$154+BD$157+BD$119-BD$148,0)</f>
        <v>0</v>
      </c>
      <c r="BE161" s="48">
        <f>-BE$138-(BE$157-BD$157)+BE$153+IF(52=Fin,BE$154+BE$157+BE$119-BE$148,0)</f>
        <v>804953.37838092213</v>
      </c>
      <c r="BF161" s="48">
        <f>-BF$138-(BF$157-BE$157)+BF$153+IF(53=Fin,BF$154+BF$157+BF$119-BF$148,0)</f>
        <v>0</v>
      </c>
      <c r="BG161" s="48">
        <f>-BG$138-(BG$157-BF$157)+BG$153+IF(54=Fin,BG$154+BG$157+BG$119-BG$148,0)</f>
        <v>0</v>
      </c>
      <c r="BH161" s="48">
        <f>-BH$138-(BH$157-BG$157)+BH$153+IF(55=Fin,BH$154+BH$157+BH$119-BH$148,0)</f>
        <v>0</v>
      </c>
      <c r="BI161" s="48">
        <f>-BI$138-(BI$157-BH$157)+BI$153+IF(56=Fin,BI$154+BI$157+BI$119-BI$148,0)</f>
        <v>0</v>
      </c>
      <c r="BJ161" s="48">
        <f>-BJ$138-(BJ$157-BI$157)+BJ$153+IF(57=Fin,BJ$154+BJ$157+BJ$119-BJ$148,0)</f>
        <v>0</v>
      </c>
      <c r="BK161" s="48">
        <f>-BK$138-(BK$157-BJ$157)+BK$153+IF(58=Fin,BK$154+BK$157+BK$119-BK$148,0)</f>
        <v>0</v>
      </c>
      <c r="BL161" s="48">
        <f>-BL$138-(BL$157-BK$157)+BL$153+IF(59=Fin,BL$154+BL$157+BL$119-BL$148,0)</f>
        <v>0</v>
      </c>
      <c r="BM161" s="48">
        <f>-BM$138-(BM$157-BL$157)+BM$153+IF(60=Fin,BM$154+BM$157+BM$119-BM$148,0)</f>
        <v>0</v>
      </c>
      <c r="BN161" s="48">
        <f>-BN$138-(BN$157-BM$157)+BN$153+IF(61=Fin,BN$154+BN$157+BN$119-BN$148,0)</f>
        <v>0</v>
      </c>
      <c r="BO161" s="48">
        <f>-BO$138-(BO$157-BN$157)+BO$153+IF(62=Fin,BO$154+BO$157+BO$119-BO$148,0)</f>
        <v>0</v>
      </c>
      <c r="BP161" s="48">
        <f>-BP$138-(BP$157-BO$157)+BP$153+IF(63=Fin,BP$154+BP$157+BP$119-BP$148,0)</f>
        <v>0</v>
      </c>
      <c r="BQ161" s="48">
        <f>-BQ$138-(BQ$157-BP$157)+BQ$153+IF(64=Fin,BQ$154+BQ$157+BQ$119-BQ$148,0)</f>
        <v>1463926.5443682182</v>
      </c>
      <c r="BR161" s="48">
        <f>-BR$138-(BR$157-BQ$157)+BR$153+IF(65=Fin,BR$154+BR$157+BR$119-BR$148,0)</f>
        <v>0</v>
      </c>
      <c r="BS161" s="48">
        <f>-BS$138-(BS$157-BR$157)+BS$153+IF(66=Fin,BS$154+BS$157+BS$119-BS$148,0)</f>
        <v>0</v>
      </c>
      <c r="BT161" s="48">
        <f>-BT$138-(BT$157-BS$157)+BT$153+IF(67=Fin,BT$154+BT$157+BT$119-BT$148,0)</f>
        <v>0</v>
      </c>
      <c r="BU161" s="48">
        <f>-BU$138-(BU$157-BT$157)+BU$153+IF(68=Fin,BU$154+BU$157+BU$119-BU$148,0)</f>
        <v>0</v>
      </c>
      <c r="BV161" s="48">
        <f>-BV$138-(BV$157-BU$157)+BV$153+IF(69=Fin,BV$154+BV$157+BV$119-BV$148,0)</f>
        <v>0</v>
      </c>
      <c r="BW161" s="48">
        <f>-BW$138-(BW$157-BV$157)+BW$153+IF(70=Fin,BW$154+BW$157+BW$119-BW$148,0)</f>
        <v>0</v>
      </c>
      <c r="BX161" s="48">
        <f>-BX$138-(BX$157-BW$157)+BX$153+IF(71=Fin,BX$154+BX$157+BX$119-BX$148,0)</f>
        <v>0</v>
      </c>
      <c r="BY161" s="48">
        <f>-BY$138-(BY$157-BX$157)+BY$153+IF(72=Fin,BY$154+BY$157+BY$119-BY$148,0)</f>
        <v>0</v>
      </c>
      <c r="BZ161" s="48">
        <f>-BZ$138-(BZ$157-BY$157)+BZ$153+IF(73=Fin,BZ$154+BZ$157+BZ$119-BZ$148,0)</f>
        <v>0</v>
      </c>
      <c r="CA161" s="48">
        <f>-CA$138-(CA$157-BZ$157)+CA$153+IF(74=Fin,CA$154+CA$157+CA$119-CA$148,0)</f>
        <v>0</v>
      </c>
      <c r="CB161" s="48">
        <f>-CB$138-(CB$157-CA$157)+CB$153+IF(75=Fin,CB$154+CB$157+CB$119-CB$148,0)</f>
        <v>0</v>
      </c>
      <c r="CC161" s="48">
        <f>-CC$138-(CC$157-CB$157)+CC$153+IF(76=Fin,CC$154+CC$157+CC$119-CC$148,0)</f>
        <v>1794188.6925739141</v>
      </c>
      <c r="CD161" s="48">
        <f>-CD$138-(CD$157-CC$157)+CD$153+IF(77=Fin,CD$154+CD$157+CD$119-CD$148,0)</f>
        <v>0</v>
      </c>
      <c r="CE161" s="48">
        <f>-CE$138-(CE$157-CD$157)+CE$153+IF(78=Fin,CE$154+CE$157+CE$119-CE$148,0)</f>
        <v>0</v>
      </c>
      <c r="CF161" s="48">
        <f>-CF$138-(CF$157-CE$157)+CF$153+IF(79=Fin,CF$154+CF$157+CF$119-CF$148,0)</f>
        <v>0</v>
      </c>
      <c r="CG161" s="48">
        <f>-CG$138-(CG$157-CF$157)+CG$153+IF(80=Fin,CG$154+CG$157+CG$119-CG$148,0)</f>
        <v>0</v>
      </c>
      <c r="CH161" s="48">
        <f>-CH$138-(CH$157-CG$157)+CH$153+IF(81=Fin,CH$154+CH$157+CH$119-CH$148,0)</f>
        <v>0</v>
      </c>
      <c r="CI161" s="48">
        <f>-CI$138-(CI$157-CH$157)+CI$153+IF(82=Fin,CI$154+CI$157+CI$119-CI$148,0)</f>
        <v>0</v>
      </c>
      <c r="CJ161" s="48">
        <f>-CJ$138-(CJ$157-CI$157)+CJ$153+IF(83=Fin,CJ$154+CJ$157+CJ$119-CJ$148,0)</f>
        <v>0</v>
      </c>
      <c r="CK161" s="48">
        <f>-CK$138-(CK$157-CJ$157)+CK$153+IF(84=Fin,CK$154+CK$157+CK$119-CK$148,0)</f>
        <v>0</v>
      </c>
      <c r="CL161" s="48">
        <f>-CL$138-(CL$157-CK$157)+CL$153+IF(85=Fin,CL$154+CL$157+CL$119-CL$148,0)</f>
        <v>0</v>
      </c>
      <c r="CM161" s="48">
        <f>-CM$138-(CM$157-CL$157)+CM$153+IF(86=Fin,CM$154+CM$157+CM$119-CM$148,0)</f>
        <v>0</v>
      </c>
      <c r="CN161" s="48">
        <f>-CN$138-(CN$157-CM$157)+CN$153+IF(87=Fin,CN$154+CN$157+CN$119-CN$148,0)</f>
        <v>0</v>
      </c>
      <c r="CO161" s="48">
        <f>-CO$138-(CO$157-CN$157)+CO$153+IF(88=Fin,CO$154+CO$157+CO$119-CO$148,0)</f>
        <v>1843575.6608727975</v>
      </c>
      <c r="CP161" s="48">
        <f>-CP$138-(CP$157-CO$157)+CP$153+IF(89=Fin,CP$154+CP$157+CP$119-CP$148,0)</f>
        <v>0</v>
      </c>
      <c r="CQ161" s="48">
        <f>-CQ$138-(CQ$157-CP$157)+CQ$153+IF(90=Fin,CQ$154+CQ$157+CQ$119-CQ$148,0)</f>
        <v>0</v>
      </c>
      <c r="CR161" s="48">
        <f>-CR$138-(CR$157-CQ$157)+CR$153+IF(91=Fin,CR$154+CR$157+CR$119-CR$148,0)</f>
        <v>0</v>
      </c>
      <c r="CS161" s="48">
        <f>-CS$138-(CS$157-CR$157)+CS$153+IF(92=Fin,CS$154+CS$157+CS$119-CS$148,0)</f>
        <v>0</v>
      </c>
      <c r="CT161" s="48">
        <f>-CT$138-(CT$157-CS$157)+CT$153+IF(93=Fin,CT$154+CT$157+CT$119-CT$148,0)</f>
        <v>0</v>
      </c>
      <c r="CU161" s="48">
        <f>-CU$138-(CU$157-CT$157)+CU$153+IF(94=Fin,CU$154+CU$157+CU$119-CU$148,0)</f>
        <v>0</v>
      </c>
      <c r="CV161" s="48">
        <f>-CV$138-(CV$157-CU$157)+CV$153+IF(95=Fin,CV$154+CV$157+CV$119-CV$148,0)</f>
        <v>0</v>
      </c>
      <c r="CW161" s="48">
        <f>-CW$138-(CW$157-CV$157)+CW$153+IF(96=Fin,CW$154+CW$157+CW$119-CW$148,0)</f>
        <v>0</v>
      </c>
      <c r="CX161" s="48">
        <f>-CX$138-(CX$157-CW$157)+CX$153+IF(97=Fin,CX$154+CX$157+CX$119-CX$148,0)</f>
        <v>0</v>
      </c>
      <c r="CY161" s="48">
        <f>-CY$138-(CY$157-CX$157)+CY$153+IF(98=Fin,CY$154+CY$157+CY$119-CY$148,0)</f>
        <v>0</v>
      </c>
      <c r="CZ161" s="48">
        <f>-CZ$138-(CZ$157-CY$157)+CZ$153+IF(99=Fin,CZ$154+CZ$157+CZ$119-CZ$148,0)</f>
        <v>0</v>
      </c>
      <c r="DA161" s="48">
        <f>-DA$138-(DA$157-CZ$157)+DA$153+IF(100=Fin,DA$154+DA$157+DA$119-DA$148,0)</f>
        <v>1893301.2135554499</v>
      </c>
      <c r="DB161" s="48">
        <f>-DB$138-(DB$157-DA$157)+DB$153+IF(101=Fin,DB$154+DB$157+DB$119-DB$148,0)</f>
        <v>0</v>
      </c>
      <c r="DC161" s="48">
        <f>-DC$138-(DC$157-DB$157)+DC$153+IF(102=Fin,DC$154+DC$157+DC$119-DC$148,0)</f>
        <v>0</v>
      </c>
      <c r="DD161" s="48">
        <f>-DD$138-(DD$157-DC$157)+DD$153+IF(103=Fin,DD$154+DD$157+DD$119-DD$148,0)</f>
        <v>0</v>
      </c>
      <c r="DE161" s="48">
        <f>-DE$138-(DE$157-DD$157)+DE$153+IF(104=Fin,DE$154+DE$157+DE$119-DE$148,0)</f>
        <v>0</v>
      </c>
      <c r="DF161" s="48">
        <f>-DF$138-(DF$157-DE$157)+DF$153+IF(105=Fin,DF$154+DF$157+DF$119-DF$148,0)</f>
        <v>0</v>
      </c>
      <c r="DG161" s="48">
        <f>-DG$138-(DG$157-DF$157)+DG$153+IF(106=Fin,DG$154+DG$157+DG$119-DG$148,0)</f>
        <v>0</v>
      </c>
      <c r="DH161" s="48">
        <f>-DH$138-(DH$157-DG$157)+DH$153+IF(107=Fin,DH$154+DH$157+DH$119-DH$148,0)</f>
        <v>0</v>
      </c>
      <c r="DI161" s="48">
        <f>-DI$138-(DI$157-DH$157)+DI$153+IF(108=Fin,DI$154+DI$157+DI$119-DI$148,0)</f>
        <v>0</v>
      </c>
      <c r="DJ161" s="48">
        <f>-DJ$138-(DJ$157-DI$157)+DJ$153+IF(109=Fin,DJ$154+DJ$157+DJ$119-DJ$148,0)</f>
        <v>0</v>
      </c>
      <c r="DK161" s="48">
        <f>-DK$138-(DK$157-DJ$157)+DK$153+IF(110=Fin,DK$154+DK$157+DK$119-DK$148,0)</f>
        <v>0</v>
      </c>
      <c r="DL161" s="48">
        <f>-DL$138-(DL$157-DK$157)+DL$153+IF(111=Fin,DL$154+DL$157+DL$119-DL$148,0)</f>
        <v>0</v>
      </c>
      <c r="DM161" s="48">
        <f>-DM$138-(DM$157-DL$157)+DM$153+IF(112=Fin,DM$154+DM$157+DM$119-DM$148,0)</f>
        <v>1943364.14678689</v>
      </c>
      <c r="DN161" s="48">
        <f>-DN$138-(DN$157-DM$157)+DN$153+IF(113=Fin,DN$154+DN$157+DN$119-DN$148,0)</f>
        <v>0</v>
      </c>
      <c r="DO161" s="48">
        <f>-DO$138-(DO$157-DN$157)+DO$153+IF(114=Fin,DO$154+DO$157+DO$119-DO$148,0)</f>
        <v>0</v>
      </c>
      <c r="DP161" s="48">
        <f>-DP$138-(DP$157-DO$157)+DP$153+IF(115=Fin,DP$154+DP$157+DP$119-DP$148,0)</f>
        <v>0</v>
      </c>
      <c r="DQ161" s="48">
        <f>-DQ$138-(DQ$157-DP$157)+DQ$153+IF(116=Fin,DQ$154+DQ$157+DQ$119-DQ$148,0)</f>
        <v>0</v>
      </c>
      <c r="DR161" s="48">
        <f>-DR$138-(DR$157-DQ$157)+DR$153+IF(117=Fin,DR$154+DR$157+DR$119-DR$148,0)</f>
        <v>0</v>
      </c>
      <c r="DS161" s="48">
        <f>-DS$138-(DS$157-DR$157)+DS$153+IF(118=Fin,DS$154+DS$157+DS$119-DS$148,0)</f>
        <v>0</v>
      </c>
      <c r="DT161" s="48">
        <f>-DT$138-(DT$157-DS$157)+DT$153+IF(119=Fin,DT$154+DT$157+DT$119-DT$148,0)</f>
        <v>0</v>
      </c>
      <c r="DU161" s="48">
        <f>-DU$138-(DU$157-DT$157)+DU$153+IF(120=Fin,DU$154+DU$157+DU$119-DU$148,0)</f>
        <v>6147646.1614983734</v>
      </c>
      <c r="DV161" s="48">
        <f>-DV$138-(DV$157-DU$157)+DV$153+IF(121=Fin,DV$154+DV$157+DV$119-DV$148,0)</f>
        <v>0</v>
      </c>
      <c r="DW161" s="48">
        <f>-DW$138-(DW$157-DV$157)+DW$153+IF(122=Fin,DW$154+DW$157+DW$119-DW$148,0)</f>
        <v>0</v>
      </c>
      <c r="DX161" s="48">
        <f>-DX$138-(DX$157-DW$157)+DX$153+IF(123=Fin,DX$154+DX$157+DX$119-DX$148,0)</f>
        <v>0</v>
      </c>
      <c r="DY161" s="48">
        <f>-DY$138-(DY$157-DX$157)+DY$153+IF(124=Fin,DY$154+DY$157+DY$119-DY$148,0)</f>
        <v>0</v>
      </c>
      <c r="DZ161" s="48">
        <f>-DZ$138-(DZ$157-DY$157)+DZ$153+IF(125=Fin,DZ$154+DZ$157+DZ$119-DZ$148,0)</f>
        <v>0</v>
      </c>
      <c r="EA161" s="48">
        <f>-EA$138-(EA$157-DZ$157)+EA$153+IF(126=Fin,EA$154+EA$157+EA$119-EA$148,0)</f>
        <v>0</v>
      </c>
      <c r="EB161" s="48">
        <f>-EB$138-(EB$157-EA$157)+EB$153+IF(127=Fin,EB$154+EB$157+EB$119-EB$148,0)</f>
        <v>0</v>
      </c>
      <c r="EC161" s="48">
        <f>-EC$138-(EC$157-EB$157)+EC$153+IF(128=Fin,EC$154+EC$157+EC$119-EC$148,0)</f>
        <v>0</v>
      </c>
      <c r="ED161" s="48">
        <f>-ED$138-(ED$157-EC$157)+ED$153+IF(129=Fin,ED$154+ED$157+ED$119-ED$148,0)</f>
        <v>0</v>
      </c>
      <c r="EE161" s="48">
        <f>-EE$138-(EE$157-ED$157)+EE$153+IF(130=Fin,EE$154+EE$157+EE$119-EE$148,0)</f>
        <v>0</v>
      </c>
      <c r="EF161" s="48">
        <f>-EF$138-(EF$157-EE$157)+EF$153+IF(131=Fin,EF$154+EF$157+EF$119-EF$148,0)</f>
        <v>0</v>
      </c>
      <c r="EG161" s="48">
        <f>-EG$138-(EG$157-EF$157)+EG$153+IF(132=Fin,EG$154+EG$157+EG$119-EG$148,0)</f>
        <v>0</v>
      </c>
      <c r="EH161" s="48">
        <f>-EH$138-(EH$157-EG$157)+EH$153+IF(133=Fin,EH$154+EH$157+EH$119-EH$148,0)</f>
        <v>0</v>
      </c>
      <c r="EI161" s="48">
        <f>-EI$138-(EI$157-EH$157)+EI$153+IF(134=Fin,EI$154+EI$157+EI$119-EI$148,0)</f>
        <v>0</v>
      </c>
      <c r="EJ161" s="48">
        <f>-EJ$138-(EJ$157-EI$157)+EJ$153+IF(135=Fin,EJ$154+EJ$157+EJ$119-EJ$148,0)</f>
        <v>0</v>
      </c>
      <c r="EK161" s="48">
        <f>-EK$138-(EK$157-EJ$157)+EK$153+IF(136=Fin,EK$154+EK$157+EK$119-EK$148,0)</f>
        <v>0</v>
      </c>
      <c r="EL161" s="48">
        <f>-EL$138-(EL$157-EK$157)+EL$153+IF(137=Fin,EL$154+EL$157+EL$119-EL$148,0)</f>
        <v>0</v>
      </c>
      <c r="EM161" s="48">
        <f>-EM$138-(EM$157-EL$157)+EM$153+IF(138=Fin,EM$154+EM$157+EM$119-EM$148,0)</f>
        <v>0</v>
      </c>
      <c r="EN161" s="48">
        <f>-EN$138-(EN$157-EM$157)+EN$153+IF(139=Fin,EN$154+EN$157+EN$119-EN$148,0)</f>
        <v>0</v>
      </c>
      <c r="EO161" s="48">
        <f>-EO$138-(EO$157-EN$157)+EO$153+IF(140=Fin,EO$154+EO$157+EO$119-EO$148,0)</f>
        <v>0</v>
      </c>
      <c r="EP161" s="48">
        <f>-EP$138-(EP$157-EO$157)+EP$153+IF(141=Fin,EP$154+EP$157+EP$119-EP$148,0)</f>
        <v>0</v>
      </c>
      <c r="EQ161" s="48">
        <f>-EQ$138-(EQ$157-EP$157)+EQ$153+IF(142=Fin,EQ$154+EQ$157+EQ$119-EQ$148,0)</f>
        <v>0</v>
      </c>
      <c r="ER161" s="48">
        <f>-ER$138-(ER$157-EQ$157)+ER$153+IF(143=Fin,ER$154+ER$157+ER$119-ER$148,0)</f>
        <v>0</v>
      </c>
      <c r="ES161" s="48">
        <f>-ES$138-(ES$157-ER$157)+ES$153+IF(144=Fin,ES$154+ES$157+ES$119-ES$148,0)</f>
        <v>0</v>
      </c>
    </row>
    <row r="162" spans="1:149" x14ac:dyDescent="0.3">
      <c r="A162" s="14" t="s">
        <v>1217</v>
      </c>
      <c r="B162" s="18" t="s">
        <v>1218</v>
      </c>
      <c r="C162" s="18" t="s">
        <v>439</v>
      </c>
      <c r="E162" s="54">
        <f>INDEX(F162:ES162,1,MIN(144,Fin))</f>
        <v>15564459.926261026</v>
      </c>
      <c r="F162" s="48">
        <f>0+F$120</f>
        <v>-3000610.4768834403</v>
      </c>
      <c r="G162" s="48">
        <f t="shared" ref="G162:AL162" si="574">F$162+G$120</f>
        <v>-2958112.9764078506</v>
      </c>
      <c r="H162" s="48">
        <f t="shared" si="574"/>
        <v>-2915615.475932261</v>
      </c>
      <c r="I162" s="48">
        <f t="shared" si="574"/>
        <v>-2873117.9754566713</v>
      </c>
      <c r="J162" s="48">
        <f t="shared" si="574"/>
        <v>-2830620.4749810817</v>
      </c>
      <c r="K162" s="48">
        <f t="shared" si="574"/>
        <v>-2788122.974505492</v>
      </c>
      <c r="L162" s="48">
        <f t="shared" si="574"/>
        <v>-2745625.4740299024</v>
      </c>
      <c r="M162" s="48">
        <f t="shared" si="574"/>
        <v>-2703127.9735543127</v>
      </c>
      <c r="N162" s="48">
        <f t="shared" si="574"/>
        <v>-2660630.4730787231</v>
      </c>
      <c r="O162" s="48">
        <f t="shared" si="574"/>
        <v>-2618132.9726031334</v>
      </c>
      <c r="P162" s="48">
        <f t="shared" si="574"/>
        <v>-2575635.4721275438</v>
      </c>
      <c r="Q162" s="48">
        <f t="shared" si="574"/>
        <v>-2533137.9716519541</v>
      </c>
      <c r="R162" s="48">
        <f t="shared" si="574"/>
        <v>-3207787.0130536333</v>
      </c>
      <c r="S162" s="48">
        <f t="shared" si="574"/>
        <v>-3127290.6100596683</v>
      </c>
      <c r="T162" s="48">
        <f t="shared" si="574"/>
        <v>-3046794.2070657033</v>
      </c>
      <c r="U162" s="48">
        <f t="shared" si="574"/>
        <v>-2966297.8040717384</v>
      </c>
      <c r="V162" s="48">
        <f t="shared" si="574"/>
        <v>-2885801.4010777734</v>
      </c>
      <c r="W162" s="48">
        <f t="shared" si="574"/>
        <v>-2805304.9980838085</v>
      </c>
      <c r="X162" s="48">
        <f t="shared" si="574"/>
        <v>-2724808.5950898435</v>
      </c>
      <c r="Y162" s="48">
        <f t="shared" si="574"/>
        <v>-2644312.1920958785</v>
      </c>
      <c r="Z162" s="48">
        <f t="shared" si="574"/>
        <v>-2563815.7891019136</v>
      </c>
      <c r="AA162" s="48">
        <f t="shared" si="574"/>
        <v>-2483319.3861079486</v>
      </c>
      <c r="AB162" s="48">
        <f t="shared" si="574"/>
        <v>-2402822.9831139836</v>
      </c>
      <c r="AC162" s="48">
        <f t="shared" si="574"/>
        <v>-2322326.5801200187</v>
      </c>
      <c r="AD162" s="48">
        <f t="shared" si="574"/>
        <v>-2872568.4798873169</v>
      </c>
      <c r="AE162" s="48">
        <f t="shared" si="574"/>
        <v>-2755483.449022192</v>
      </c>
      <c r="AF162" s="48">
        <f t="shared" si="574"/>
        <v>-2638398.4181570671</v>
      </c>
      <c r="AG162" s="48">
        <f t="shared" si="574"/>
        <v>-2521313.3872919423</v>
      </c>
      <c r="AH162" s="48">
        <f t="shared" si="574"/>
        <v>-2404228.3564268174</v>
      </c>
      <c r="AI162" s="48">
        <f t="shared" si="574"/>
        <v>-2287143.3255616925</v>
      </c>
      <c r="AJ162" s="48">
        <f t="shared" si="574"/>
        <v>-2170058.2946965676</v>
      </c>
      <c r="AK162" s="48">
        <f t="shared" si="574"/>
        <v>-2052973.2638314429</v>
      </c>
      <c r="AL162" s="48">
        <f t="shared" si="574"/>
        <v>-1935888.2329663183</v>
      </c>
      <c r="AM162" s="48">
        <f t="shared" ref="AM162:BR162" si="575">AL$162+AM$120</f>
        <v>-1818803.2021011936</v>
      </c>
      <c r="AN162" s="48">
        <f t="shared" si="575"/>
        <v>-1701718.1712360689</v>
      </c>
      <c r="AO162" s="48">
        <f t="shared" si="575"/>
        <v>-1584633.1403709443</v>
      </c>
      <c r="AP162" s="48">
        <f t="shared" si="575"/>
        <v>-1993548.6304243989</v>
      </c>
      <c r="AQ162" s="48">
        <f t="shared" si="575"/>
        <v>-1843655.0505445406</v>
      </c>
      <c r="AR162" s="48">
        <f t="shared" si="575"/>
        <v>-1693761.4706646823</v>
      </c>
      <c r="AS162" s="48">
        <f t="shared" si="575"/>
        <v>-1543867.890784824</v>
      </c>
      <c r="AT162" s="48">
        <f t="shared" si="575"/>
        <v>-1393974.3109049657</v>
      </c>
      <c r="AU162" s="48">
        <f t="shared" si="575"/>
        <v>-1244080.7310251074</v>
      </c>
      <c r="AV162" s="48">
        <f t="shared" si="575"/>
        <v>-1094187.1511452491</v>
      </c>
      <c r="AW162" s="48">
        <f t="shared" si="575"/>
        <v>-944293.57126539084</v>
      </c>
      <c r="AX162" s="48">
        <f t="shared" si="575"/>
        <v>-794399.99138553254</v>
      </c>
      <c r="AY162" s="48">
        <f t="shared" si="575"/>
        <v>-644506.41150567424</v>
      </c>
      <c r="AZ162" s="48">
        <f t="shared" si="575"/>
        <v>-494612.83162581595</v>
      </c>
      <c r="BA162" s="48">
        <f t="shared" si="575"/>
        <v>-344719.25174595765</v>
      </c>
      <c r="BB162" s="48">
        <f t="shared" si="575"/>
        <v>-231615.63457544384</v>
      </c>
      <c r="BC162" s="48">
        <f t="shared" si="575"/>
        <v>-80402.469699070149</v>
      </c>
      <c r="BD162" s="48">
        <f t="shared" si="575"/>
        <v>70810.69517730354</v>
      </c>
      <c r="BE162" s="48">
        <f t="shared" si="575"/>
        <v>222023.86005367723</v>
      </c>
      <c r="BF162" s="48">
        <f t="shared" si="575"/>
        <v>373237.02493005095</v>
      </c>
      <c r="BG162" s="48">
        <f t="shared" si="575"/>
        <v>524450.18980642466</v>
      </c>
      <c r="BH162" s="48">
        <f t="shared" si="575"/>
        <v>675663.35468279838</v>
      </c>
      <c r="BI162" s="48">
        <f t="shared" si="575"/>
        <v>826876.5195591721</v>
      </c>
      <c r="BJ162" s="48">
        <f t="shared" si="575"/>
        <v>978089.68443554582</v>
      </c>
      <c r="BK162" s="48">
        <f t="shared" si="575"/>
        <v>1129302.8493119194</v>
      </c>
      <c r="BL162" s="48">
        <f t="shared" si="575"/>
        <v>1280516.0141882931</v>
      </c>
      <c r="BM162" s="48">
        <f t="shared" si="575"/>
        <v>1431729.1790646669</v>
      </c>
      <c r="BN162" s="48">
        <f t="shared" si="575"/>
        <v>1549304.7643938966</v>
      </c>
      <c r="BO162" s="48">
        <f t="shared" si="575"/>
        <v>1704605.2061917228</v>
      </c>
      <c r="BP162" s="48">
        <f t="shared" si="575"/>
        <v>1859905.647989549</v>
      </c>
      <c r="BQ162" s="48">
        <f t="shared" si="575"/>
        <v>2015206.0897873752</v>
      </c>
      <c r="BR162" s="48">
        <f t="shared" si="575"/>
        <v>2170506.5315852012</v>
      </c>
      <c r="BS162" s="48">
        <f t="shared" ref="BS162:CX162" si="576">BR$162+BS$120</f>
        <v>2325806.9733830271</v>
      </c>
      <c r="BT162" s="48">
        <f t="shared" si="576"/>
        <v>2481107.4151808531</v>
      </c>
      <c r="BU162" s="48">
        <f t="shared" si="576"/>
        <v>2636407.8569786791</v>
      </c>
      <c r="BV162" s="48">
        <f t="shared" si="576"/>
        <v>2791708.298776505</v>
      </c>
      <c r="BW162" s="48">
        <f t="shared" si="576"/>
        <v>2947008.740574331</v>
      </c>
      <c r="BX162" s="48">
        <f t="shared" si="576"/>
        <v>3102309.182372157</v>
      </c>
      <c r="BY162" s="48">
        <f t="shared" si="576"/>
        <v>3257609.624169983</v>
      </c>
      <c r="BZ162" s="48">
        <f t="shared" si="576"/>
        <v>3378935.7534346022</v>
      </c>
      <c r="CA162" s="48">
        <f t="shared" si="576"/>
        <v>3538351.7759240018</v>
      </c>
      <c r="CB162" s="48">
        <f t="shared" si="576"/>
        <v>3697767.7984134015</v>
      </c>
      <c r="CC162" s="48">
        <f t="shared" si="576"/>
        <v>3857183.8209028011</v>
      </c>
      <c r="CD162" s="48">
        <f t="shared" si="576"/>
        <v>4016599.8433922008</v>
      </c>
      <c r="CE162" s="48">
        <f t="shared" si="576"/>
        <v>4176015.8658816004</v>
      </c>
      <c r="CF162" s="48">
        <f t="shared" si="576"/>
        <v>4335431.8883710001</v>
      </c>
      <c r="CG162" s="48">
        <f t="shared" si="576"/>
        <v>4494847.9108603997</v>
      </c>
      <c r="CH162" s="48">
        <f t="shared" si="576"/>
        <v>4654263.9333497994</v>
      </c>
      <c r="CI162" s="48">
        <f t="shared" si="576"/>
        <v>4813679.955839199</v>
      </c>
      <c r="CJ162" s="48">
        <f t="shared" si="576"/>
        <v>4973095.9783285987</v>
      </c>
      <c r="CK162" s="48">
        <f t="shared" si="576"/>
        <v>5132512.0008179983</v>
      </c>
      <c r="CL162" s="48">
        <f t="shared" si="576"/>
        <v>5257613.6016697669</v>
      </c>
      <c r="CM162" s="48">
        <f t="shared" si="576"/>
        <v>5421173.4202160547</v>
      </c>
      <c r="CN162" s="48">
        <f t="shared" si="576"/>
        <v>5584733.2387623424</v>
      </c>
      <c r="CO162" s="48">
        <f t="shared" si="576"/>
        <v>5748293.0573086301</v>
      </c>
      <c r="CP162" s="48">
        <f t="shared" si="576"/>
        <v>5911852.8758549178</v>
      </c>
      <c r="CQ162" s="48">
        <f t="shared" si="576"/>
        <v>6075412.6944012055</v>
      </c>
      <c r="CR162" s="48">
        <f t="shared" si="576"/>
        <v>6238972.5129474932</v>
      </c>
      <c r="CS162" s="48">
        <f t="shared" si="576"/>
        <v>6402532.3314937809</v>
      </c>
      <c r="CT162" s="48">
        <f t="shared" si="576"/>
        <v>6566092.1500400687</v>
      </c>
      <c r="CU162" s="48">
        <f t="shared" si="576"/>
        <v>6729651.9685863564</v>
      </c>
      <c r="CV162" s="48">
        <f t="shared" si="576"/>
        <v>6893211.7871326441</v>
      </c>
      <c r="CW162" s="48">
        <f t="shared" si="576"/>
        <v>7056771.6056789318</v>
      </c>
      <c r="CX162" s="48">
        <f t="shared" si="576"/>
        <v>7185673.4833785035</v>
      </c>
      <c r="CY162" s="48">
        <f t="shared" ref="CY162:ED162" si="577">CX$162+CY$120</f>
        <v>7353405.2130274111</v>
      </c>
      <c r="CZ162" s="48">
        <f t="shared" si="577"/>
        <v>7521136.9426763188</v>
      </c>
      <c r="DA162" s="48">
        <f t="shared" si="577"/>
        <v>7688868.6723252265</v>
      </c>
      <c r="DB162" s="48">
        <f t="shared" si="577"/>
        <v>7856600.4019741341</v>
      </c>
      <c r="DC162" s="48">
        <f t="shared" si="577"/>
        <v>8024332.1316230418</v>
      </c>
      <c r="DD162" s="48">
        <f t="shared" si="577"/>
        <v>8192063.8612719495</v>
      </c>
      <c r="DE162" s="48">
        <f t="shared" si="577"/>
        <v>8359795.5909208572</v>
      </c>
      <c r="DF162" s="48">
        <f t="shared" si="577"/>
        <v>8527527.3205697648</v>
      </c>
      <c r="DG162" s="48">
        <f t="shared" si="577"/>
        <v>8695259.0502186716</v>
      </c>
      <c r="DH162" s="48">
        <f t="shared" si="577"/>
        <v>8862990.7798675783</v>
      </c>
      <c r="DI162" s="48">
        <f t="shared" si="577"/>
        <v>9030722.509516485</v>
      </c>
      <c r="DJ162" s="48">
        <f t="shared" si="577"/>
        <v>9163449.3346727937</v>
      </c>
      <c r="DK162" s="48">
        <f t="shared" si="577"/>
        <v>9335380.9777878802</v>
      </c>
      <c r="DL162" s="48">
        <f t="shared" si="577"/>
        <v>9507312.6209029667</v>
      </c>
      <c r="DM162" s="48">
        <f t="shared" si="577"/>
        <v>9679244.2640180532</v>
      </c>
      <c r="DN162" s="48">
        <f t="shared" si="577"/>
        <v>9851175.9071331397</v>
      </c>
      <c r="DO162" s="48">
        <f t="shared" si="577"/>
        <v>10023107.550248226</v>
      </c>
      <c r="DP162" s="48">
        <f t="shared" si="577"/>
        <v>10195039.193363313</v>
      </c>
      <c r="DQ162" s="48">
        <f t="shared" si="577"/>
        <v>10366970.836478399</v>
      </c>
      <c r="DR162" s="48">
        <f t="shared" si="577"/>
        <v>10538902.479593486</v>
      </c>
      <c r="DS162" s="48">
        <f t="shared" si="577"/>
        <v>10710834.122708572</v>
      </c>
      <c r="DT162" s="48">
        <f t="shared" si="577"/>
        <v>10882765.765823659</v>
      </c>
      <c r="DU162" s="48">
        <f t="shared" si="577"/>
        <v>15564459.926261026</v>
      </c>
      <c r="DV162" s="48">
        <f t="shared" si="577"/>
        <v>15564459.926261026</v>
      </c>
      <c r="DW162" s="48">
        <f t="shared" si="577"/>
        <v>15564459.926261026</v>
      </c>
      <c r="DX162" s="48">
        <f t="shared" si="577"/>
        <v>15564459.926261026</v>
      </c>
      <c r="DY162" s="48">
        <f t="shared" si="577"/>
        <v>15564459.926261026</v>
      </c>
      <c r="DZ162" s="48">
        <f t="shared" si="577"/>
        <v>15564459.926261026</v>
      </c>
      <c r="EA162" s="48">
        <f t="shared" si="577"/>
        <v>15564459.926261026</v>
      </c>
      <c r="EB162" s="48">
        <f t="shared" si="577"/>
        <v>15564459.926261026</v>
      </c>
      <c r="EC162" s="48">
        <f t="shared" si="577"/>
        <v>15564459.926261026</v>
      </c>
      <c r="ED162" s="48">
        <f t="shared" si="577"/>
        <v>15564459.926261026</v>
      </c>
      <c r="EE162" s="48">
        <f t="shared" ref="EE162:ES162" si="578">ED$162+EE$120</f>
        <v>15564459.926261026</v>
      </c>
      <c r="EF162" s="48">
        <f t="shared" si="578"/>
        <v>15564459.926261026</v>
      </c>
      <c r="EG162" s="48">
        <f t="shared" si="578"/>
        <v>15564459.926261026</v>
      </c>
      <c r="EH162" s="48">
        <f t="shared" si="578"/>
        <v>15564459.926261026</v>
      </c>
      <c r="EI162" s="48">
        <f t="shared" si="578"/>
        <v>15564459.926261026</v>
      </c>
      <c r="EJ162" s="48">
        <f t="shared" si="578"/>
        <v>15564459.926261026</v>
      </c>
      <c r="EK162" s="48">
        <f t="shared" si="578"/>
        <v>15564459.926261026</v>
      </c>
      <c r="EL162" s="48">
        <f t="shared" si="578"/>
        <v>15564459.926261026</v>
      </c>
      <c r="EM162" s="48">
        <f t="shared" si="578"/>
        <v>15564459.926261026</v>
      </c>
      <c r="EN162" s="48">
        <f t="shared" si="578"/>
        <v>15564459.926261026</v>
      </c>
      <c r="EO162" s="48">
        <f t="shared" si="578"/>
        <v>15564459.926261026</v>
      </c>
      <c r="EP162" s="48">
        <f t="shared" si="578"/>
        <v>15564459.926261026</v>
      </c>
      <c r="EQ162" s="48">
        <f t="shared" si="578"/>
        <v>15564459.926261026</v>
      </c>
      <c r="ER162" s="48">
        <f t="shared" si="578"/>
        <v>15564459.926261026</v>
      </c>
      <c r="ES162" s="48">
        <f t="shared" si="578"/>
        <v>15564459.926261026</v>
      </c>
    </row>
    <row r="163" spans="1:149" x14ac:dyDescent="0.3">
      <c r="A163" s="14" t="s">
        <v>1219</v>
      </c>
      <c r="B163" s="18" t="s">
        <v>1220</v>
      </c>
      <c r="C163" s="18" t="s">
        <v>290</v>
      </c>
      <c r="E163" s="69">
        <f>MAX(F163:ES163)</f>
        <v>49.531716069594893</v>
      </c>
      <c r="F163" s="50">
        <f>0</f>
        <v>0</v>
      </c>
      <c r="G163" s="50">
        <f>IF(AND(F$162&lt;0,G$162&gt;=0),0+(-F$162)/G$120,0)</f>
        <v>0</v>
      </c>
      <c r="H163" s="50">
        <f>IF(AND(G$162&lt;0,H$162&gt;=0),1+(-G$162)/H$120,0)</f>
        <v>0</v>
      </c>
      <c r="I163" s="50">
        <f>IF(AND(H$162&lt;0,I$162&gt;=0),2+(-H$162)/I$120,0)</f>
        <v>0</v>
      </c>
      <c r="J163" s="50">
        <f>IF(AND(I$162&lt;0,J$162&gt;=0),3+(-I$162)/J$120,0)</f>
        <v>0</v>
      </c>
      <c r="K163" s="50">
        <f>IF(AND(J$162&lt;0,K$162&gt;=0),4+(-J$162)/K$120,0)</f>
        <v>0</v>
      </c>
      <c r="L163" s="50">
        <f>IF(AND(K$162&lt;0,L$162&gt;=0),5+(-K$162)/L$120,0)</f>
        <v>0</v>
      </c>
      <c r="M163" s="50">
        <f>IF(AND(L$162&lt;0,M$162&gt;=0),6+(-L$162)/M$120,0)</f>
        <v>0</v>
      </c>
      <c r="N163" s="50">
        <f>IF(AND(M$162&lt;0,N$162&gt;=0),7+(-M$162)/N$120,0)</f>
        <v>0</v>
      </c>
      <c r="O163" s="50">
        <f>IF(AND(N$162&lt;0,O$162&gt;=0),8+(-N$162)/O$120,0)</f>
        <v>0</v>
      </c>
      <c r="P163" s="50">
        <f>IF(AND(O$162&lt;0,P$162&gt;=0),9+(-O$162)/P$120,0)</f>
        <v>0</v>
      </c>
      <c r="Q163" s="50">
        <f>IF(AND(P$162&lt;0,Q$162&gt;=0),10+(-P$162)/Q$120,0)</f>
        <v>0</v>
      </c>
      <c r="R163" s="50">
        <f>IF(AND(Q$162&lt;0,R$162&gt;=0),11+(-Q$162)/R$120,0)</f>
        <v>0</v>
      </c>
      <c r="S163" s="50">
        <f>IF(AND(R$162&lt;0,S$162&gt;=0),12+(-R$162)/S$120,0)</f>
        <v>0</v>
      </c>
      <c r="T163" s="50">
        <f>IF(AND(S$162&lt;0,T$162&gt;=0),13+(-S$162)/T$120,0)</f>
        <v>0</v>
      </c>
      <c r="U163" s="50">
        <f>IF(AND(T$162&lt;0,U$162&gt;=0),14+(-T$162)/U$120,0)</f>
        <v>0</v>
      </c>
      <c r="V163" s="50">
        <f>IF(AND(U$162&lt;0,V$162&gt;=0),15+(-U$162)/V$120,0)</f>
        <v>0</v>
      </c>
      <c r="W163" s="50">
        <f>IF(AND(V$162&lt;0,W$162&gt;=0),16+(-V$162)/W$120,0)</f>
        <v>0</v>
      </c>
      <c r="X163" s="50">
        <f>IF(AND(W$162&lt;0,X$162&gt;=0),17+(-W$162)/X$120,0)</f>
        <v>0</v>
      </c>
      <c r="Y163" s="50">
        <f>IF(AND(X$162&lt;0,Y$162&gt;=0),18+(-X$162)/Y$120,0)</f>
        <v>0</v>
      </c>
      <c r="Z163" s="50">
        <f>IF(AND(Y$162&lt;0,Z$162&gt;=0),19+(-Y$162)/Z$120,0)</f>
        <v>0</v>
      </c>
      <c r="AA163" s="50">
        <f>IF(AND(Z$162&lt;0,AA$162&gt;=0),20+(-Z$162)/AA$120,0)</f>
        <v>0</v>
      </c>
      <c r="AB163" s="50">
        <f>IF(AND(AA$162&lt;0,AB$162&gt;=0),21+(-AA$162)/AB$120,0)</f>
        <v>0</v>
      </c>
      <c r="AC163" s="50">
        <f>IF(AND(AB$162&lt;0,AC$162&gt;=0),22+(-AB$162)/AC$120,0)</f>
        <v>0</v>
      </c>
      <c r="AD163" s="50">
        <f>IF(AND(AC$162&lt;0,AD$162&gt;=0),23+(-AC$162)/AD$120,0)</f>
        <v>0</v>
      </c>
      <c r="AE163" s="50">
        <f>IF(AND(AD$162&lt;0,AE$162&gt;=0),24+(-AD$162)/AE$120,0)</f>
        <v>0</v>
      </c>
      <c r="AF163" s="50">
        <f>IF(AND(AE$162&lt;0,AF$162&gt;=0),25+(-AE$162)/AF$120,0)</f>
        <v>0</v>
      </c>
      <c r="AG163" s="50">
        <f>IF(AND(AF$162&lt;0,AG$162&gt;=0),26+(-AF$162)/AG$120,0)</f>
        <v>0</v>
      </c>
      <c r="AH163" s="50">
        <f>IF(AND(AG$162&lt;0,AH$162&gt;=0),27+(-AG$162)/AH$120,0)</f>
        <v>0</v>
      </c>
      <c r="AI163" s="50">
        <f>IF(AND(AH$162&lt;0,AI$162&gt;=0),28+(-AH$162)/AI$120,0)</f>
        <v>0</v>
      </c>
      <c r="AJ163" s="50">
        <f>IF(AND(AI$162&lt;0,AJ$162&gt;=0),29+(-AI$162)/AJ$120,0)</f>
        <v>0</v>
      </c>
      <c r="AK163" s="50">
        <f>IF(AND(AJ$162&lt;0,AK$162&gt;=0),30+(-AJ$162)/AK$120,0)</f>
        <v>0</v>
      </c>
      <c r="AL163" s="50">
        <f>IF(AND(AK$162&lt;0,AL$162&gt;=0),31+(-AK$162)/AL$120,0)</f>
        <v>0</v>
      </c>
      <c r="AM163" s="50">
        <f>IF(AND(AL$162&lt;0,AM$162&gt;=0),32+(-AL$162)/AM$120,0)</f>
        <v>0</v>
      </c>
      <c r="AN163" s="50">
        <f>IF(AND(AM$162&lt;0,AN$162&gt;=0),33+(-AM$162)/AN$120,0)</f>
        <v>0</v>
      </c>
      <c r="AO163" s="50">
        <f>IF(AND(AN$162&lt;0,AO$162&gt;=0),34+(-AN$162)/AO$120,0)</f>
        <v>0</v>
      </c>
      <c r="AP163" s="50">
        <f>IF(AND(AO$162&lt;0,AP$162&gt;=0),35+(-AO$162)/AP$120,0)</f>
        <v>0</v>
      </c>
      <c r="AQ163" s="50">
        <f>IF(AND(AP$162&lt;0,AQ$162&gt;=0),36+(-AP$162)/AQ$120,0)</f>
        <v>0</v>
      </c>
      <c r="AR163" s="50">
        <f>IF(AND(AQ$162&lt;0,AR$162&gt;=0),37+(-AQ$162)/AR$120,0)</f>
        <v>0</v>
      </c>
      <c r="AS163" s="50">
        <f>IF(AND(AR$162&lt;0,AS$162&gt;=0),38+(-AR$162)/AS$120,0)</f>
        <v>0</v>
      </c>
      <c r="AT163" s="50">
        <f>IF(AND(AS$162&lt;0,AT$162&gt;=0),39+(-AS$162)/AT$120,0)</f>
        <v>0</v>
      </c>
      <c r="AU163" s="50">
        <f>IF(AND(AT$162&lt;0,AU$162&gt;=0),40+(-AT$162)/AU$120,0)</f>
        <v>0</v>
      </c>
      <c r="AV163" s="50">
        <f>IF(AND(AU$162&lt;0,AV$162&gt;=0),41+(-AU$162)/AV$120,0)</f>
        <v>0</v>
      </c>
      <c r="AW163" s="50">
        <f>IF(AND(AV$162&lt;0,AW$162&gt;=0),42+(-AV$162)/AW$120,0)</f>
        <v>0</v>
      </c>
      <c r="AX163" s="50">
        <f>IF(AND(AW$162&lt;0,AX$162&gt;=0),43+(-AW$162)/AX$120,0)</f>
        <v>0</v>
      </c>
      <c r="AY163" s="50">
        <f>IF(AND(AX$162&lt;0,AY$162&gt;=0),44+(-AX$162)/AY$120,0)</f>
        <v>0</v>
      </c>
      <c r="AZ163" s="50">
        <f>IF(AND(AY$162&lt;0,AZ$162&gt;=0),45+(-AY$162)/AZ$120,0)</f>
        <v>0</v>
      </c>
      <c r="BA163" s="50">
        <f>IF(AND(AZ$162&lt;0,BA$162&gt;=0),46+(-AZ$162)/BA$120,0)</f>
        <v>0</v>
      </c>
      <c r="BB163" s="50">
        <f>IF(AND(BA$162&lt;0,BB$162&gt;=0),47+(-BA$162)/BB$120,0)</f>
        <v>0</v>
      </c>
      <c r="BC163" s="50">
        <f>IF(AND(BB$162&lt;0,BC$162&gt;=0),48+(-BB$162)/BC$120,0)</f>
        <v>0</v>
      </c>
      <c r="BD163" s="50">
        <f>IF(AND(BC$162&lt;0,BD$162&gt;=0),49+(-BC$162)/BD$120,0)</f>
        <v>49.531716069594893</v>
      </c>
      <c r="BE163" s="50">
        <f>IF(AND(BD$162&lt;0,BE$162&gt;=0),50+(-BD$162)/BE$120,0)</f>
        <v>0</v>
      </c>
      <c r="BF163" s="50">
        <f>IF(AND(BE$162&lt;0,BF$162&gt;=0),51+(-BE$162)/BF$120,0)</f>
        <v>0</v>
      </c>
      <c r="BG163" s="50">
        <f>IF(AND(BF$162&lt;0,BG$162&gt;=0),52+(-BF$162)/BG$120,0)</f>
        <v>0</v>
      </c>
      <c r="BH163" s="50">
        <f>IF(AND(BG$162&lt;0,BH$162&gt;=0),53+(-BG$162)/BH$120,0)</f>
        <v>0</v>
      </c>
      <c r="BI163" s="50">
        <f>IF(AND(BH$162&lt;0,BI$162&gt;=0),54+(-BH$162)/BI$120,0)</f>
        <v>0</v>
      </c>
      <c r="BJ163" s="50">
        <f>IF(AND(BI$162&lt;0,BJ$162&gt;=0),55+(-BI$162)/BJ$120,0)</f>
        <v>0</v>
      </c>
      <c r="BK163" s="50">
        <f>IF(AND(BJ$162&lt;0,BK$162&gt;=0),56+(-BJ$162)/BK$120,0)</f>
        <v>0</v>
      </c>
      <c r="BL163" s="50">
        <f>IF(AND(BK$162&lt;0,BL$162&gt;=0),57+(-BK$162)/BL$120,0)</f>
        <v>0</v>
      </c>
      <c r="BM163" s="50">
        <f>IF(AND(BL$162&lt;0,BM$162&gt;=0),58+(-BL$162)/BM$120,0)</f>
        <v>0</v>
      </c>
      <c r="BN163" s="50">
        <f>IF(AND(BM$162&lt;0,BN$162&gt;=0),59+(-BM$162)/BN$120,0)</f>
        <v>0</v>
      </c>
      <c r="BO163" s="50">
        <f>IF(AND(BN$162&lt;0,BO$162&gt;=0),60+(-BN$162)/BO$120,0)</f>
        <v>0</v>
      </c>
      <c r="BP163" s="50">
        <f>IF(AND(BO$162&lt;0,BP$162&gt;=0),61+(-BO$162)/BP$120,0)</f>
        <v>0</v>
      </c>
      <c r="BQ163" s="50">
        <f>IF(AND(BP$162&lt;0,BQ$162&gt;=0),62+(-BP$162)/BQ$120,0)</f>
        <v>0</v>
      </c>
      <c r="BR163" s="50">
        <f>IF(AND(BQ$162&lt;0,BR$162&gt;=0),63+(-BQ$162)/BR$120,0)</f>
        <v>0</v>
      </c>
      <c r="BS163" s="50">
        <f>IF(AND(BR$162&lt;0,BS$162&gt;=0),64+(-BR$162)/BS$120,0)</f>
        <v>0</v>
      </c>
      <c r="BT163" s="50">
        <f>IF(AND(BS$162&lt;0,BT$162&gt;=0),65+(-BS$162)/BT$120,0)</f>
        <v>0</v>
      </c>
      <c r="BU163" s="50">
        <f>IF(AND(BT$162&lt;0,BU$162&gt;=0),66+(-BT$162)/BU$120,0)</f>
        <v>0</v>
      </c>
      <c r="BV163" s="50">
        <f>IF(AND(BU$162&lt;0,BV$162&gt;=0),67+(-BU$162)/BV$120,0)</f>
        <v>0</v>
      </c>
      <c r="BW163" s="50">
        <f>IF(AND(BV$162&lt;0,BW$162&gt;=0),68+(-BV$162)/BW$120,0)</f>
        <v>0</v>
      </c>
      <c r="BX163" s="50">
        <f>IF(AND(BW$162&lt;0,BX$162&gt;=0),69+(-BW$162)/BX$120,0)</f>
        <v>0</v>
      </c>
      <c r="BY163" s="50">
        <f>IF(AND(BX$162&lt;0,BY$162&gt;=0),70+(-BX$162)/BY$120,0)</f>
        <v>0</v>
      </c>
      <c r="BZ163" s="50">
        <f>IF(AND(BY$162&lt;0,BZ$162&gt;=0),71+(-BY$162)/BZ$120,0)</f>
        <v>0</v>
      </c>
      <c r="CA163" s="50">
        <f>IF(AND(BZ$162&lt;0,CA$162&gt;=0),72+(-BZ$162)/CA$120,0)</f>
        <v>0</v>
      </c>
      <c r="CB163" s="50">
        <f>IF(AND(CA$162&lt;0,CB$162&gt;=0),73+(-CA$162)/CB$120,0)</f>
        <v>0</v>
      </c>
      <c r="CC163" s="50">
        <f>IF(AND(CB$162&lt;0,CC$162&gt;=0),74+(-CB$162)/CC$120,0)</f>
        <v>0</v>
      </c>
      <c r="CD163" s="50">
        <f>IF(AND(CC$162&lt;0,CD$162&gt;=0),75+(-CC$162)/CD$120,0)</f>
        <v>0</v>
      </c>
      <c r="CE163" s="50">
        <f>IF(AND(CD$162&lt;0,CE$162&gt;=0),76+(-CD$162)/CE$120,0)</f>
        <v>0</v>
      </c>
      <c r="CF163" s="50">
        <f>IF(AND(CE$162&lt;0,CF$162&gt;=0),77+(-CE$162)/CF$120,0)</f>
        <v>0</v>
      </c>
      <c r="CG163" s="50">
        <f>IF(AND(CF$162&lt;0,CG$162&gt;=0),78+(-CF$162)/CG$120,0)</f>
        <v>0</v>
      </c>
      <c r="CH163" s="50">
        <f>IF(AND(CG$162&lt;0,CH$162&gt;=0),79+(-CG$162)/CH$120,0)</f>
        <v>0</v>
      </c>
      <c r="CI163" s="50">
        <f>IF(AND(CH$162&lt;0,CI$162&gt;=0),80+(-CH$162)/CI$120,0)</f>
        <v>0</v>
      </c>
      <c r="CJ163" s="50">
        <f>IF(AND(CI$162&lt;0,CJ$162&gt;=0),81+(-CI$162)/CJ$120,0)</f>
        <v>0</v>
      </c>
      <c r="CK163" s="50">
        <f>IF(AND(CJ$162&lt;0,CK$162&gt;=0),82+(-CJ$162)/CK$120,0)</f>
        <v>0</v>
      </c>
      <c r="CL163" s="50">
        <f>IF(AND(CK$162&lt;0,CL$162&gt;=0),83+(-CK$162)/CL$120,0)</f>
        <v>0</v>
      </c>
      <c r="CM163" s="50">
        <f>IF(AND(CL$162&lt;0,CM$162&gt;=0),84+(-CL$162)/CM$120,0)</f>
        <v>0</v>
      </c>
      <c r="CN163" s="50">
        <f>IF(AND(CM$162&lt;0,CN$162&gt;=0),85+(-CM$162)/CN$120,0)</f>
        <v>0</v>
      </c>
      <c r="CO163" s="50">
        <f>IF(AND(CN$162&lt;0,CO$162&gt;=0),86+(-CN$162)/CO$120,0)</f>
        <v>0</v>
      </c>
      <c r="CP163" s="50">
        <f>IF(AND(CO$162&lt;0,CP$162&gt;=0),87+(-CO$162)/CP$120,0)</f>
        <v>0</v>
      </c>
      <c r="CQ163" s="50">
        <f>IF(AND(CP$162&lt;0,CQ$162&gt;=0),88+(-CP$162)/CQ$120,0)</f>
        <v>0</v>
      </c>
      <c r="CR163" s="50">
        <f>IF(AND(CQ$162&lt;0,CR$162&gt;=0),89+(-CQ$162)/CR$120,0)</f>
        <v>0</v>
      </c>
      <c r="CS163" s="50">
        <f>IF(AND(CR$162&lt;0,CS$162&gt;=0),90+(-CR$162)/CS$120,0)</f>
        <v>0</v>
      </c>
      <c r="CT163" s="50">
        <f>IF(AND(CS$162&lt;0,CT$162&gt;=0),91+(-CS$162)/CT$120,0)</f>
        <v>0</v>
      </c>
      <c r="CU163" s="50">
        <f>IF(AND(CT$162&lt;0,CU$162&gt;=0),92+(-CT$162)/CU$120,0)</f>
        <v>0</v>
      </c>
      <c r="CV163" s="50">
        <f>IF(AND(CU$162&lt;0,CV$162&gt;=0),93+(-CU$162)/CV$120,0)</f>
        <v>0</v>
      </c>
      <c r="CW163" s="50">
        <f>IF(AND(CV$162&lt;0,CW$162&gt;=0),94+(-CV$162)/CW$120,0)</f>
        <v>0</v>
      </c>
      <c r="CX163" s="50">
        <f>IF(AND(CW$162&lt;0,CX$162&gt;=0),95+(-CW$162)/CX$120,0)</f>
        <v>0</v>
      </c>
      <c r="CY163" s="50">
        <f>IF(AND(CX$162&lt;0,CY$162&gt;=0),96+(-CX$162)/CY$120,0)</f>
        <v>0</v>
      </c>
      <c r="CZ163" s="50">
        <f>IF(AND(CY$162&lt;0,CZ$162&gt;=0),97+(-CY$162)/CZ$120,0)</f>
        <v>0</v>
      </c>
      <c r="DA163" s="50">
        <f>IF(AND(CZ$162&lt;0,DA$162&gt;=0),98+(-CZ$162)/DA$120,0)</f>
        <v>0</v>
      </c>
      <c r="DB163" s="50">
        <f>IF(AND(DA$162&lt;0,DB$162&gt;=0),99+(-DA$162)/DB$120,0)</f>
        <v>0</v>
      </c>
      <c r="DC163" s="50">
        <f>IF(AND(DB$162&lt;0,DC$162&gt;=0),100+(-DB$162)/DC$120,0)</f>
        <v>0</v>
      </c>
      <c r="DD163" s="50">
        <f>IF(AND(DC$162&lt;0,DD$162&gt;=0),101+(-DC$162)/DD$120,0)</f>
        <v>0</v>
      </c>
      <c r="DE163" s="50">
        <f>IF(AND(DD$162&lt;0,DE$162&gt;=0),102+(-DD$162)/DE$120,0)</f>
        <v>0</v>
      </c>
      <c r="DF163" s="50">
        <f>IF(AND(DE$162&lt;0,DF$162&gt;=0),103+(-DE$162)/DF$120,0)</f>
        <v>0</v>
      </c>
      <c r="DG163" s="50">
        <f>IF(AND(DF$162&lt;0,DG$162&gt;=0),104+(-DF$162)/DG$120,0)</f>
        <v>0</v>
      </c>
      <c r="DH163" s="50">
        <f>IF(AND(DG$162&lt;0,DH$162&gt;=0),105+(-DG$162)/DH$120,0)</f>
        <v>0</v>
      </c>
      <c r="DI163" s="50">
        <f>IF(AND(DH$162&lt;0,DI$162&gt;=0),106+(-DH$162)/DI$120,0)</f>
        <v>0</v>
      </c>
      <c r="DJ163" s="50">
        <f>IF(AND(DI$162&lt;0,DJ$162&gt;=0),107+(-DI$162)/DJ$120,0)</f>
        <v>0</v>
      </c>
      <c r="DK163" s="50">
        <f>IF(AND(DJ$162&lt;0,DK$162&gt;=0),108+(-DJ$162)/DK$120,0)</f>
        <v>0</v>
      </c>
      <c r="DL163" s="50">
        <f>IF(AND(DK$162&lt;0,DL$162&gt;=0),109+(-DK$162)/DL$120,0)</f>
        <v>0</v>
      </c>
      <c r="DM163" s="50">
        <f>IF(AND(DL$162&lt;0,DM$162&gt;=0),110+(-DL$162)/DM$120,0)</f>
        <v>0</v>
      </c>
      <c r="DN163" s="50">
        <f>IF(AND(DM$162&lt;0,DN$162&gt;=0),111+(-DM$162)/DN$120,0)</f>
        <v>0</v>
      </c>
      <c r="DO163" s="50">
        <f>IF(AND(DN$162&lt;0,DO$162&gt;=0),112+(-DN$162)/DO$120,0)</f>
        <v>0</v>
      </c>
      <c r="DP163" s="50">
        <f>IF(AND(DO$162&lt;0,DP$162&gt;=0),113+(-DO$162)/DP$120,0)</f>
        <v>0</v>
      </c>
      <c r="DQ163" s="50">
        <f>IF(AND(DP$162&lt;0,DQ$162&gt;=0),114+(-DP$162)/DQ$120,0)</f>
        <v>0</v>
      </c>
      <c r="DR163" s="50">
        <f>IF(AND(DQ$162&lt;0,DR$162&gt;=0),115+(-DQ$162)/DR$120,0)</f>
        <v>0</v>
      </c>
      <c r="DS163" s="50">
        <f>IF(AND(DR$162&lt;0,DS$162&gt;=0),116+(-DR$162)/DS$120,0)</f>
        <v>0</v>
      </c>
      <c r="DT163" s="50">
        <f>IF(AND(DS$162&lt;0,DT$162&gt;=0),117+(-DS$162)/DT$120,0)</f>
        <v>0</v>
      </c>
      <c r="DU163" s="50">
        <f>IF(AND(DT$162&lt;0,DU$162&gt;=0),118+(-DT$162)/DU$120,0)</f>
        <v>0</v>
      </c>
      <c r="DV163" s="50">
        <f>IF(AND(DU$162&lt;0,DV$162&gt;=0),119+(-DU$162)/DV$120,0)</f>
        <v>0</v>
      </c>
      <c r="DW163" s="50">
        <f>IF(AND(DV$162&lt;0,DW$162&gt;=0),120+(-DV$162)/DW$120,0)</f>
        <v>0</v>
      </c>
      <c r="DX163" s="50">
        <f>IF(AND(DW$162&lt;0,DX$162&gt;=0),121+(-DW$162)/DX$120,0)</f>
        <v>0</v>
      </c>
      <c r="DY163" s="50">
        <f>IF(AND(DX$162&lt;0,DY$162&gt;=0),122+(-DX$162)/DY$120,0)</f>
        <v>0</v>
      </c>
      <c r="DZ163" s="50">
        <f>IF(AND(DY$162&lt;0,DZ$162&gt;=0),123+(-DY$162)/DZ$120,0)</f>
        <v>0</v>
      </c>
      <c r="EA163" s="50">
        <f>IF(AND(DZ$162&lt;0,EA$162&gt;=0),124+(-DZ$162)/EA$120,0)</f>
        <v>0</v>
      </c>
      <c r="EB163" s="50">
        <f>IF(AND(EA$162&lt;0,EB$162&gt;=0),125+(-EA$162)/EB$120,0)</f>
        <v>0</v>
      </c>
      <c r="EC163" s="50">
        <f>IF(AND(EB$162&lt;0,EC$162&gt;=0),126+(-EB$162)/EC$120,0)</f>
        <v>0</v>
      </c>
      <c r="ED163" s="50">
        <f>IF(AND(EC$162&lt;0,ED$162&gt;=0),127+(-EC$162)/ED$120,0)</f>
        <v>0</v>
      </c>
      <c r="EE163" s="50">
        <f>IF(AND(ED$162&lt;0,EE$162&gt;=0),128+(-ED$162)/EE$120,0)</f>
        <v>0</v>
      </c>
      <c r="EF163" s="50">
        <f>IF(AND(EE$162&lt;0,EF$162&gt;=0),129+(-EE$162)/EF$120,0)</f>
        <v>0</v>
      </c>
      <c r="EG163" s="50">
        <f>IF(AND(EF$162&lt;0,EG$162&gt;=0),130+(-EF$162)/EG$120,0)</f>
        <v>0</v>
      </c>
      <c r="EH163" s="50">
        <f>IF(AND(EG$162&lt;0,EH$162&gt;=0),131+(-EG$162)/EH$120,0)</f>
        <v>0</v>
      </c>
      <c r="EI163" s="50">
        <f>IF(AND(EH$162&lt;0,EI$162&gt;=0),132+(-EH$162)/EI$120,0)</f>
        <v>0</v>
      </c>
      <c r="EJ163" s="50">
        <f>IF(AND(EI$162&lt;0,EJ$162&gt;=0),133+(-EI$162)/EJ$120,0)</f>
        <v>0</v>
      </c>
      <c r="EK163" s="50">
        <f>IF(AND(EJ$162&lt;0,EK$162&gt;=0),134+(-EJ$162)/EK$120,0)</f>
        <v>0</v>
      </c>
      <c r="EL163" s="50">
        <f>IF(AND(EK$162&lt;0,EL$162&gt;=0),135+(-EK$162)/EL$120,0)</f>
        <v>0</v>
      </c>
      <c r="EM163" s="50">
        <f>IF(AND(EL$162&lt;0,EM$162&gt;=0),136+(-EL$162)/EM$120,0)</f>
        <v>0</v>
      </c>
      <c r="EN163" s="50">
        <f>IF(AND(EM$162&lt;0,EN$162&gt;=0),137+(-EM$162)/EN$120,0)</f>
        <v>0</v>
      </c>
      <c r="EO163" s="50">
        <f>IF(AND(EN$162&lt;0,EO$162&gt;=0),138+(-EN$162)/EO$120,0)</f>
        <v>0</v>
      </c>
      <c r="EP163" s="50">
        <f>IF(AND(EO$162&lt;0,EP$162&gt;=0),139+(-EO$162)/EP$120,0)</f>
        <v>0</v>
      </c>
      <c r="EQ163" s="50">
        <f>IF(AND(EP$162&lt;0,EQ$162&gt;=0),140+(-EP$162)/EQ$120,0)</f>
        <v>0</v>
      </c>
      <c r="ER163" s="50">
        <f>IF(AND(EQ$162&lt;0,ER$162&gt;=0),141+(-EQ$162)/ER$120,0)</f>
        <v>0</v>
      </c>
      <c r="ES163" s="50">
        <f>IF(AND(ER$162&lt;0,ES$162&gt;=0),142+(-ER$162)/ES$120,0)</f>
        <v>0</v>
      </c>
    </row>
    <row r="164" spans="1:149" x14ac:dyDescent="0.3">
      <c r="A164" s="14" t="s">
        <v>1221</v>
      </c>
      <c r="B164" s="18" t="s">
        <v>1222</v>
      </c>
      <c r="C164" s="18" t="s">
        <v>439</v>
      </c>
      <c r="E164" s="54">
        <f>INDEX(F164:ES164,1,MIN(144,Fin))</f>
        <v>6147646.1614983752</v>
      </c>
      <c r="F164" s="48">
        <f>0+F$138+F$107-F$153+F$155</f>
        <v>781282.89030892309</v>
      </c>
      <c r="G164" s="48">
        <f t="shared" ref="G164:AL164" si="579">F$164+G$138+G$107-G$153+G$155</f>
        <v>794783.78061784618</v>
      </c>
      <c r="H164" s="48">
        <f t="shared" si="579"/>
        <v>808284.67092676926</v>
      </c>
      <c r="I164" s="48">
        <f t="shared" si="579"/>
        <v>821785.56123569235</v>
      </c>
      <c r="J164" s="48">
        <f t="shared" si="579"/>
        <v>835286.45154461544</v>
      </c>
      <c r="K164" s="48">
        <f t="shared" si="579"/>
        <v>848787.34185353853</v>
      </c>
      <c r="L164" s="48">
        <f t="shared" si="579"/>
        <v>862288.23216246162</v>
      </c>
      <c r="M164" s="48">
        <f t="shared" si="579"/>
        <v>876136.63973016583</v>
      </c>
      <c r="N164" s="48">
        <f t="shared" si="579"/>
        <v>890335.17093609215</v>
      </c>
      <c r="O164" s="48">
        <f t="shared" si="579"/>
        <v>904886.45170752716</v>
      </c>
      <c r="P164" s="48">
        <f t="shared" si="579"/>
        <v>919793.12766621215</v>
      </c>
      <c r="Q164" s="48">
        <f t="shared" si="579"/>
        <v>935057.86427605152</v>
      </c>
      <c r="R164" s="48">
        <f t="shared" si="579"/>
        <v>1359776.9161769706</v>
      </c>
      <c r="S164" s="48">
        <f t="shared" si="579"/>
        <v>1412931.419779723</v>
      </c>
      <c r="T164" s="48">
        <f t="shared" si="579"/>
        <v>1466452.1009720727</v>
      </c>
      <c r="U164" s="48">
        <f t="shared" si="579"/>
        <v>1520341.7060859413</v>
      </c>
      <c r="V164" s="48">
        <f t="shared" si="579"/>
        <v>1574603.0020507404</v>
      </c>
      <c r="W164" s="48">
        <f t="shared" si="579"/>
        <v>1629238.776547852</v>
      </c>
      <c r="X164" s="48">
        <f t="shared" si="579"/>
        <v>1684251.8381662683</v>
      </c>
      <c r="Y164" s="48">
        <f t="shared" si="579"/>
        <v>1739645.0165593992</v>
      </c>
      <c r="Z164" s="48">
        <f t="shared" si="579"/>
        <v>1795421.1626030549</v>
      </c>
      <c r="AA164" s="48">
        <f t="shared" si="579"/>
        <v>1851583.1485546145</v>
      </c>
      <c r="AB164" s="48">
        <f t="shared" si="579"/>
        <v>1908133.8682133872</v>
      </c>
      <c r="AC164" s="48">
        <f t="shared" si="579"/>
        <v>1965076.2370821771</v>
      </c>
      <c r="AD164" s="48">
        <f t="shared" si="579"/>
        <v>2059001.8204012192</v>
      </c>
      <c r="AE164" s="48">
        <f t="shared" si="579"/>
        <v>2153324.9496986968</v>
      </c>
      <c r="AF164" s="48">
        <f t="shared" si="579"/>
        <v>2248048.6065694485</v>
      </c>
      <c r="AG164" s="48">
        <f t="shared" si="579"/>
        <v>2343175.7949702735</v>
      </c>
      <c r="AH164" s="48">
        <f t="shared" si="579"/>
        <v>2438709.5413876474</v>
      </c>
      <c r="AI164" s="48">
        <f t="shared" si="579"/>
        <v>2534652.8950066944</v>
      </c>
      <c r="AJ164" s="48">
        <f t="shared" si="579"/>
        <v>2631008.9278814271</v>
      </c>
      <c r="AK164" s="48">
        <f t="shared" si="579"/>
        <v>2727780.7351062628</v>
      </c>
      <c r="AL164" s="48">
        <f t="shared" si="579"/>
        <v>2824971.4349888274</v>
      </c>
      <c r="AM164" s="48">
        <f t="shared" ref="AM164:BR164" si="580">AL$164+AM$138+AM$107-AM$153+AM$155</f>
        <v>2922584.1692240541</v>
      </c>
      <c r="AN164" s="48">
        <f t="shared" si="580"/>
        <v>3020622.1030695876</v>
      </c>
      <c r="AO164" s="48">
        <f t="shared" si="580"/>
        <v>3119088.4255225053</v>
      </c>
      <c r="AP164" s="48">
        <f t="shared" si="580"/>
        <v>3250794.8985120966</v>
      </c>
      <c r="AQ164" s="48">
        <f t="shared" si="580"/>
        <v>3382936.2100350419</v>
      </c>
      <c r="AR164" s="48">
        <f t="shared" si="580"/>
        <v>3515515.6213803417</v>
      </c>
      <c r="AS164" s="48">
        <f t="shared" si="580"/>
        <v>3648536.4182966636</v>
      </c>
      <c r="AT164" s="48">
        <f t="shared" si="580"/>
        <v>3782001.9111757898</v>
      </c>
      <c r="AU164" s="48">
        <f t="shared" si="580"/>
        <v>3915915.4352374417</v>
      </c>
      <c r="AV164" s="48">
        <f t="shared" si="580"/>
        <v>4050280.3507154882</v>
      </c>
      <c r="AW164" s="48">
        <f t="shared" si="580"/>
        <v>4185100.0430455524</v>
      </c>
      <c r="AX164" s="48">
        <f t="shared" si="580"/>
        <v>4320377.9230540246</v>
      </c>
      <c r="AY164" s="48">
        <f t="shared" si="580"/>
        <v>4456117.4271484921</v>
      </c>
      <c r="AZ164" s="48">
        <f t="shared" si="580"/>
        <v>4592322.0175096001</v>
      </c>
      <c r="BA164" s="48">
        <f t="shared" si="580"/>
        <v>4728995.1822843496</v>
      </c>
      <c r="BB164" s="48">
        <f t="shared" si="580"/>
        <v>4867460.0207773568</v>
      </c>
      <c r="BC164" s="48">
        <f t="shared" si="580"/>
        <v>5006400.4886575202</v>
      </c>
      <c r="BD164" s="48">
        <f t="shared" si="580"/>
        <v>5145820.1531452425</v>
      </c>
      <c r="BE164" s="48">
        <f t="shared" si="580"/>
        <v>4480769.2298341598</v>
      </c>
      <c r="BF164" s="48">
        <f t="shared" si="580"/>
        <v>4621158.0964154806</v>
      </c>
      <c r="BG164" s="48">
        <f t="shared" si="580"/>
        <v>4762037.0225946205</v>
      </c>
      <c r="BH164" s="48">
        <f t="shared" si="580"/>
        <v>4903409.683818562</v>
      </c>
      <c r="BI164" s="48">
        <f t="shared" si="580"/>
        <v>5045279.7831001412</v>
      </c>
      <c r="BJ164" s="48">
        <f t="shared" si="580"/>
        <v>5187651.0512247905</v>
      </c>
      <c r="BK164" s="48">
        <f t="shared" si="580"/>
        <v>5330527.2469588332</v>
      </c>
      <c r="BL164" s="48">
        <f t="shared" si="580"/>
        <v>5473912.1572593395</v>
      </c>
      <c r="BM164" s="48">
        <f t="shared" si="580"/>
        <v>5617809.5974855581</v>
      </c>
      <c r="BN164" s="48">
        <f t="shared" si="580"/>
        <v>5767325.3218667172</v>
      </c>
      <c r="BO164" s="48">
        <f t="shared" si="580"/>
        <v>5916841.0462478762</v>
      </c>
      <c r="BP164" s="48">
        <f t="shared" si="580"/>
        <v>6066356.7706290353</v>
      </c>
      <c r="BQ164" s="48">
        <f t="shared" si="580"/>
        <v>4751945.9506419767</v>
      </c>
      <c r="BR164" s="48">
        <f t="shared" si="580"/>
        <v>4901461.6750231357</v>
      </c>
      <c r="BS164" s="48">
        <f t="shared" ref="BS164:CX164" si="581">BR$164+BS$138+BS$107-BS$153+BS$155</f>
        <v>5050977.3994042948</v>
      </c>
      <c r="BT164" s="48">
        <f t="shared" si="581"/>
        <v>5200493.1237854538</v>
      </c>
      <c r="BU164" s="48">
        <f t="shared" si="581"/>
        <v>5350008.8481666129</v>
      </c>
      <c r="BV164" s="48">
        <f t="shared" si="581"/>
        <v>5499524.572547772</v>
      </c>
      <c r="BW164" s="48">
        <f t="shared" si="581"/>
        <v>5649040.296928931</v>
      </c>
      <c r="BX164" s="48">
        <f t="shared" si="581"/>
        <v>5798556.0213100901</v>
      </c>
      <c r="BY164" s="48">
        <f t="shared" si="581"/>
        <v>5948071.7456912491</v>
      </c>
      <c r="BZ164" s="48">
        <f t="shared" si="581"/>
        <v>6101703.0507639823</v>
      </c>
      <c r="CA164" s="48">
        <f t="shared" si="581"/>
        <v>6255334.3558367155</v>
      </c>
      <c r="CB164" s="48">
        <f t="shared" si="581"/>
        <v>6408965.6609094488</v>
      </c>
      <c r="CC164" s="48">
        <f t="shared" si="581"/>
        <v>4768408.2734082676</v>
      </c>
      <c r="CD164" s="48">
        <f t="shared" si="581"/>
        <v>4922039.5784810008</v>
      </c>
      <c r="CE164" s="48">
        <f t="shared" si="581"/>
        <v>5075670.883553734</v>
      </c>
      <c r="CF164" s="48">
        <f t="shared" si="581"/>
        <v>5229302.1886264673</v>
      </c>
      <c r="CG164" s="48">
        <f t="shared" si="581"/>
        <v>5382933.4936992005</v>
      </c>
      <c r="CH164" s="48">
        <f t="shared" si="581"/>
        <v>5536564.7987719337</v>
      </c>
      <c r="CI164" s="48">
        <f t="shared" si="581"/>
        <v>5690196.1038446669</v>
      </c>
      <c r="CJ164" s="48">
        <f t="shared" si="581"/>
        <v>5843827.4089174001</v>
      </c>
      <c r="CK164" s="48">
        <f t="shared" si="581"/>
        <v>5997458.7139901333</v>
      </c>
      <c r="CL164" s="48">
        <f t="shared" si="581"/>
        <v>6155233.8151197545</v>
      </c>
      <c r="CM164" s="48">
        <f t="shared" si="581"/>
        <v>6313008.9162493758</v>
      </c>
      <c r="CN164" s="48">
        <f t="shared" si="581"/>
        <v>6470784.0173789971</v>
      </c>
      <c r="CO164" s="48">
        <f t="shared" si="581"/>
        <v>4784983.4576358208</v>
      </c>
      <c r="CP164" s="48">
        <f t="shared" si="581"/>
        <v>4942758.5587654421</v>
      </c>
      <c r="CQ164" s="48">
        <f t="shared" si="581"/>
        <v>5100533.6598950634</v>
      </c>
      <c r="CR164" s="48">
        <f t="shared" si="581"/>
        <v>5258308.7610246846</v>
      </c>
      <c r="CS164" s="48">
        <f t="shared" si="581"/>
        <v>5416083.8621543059</v>
      </c>
      <c r="CT164" s="48">
        <f t="shared" si="581"/>
        <v>5573858.9632839272</v>
      </c>
      <c r="CU164" s="48">
        <f t="shared" si="581"/>
        <v>5731634.0644135484</v>
      </c>
      <c r="CV164" s="48">
        <f t="shared" si="581"/>
        <v>5889409.1655431697</v>
      </c>
      <c r="CW164" s="48">
        <f t="shared" si="581"/>
        <v>6047184.266672791</v>
      </c>
      <c r="CX164" s="48">
        <f t="shared" si="581"/>
        <v>6209131.2789050322</v>
      </c>
      <c r="CY164" s="48">
        <f t="shared" ref="CY164:ED164" si="582">CX$164+CY$138+CY$107-CY$153+CY$155</f>
        <v>6371078.2911372734</v>
      </c>
      <c r="CZ164" s="48">
        <f t="shared" si="582"/>
        <v>6533025.3033695146</v>
      </c>
      <c r="DA164" s="48">
        <f t="shared" si="582"/>
        <v>4801671.1020463062</v>
      </c>
      <c r="DB164" s="48">
        <f t="shared" si="582"/>
        <v>4963618.1142785475</v>
      </c>
      <c r="DC164" s="48">
        <f t="shared" si="582"/>
        <v>5125565.1265107887</v>
      </c>
      <c r="DD164" s="48">
        <f t="shared" si="582"/>
        <v>5287512.1387430299</v>
      </c>
      <c r="DE164" s="48">
        <f t="shared" si="582"/>
        <v>5449459.1509752711</v>
      </c>
      <c r="DF164" s="48">
        <f t="shared" si="582"/>
        <v>5611406.1632075123</v>
      </c>
      <c r="DG164" s="48">
        <f t="shared" si="582"/>
        <v>5773353.1754397536</v>
      </c>
      <c r="DH164" s="48">
        <f t="shared" si="582"/>
        <v>5935300.1876719948</v>
      </c>
      <c r="DI164" s="48">
        <f t="shared" si="582"/>
        <v>6097247.199904236</v>
      </c>
      <c r="DJ164" s="48">
        <f t="shared" si="582"/>
        <v>6263394.1256026551</v>
      </c>
      <c r="DK164" s="48">
        <f t="shared" si="582"/>
        <v>6429541.0513010742</v>
      </c>
      <c r="DL164" s="48">
        <f t="shared" si="582"/>
        <v>6595687.9769994933</v>
      </c>
      <c r="DM164" s="48">
        <f t="shared" si="582"/>
        <v>4818470.7559110224</v>
      </c>
      <c r="DN164" s="48">
        <f t="shared" si="582"/>
        <v>4984617.6816094415</v>
      </c>
      <c r="DO164" s="48">
        <f t="shared" si="582"/>
        <v>5150764.6073078606</v>
      </c>
      <c r="DP164" s="48">
        <f t="shared" si="582"/>
        <v>5316911.5330062797</v>
      </c>
      <c r="DQ164" s="48">
        <f t="shared" si="582"/>
        <v>5483058.4587046988</v>
      </c>
      <c r="DR164" s="48">
        <f t="shared" si="582"/>
        <v>5649205.3844031179</v>
      </c>
      <c r="DS164" s="48">
        <f t="shared" si="582"/>
        <v>5815352.310101537</v>
      </c>
      <c r="DT164" s="48">
        <f t="shared" si="582"/>
        <v>5981499.2357999561</v>
      </c>
      <c r="DU164" s="48">
        <f t="shared" si="582"/>
        <v>6147646.1614983752</v>
      </c>
      <c r="DV164" s="48">
        <f t="shared" si="582"/>
        <v>6147646.1614983752</v>
      </c>
      <c r="DW164" s="48">
        <f t="shared" si="582"/>
        <v>6147646.1614983752</v>
      </c>
      <c r="DX164" s="48">
        <f t="shared" si="582"/>
        <v>6147646.1614983752</v>
      </c>
      <c r="DY164" s="48">
        <f t="shared" si="582"/>
        <v>6147646.1614983752</v>
      </c>
      <c r="DZ164" s="48">
        <f t="shared" si="582"/>
        <v>6147646.1614983752</v>
      </c>
      <c r="EA164" s="48">
        <f t="shared" si="582"/>
        <v>6147646.1614983752</v>
      </c>
      <c r="EB164" s="48">
        <f t="shared" si="582"/>
        <v>6147646.1614983752</v>
      </c>
      <c r="EC164" s="48">
        <f t="shared" si="582"/>
        <v>6147646.1614983752</v>
      </c>
      <c r="ED164" s="48">
        <f t="shared" si="582"/>
        <v>6147646.1614983752</v>
      </c>
      <c r="EE164" s="48">
        <f t="shared" ref="EE164:ES164" si="583">ED$164+EE$138+EE$107-EE$153+EE$155</f>
        <v>6147646.1614983752</v>
      </c>
      <c r="EF164" s="48">
        <f t="shared" si="583"/>
        <v>6147646.1614983752</v>
      </c>
      <c r="EG164" s="48">
        <f t="shared" si="583"/>
        <v>6147646.1614983752</v>
      </c>
      <c r="EH164" s="48">
        <f t="shared" si="583"/>
        <v>6147646.1614983752</v>
      </c>
      <c r="EI164" s="48">
        <f t="shared" si="583"/>
        <v>6147646.1614983752</v>
      </c>
      <c r="EJ164" s="48">
        <f t="shared" si="583"/>
        <v>6147646.1614983752</v>
      </c>
      <c r="EK164" s="48">
        <f t="shared" si="583"/>
        <v>6147646.1614983752</v>
      </c>
      <c r="EL164" s="48">
        <f t="shared" si="583"/>
        <v>6147646.1614983752</v>
      </c>
      <c r="EM164" s="48">
        <f t="shared" si="583"/>
        <v>6147646.1614983752</v>
      </c>
      <c r="EN164" s="48">
        <f t="shared" si="583"/>
        <v>6147646.1614983752</v>
      </c>
      <c r="EO164" s="48">
        <f t="shared" si="583"/>
        <v>6147646.1614983752</v>
      </c>
      <c r="EP164" s="48">
        <f t="shared" si="583"/>
        <v>6147646.1614983752</v>
      </c>
      <c r="EQ164" s="48">
        <f t="shared" si="583"/>
        <v>6147646.1614983752</v>
      </c>
      <c r="ER164" s="48">
        <f t="shared" si="583"/>
        <v>6147646.1614983752</v>
      </c>
      <c r="ES164" s="48">
        <f t="shared" si="583"/>
        <v>6147646.1614983752</v>
      </c>
    </row>
    <row r="165" spans="1:149" x14ac:dyDescent="0.3">
      <c r="A165" s="14" t="s">
        <v>1223</v>
      </c>
      <c r="B165" s="68" t="s">
        <v>1224</v>
      </c>
      <c r="C165" s="18" t="s">
        <v>439</v>
      </c>
      <c r="E165" s="69">
        <f>MAX(ABS(MAX(F165:ES165)),ABS(MIN(F165:ES165)))</f>
        <v>0</v>
      </c>
      <c r="F165" s="70">
        <f t="shared" ref="F165:AK165" si="584">ROUND(F$154+F$109+F$110+F$111+F$118-F$112-F$148-F$164,2)</f>
        <v>0</v>
      </c>
      <c r="G165" s="70">
        <f t="shared" si="584"/>
        <v>0</v>
      </c>
      <c r="H165" s="70">
        <f t="shared" si="584"/>
        <v>0</v>
      </c>
      <c r="I165" s="70">
        <f t="shared" si="584"/>
        <v>0</v>
      </c>
      <c r="J165" s="70">
        <f t="shared" si="584"/>
        <v>0</v>
      </c>
      <c r="K165" s="70">
        <f t="shared" si="584"/>
        <v>0</v>
      </c>
      <c r="L165" s="70">
        <f t="shared" si="584"/>
        <v>0</v>
      </c>
      <c r="M165" s="70">
        <f t="shared" si="584"/>
        <v>0</v>
      </c>
      <c r="N165" s="70">
        <f t="shared" si="584"/>
        <v>0</v>
      </c>
      <c r="O165" s="70">
        <f t="shared" si="584"/>
        <v>0</v>
      </c>
      <c r="P165" s="70">
        <f t="shared" si="584"/>
        <v>0</v>
      </c>
      <c r="Q165" s="70">
        <f t="shared" si="584"/>
        <v>0</v>
      </c>
      <c r="R165" s="70">
        <f t="shared" si="584"/>
        <v>0</v>
      </c>
      <c r="S165" s="70">
        <f t="shared" si="584"/>
        <v>0</v>
      </c>
      <c r="T165" s="70">
        <f t="shared" si="584"/>
        <v>0</v>
      </c>
      <c r="U165" s="70">
        <f t="shared" si="584"/>
        <v>0</v>
      </c>
      <c r="V165" s="70">
        <f t="shared" si="584"/>
        <v>0</v>
      </c>
      <c r="W165" s="70">
        <f t="shared" si="584"/>
        <v>0</v>
      </c>
      <c r="X165" s="70">
        <f t="shared" si="584"/>
        <v>0</v>
      </c>
      <c r="Y165" s="70">
        <f t="shared" si="584"/>
        <v>0</v>
      </c>
      <c r="Z165" s="70">
        <f t="shared" si="584"/>
        <v>0</v>
      </c>
      <c r="AA165" s="70">
        <f t="shared" si="584"/>
        <v>0</v>
      </c>
      <c r="AB165" s="70">
        <f t="shared" si="584"/>
        <v>0</v>
      </c>
      <c r="AC165" s="70">
        <f t="shared" si="584"/>
        <v>0</v>
      </c>
      <c r="AD165" s="70">
        <f t="shared" si="584"/>
        <v>0</v>
      </c>
      <c r="AE165" s="70">
        <f t="shared" si="584"/>
        <v>0</v>
      </c>
      <c r="AF165" s="70">
        <f t="shared" si="584"/>
        <v>0</v>
      </c>
      <c r="AG165" s="70">
        <f t="shared" si="584"/>
        <v>0</v>
      </c>
      <c r="AH165" s="70">
        <f t="shared" si="584"/>
        <v>0</v>
      </c>
      <c r="AI165" s="70">
        <f t="shared" si="584"/>
        <v>0</v>
      </c>
      <c r="AJ165" s="70">
        <f t="shared" si="584"/>
        <v>0</v>
      </c>
      <c r="AK165" s="70">
        <f t="shared" si="584"/>
        <v>0</v>
      </c>
      <c r="AL165" s="70">
        <f t="shared" ref="AL165:BQ165" si="585">ROUND(AL$154+AL$109+AL$110+AL$111+AL$118-AL$112-AL$148-AL$164,2)</f>
        <v>0</v>
      </c>
      <c r="AM165" s="70">
        <f t="shared" si="585"/>
        <v>0</v>
      </c>
      <c r="AN165" s="70">
        <f t="shared" si="585"/>
        <v>0</v>
      </c>
      <c r="AO165" s="70">
        <f t="shared" si="585"/>
        <v>0</v>
      </c>
      <c r="AP165" s="70">
        <f t="shared" si="585"/>
        <v>0</v>
      </c>
      <c r="AQ165" s="70">
        <f t="shared" si="585"/>
        <v>0</v>
      </c>
      <c r="AR165" s="70">
        <f t="shared" si="585"/>
        <v>0</v>
      </c>
      <c r="AS165" s="70">
        <f t="shared" si="585"/>
        <v>0</v>
      </c>
      <c r="AT165" s="70">
        <f t="shared" si="585"/>
        <v>0</v>
      </c>
      <c r="AU165" s="70">
        <f t="shared" si="585"/>
        <v>0</v>
      </c>
      <c r="AV165" s="70">
        <f t="shared" si="585"/>
        <v>0</v>
      </c>
      <c r="AW165" s="70">
        <f t="shared" si="585"/>
        <v>0</v>
      </c>
      <c r="AX165" s="70">
        <f t="shared" si="585"/>
        <v>0</v>
      </c>
      <c r="AY165" s="70">
        <f t="shared" si="585"/>
        <v>0</v>
      </c>
      <c r="AZ165" s="70">
        <f t="shared" si="585"/>
        <v>0</v>
      </c>
      <c r="BA165" s="70">
        <f t="shared" si="585"/>
        <v>0</v>
      </c>
      <c r="BB165" s="70">
        <f t="shared" si="585"/>
        <v>0</v>
      </c>
      <c r="BC165" s="70">
        <f t="shared" si="585"/>
        <v>0</v>
      </c>
      <c r="BD165" s="70">
        <f t="shared" si="585"/>
        <v>0</v>
      </c>
      <c r="BE165" s="70">
        <f t="shared" si="585"/>
        <v>0</v>
      </c>
      <c r="BF165" s="70">
        <f t="shared" si="585"/>
        <v>0</v>
      </c>
      <c r="BG165" s="70">
        <f t="shared" si="585"/>
        <v>0</v>
      </c>
      <c r="BH165" s="70">
        <f t="shared" si="585"/>
        <v>0</v>
      </c>
      <c r="BI165" s="70">
        <f t="shared" si="585"/>
        <v>0</v>
      </c>
      <c r="BJ165" s="70">
        <f t="shared" si="585"/>
        <v>0</v>
      </c>
      <c r="BK165" s="70">
        <f t="shared" si="585"/>
        <v>0</v>
      </c>
      <c r="BL165" s="70">
        <f t="shared" si="585"/>
        <v>0</v>
      </c>
      <c r="BM165" s="70">
        <f t="shared" si="585"/>
        <v>0</v>
      </c>
      <c r="BN165" s="70">
        <f t="shared" si="585"/>
        <v>0</v>
      </c>
      <c r="BO165" s="70">
        <f t="shared" si="585"/>
        <v>0</v>
      </c>
      <c r="BP165" s="70">
        <f t="shared" si="585"/>
        <v>0</v>
      </c>
      <c r="BQ165" s="70">
        <f t="shared" si="585"/>
        <v>0</v>
      </c>
      <c r="BR165" s="70">
        <f t="shared" ref="BR165:CW165" si="586">ROUND(BR$154+BR$109+BR$110+BR$111+BR$118-BR$112-BR$148-BR$164,2)</f>
        <v>0</v>
      </c>
      <c r="BS165" s="70">
        <f t="shared" si="586"/>
        <v>0</v>
      </c>
      <c r="BT165" s="70">
        <f t="shared" si="586"/>
        <v>0</v>
      </c>
      <c r="BU165" s="70">
        <f t="shared" si="586"/>
        <v>0</v>
      </c>
      <c r="BV165" s="70">
        <f t="shared" si="586"/>
        <v>0</v>
      </c>
      <c r="BW165" s="70">
        <f t="shared" si="586"/>
        <v>0</v>
      </c>
      <c r="BX165" s="70">
        <f t="shared" si="586"/>
        <v>0</v>
      </c>
      <c r="BY165" s="70">
        <f t="shared" si="586"/>
        <v>0</v>
      </c>
      <c r="BZ165" s="70">
        <f t="shared" si="586"/>
        <v>0</v>
      </c>
      <c r="CA165" s="70">
        <f t="shared" si="586"/>
        <v>0</v>
      </c>
      <c r="CB165" s="70">
        <f t="shared" si="586"/>
        <v>0</v>
      </c>
      <c r="CC165" s="70">
        <f t="shared" si="586"/>
        <v>0</v>
      </c>
      <c r="CD165" s="70">
        <f t="shared" si="586"/>
        <v>0</v>
      </c>
      <c r="CE165" s="70">
        <f t="shared" si="586"/>
        <v>0</v>
      </c>
      <c r="CF165" s="70">
        <f t="shared" si="586"/>
        <v>0</v>
      </c>
      <c r="CG165" s="70">
        <f t="shared" si="586"/>
        <v>0</v>
      </c>
      <c r="CH165" s="70">
        <f t="shared" si="586"/>
        <v>0</v>
      </c>
      <c r="CI165" s="70">
        <f t="shared" si="586"/>
        <v>0</v>
      </c>
      <c r="CJ165" s="70">
        <f t="shared" si="586"/>
        <v>0</v>
      </c>
      <c r="CK165" s="70">
        <f t="shared" si="586"/>
        <v>0</v>
      </c>
      <c r="CL165" s="70">
        <f t="shared" si="586"/>
        <v>0</v>
      </c>
      <c r="CM165" s="70">
        <f t="shared" si="586"/>
        <v>0</v>
      </c>
      <c r="CN165" s="70">
        <f t="shared" si="586"/>
        <v>0</v>
      </c>
      <c r="CO165" s="70">
        <f t="shared" si="586"/>
        <v>0</v>
      </c>
      <c r="CP165" s="70">
        <f t="shared" si="586"/>
        <v>0</v>
      </c>
      <c r="CQ165" s="70">
        <f t="shared" si="586"/>
        <v>0</v>
      </c>
      <c r="CR165" s="70">
        <f t="shared" si="586"/>
        <v>0</v>
      </c>
      <c r="CS165" s="70">
        <f t="shared" si="586"/>
        <v>0</v>
      </c>
      <c r="CT165" s="70">
        <f t="shared" si="586"/>
        <v>0</v>
      </c>
      <c r="CU165" s="70">
        <f t="shared" si="586"/>
        <v>0</v>
      </c>
      <c r="CV165" s="70">
        <f t="shared" si="586"/>
        <v>0</v>
      </c>
      <c r="CW165" s="70">
        <f t="shared" si="586"/>
        <v>0</v>
      </c>
      <c r="CX165" s="70">
        <f t="shared" ref="CX165:EC165" si="587">ROUND(CX$154+CX$109+CX$110+CX$111+CX$118-CX$112-CX$148-CX$164,2)</f>
        <v>0</v>
      </c>
      <c r="CY165" s="70">
        <f t="shared" si="587"/>
        <v>0</v>
      </c>
      <c r="CZ165" s="70">
        <f t="shared" si="587"/>
        <v>0</v>
      </c>
      <c r="DA165" s="70">
        <f t="shared" si="587"/>
        <v>0</v>
      </c>
      <c r="DB165" s="70">
        <f t="shared" si="587"/>
        <v>0</v>
      </c>
      <c r="DC165" s="70">
        <f t="shared" si="587"/>
        <v>0</v>
      </c>
      <c r="DD165" s="70">
        <f t="shared" si="587"/>
        <v>0</v>
      </c>
      <c r="DE165" s="70">
        <f t="shared" si="587"/>
        <v>0</v>
      </c>
      <c r="DF165" s="70">
        <f t="shared" si="587"/>
        <v>0</v>
      </c>
      <c r="DG165" s="70">
        <f t="shared" si="587"/>
        <v>0</v>
      </c>
      <c r="DH165" s="70">
        <f t="shared" si="587"/>
        <v>0</v>
      </c>
      <c r="DI165" s="70">
        <f t="shared" si="587"/>
        <v>0</v>
      </c>
      <c r="DJ165" s="70">
        <f t="shared" si="587"/>
        <v>0</v>
      </c>
      <c r="DK165" s="70">
        <f t="shared" si="587"/>
        <v>0</v>
      </c>
      <c r="DL165" s="70">
        <f t="shared" si="587"/>
        <v>0</v>
      </c>
      <c r="DM165" s="70">
        <f t="shared" si="587"/>
        <v>0</v>
      </c>
      <c r="DN165" s="70">
        <f t="shared" si="587"/>
        <v>0</v>
      </c>
      <c r="DO165" s="70">
        <f t="shared" si="587"/>
        <v>0</v>
      </c>
      <c r="DP165" s="70">
        <f t="shared" si="587"/>
        <v>0</v>
      </c>
      <c r="DQ165" s="70">
        <f t="shared" si="587"/>
        <v>0</v>
      </c>
      <c r="DR165" s="70">
        <f t="shared" si="587"/>
        <v>0</v>
      </c>
      <c r="DS165" s="70">
        <f t="shared" si="587"/>
        <v>0</v>
      </c>
      <c r="DT165" s="70">
        <f t="shared" si="587"/>
        <v>0</v>
      </c>
      <c r="DU165" s="70">
        <f t="shared" si="587"/>
        <v>0</v>
      </c>
      <c r="DV165" s="70">
        <f t="shared" si="587"/>
        <v>0</v>
      </c>
      <c r="DW165" s="70">
        <f t="shared" si="587"/>
        <v>0</v>
      </c>
      <c r="DX165" s="70">
        <f t="shared" si="587"/>
        <v>0</v>
      </c>
      <c r="DY165" s="70">
        <f t="shared" si="587"/>
        <v>0</v>
      </c>
      <c r="DZ165" s="70">
        <f t="shared" si="587"/>
        <v>0</v>
      </c>
      <c r="EA165" s="70">
        <f t="shared" si="587"/>
        <v>0</v>
      </c>
      <c r="EB165" s="70">
        <f t="shared" si="587"/>
        <v>0</v>
      </c>
      <c r="EC165" s="70">
        <f t="shared" si="587"/>
        <v>0</v>
      </c>
      <c r="ED165" s="70">
        <f t="shared" ref="ED165:ES165" si="588">ROUND(ED$154+ED$109+ED$110+ED$111+ED$118-ED$112-ED$148-ED$164,2)</f>
        <v>0</v>
      </c>
      <c r="EE165" s="70">
        <f t="shared" si="588"/>
        <v>0</v>
      </c>
      <c r="EF165" s="70">
        <f t="shared" si="588"/>
        <v>0</v>
      </c>
      <c r="EG165" s="70">
        <f t="shared" si="588"/>
        <v>0</v>
      </c>
      <c r="EH165" s="70">
        <f t="shared" si="588"/>
        <v>0</v>
      </c>
      <c r="EI165" s="70">
        <f t="shared" si="588"/>
        <v>0</v>
      </c>
      <c r="EJ165" s="70">
        <f t="shared" si="588"/>
        <v>0</v>
      </c>
      <c r="EK165" s="70">
        <f t="shared" si="588"/>
        <v>0</v>
      </c>
      <c r="EL165" s="70">
        <f t="shared" si="588"/>
        <v>0</v>
      </c>
      <c r="EM165" s="70">
        <f t="shared" si="588"/>
        <v>0</v>
      </c>
      <c r="EN165" s="70">
        <f t="shared" si="588"/>
        <v>0</v>
      </c>
      <c r="EO165" s="70">
        <f t="shared" si="588"/>
        <v>0</v>
      </c>
      <c r="EP165" s="70">
        <f t="shared" si="588"/>
        <v>0</v>
      </c>
      <c r="EQ165" s="70">
        <f t="shared" si="588"/>
        <v>0</v>
      </c>
      <c r="ER165" s="70">
        <f t="shared" si="588"/>
        <v>0</v>
      </c>
      <c r="ES165" s="70">
        <f t="shared" si="588"/>
        <v>0</v>
      </c>
    </row>
    <row r="168" spans="1:149" x14ac:dyDescent="0.3">
      <c r="A168" s="71"/>
      <c r="B168" s="72" t="s">
        <v>1225</v>
      </c>
      <c r="C168" s="71"/>
      <c r="D168" s="71"/>
      <c r="E168" s="71"/>
    </row>
    <row r="169" spans="1:149" x14ac:dyDescent="0.3">
      <c r="A169" s="16"/>
      <c r="B169" s="15" t="s">
        <v>983</v>
      </c>
      <c r="C169" s="16"/>
      <c r="D169" s="16"/>
      <c r="E169" s="16"/>
    </row>
    <row r="170" spans="1:149" x14ac:dyDescent="0.3">
      <c r="A170" s="14" t="s">
        <v>1226</v>
      </c>
      <c r="B170" s="18" t="s">
        <v>985</v>
      </c>
      <c r="C170" s="18" t="s">
        <v>986</v>
      </c>
      <c r="F170" s="34">
        <f>IF(AND(1&gt;=V_Inicio,1&lt;=Fin),INT((1-V_Inicio)/12)+1,0)</f>
        <v>1</v>
      </c>
      <c r="G170" s="34">
        <f>IF(AND(2&gt;=V_Inicio,2&lt;=Fin),INT((2-V_Inicio)/12)+1,0)</f>
        <v>1</v>
      </c>
      <c r="H170" s="34">
        <f>IF(AND(3&gt;=V_Inicio,3&lt;=Fin),INT((3-V_Inicio)/12)+1,0)</f>
        <v>1</v>
      </c>
      <c r="I170" s="34">
        <f>IF(AND(4&gt;=V_Inicio,4&lt;=Fin),INT((4-V_Inicio)/12)+1,0)</f>
        <v>1</v>
      </c>
      <c r="J170" s="34">
        <f>IF(AND(5&gt;=V_Inicio,5&lt;=Fin),INT((5-V_Inicio)/12)+1,0)</f>
        <v>1</v>
      </c>
      <c r="K170" s="34">
        <f>IF(AND(6&gt;=V_Inicio,6&lt;=Fin),INT((6-V_Inicio)/12)+1,0)</f>
        <v>1</v>
      </c>
      <c r="L170" s="34">
        <f>IF(AND(7&gt;=V_Inicio,7&lt;=Fin),INT((7-V_Inicio)/12)+1,0)</f>
        <v>1</v>
      </c>
      <c r="M170" s="34">
        <f>IF(AND(8&gt;=V_Inicio,8&lt;=Fin),INT((8-V_Inicio)/12)+1,0)</f>
        <v>1</v>
      </c>
      <c r="N170" s="34">
        <f>IF(AND(9&gt;=V_Inicio,9&lt;=Fin),INT((9-V_Inicio)/12)+1,0)</f>
        <v>1</v>
      </c>
      <c r="O170" s="34">
        <f>IF(AND(10&gt;=V_Inicio,10&lt;=Fin),INT((10-V_Inicio)/12)+1,0)</f>
        <v>1</v>
      </c>
      <c r="P170" s="34">
        <f>IF(AND(11&gt;=V_Inicio,11&lt;=Fin),INT((11-V_Inicio)/12)+1,0)</f>
        <v>1</v>
      </c>
      <c r="Q170" s="34">
        <f>IF(AND(12&gt;=V_Inicio,12&lt;=Fin),INT((12-V_Inicio)/12)+1,0)</f>
        <v>1</v>
      </c>
      <c r="R170" s="34">
        <f>IF(AND(13&gt;=V_Inicio,13&lt;=Fin),INT((13-V_Inicio)/12)+1,0)</f>
        <v>2</v>
      </c>
      <c r="S170" s="34">
        <f>IF(AND(14&gt;=V_Inicio,14&lt;=Fin),INT((14-V_Inicio)/12)+1,0)</f>
        <v>2</v>
      </c>
      <c r="T170" s="34">
        <f>IF(AND(15&gt;=V_Inicio,15&lt;=Fin),INT((15-V_Inicio)/12)+1,0)</f>
        <v>2</v>
      </c>
      <c r="U170" s="34">
        <f>IF(AND(16&gt;=V_Inicio,16&lt;=Fin),INT((16-V_Inicio)/12)+1,0)</f>
        <v>2</v>
      </c>
      <c r="V170" s="34">
        <f>IF(AND(17&gt;=V_Inicio,17&lt;=Fin),INT((17-V_Inicio)/12)+1,0)</f>
        <v>2</v>
      </c>
      <c r="W170" s="34">
        <f>IF(AND(18&gt;=V_Inicio,18&lt;=Fin),INT((18-V_Inicio)/12)+1,0)</f>
        <v>2</v>
      </c>
      <c r="X170" s="34">
        <f>IF(AND(19&gt;=V_Inicio,19&lt;=Fin),INT((19-V_Inicio)/12)+1,0)</f>
        <v>2</v>
      </c>
      <c r="Y170" s="34">
        <f>IF(AND(20&gt;=V_Inicio,20&lt;=Fin),INT((20-V_Inicio)/12)+1,0)</f>
        <v>2</v>
      </c>
      <c r="Z170" s="34">
        <f>IF(AND(21&gt;=V_Inicio,21&lt;=Fin),INT((21-V_Inicio)/12)+1,0)</f>
        <v>2</v>
      </c>
      <c r="AA170" s="34">
        <f>IF(AND(22&gt;=V_Inicio,22&lt;=Fin),INT((22-V_Inicio)/12)+1,0)</f>
        <v>2</v>
      </c>
      <c r="AB170" s="34">
        <f>IF(AND(23&gt;=V_Inicio,23&lt;=Fin),INT((23-V_Inicio)/12)+1,0)</f>
        <v>2</v>
      </c>
      <c r="AC170" s="34">
        <f>IF(AND(24&gt;=V_Inicio,24&lt;=Fin),INT((24-V_Inicio)/12)+1,0)</f>
        <v>2</v>
      </c>
      <c r="AD170" s="34">
        <f>IF(AND(25&gt;=V_Inicio,25&lt;=Fin),INT((25-V_Inicio)/12)+1,0)</f>
        <v>3</v>
      </c>
      <c r="AE170" s="34">
        <f>IF(AND(26&gt;=V_Inicio,26&lt;=Fin),INT((26-V_Inicio)/12)+1,0)</f>
        <v>3</v>
      </c>
      <c r="AF170" s="34">
        <f>IF(AND(27&gt;=V_Inicio,27&lt;=Fin),INT((27-V_Inicio)/12)+1,0)</f>
        <v>3</v>
      </c>
      <c r="AG170" s="34">
        <f>IF(AND(28&gt;=V_Inicio,28&lt;=Fin),INT((28-V_Inicio)/12)+1,0)</f>
        <v>3</v>
      </c>
      <c r="AH170" s="34">
        <f>IF(AND(29&gt;=V_Inicio,29&lt;=Fin),INT((29-V_Inicio)/12)+1,0)</f>
        <v>3</v>
      </c>
      <c r="AI170" s="34">
        <f>IF(AND(30&gt;=V_Inicio,30&lt;=Fin),INT((30-V_Inicio)/12)+1,0)</f>
        <v>3</v>
      </c>
      <c r="AJ170" s="34">
        <f>IF(AND(31&gt;=V_Inicio,31&lt;=Fin),INT((31-V_Inicio)/12)+1,0)</f>
        <v>3</v>
      </c>
      <c r="AK170" s="34">
        <f>IF(AND(32&gt;=V_Inicio,32&lt;=Fin),INT((32-V_Inicio)/12)+1,0)</f>
        <v>3</v>
      </c>
      <c r="AL170" s="34">
        <f>IF(AND(33&gt;=V_Inicio,33&lt;=Fin),INT((33-V_Inicio)/12)+1,0)</f>
        <v>3</v>
      </c>
      <c r="AM170" s="34">
        <f>IF(AND(34&gt;=V_Inicio,34&lt;=Fin),INT((34-V_Inicio)/12)+1,0)</f>
        <v>3</v>
      </c>
      <c r="AN170" s="34">
        <f>IF(AND(35&gt;=V_Inicio,35&lt;=Fin),INT((35-V_Inicio)/12)+1,0)</f>
        <v>3</v>
      </c>
      <c r="AO170" s="34">
        <f>IF(AND(36&gt;=V_Inicio,36&lt;=Fin),INT((36-V_Inicio)/12)+1,0)</f>
        <v>3</v>
      </c>
      <c r="AP170" s="34">
        <f>IF(AND(37&gt;=V_Inicio,37&lt;=Fin),INT((37-V_Inicio)/12)+1,0)</f>
        <v>4</v>
      </c>
      <c r="AQ170" s="34">
        <f>IF(AND(38&gt;=V_Inicio,38&lt;=Fin),INT((38-V_Inicio)/12)+1,0)</f>
        <v>4</v>
      </c>
      <c r="AR170" s="34">
        <f>IF(AND(39&gt;=V_Inicio,39&lt;=Fin),INT((39-V_Inicio)/12)+1,0)</f>
        <v>4</v>
      </c>
      <c r="AS170" s="34">
        <f>IF(AND(40&gt;=V_Inicio,40&lt;=Fin),INT((40-V_Inicio)/12)+1,0)</f>
        <v>4</v>
      </c>
      <c r="AT170" s="34">
        <f>IF(AND(41&gt;=V_Inicio,41&lt;=Fin),INT((41-V_Inicio)/12)+1,0)</f>
        <v>4</v>
      </c>
      <c r="AU170" s="34">
        <f>IF(AND(42&gt;=V_Inicio,42&lt;=Fin),INT((42-V_Inicio)/12)+1,0)</f>
        <v>4</v>
      </c>
      <c r="AV170" s="34">
        <f>IF(AND(43&gt;=V_Inicio,43&lt;=Fin),INT((43-V_Inicio)/12)+1,0)</f>
        <v>4</v>
      </c>
      <c r="AW170" s="34">
        <f>IF(AND(44&gt;=V_Inicio,44&lt;=Fin),INT((44-V_Inicio)/12)+1,0)</f>
        <v>4</v>
      </c>
      <c r="AX170" s="34">
        <f>IF(AND(45&gt;=V_Inicio,45&lt;=Fin),INT((45-V_Inicio)/12)+1,0)</f>
        <v>4</v>
      </c>
      <c r="AY170" s="34">
        <f>IF(AND(46&gt;=V_Inicio,46&lt;=Fin),INT((46-V_Inicio)/12)+1,0)</f>
        <v>4</v>
      </c>
      <c r="AZ170" s="34">
        <f>IF(AND(47&gt;=V_Inicio,47&lt;=Fin),INT((47-V_Inicio)/12)+1,0)</f>
        <v>4</v>
      </c>
      <c r="BA170" s="34">
        <f>IF(AND(48&gt;=V_Inicio,48&lt;=Fin),INT((48-V_Inicio)/12)+1,0)</f>
        <v>4</v>
      </c>
      <c r="BB170" s="34">
        <f>IF(AND(49&gt;=V_Inicio,49&lt;=Fin),INT((49-V_Inicio)/12)+1,0)</f>
        <v>5</v>
      </c>
      <c r="BC170" s="34">
        <f>IF(AND(50&gt;=V_Inicio,50&lt;=Fin),INT((50-V_Inicio)/12)+1,0)</f>
        <v>5</v>
      </c>
      <c r="BD170" s="34">
        <f>IF(AND(51&gt;=V_Inicio,51&lt;=Fin),INT((51-V_Inicio)/12)+1,0)</f>
        <v>5</v>
      </c>
      <c r="BE170" s="34">
        <f>IF(AND(52&gt;=V_Inicio,52&lt;=Fin),INT((52-V_Inicio)/12)+1,0)</f>
        <v>5</v>
      </c>
      <c r="BF170" s="34">
        <f>IF(AND(53&gt;=V_Inicio,53&lt;=Fin),INT((53-V_Inicio)/12)+1,0)</f>
        <v>5</v>
      </c>
      <c r="BG170" s="34">
        <f>IF(AND(54&gt;=V_Inicio,54&lt;=Fin),INT((54-V_Inicio)/12)+1,0)</f>
        <v>5</v>
      </c>
      <c r="BH170" s="34">
        <f>IF(AND(55&gt;=V_Inicio,55&lt;=Fin),INT((55-V_Inicio)/12)+1,0)</f>
        <v>5</v>
      </c>
      <c r="BI170" s="34">
        <f>IF(AND(56&gt;=V_Inicio,56&lt;=Fin),INT((56-V_Inicio)/12)+1,0)</f>
        <v>5</v>
      </c>
      <c r="BJ170" s="34">
        <f>IF(AND(57&gt;=V_Inicio,57&lt;=Fin),INT((57-V_Inicio)/12)+1,0)</f>
        <v>5</v>
      </c>
      <c r="BK170" s="34">
        <f>IF(AND(58&gt;=V_Inicio,58&lt;=Fin),INT((58-V_Inicio)/12)+1,0)</f>
        <v>5</v>
      </c>
      <c r="BL170" s="34">
        <f>IF(AND(59&gt;=V_Inicio,59&lt;=Fin),INT((59-V_Inicio)/12)+1,0)</f>
        <v>5</v>
      </c>
      <c r="BM170" s="34">
        <f>IF(AND(60&gt;=V_Inicio,60&lt;=Fin),INT((60-V_Inicio)/12)+1,0)</f>
        <v>5</v>
      </c>
      <c r="BN170" s="34">
        <f>IF(AND(61&gt;=V_Inicio,61&lt;=Fin),INT((61-V_Inicio)/12)+1,0)</f>
        <v>6</v>
      </c>
      <c r="BO170" s="34">
        <f>IF(AND(62&gt;=V_Inicio,62&lt;=Fin),INT((62-V_Inicio)/12)+1,0)</f>
        <v>6</v>
      </c>
      <c r="BP170" s="34">
        <f>IF(AND(63&gt;=V_Inicio,63&lt;=Fin),INT((63-V_Inicio)/12)+1,0)</f>
        <v>6</v>
      </c>
      <c r="BQ170" s="34">
        <f>IF(AND(64&gt;=V_Inicio,64&lt;=Fin),INT((64-V_Inicio)/12)+1,0)</f>
        <v>6</v>
      </c>
      <c r="BR170" s="34">
        <f>IF(AND(65&gt;=V_Inicio,65&lt;=Fin),INT((65-V_Inicio)/12)+1,0)</f>
        <v>6</v>
      </c>
      <c r="BS170" s="34">
        <f>IF(AND(66&gt;=V_Inicio,66&lt;=Fin),INT((66-V_Inicio)/12)+1,0)</f>
        <v>6</v>
      </c>
      <c r="BT170" s="34">
        <f>IF(AND(67&gt;=V_Inicio,67&lt;=Fin),INT((67-V_Inicio)/12)+1,0)</f>
        <v>6</v>
      </c>
      <c r="BU170" s="34">
        <f>IF(AND(68&gt;=V_Inicio,68&lt;=Fin),INT((68-V_Inicio)/12)+1,0)</f>
        <v>6</v>
      </c>
      <c r="BV170" s="34">
        <f>IF(AND(69&gt;=V_Inicio,69&lt;=Fin),INT((69-V_Inicio)/12)+1,0)</f>
        <v>6</v>
      </c>
      <c r="BW170" s="34">
        <f>IF(AND(70&gt;=V_Inicio,70&lt;=Fin),INT((70-V_Inicio)/12)+1,0)</f>
        <v>6</v>
      </c>
      <c r="BX170" s="34">
        <f>IF(AND(71&gt;=V_Inicio,71&lt;=Fin),INT((71-V_Inicio)/12)+1,0)</f>
        <v>6</v>
      </c>
      <c r="BY170" s="34">
        <f>IF(AND(72&gt;=V_Inicio,72&lt;=Fin),INT((72-V_Inicio)/12)+1,0)</f>
        <v>6</v>
      </c>
      <c r="BZ170" s="34">
        <f>IF(AND(73&gt;=V_Inicio,73&lt;=Fin),INT((73-V_Inicio)/12)+1,0)</f>
        <v>7</v>
      </c>
      <c r="CA170" s="34">
        <f>IF(AND(74&gt;=V_Inicio,74&lt;=Fin),INT((74-V_Inicio)/12)+1,0)</f>
        <v>7</v>
      </c>
      <c r="CB170" s="34">
        <f>IF(AND(75&gt;=V_Inicio,75&lt;=Fin),INT((75-V_Inicio)/12)+1,0)</f>
        <v>7</v>
      </c>
      <c r="CC170" s="34">
        <f>IF(AND(76&gt;=V_Inicio,76&lt;=Fin),INT((76-V_Inicio)/12)+1,0)</f>
        <v>7</v>
      </c>
      <c r="CD170" s="34">
        <f>IF(AND(77&gt;=V_Inicio,77&lt;=Fin),INT((77-V_Inicio)/12)+1,0)</f>
        <v>7</v>
      </c>
      <c r="CE170" s="34">
        <f>IF(AND(78&gt;=V_Inicio,78&lt;=Fin),INT((78-V_Inicio)/12)+1,0)</f>
        <v>7</v>
      </c>
      <c r="CF170" s="34">
        <f>IF(AND(79&gt;=V_Inicio,79&lt;=Fin),INT((79-V_Inicio)/12)+1,0)</f>
        <v>7</v>
      </c>
      <c r="CG170" s="34">
        <f>IF(AND(80&gt;=V_Inicio,80&lt;=Fin),INT((80-V_Inicio)/12)+1,0)</f>
        <v>7</v>
      </c>
      <c r="CH170" s="34">
        <f>IF(AND(81&gt;=V_Inicio,81&lt;=Fin),INT((81-V_Inicio)/12)+1,0)</f>
        <v>7</v>
      </c>
      <c r="CI170" s="34">
        <f>IF(AND(82&gt;=V_Inicio,82&lt;=Fin),INT((82-V_Inicio)/12)+1,0)</f>
        <v>7</v>
      </c>
      <c r="CJ170" s="34">
        <f>IF(AND(83&gt;=V_Inicio,83&lt;=Fin),INT((83-V_Inicio)/12)+1,0)</f>
        <v>7</v>
      </c>
      <c r="CK170" s="34">
        <f>IF(AND(84&gt;=V_Inicio,84&lt;=Fin),INT((84-V_Inicio)/12)+1,0)</f>
        <v>7</v>
      </c>
      <c r="CL170" s="34">
        <f>IF(AND(85&gt;=V_Inicio,85&lt;=Fin),INT((85-V_Inicio)/12)+1,0)</f>
        <v>8</v>
      </c>
      <c r="CM170" s="34">
        <f>IF(AND(86&gt;=V_Inicio,86&lt;=Fin),INT((86-V_Inicio)/12)+1,0)</f>
        <v>8</v>
      </c>
      <c r="CN170" s="34">
        <f>IF(AND(87&gt;=V_Inicio,87&lt;=Fin),INT((87-V_Inicio)/12)+1,0)</f>
        <v>8</v>
      </c>
      <c r="CO170" s="34">
        <f>IF(AND(88&gt;=V_Inicio,88&lt;=Fin),INT((88-V_Inicio)/12)+1,0)</f>
        <v>8</v>
      </c>
      <c r="CP170" s="34">
        <f>IF(AND(89&gt;=V_Inicio,89&lt;=Fin),INT((89-V_Inicio)/12)+1,0)</f>
        <v>8</v>
      </c>
      <c r="CQ170" s="34">
        <f>IF(AND(90&gt;=V_Inicio,90&lt;=Fin),INT((90-V_Inicio)/12)+1,0)</f>
        <v>8</v>
      </c>
      <c r="CR170" s="34">
        <f>IF(AND(91&gt;=V_Inicio,91&lt;=Fin),INT((91-V_Inicio)/12)+1,0)</f>
        <v>8</v>
      </c>
      <c r="CS170" s="34">
        <f>IF(AND(92&gt;=V_Inicio,92&lt;=Fin),INT((92-V_Inicio)/12)+1,0)</f>
        <v>8</v>
      </c>
      <c r="CT170" s="34">
        <f>IF(AND(93&gt;=V_Inicio,93&lt;=Fin),INT((93-V_Inicio)/12)+1,0)</f>
        <v>8</v>
      </c>
      <c r="CU170" s="34">
        <f>IF(AND(94&gt;=V_Inicio,94&lt;=Fin),INT((94-V_Inicio)/12)+1,0)</f>
        <v>8</v>
      </c>
      <c r="CV170" s="34">
        <f>IF(AND(95&gt;=V_Inicio,95&lt;=Fin),INT((95-V_Inicio)/12)+1,0)</f>
        <v>8</v>
      </c>
      <c r="CW170" s="34">
        <f>IF(AND(96&gt;=V_Inicio,96&lt;=Fin),INT((96-V_Inicio)/12)+1,0)</f>
        <v>8</v>
      </c>
      <c r="CX170" s="34">
        <f>IF(AND(97&gt;=V_Inicio,97&lt;=Fin),INT((97-V_Inicio)/12)+1,0)</f>
        <v>9</v>
      </c>
      <c r="CY170" s="34">
        <f>IF(AND(98&gt;=V_Inicio,98&lt;=Fin),INT((98-V_Inicio)/12)+1,0)</f>
        <v>9</v>
      </c>
      <c r="CZ170" s="34">
        <f>IF(AND(99&gt;=V_Inicio,99&lt;=Fin),INT((99-V_Inicio)/12)+1,0)</f>
        <v>9</v>
      </c>
      <c r="DA170" s="34">
        <f>IF(AND(100&gt;=V_Inicio,100&lt;=Fin),INT((100-V_Inicio)/12)+1,0)</f>
        <v>9</v>
      </c>
      <c r="DB170" s="34">
        <f>IF(AND(101&gt;=V_Inicio,101&lt;=Fin),INT((101-V_Inicio)/12)+1,0)</f>
        <v>9</v>
      </c>
      <c r="DC170" s="34">
        <f>IF(AND(102&gt;=V_Inicio,102&lt;=Fin),INT((102-V_Inicio)/12)+1,0)</f>
        <v>9</v>
      </c>
      <c r="DD170" s="34">
        <f>IF(AND(103&gt;=V_Inicio,103&lt;=Fin),INT((103-V_Inicio)/12)+1,0)</f>
        <v>9</v>
      </c>
      <c r="DE170" s="34">
        <f>IF(AND(104&gt;=V_Inicio,104&lt;=Fin),INT((104-V_Inicio)/12)+1,0)</f>
        <v>9</v>
      </c>
      <c r="DF170" s="34">
        <f>IF(AND(105&gt;=V_Inicio,105&lt;=Fin),INT((105-V_Inicio)/12)+1,0)</f>
        <v>9</v>
      </c>
      <c r="DG170" s="34">
        <f>IF(AND(106&gt;=V_Inicio,106&lt;=Fin),INT((106-V_Inicio)/12)+1,0)</f>
        <v>9</v>
      </c>
      <c r="DH170" s="34">
        <f>IF(AND(107&gt;=V_Inicio,107&lt;=Fin),INT((107-V_Inicio)/12)+1,0)</f>
        <v>9</v>
      </c>
      <c r="DI170" s="34">
        <f>IF(AND(108&gt;=V_Inicio,108&lt;=Fin),INT((108-V_Inicio)/12)+1,0)</f>
        <v>9</v>
      </c>
      <c r="DJ170" s="34">
        <f>IF(AND(109&gt;=V_Inicio,109&lt;=Fin),INT((109-V_Inicio)/12)+1,0)</f>
        <v>10</v>
      </c>
      <c r="DK170" s="34">
        <f>IF(AND(110&gt;=V_Inicio,110&lt;=Fin),INT((110-V_Inicio)/12)+1,0)</f>
        <v>10</v>
      </c>
      <c r="DL170" s="34">
        <f>IF(AND(111&gt;=V_Inicio,111&lt;=Fin),INT((111-V_Inicio)/12)+1,0)</f>
        <v>10</v>
      </c>
      <c r="DM170" s="34">
        <f>IF(AND(112&gt;=V_Inicio,112&lt;=Fin),INT((112-V_Inicio)/12)+1,0)</f>
        <v>10</v>
      </c>
      <c r="DN170" s="34">
        <f>IF(AND(113&gt;=V_Inicio,113&lt;=Fin),INT((113-V_Inicio)/12)+1,0)</f>
        <v>10</v>
      </c>
      <c r="DO170" s="34">
        <f>IF(AND(114&gt;=V_Inicio,114&lt;=Fin),INT((114-V_Inicio)/12)+1,0)</f>
        <v>10</v>
      </c>
      <c r="DP170" s="34">
        <f>IF(AND(115&gt;=V_Inicio,115&lt;=Fin),INT((115-V_Inicio)/12)+1,0)</f>
        <v>10</v>
      </c>
      <c r="DQ170" s="34">
        <f>IF(AND(116&gt;=V_Inicio,116&lt;=Fin),INT((116-V_Inicio)/12)+1,0)</f>
        <v>10</v>
      </c>
      <c r="DR170" s="34">
        <f>IF(AND(117&gt;=V_Inicio,117&lt;=Fin),INT((117-V_Inicio)/12)+1,0)</f>
        <v>10</v>
      </c>
      <c r="DS170" s="34">
        <f>IF(AND(118&gt;=V_Inicio,118&lt;=Fin),INT((118-V_Inicio)/12)+1,0)</f>
        <v>10</v>
      </c>
      <c r="DT170" s="34">
        <f>IF(AND(119&gt;=V_Inicio,119&lt;=Fin),INT((119-V_Inicio)/12)+1,0)</f>
        <v>10</v>
      </c>
      <c r="DU170" s="34">
        <f>IF(AND(120&gt;=V_Inicio,120&lt;=Fin),INT((120-V_Inicio)/12)+1,0)</f>
        <v>10</v>
      </c>
      <c r="DV170" s="34">
        <f>IF(AND(121&gt;=V_Inicio,121&lt;=Fin),INT((121-V_Inicio)/12)+1,0)</f>
        <v>0</v>
      </c>
      <c r="DW170" s="34">
        <f>IF(AND(122&gt;=V_Inicio,122&lt;=Fin),INT((122-V_Inicio)/12)+1,0)</f>
        <v>0</v>
      </c>
      <c r="DX170" s="34">
        <f>IF(AND(123&gt;=V_Inicio,123&lt;=Fin),INT((123-V_Inicio)/12)+1,0)</f>
        <v>0</v>
      </c>
      <c r="DY170" s="34">
        <f>IF(AND(124&gt;=V_Inicio,124&lt;=Fin),INT((124-V_Inicio)/12)+1,0)</f>
        <v>0</v>
      </c>
      <c r="DZ170" s="34">
        <f>IF(AND(125&gt;=V_Inicio,125&lt;=Fin),INT((125-V_Inicio)/12)+1,0)</f>
        <v>0</v>
      </c>
      <c r="EA170" s="34">
        <f>IF(AND(126&gt;=V_Inicio,126&lt;=Fin),INT((126-V_Inicio)/12)+1,0)</f>
        <v>0</v>
      </c>
      <c r="EB170" s="34">
        <f>IF(AND(127&gt;=V_Inicio,127&lt;=Fin),INT((127-V_Inicio)/12)+1,0)</f>
        <v>0</v>
      </c>
      <c r="EC170" s="34">
        <f>IF(AND(128&gt;=V_Inicio,128&lt;=Fin),INT((128-V_Inicio)/12)+1,0)</f>
        <v>0</v>
      </c>
      <c r="ED170" s="34">
        <f>IF(AND(129&gt;=V_Inicio,129&lt;=Fin),INT((129-V_Inicio)/12)+1,0)</f>
        <v>0</v>
      </c>
      <c r="EE170" s="34">
        <f>IF(AND(130&gt;=V_Inicio,130&lt;=Fin),INT((130-V_Inicio)/12)+1,0)</f>
        <v>0</v>
      </c>
      <c r="EF170" s="34">
        <f>IF(AND(131&gt;=V_Inicio,131&lt;=Fin),INT((131-V_Inicio)/12)+1,0)</f>
        <v>0</v>
      </c>
      <c r="EG170" s="34">
        <f>IF(AND(132&gt;=V_Inicio,132&lt;=Fin),INT((132-V_Inicio)/12)+1,0)</f>
        <v>0</v>
      </c>
      <c r="EH170" s="34">
        <f>IF(AND(133&gt;=V_Inicio,133&lt;=Fin),INT((133-V_Inicio)/12)+1,0)</f>
        <v>0</v>
      </c>
      <c r="EI170" s="34">
        <f>IF(AND(134&gt;=V_Inicio,134&lt;=Fin),INT((134-V_Inicio)/12)+1,0)</f>
        <v>0</v>
      </c>
      <c r="EJ170" s="34">
        <f>IF(AND(135&gt;=V_Inicio,135&lt;=Fin),INT((135-V_Inicio)/12)+1,0)</f>
        <v>0</v>
      </c>
      <c r="EK170" s="34">
        <f>IF(AND(136&gt;=V_Inicio,136&lt;=Fin),INT((136-V_Inicio)/12)+1,0)</f>
        <v>0</v>
      </c>
      <c r="EL170" s="34">
        <f>IF(AND(137&gt;=V_Inicio,137&lt;=Fin),INT((137-V_Inicio)/12)+1,0)</f>
        <v>0</v>
      </c>
      <c r="EM170" s="34">
        <f>IF(AND(138&gt;=V_Inicio,138&lt;=Fin),INT((138-V_Inicio)/12)+1,0)</f>
        <v>0</v>
      </c>
      <c r="EN170" s="34">
        <f>IF(AND(139&gt;=V_Inicio,139&lt;=Fin),INT((139-V_Inicio)/12)+1,0)</f>
        <v>0</v>
      </c>
      <c r="EO170" s="34">
        <f>IF(AND(140&gt;=V_Inicio,140&lt;=Fin),INT((140-V_Inicio)/12)+1,0)</f>
        <v>0</v>
      </c>
      <c r="EP170" s="34">
        <f>IF(AND(141&gt;=V_Inicio,141&lt;=Fin),INT((141-V_Inicio)/12)+1,0)</f>
        <v>0</v>
      </c>
      <c r="EQ170" s="34">
        <f>IF(AND(142&gt;=V_Inicio,142&lt;=Fin),INT((142-V_Inicio)/12)+1,0)</f>
        <v>0</v>
      </c>
      <c r="ER170" s="34">
        <f>IF(AND(143&gt;=V_Inicio,143&lt;=Fin),INT((143-V_Inicio)/12)+1,0)</f>
        <v>0</v>
      </c>
      <c r="ES170" s="34">
        <f>IF(AND(144&gt;=V_Inicio,144&lt;=Fin),INT((144-V_Inicio)/12)+1,0)</f>
        <v>0</v>
      </c>
    </row>
    <row r="171" spans="1:149" x14ac:dyDescent="0.3">
      <c r="A171" s="14" t="s">
        <v>1227</v>
      </c>
      <c r="B171" s="18" t="s">
        <v>988</v>
      </c>
      <c r="C171" s="18" t="s">
        <v>989</v>
      </c>
      <c r="E171" s="67">
        <f>SUM(F171:ES171)</f>
        <v>120</v>
      </c>
      <c r="F171" s="34">
        <f t="shared" ref="F171:AK171" si="589">IF(F$170&gt;0,1,0)</f>
        <v>1</v>
      </c>
      <c r="G171" s="34">
        <f t="shared" si="589"/>
        <v>1</v>
      </c>
      <c r="H171" s="34">
        <f t="shared" si="589"/>
        <v>1</v>
      </c>
      <c r="I171" s="34">
        <f t="shared" si="589"/>
        <v>1</v>
      </c>
      <c r="J171" s="34">
        <f t="shared" si="589"/>
        <v>1</v>
      </c>
      <c r="K171" s="34">
        <f t="shared" si="589"/>
        <v>1</v>
      </c>
      <c r="L171" s="34">
        <f t="shared" si="589"/>
        <v>1</v>
      </c>
      <c r="M171" s="34">
        <f t="shared" si="589"/>
        <v>1</v>
      </c>
      <c r="N171" s="34">
        <f t="shared" si="589"/>
        <v>1</v>
      </c>
      <c r="O171" s="34">
        <f t="shared" si="589"/>
        <v>1</v>
      </c>
      <c r="P171" s="34">
        <f t="shared" si="589"/>
        <v>1</v>
      </c>
      <c r="Q171" s="34">
        <f t="shared" si="589"/>
        <v>1</v>
      </c>
      <c r="R171" s="34">
        <f t="shared" si="589"/>
        <v>1</v>
      </c>
      <c r="S171" s="34">
        <f t="shared" si="589"/>
        <v>1</v>
      </c>
      <c r="T171" s="34">
        <f t="shared" si="589"/>
        <v>1</v>
      </c>
      <c r="U171" s="34">
        <f t="shared" si="589"/>
        <v>1</v>
      </c>
      <c r="V171" s="34">
        <f t="shared" si="589"/>
        <v>1</v>
      </c>
      <c r="W171" s="34">
        <f t="shared" si="589"/>
        <v>1</v>
      </c>
      <c r="X171" s="34">
        <f t="shared" si="589"/>
        <v>1</v>
      </c>
      <c r="Y171" s="34">
        <f t="shared" si="589"/>
        <v>1</v>
      </c>
      <c r="Z171" s="34">
        <f t="shared" si="589"/>
        <v>1</v>
      </c>
      <c r="AA171" s="34">
        <f t="shared" si="589"/>
        <v>1</v>
      </c>
      <c r="AB171" s="34">
        <f t="shared" si="589"/>
        <v>1</v>
      </c>
      <c r="AC171" s="34">
        <f t="shared" si="589"/>
        <v>1</v>
      </c>
      <c r="AD171" s="34">
        <f t="shared" si="589"/>
        <v>1</v>
      </c>
      <c r="AE171" s="34">
        <f t="shared" si="589"/>
        <v>1</v>
      </c>
      <c r="AF171" s="34">
        <f t="shared" si="589"/>
        <v>1</v>
      </c>
      <c r="AG171" s="34">
        <f t="shared" si="589"/>
        <v>1</v>
      </c>
      <c r="AH171" s="34">
        <f t="shared" si="589"/>
        <v>1</v>
      </c>
      <c r="AI171" s="34">
        <f t="shared" si="589"/>
        <v>1</v>
      </c>
      <c r="AJ171" s="34">
        <f t="shared" si="589"/>
        <v>1</v>
      </c>
      <c r="AK171" s="34">
        <f t="shared" si="589"/>
        <v>1</v>
      </c>
      <c r="AL171" s="34">
        <f t="shared" ref="AL171:BQ171" si="590">IF(AL$170&gt;0,1,0)</f>
        <v>1</v>
      </c>
      <c r="AM171" s="34">
        <f t="shared" si="590"/>
        <v>1</v>
      </c>
      <c r="AN171" s="34">
        <f t="shared" si="590"/>
        <v>1</v>
      </c>
      <c r="AO171" s="34">
        <f t="shared" si="590"/>
        <v>1</v>
      </c>
      <c r="AP171" s="34">
        <f t="shared" si="590"/>
        <v>1</v>
      </c>
      <c r="AQ171" s="34">
        <f t="shared" si="590"/>
        <v>1</v>
      </c>
      <c r="AR171" s="34">
        <f t="shared" si="590"/>
        <v>1</v>
      </c>
      <c r="AS171" s="34">
        <f t="shared" si="590"/>
        <v>1</v>
      </c>
      <c r="AT171" s="34">
        <f t="shared" si="590"/>
        <v>1</v>
      </c>
      <c r="AU171" s="34">
        <f t="shared" si="590"/>
        <v>1</v>
      </c>
      <c r="AV171" s="34">
        <f t="shared" si="590"/>
        <v>1</v>
      </c>
      <c r="AW171" s="34">
        <f t="shared" si="590"/>
        <v>1</v>
      </c>
      <c r="AX171" s="34">
        <f t="shared" si="590"/>
        <v>1</v>
      </c>
      <c r="AY171" s="34">
        <f t="shared" si="590"/>
        <v>1</v>
      </c>
      <c r="AZ171" s="34">
        <f t="shared" si="590"/>
        <v>1</v>
      </c>
      <c r="BA171" s="34">
        <f t="shared" si="590"/>
        <v>1</v>
      </c>
      <c r="BB171" s="34">
        <f t="shared" si="590"/>
        <v>1</v>
      </c>
      <c r="BC171" s="34">
        <f t="shared" si="590"/>
        <v>1</v>
      </c>
      <c r="BD171" s="34">
        <f t="shared" si="590"/>
        <v>1</v>
      </c>
      <c r="BE171" s="34">
        <f t="shared" si="590"/>
        <v>1</v>
      </c>
      <c r="BF171" s="34">
        <f t="shared" si="590"/>
        <v>1</v>
      </c>
      <c r="BG171" s="34">
        <f t="shared" si="590"/>
        <v>1</v>
      </c>
      <c r="BH171" s="34">
        <f t="shared" si="590"/>
        <v>1</v>
      </c>
      <c r="BI171" s="34">
        <f t="shared" si="590"/>
        <v>1</v>
      </c>
      <c r="BJ171" s="34">
        <f t="shared" si="590"/>
        <v>1</v>
      </c>
      <c r="BK171" s="34">
        <f t="shared" si="590"/>
        <v>1</v>
      </c>
      <c r="BL171" s="34">
        <f t="shared" si="590"/>
        <v>1</v>
      </c>
      <c r="BM171" s="34">
        <f t="shared" si="590"/>
        <v>1</v>
      </c>
      <c r="BN171" s="34">
        <f t="shared" si="590"/>
        <v>1</v>
      </c>
      <c r="BO171" s="34">
        <f t="shared" si="590"/>
        <v>1</v>
      </c>
      <c r="BP171" s="34">
        <f t="shared" si="590"/>
        <v>1</v>
      </c>
      <c r="BQ171" s="34">
        <f t="shared" si="590"/>
        <v>1</v>
      </c>
      <c r="BR171" s="34">
        <f t="shared" ref="BR171:CW171" si="591">IF(BR$170&gt;0,1,0)</f>
        <v>1</v>
      </c>
      <c r="BS171" s="34">
        <f t="shared" si="591"/>
        <v>1</v>
      </c>
      <c r="BT171" s="34">
        <f t="shared" si="591"/>
        <v>1</v>
      </c>
      <c r="BU171" s="34">
        <f t="shared" si="591"/>
        <v>1</v>
      </c>
      <c r="BV171" s="34">
        <f t="shared" si="591"/>
        <v>1</v>
      </c>
      <c r="BW171" s="34">
        <f t="shared" si="591"/>
        <v>1</v>
      </c>
      <c r="BX171" s="34">
        <f t="shared" si="591"/>
        <v>1</v>
      </c>
      <c r="BY171" s="34">
        <f t="shared" si="591"/>
        <v>1</v>
      </c>
      <c r="BZ171" s="34">
        <f t="shared" si="591"/>
        <v>1</v>
      </c>
      <c r="CA171" s="34">
        <f t="shared" si="591"/>
        <v>1</v>
      </c>
      <c r="CB171" s="34">
        <f t="shared" si="591"/>
        <v>1</v>
      </c>
      <c r="CC171" s="34">
        <f t="shared" si="591"/>
        <v>1</v>
      </c>
      <c r="CD171" s="34">
        <f t="shared" si="591"/>
        <v>1</v>
      </c>
      <c r="CE171" s="34">
        <f t="shared" si="591"/>
        <v>1</v>
      </c>
      <c r="CF171" s="34">
        <f t="shared" si="591"/>
        <v>1</v>
      </c>
      <c r="CG171" s="34">
        <f t="shared" si="591"/>
        <v>1</v>
      </c>
      <c r="CH171" s="34">
        <f t="shared" si="591"/>
        <v>1</v>
      </c>
      <c r="CI171" s="34">
        <f t="shared" si="591"/>
        <v>1</v>
      </c>
      <c r="CJ171" s="34">
        <f t="shared" si="591"/>
        <v>1</v>
      </c>
      <c r="CK171" s="34">
        <f t="shared" si="591"/>
        <v>1</v>
      </c>
      <c r="CL171" s="34">
        <f t="shared" si="591"/>
        <v>1</v>
      </c>
      <c r="CM171" s="34">
        <f t="shared" si="591"/>
        <v>1</v>
      </c>
      <c r="CN171" s="34">
        <f t="shared" si="591"/>
        <v>1</v>
      </c>
      <c r="CO171" s="34">
        <f t="shared" si="591"/>
        <v>1</v>
      </c>
      <c r="CP171" s="34">
        <f t="shared" si="591"/>
        <v>1</v>
      </c>
      <c r="CQ171" s="34">
        <f t="shared" si="591"/>
        <v>1</v>
      </c>
      <c r="CR171" s="34">
        <f t="shared" si="591"/>
        <v>1</v>
      </c>
      <c r="CS171" s="34">
        <f t="shared" si="591"/>
        <v>1</v>
      </c>
      <c r="CT171" s="34">
        <f t="shared" si="591"/>
        <v>1</v>
      </c>
      <c r="CU171" s="34">
        <f t="shared" si="591"/>
        <v>1</v>
      </c>
      <c r="CV171" s="34">
        <f t="shared" si="591"/>
        <v>1</v>
      </c>
      <c r="CW171" s="34">
        <f t="shared" si="591"/>
        <v>1</v>
      </c>
      <c r="CX171" s="34">
        <f t="shared" ref="CX171:EC171" si="592">IF(CX$170&gt;0,1,0)</f>
        <v>1</v>
      </c>
      <c r="CY171" s="34">
        <f t="shared" si="592"/>
        <v>1</v>
      </c>
      <c r="CZ171" s="34">
        <f t="shared" si="592"/>
        <v>1</v>
      </c>
      <c r="DA171" s="34">
        <f t="shared" si="592"/>
        <v>1</v>
      </c>
      <c r="DB171" s="34">
        <f t="shared" si="592"/>
        <v>1</v>
      </c>
      <c r="DC171" s="34">
        <f t="shared" si="592"/>
        <v>1</v>
      </c>
      <c r="DD171" s="34">
        <f t="shared" si="592"/>
        <v>1</v>
      </c>
      <c r="DE171" s="34">
        <f t="shared" si="592"/>
        <v>1</v>
      </c>
      <c r="DF171" s="34">
        <f t="shared" si="592"/>
        <v>1</v>
      </c>
      <c r="DG171" s="34">
        <f t="shared" si="592"/>
        <v>1</v>
      </c>
      <c r="DH171" s="34">
        <f t="shared" si="592"/>
        <v>1</v>
      </c>
      <c r="DI171" s="34">
        <f t="shared" si="592"/>
        <v>1</v>
      </c>
      <c r="DJ171" s="34">
        <f t="shared" si="592"/>
        <v>1</v>
      </c>
      <c r="DK171" s="34">
        <f t="shared" si="592"/>
        <v>1</v>
      </c>
      <c r="DL171" s="34">
        <f t="shared" si="592"/>
        <v>1</v>
      </c>
      <c r="DM171" s="34">
        <f t="shared" si="592"/>
        <v>1</v>
      </c>
      <c r="DN171" s="34">
        <f t="shared" si="592"/>
        <v>1</v>
      </c>
      <c r="DO171" s="34">
        <f t="shared" si="592"/>
        <v>1</v>
      </c>
      <c r="DP171" s="34">
        <f t="shared" si="592"/>
        <v>1</v>
      </c>
      <c r="DQ171" s="34">
        <f t="shared" si="592"/>
        <v>1</v>
      </c>
      <c r="DR171" s="34">
        <f t="shared" si="592"/>
        <v>1</v>
      </c>
      <c r="DS171" s="34">
        <f t="shared" si="592"/>
        <v>1</v>
      </c>
      <c r="DT171" s="34">
        <f t="shared" si="592"/>
        <v>1</v>
      </c>
      <c r="DU171" s="34">
        <f t="shared" si="592"/>
        <v>1</v>
      </c>
      <c r="DV171" s="34">
        <f t="shared" si="592"/>
        <v>0</v>
      </c>
      <c r="DW171" s="34">
        <f t="shared" si="592"/>
        <v>0</v>
      </c>
      <c r="DX171" s="34">
        <f t="shared" si="592"/>
        <v>0</v>
      </c>
      <c r="DY171" s="34">
        <f t="shared" si="592"/>
        <v>0</v>
      </c>
      <c r="DZ171" s="34">
        <f t="shared" si="592"/>
        <v>0</v>
      </c>
      <c r="EA171" s="34">
        <f t="shared" si="592"/>
        <v>0</v>
      </c>
      <c r="EB171" s="34">
        <f t="shared" si="592"/>
        <v>0</v>
      </c>
      <c r="EC171" s="34">
        <f t="shared" si="592"/>
        <v>0</v>
      </c>
      <c r="ED171" s="34">
        <f t="shared" ref="ED171:ES171" si="593">IF(ED$170&gt;0,1,0)</f>
        <v>0</v>
      </c>
      <c r="EE171" s="34">
        <f t="shared" si="593"/>
        <v>0</v>
      </c>
      <c r="EF171" s="34">
        <f t="shared" si="593"/>
        <v>0</v>
      </c>
      <c r="EG171" s="34">
        <f t="shared" si="593"/>
        <v>0</v>
      </c>
      <c r="EH171" s="34">
        <f t="shared" si="593"/>
        <v>0</v>
      </c>
      <c r="EI171" s="34">
        <f t="shared" si="593"/>
        <v>0</v>
      </c>
      <c r="EJ171" s="34">
        <f t="shared" si="593"/>
        <v>0</v>
      </c>
      <c r="EK171" s="34">
        <f t="shared" si="593"/>
        <v>0</v>
      </c>
      <c r="EL171" s="34">
        <f t="shared" si="593"/>
        <v>0</v>
      </c>
      <c r="EM171" s="34">
        <f t="shared" si="593"/>
        <v>0</v>
      </c>
      <c r="EN171" s="34">
        <f t="shared" si="593"/>
        <v>0</v>
      </c>
      <c r="EO171" s="34">
        <f t="shared" si="593"/>
        <v>0</v>
      </c>
      <c r="EP171" s="34">
        <f t="shared" si="593"/>
        <v>0</v>
      </c>
      <c r="EQ171" s="34">
        <f t="shared" si="593"/>
        <v>0</v>
      </c>
      <c r="ER171" s="34">
        <f t="shared" si="593"/>
        <v>0</v>
      </c>
      <c r="ES171" s="34">
        <f t="shared" si="593"/>
        <v>0</v>
      </c>
    </row>
    <row r="172" spans="1:149" x14ac:dyDescent="0.3">
      <c r="A172" s="14" t="s">
        <v>1228</v>
      </c>
      <c r="B172" s="18" t="s">
        <v>991</v>
      </c>
      <c r="C172" s="18" t="s">
        <v>989</v>
      </c>
      <c r="E172" s="67">
        <f>SUM(F172:ES172)</f>
        <v>0</v>
      </c>
      <c r="F172" s="34">
        <f>IF(AND(1&lt;V_Inicio,1&lt;=Fin),1,0)</f>
        <v>0</v>
      </c>
      <c r="G172" s="34">
        <f>IF(AND(2&lt;V_Inicio,2&lt;=Fin),1,0)</f>
        <v>0</v>
      </c>
      <c r="H172" s="34">
        <f>IF(AND(3&lt;V_Inicio,3&lt;=Fin),1,0)</f>
        <v>0</v>
      </c>
      <c r="I172" s="34">
        <f>IF(AND(4&lt;V_Inicio,4&lt;=Fin),1,0)</f>
        <v>0</v>
      </c>
      <c r="J172" s="34">
        <f>IF(AND(5&lt;V_Inicio,5&lt;=Fin),1,0)</f>
        <v>0</v>
      </c>
      <c r="K172" s="34">
        <f>IF(AND(6&lt;V_Inicio,6&lt;=Fin),1,0)</f>
        <v>0</v>
      </c>
      <c r="L172" s="34">
        <f>IF(AND(7&lt;V_Inicio,7&lt;=Fin),1,0)</f>
        <v>0</v>
      </c>
      <c r="M172" s="34">
        <f>IF(AND(8&lt;V_Inicio,8&lt;=Fin),1,0)</f>
        <v>0</v>
      </c>
      <c r="N172" s="34">
        <f>IF(AND(9&lt;V_Inicio,9&lt;=Fin),1,0)</f>
        <v>0</v>
      </c>
      <c r="O172" s="34">
        <f>IF(AND(10&lt;V_Inicio,10&lt;=Fin),1,0)</f>
        <v>0</v>
      </c>
      <c r="P172" s="34">
        <f>IF(AND(11&lt;V_Inicio,11&lt;=Fin),1,0)</f>
        <v>0</v>
      </c>
      <c r="Q172" s="34">
        <f>IF(AND(12&lt;V_Inicio,12&lt;=Fin),1,0)</f>
        <v>0</v>
      </c>
      <c r="R172" s="34">
        <f>IF(AND(13&lt;V_Inicio,13&lt;=Fin),1,0)</f>
        <v>0</v>
      </c>
      <c r="S172" s="34">
        <f>IF(AND(14&lt;V_Inicio,14&lt;=Fin),1,0)</f>
        <v>0</v>
      </c>
      <c r="T172" s="34">
        <f>IF(AND(15&lt;V_Inicio,15&lt;=Fin),1,0)</f>
        <v>0</v>
      </c>
      <c r="U172" s="34">
        <f>IF(AND(16&lt;V_Inicio,16&lt;=Fin),1,0)</f>
        <v>0</v>
      </c>
      <c r="V172" s="34">
        <f>IF(AND(17&lt;V_Inicio,17&lt;=Fin),1,0)</f>
        <v>0</v>
      </c>
      <c r="W172" s="34">
        <f>IF(AND(18&lt;V_Inicio,18&lt;=Fin),1,0)</f>
        <v>0</v>
      </c>
      <c r="X172" s="34">
        <f>IF(AND(19&lt;V_Inicio,19&lt;=Fin),1,0)</f>
        <v>0</v>
      </c>
      <c r="Y172" s="34">
        <f>IF(AND(20&lt;V_Inicio,20&lt;=Fin),1,0)</f>
        <v>0</v>
      </c>
      <c r="Z172" s="34">
        <f>IF(AND(21&lt;V_Inicio,21&lt;=Fin),1,0)</f>
        <v>0</v>
      </c>
      <c r="AA172" s="34">
        <f>IF(AND(22&lt;V_Inicio,22&lt;=Fin),1,0)</f>
        <v>0</v>
      </c>
      <c r="AB172" s="34">
        <f>IF(AND(23&lt;V_Inicio,23&lt;=Fin),1,0)</f>
        <v>0</v>
      </c>
      <c r="AC172" s="34">
        <f>IF(AND(24&lt;V_Inicio,24&lt;=Fin),1,0)</f>
        <v>0</v>
      </c>
      <c r="AD172" s="34">
        <f>IF(AND(25&lt;V_Inicio,25&lt;=Fin),1,0)</f>
        <v>0</v>
      </c>
      <c r="AE172" s="34">
        <f>IF(AND(26&lt;V_Inicio,26&lt;=Fin),1,0)</f>
        <v>0</v>
      </c>
      <c r="AF172" s="34">
        <f>IF(AND(27&lt;V_Inicio,27&lt;=Fin),1,0)</f>
        <v>0</v>
      </c>
      <c r="AG172" s="34">
        <f>IF(AND(28&lt;V_Inicio,28&lt;=Fin),1,0)</f>
        <v>0</v>
      </c>
      <c r="AH172" s="34">
        <f>IF(AND(29&lt;V_Inicio,29&lt;=Fin),1,0)</f>
        <v>0</v>
      </c>
      <c r="AI172" s="34">
        <f>IF(AND(30&lt;V_Inicio,30&lt;=Fin),1,0)</f>
        <v>0</v>
      </c>
      <c r="AJ172" s="34">
        <f>IF(AND(31&lt;V_Inicio,31&lt;=Fin),1,0)</f>
        <v>0</v>
      </c>
      <c r="AK172" s="34">
        <f>IF(AND(32&lt;V_Inicio,32&lt;=Fin),1,0)</f>
        <v>0</v>
      </c>
      <c r="AL172" s="34">
        <f>IF(AND(33&lt;V_Inicio,33&lt;=Fin),1,0)</f>
        <v>0</v>
      </c>
      <c r="AM172" s="34">
        <f>IF(AND(34&lt;V_Inicio,34&lt;=Fin),1,0)</f>
        <v>0</v>
      </c>
      <c r="AN172" s="34">
        <f>IF(AND(35&lt;V_Inicio,35&lt;=Fin),1,0)</f>
        <v>0</v>
      </c>
      <c r="AO172" s="34">
        <f>IF(AND(36&lt;V_Inicio,36&lt;=Fin),1,0)</f>
        <v>0</v>
      </c>
      <c r="AP172" s="34">
        <f>IF(AND(37&lt;V_Inicio,37&lt;=Fin),1,0)</f>
        <v>0</v>
      </c>
      <c r="AQ172" s="34">
        <f>IF(AND(38&lt;V_Inicio,38&lt;=Fin),1,0)</f>
        <v>0</v>
      </c>
      <c r="AR172" s="34">
        <f>IF(AND(39&lt;V_Inicio,39&lt;=Fin),1,0)</f>
        <v>0</v>
      </c>
      <c r="AS172" s="34">
        <f>IF(AND(40&lt;V_Inicio,40&lt;=Fin),1,0)</f>
        <v>0</v>
      </c>
      <c r="AT172" s="34">
        <f>IF(AND(41&lt;V_Inicio,41&lt;=Fin),1,0)</f>
        <v>0</v>
      </c>
      <c r="AU172" s="34">
        <f>IF(AND(42&lt;V_Inicio,42&lt;=Fin),1,0)</f>
        <v>0</v>
      </c>
      <c r="AV172" s="34">
        <f>IF(AND(43&lt;V_Inicio,43&lt;=Fin),1,0)</f>
        <v>0</v>
      </c>
      <c r="AW172" s="34">
        <f>IF(AND(44&lt;V_Inicio,44&lt;=Fin),1,0)</f>
        <v>0</v>
      </c>
      <c r="AX172" s="34">
        <f>IF(AND(45&lt;V_Inicio,45&lt;=Fin),1,0)</f>
        <v>0</v>
      </c>
      <c r="AY172" s="34">
        <f>IF(AND(46&lt;V_Inicio,46&lt;=Fin),1,0)</f>
        <v>0</v>
      </c>
      <c r="AZ172" s="34">
        <f>IF(AND(47&lt;V_Inicio,47&lt;=Fin),1,0)</f>
        <v>0</v>
      </c>
      <c r="BA172" s="34">
        <f>IF(AND(48&lt;V_Inicio,48&lt;=Fin),1,0)</f>
        <v>0</v>
      </c>
      <c r="BB172" s="34">
        <f>IF(AND(49&lt;V_Inicio,49&lt;=Fin),1,0)</f>
        <v>0</v>
      </c>
      <c r="BC172" s="34">
        <f>IF(AND(50&lt;V_Inicio,50&lt;=Fin),1,0)</f>
        <v>0</v>
      </c>
      <c r="BD172" s="34">
        <f>IF(AND(51&lt;V_Inicio,51&lt;=Fin),1,0)</f>
        <v>0</v>
      </c>
      <c r="BE172" s="34">
        <f>IF(AND(52&lt;V_Inicio,52&lt;=Fin),1,0)</f>
        <v>0</v>
      </c>
      <c r="BF172" s="34">
        <f>IF(AND(53&lt;V_Inicio,53&lt;=Fin),1,0)</f>
        <v>0</v>
      </c>
      <c r="BG172" s="34">
        <f>IF(AND(54&lt;V_Inicio,54&lt;=Fin),1,0)</f>
        <v>0</v>
      </c>
      <c r="BH172" s="34">
        <f>IF(AND(55&lt;V_Inicio,55&lt;=Fin),1,0)</f>
        <v>0</v>
      </c>
      <c r="BI172" s="34">
        <f>IF(AND(56&lt;V_Inicio,56&lt;=Fin),1,0)</f>
        <v>0</v>
      </c>
      <c r="BJ172" s="34">
        <f>IF(AND(57&lt;V_Inicio,57&lt;=Fin),1,0)</f>
        <v>0</v>
      </c>
      <c r="BK172" s="34">
        <f>IF(AND(58&lt;V_Inicio,58&lt;=Fin),1,0)</f>
        <v>0</v>
      </c>
      <c r="BL172" s="34">
        <f>IF(AND(59&lt;V_Inicio,59&lt;=Fin),1,0)</f>
        <v>0</v>
      </c>
      <c r="BM172" s="34">
        <f>IF(AND(60&lt;V_Inicio,60&lt;=Fin),1,0)</f>
        <v>0</v>
      </c>
      <c r="BN172" s="34">
        <f>IF(AND(61&lt;V_Inicio,61&lt;=Fin),1,0)</f>
        <v>0</v>
      </c>
      <c r="BO172" s="34">
        <f>IF(AND(62&lt;V_Inicio,62&lt;=Fin),1,0)</f>
        <v>0</v>
      </c>
      <c r="BP172" s="34">
        <f>IF(AND(63&lt;V_Inicio,63&lt;=Fin),1,0)</f>
        <v>0</v>
      </c>
      <c r="BQ172" s="34">
        <f>IF(AND(64&lt;V_Inicio,64&lt;=Fin),1,0)</f>
        <v>0</v>
      </c>
      <c r="BR172" s="34">
        <f>IF(AND(65&lt;V_Inicio,65&lt;=Fin),1,0)</f>
        <v>0</v>
      </c>
      <c r="BS172" s="34">
        <f>IF(AND(66&lt;V_Inicio,66&lt;=Fin),1,0)</f>
        <v>0</v>
      </c>
      <c r="BT172" s="34">
        <f>IF(AND(67&lt;V_Inicio,67&lt;=Fin),1,0)</f>
        <v>0</v>
      </c>
      <c r="BU172" s="34">
        <f>IF(AND(68&lt;V_Inicio,68&lt;=Fin),1,0)</f>
        <v>0</v>
      </c>
      <c r="BV172" s="34">
        <f>IF(AND(69&lt;V_Inicio,69&lt;=Fin),1,0)</f>
        <v>0</v>
      </c>
      <c r="BW172" s="34">
        <f>IF(AND(70&lt;V_Inicio,70&lt;=Fin),1,0)</f>
        <v>0</v>
      </c>
      <c r="BX172" s="34">
        <f>IF(AND(71&lt;V_Inicio,71&lt;=Fin),1,0)</f>
        <v>0</v>
      </c>
      <c r="BY172" s="34">
        <f>IF(AND(72&lt;V_Inicio,72&lt;=Fin),1,0)</f>
        <v>0</v>
      </c>
      <c r="BZ172" s="34">
        <f>IF(AND(73&lt;V_Inicio,73&lt;=Fin),1,0)</f>
        <v>0</v>
      </c>
      <c r="CA172" s="34">
        <f>IF(AND(74&lt;V_Inicio,74&lt;=Fin),1,0)</f>
        <v>0</v>
      </c>
      <c r="CB172" s="34">
        <f>IF(AND(75&lt;V_Inicio,75&lt;=Fin),1,0)</f>
        <v>0</v>
      </c>
      <c r="CC172" s="34">
        <f>IF(AND(76&lt;V_Inicio,76&lt;=Fin),1,0)</f>
        <v>0</v>
      </c>
      <c r="CD172" s="34">
        <f>IF(AND(77&lt;V_Inicio,77&lt;=Fin),1,0)</f>
        <v>0</v>
      </c>
      <c r="CE172" s="34">
        <f>IF(AND(78&lt;V_Inicio,78&lt;=Fin),1,0)</f>
        <v>0</v>
      </c>
      <c r="CF172" s="34">
        <f>IF(AND(79&lt;V_Inicio,79&lt;=Fin),1,0)</f>
        <v>0</v>
      </c>
      <c r="CG172" s="34">
        <f>IF(AND(80&lt;V_Inicio,80&lt;=Fin),1,0)</f>
        <v>0</v>
      </c>
      <c r="CH172" s="34">
        <f>IF(AND(81&lt;V_Inicio,81&lt;=Fin),1,0)</f>
        <v>0</v>
      </c>
      <c r="CI172" s="34">
        <f>IF(AND(82&lt;V_Inicio,82&lt;=Fin),1,0)</f>
        <v>0</v>
      </c>
      <c r="CJ172" s="34">
        <f>IF(AND(83&lt;V_Inicio,83&lt;=Fin),1,0)</f>
        <v>0</v>
      </c>
      <c r="CK172" s="34">
        <f>IF(AND(84&lt;V_Inicio,84&lt;=Fin),1,0)</f>
        <v>0</v>
      </c>
      <c r="CL172" s="34">
        <f>IF(AND(85&lt;V_Inicio,85&lt;=Fin),1,0)</f>
        <v>0</v>
      </c>
      <c r="CM172" s="34">
        <f>IF(AND(86&lt;V_Inicio,86&lt;=Fin),1,0)</f>
        <v>0</v>
      </c>
      <c r="CN172" s="34">
        <f>IF(AND(87&lt;V_Inicio,87&lt;=Fin),1,0)</f>
        <v>0</v>
      </c>
      <c r="CO172" s="34">
        <f>IF(AND(88&lt;V_Inicio,88&lt;=Fin),1,0)</f>
        <v>0</v>
      </c>
      <c r="CP172" s="34">
        <f>IF(AND(89&lt;V_Inicio,89&lt;=Fin),1,0)</f>
        <v>0</v>
      </c>
      <c r="CQ172" s="34">
        <f>IF(AND(90&lt;V_Inicio,90&lt;=Fin),1,0)</f>
        <v>0</v>
      </c>
      <c r="CR172" s="34">
        <f>IF(AND(91&lt;V_Inicio,91&lt;=Fin),1,0)</f>
        <v>0</v>
      </c>
      <c r="CS172" s="34">
        <f>IF(AND(92&lt;V_Inicio,92&lt;=Fin),1,0)</f>
        <v>0</v>
      </c>
      <c r="CT172" s="34">
        <f>IF(AND(93&lt;V_Inicio,93&lt;=Fin),1,0)</f>
        <v>0</v>
      </c>
      <c r="CU172" s="34">
        <f>IF(AND(94&lt;V_Inicio,94&lt;=Fin),1,0)</f>
        <v>0</v>
      </c>
      <c r="CV172" s="34">
        <f>IF(AND(95&lt;V_Inicio,95&lt;=Fin),1,0)</f>
        <v>0</v>
      </c>
      <c r="CW172" s="34">
        <f>IF(AND(96&lt;V_Inicio,96&lt;=Fin),1,0)</f>
        <v>0</v>
      </c>
      <c r="CX172" s="34">
        <f>IF(AND(97&lt;V_Inicio,97&lt;=Fin),1,0)</f>
        <v>0</v>
      </c>
      <c r="CY172" s="34">
        <f>IF(AND(98&lt;V_Inicio,98&lt;=Fin),1,0)</f>
        <v>0</v>
      </c>
      <c r="CZ172" s="34">
        <f>IF(AND(99&lt;V_Inicio,99&lt;=Fin),1,0)</f>
        <v>0</v>
      </c>
      <c r="DA172" s="34">
        <f>IF(AND(100&lt;V_Inicio,100&lt;=Fin),1,0)</f>
        <v>0</v>
      </c>
      <c r="DB172" s="34">
        <f>IF(AND(101&lt;V_Inicio,101&lt;=Fin),1,0)</f>
        <v>0</v>
      </c>
      <c r="DC172" s="34">
        <f>IF(AND(102&lt;V_Inicio,102&lt;=Fin),1,0)</f>
        <v>0</v>
      </c>
      <c r="DD172" s="34">
        <f>IF(AND(103&lt;V_Inicio,103&lt;=Fin),1,0)</f>
        <v>0</v>
      </c>
      <c r="DE172" s="34">
        <f>IF(AND(104&lt;V_Inicio,104&lt;=Fin),1,0)</f>
        <v>0</v>
      </c>
      <c r="DF172" s="34">
        <f>IF(AND(105&lt;V_Inicio,105&lt;=Fin),1,0)</f>
        <v>0</v>
      </c>
      <c r="DG172" s="34">
        <f>IF(AND(106&lt;V_Inicio,106&lt;=Fin),1,0)</f>
        <v>0</v>
      </c>
      <c r="DH172" s="34">
        <f>IF(AND(107&lt;V_Inicio,107&lt;=Fin),1,0)</f>
        <v>0</v>
      </c>
      <c r="DI172" s="34">
        <f>IF(AND(108&lt;V_Inicio,108&lt;=Fin),1,0)</f>
        <v>0</v>
      </c>
      <c r="DJ172" s="34">
        <f>IF(AND(109&lt;V_Inicio,109&lt;=Fin),1,0)</f>
        <v>0</v>
      </c>
      <c r="DK172" s="34">
        <f>IF(AND(110&lt;V_Inicio,110&lt;=Fin),1,0)</f>
        <v>0</v>
      </c>
      <c r="DL172" s="34">
        <f>IF(AND(111&lt;V_Inicio,111&lt;=Fin),1,0)</f>
        <v>0</v>
      </c>
      <c r="DM172" s="34">
        <f>IF(AND(112&lt;V_Inicio,112&lt;=Fin),1,0)</f>
        <v>0</v>
      </c>
      <c r="DN172" s="34">
        <f>IF(AND(113&lt;V_Inicio,113&lt;=Fin),1,0)</f>
        <v>0</v>
      </c>
      <c r="DO172" s="34">
        <f>IF(AND(114&lt;V_Inicio,114&lt;=Fin),1,0)</f>
        <v>0</v>
      </c>
      <c r="DP172" s="34">
        <f>IF(AND(115&lt;V_Inicio,115&lt;=Fin),1,0)</f>
        <v>0</v>
      </c>
      <c r="DQ172" s="34">
        <f>IF(AND(116&lt;V_Inicio,116&lt;=Fin),1,0)</f>
        <v>0</v>
      </c>
      <c r="DR172" s="34">
        <f>IF(AND(117&lt;V_Inicio,117&lt;=Fin),1,0)</f>
        <v>0</v>
      </c>
      <c r="DS172" s="34">
        <f>IF(AND(118&lt;V_Inicio,118&lt;=Fin),1,0)</f>
        <v>0</v>
      </c>
      <c r="DT172" s="34">
        <f>IF(AND(119&lt;V_Inicio,119&lt;=Fin),1,0)</f>
        <v>0</v>
      </c>
      <c r="DU172" s="34">
        <f>IF(AND(120&lt;V_Inicio,120&lt;=Fin),1,0)</f>
        <v>0</v>
      </c>
      <c r="DV172" s="34">
        <f>IF(AND(121&lt;V_Inicio,121&lt;=Fin),1,0)</f>
        <v>0</v>
      </c>
      <c r="DW172" s="34">
        <f>IF(AND(122&lt;V_Inicio,122&lt;=Fin),1,0)</f>
        <v>0</v>
      </c>
      <c r="DX172" s="34">
        <f>IF(AND(123&lt;V_Inicio,123&lt;=Fin),1,0)</f>
        <v>0</v>
      </c>
      <c r="DY172" s="34">
        <f>IF(AND(124&lt;V_Inicio,124&lt;=Fin),1,0)</f>
        <v>0</v>
      </c>
      <c r="DZ172" s="34">
        <f>IF(AND(125&lt;V_Inicio,125&lt;=Fin),1,0)</f>
        <v>0</v>
      </c>
      <c r="EA172" s="34">
        <f>IF(AND(126&lt;V_Inicio,126&lt;=Fin),1,0)</f>
        <v>0</v>
      </c>
      <c r="EB172" s="34">
        <f>IF(AND(127&lt;V_Inicio,127&lt;=Fin),1,0)</f>
        <v>0</v>
      </c>
      <c r="EC172" s="34">
        <f>IF(AND(128&lt;V_Inicio,128&lt;=Fin),1,0)</f>
        <v>0</v>
      </c>
      <c r="ED172" s="34">
        <f>IF(AND(129&lt;V_Inicio,129&lt;=Fin),1,0)</f>
        <v>0</v>
      </c>
      <c r="EE172" s="34">
        <f>IF(AND(130&lt;V_Inicio,130&lt;=Fin),1,0)</f>
        <v>0</v>
      </c>
      <c r="EF172" s="34">
        <f>IF(AND(131&lt;V_Inicio,131&lt;=Fin),1,0)</f>
        <v>0</v>
      </c>
      <c r="EG172" s="34">
        <f>IF(AND(132&lt;V_Inicio,132&lt;=Fin),1,0)</f>
        <v>0</v>
      </c>
      <c r="EH172" s="34">
        <f>IF(AND(133&lt;V_Inicio,133&lt;=Fin),1,0)</f>
        <v>0</v>
      </c>
      <c r="EI172" s="34">
        <f>IF(AND(134&lt;V_Inicio,134&lt;=Fin),1,0)</f>
        <v>0</v>
      </c>
      <c r="EJ172" s="34">
        <f>IF(AND(135&lt;V_Inicio,135&lt;=Fin),1,0)</f>
        <v>0</v>
      </c>
      <c r="EK172" s="34">
        <f>IF(AND(136&lt;V_Inicio,136&lt;=Fin),1,0)</f>
        <v>0</v>
      </c>
      <c r="EL172" s="34">
        <f>IF(AND(137&lt;V_Inicio,137&lt;=Fin),1,0)</f>
        <v>0</v>
      </c>
      <c r="EM172" s="34">
        <f>IF(AND(138&lt;V_Inicio,138&lt;=Fin),1,0)</f>
        <v>0</v>
      </c>
      <c r="EN172" s="34">
        <f>IF(AND(139&lt;V_Inicio,139&lt;=Fin),1,0)</f>
        <v>0</v>
      </c>
      <c r="EO172" s="34">
        <f>IF(AND(140&lt;V_Inicio,140&lt;=Fin),1,0)</f>
        <v>0</v>
      </c>
      <c r="EP172" s="34">
        <f>IF(AND(141&lt;V_Inicio,141&lt;=Fin),1,0)</f>
        <v>0</v>
      </c>
      <c r="EQ172" s="34">
        <f>IF(AND(142&lt;V_Inicio,142&lt;=Fin),1,0)</f>
        <v>0</v>
      </c>
      <c r="ER172" s="34">
        <f>IF(AND(143&lt;V_Inicio,143&lt;=Fin),1,0)</f>
        <v>0</v>
      </c>
      <c r="ES172" s="34">
        <f>IF(AND(144&lt;V_Inicio,144&lt;=Fin),1,0)</f>
        <v>0</v>
      </c>
    </row>
    <row r="173" spans="1:149" x14ac:dyDescent="0.3">
      <c r="A173" s="14" t="s">
        <v>1229</v>
      </c>
      <c r="B173" s="18" t="s">
        <v>993</v>
      </c>
      <c r="C173" s="18" t="s">
        <v>986</v>
      </c>
      <c r="F173" s="34">
        <f t="shared" ref="F173:AK173" si="594">MAX(1,F$170)</f>
        <v>1</v>
      </c>
      <c r="G173" s="34">
        <f t="shared" si="594"/>
        <v>1</v>
      </c>
      <c r="H173" s="34">
        <f t="shared" si="594"/>
        <v>1</v>
      </c>
      <c r="I173" s="34">
        <f t="shared" si="594"/>
        <v>1</v>
      </c>
      <c r="J173" s="34">
        <f t="shared" si="594"/>
        <v>1</v>
      </c>
      <c r="K173" s="34">
        <f t="shared" si="594"/>
        <v>1</v>
      </c>
      <c r="L173" s="34">
        <f t="shared" si="594"/>
        <v>1</v>
      </c>
      <c r="M173" s="34">
        <f t="shared" si="594"/>
        <v>1</v>
      </c>
      <c r="N173" s="34">
        <f t="shared" si="594"/>
        <v>1</v>
      </c>
      <c r="O173" s="34">
        <f t="shared" si="594"/>
        <v>1</v>
      </c>
      <c r="P173" s="34">
        <f t="shared" si="594"/>
        <v>1</v>
      </c>
      <c r="Q173" s="34">
        <f t="shared" si="594"/>
        <v>1</v>
      </c>
      <c r="R173" s="34">
        <f t="shared" si="594"/>
        <v>2</v>
      </c>
      <c r="S173" s="34">
        <f t="shared" si="594"/>
        <v>2</v>
      </c>
      <c r="T173" s="34">
        <f t="shared" si="594"/>
        <v>2</v>
      </c>
      <c r="U173" s="34">
        <f t="shared" si="594"/>
        <v>2</v>
      </c>
      <c r="V173" s="34">
        <f t="shared" si="594"/>
        <v>2</v>
      </c>
      <c r="W173" s="34">
        <f t="shared" si="594"/>
        <v>2</v>
      </c>
      <c r="X173" s="34">
        <f t="shared" si="594"/>
        <v>2</v>
      </c>
      <c r="Y173" s="34">
        <f t="shared" si="594"/>
        <v>2</v>
      </c>
      <c r="Z173" s="34">
        <f t="shared" si="594"/>
        <v>2</v>
      </c>
      <c r="AA173" s="34">
        <f t="shared" si="594"/>
        <v>2</v>
      </c>
      <c r="AB173" s="34">
        <f t="shared" si="594"/>
        <v>2</v>
      </c>
      <c r="AC173" s="34">
        <f t="shared" si="594"/>
        <v>2</v>
      </c>
      <c r="AD173" s="34">
        <f t="shared" si="594"/>
        <v>3</v>
      </c>
      <c r="AE173" s="34">
        <f t="shared" si="594"/>
        <v>3</v>
      </c>
      <c r="AF173" s="34">
        <f t="shared" si="594"/>
        <v>3</v>
      </c>
      <c r="AG173" s="34">
        <f t="shared" si="594"/>
        <v>3</v>
      </c>
      <c r="AH173" s="34">
        <f t="shared" si="594"/>
        <v>3</v>
      </c>
      <c r="AI173" s="34">
        <f t="shared" si="594"/>
        <v>3</v>
      </c>
      <c r="AJ173" s="34">
        <f t="shared" si="594"/>
        <v>3</v>
      </c>
      <c r="AK173" s="34">
        <f t="shared" si="594"/>
        <v>3</v>
      </c>
      <c r="AL173" s="34">
        <f t="shared" ref="AL173:BQ173" si="595">MAX(1,AL$170)</f>
        <v>3</v>
      </c>
      <c r="AM173" s="34">
        <f t="shared" si="595"/>
        <v>3</v>
      </c>
      <c r="AN173" s="34">
        <f t="shared" si="595"/>
        <v>3</v>
      </c>
      <c r="AO173" s="34">
        <f t="shared" si="595"/>
        <v>3</v>
      </c>
      <c r="AP173" s="34">
        <f t="shared" si="595"/>
        <v>4</v>
      </c>
      <c r="AQ173" s="34">
        <f t="shared" si="595"/>
        <v>4</v>
      </c>
      <c r="AR173" s="34">
        <f t="shared" si="595"/>
        <v>4</v>
      </c>
      <c r="AS173" s="34">
        <f t="shared" si="595"/>
        <v>4</v>
      </c>
      <c r="AT173" s="34">
        <f t="shared" si="595"/>
        <v>4</v>
      </c>
      <c r="AU173" s="34">
        <f t="shared" si="595"/>
        <v>4</v>
      </c>
      <c r="AV173" s="34">
        <f t="shared" si="595"/>
        <v>4</v>
      </c>
      <c r="AW173" s="34">
        <f t="shared" si="595"/>
        <v>4</v>
      </c>
      <c r="AX173" s="34">
        <f t="shared" si="595"/>
        <v>4</v>
      </c>
      <c r="AY173" s="34">
        <f t="shared" si="595"/>
        <v>4</v>
      </c>
      <c r="AZ173" s="34">
        <f t="shared" si="595"/>
        <v>4</v>
      </c>
      <c r="BA173" s="34">
        <f t="shared" si="595"/>
        <v>4</v>
      </c>
      <c r="BB173" s="34">
        <f t="shared" si="595"/>
        <v>5</v>
      </c>
      <c r="BC173" s="34">
        <f t="shared" si="595"/>
        <v>5</v>
      </c>
      <c r="BD173" s="34">
        <f t="shared" si="595"/>
        <v>5</v>
      </c>
      <c r="BE173" s="34">
        <f t="shared" si="595"/>
        <v>5</v>
      </c>
      <c r="BF173" s="34">
        <f t="shared" si="595"/>
        <v>5</v>
      </c>
      <c r="BG173" s="34">
        <f t="shared" si="595"/>
        <v>5</v>
      </c>
      <c r="BH173" s="34">
        <f t="shared" si="595"/>
        <v>5</v>
      </c>
      <c r="BI173" s="34">
        <f t="shared" si="595"/>
        <v>5</v>
      </c>
      <c r="BJ173" s="34">
        <f t="shared" si="595"/>
        <v>5</v>
      </c>
      <c r="BK173" s="34">
        <f t="shared" si="595"/>
        <v>5</v>
      </c>
      <c r="BL173" s="34">
        <f t="shared" si="595"/>
        <v>5</v>
      </c>
      <c r="BM173" s="34">
        <f t="shared" si="595"/>
        <v>5</v>
      </c>
      <c r="BN173" s="34">
        <f t="shared" si="595"/>
        <v>6</v>
      </c>
      <c r="BO173" s="34">
        <f t="shared" si="595"/>
        <v>6</v>
      </c>
      <c r="BP173" s="34">
        <f t="shared" si="595"/>
        <v>6</v>
      </c>
      <c r="BQ173" s="34">
        <f t="shared" si="595"/>
        <v>6</v>
      </c>
      <c r="BR173" s="34">
        <f t="shared" ref="BR173:CW173" si="596">MAX(1,BR$170)</f>
        <v>6</v>
      </c>
      <c r="BS173" s="34">
        <f t="shared" si="596"/>
        <v>6</v>
      </c>
      <c r="BT173" s="34">
        <f t="shared" si="596"/>
        <v>6</v>
      </c>
      <c r="BU173" s="34">
        <f t="shared" si="596"/>
        <v>6</v>
      </c>
      <c r="BV173" s="34">
        <f t="shared" si="596"/>
        <v>6</v>
      </c>
      <c r="BW173" s="34">
        <f t="shared" si="596"/>
        <v>6</v>
      </c>
      <c r="BX173" s="34">
        <f t="shared" si="596"/>
        <v>6</v>
      </c>
      <c r="BY173" s="34">
        <f t="shared" si="596"/>
        <v>6</v>
      </c>
      <c r="BZ173" s="34">
        <f t="shared" si="596"/>
        <v>7</v>
      </c>
      <c r="CA173" s="34">
        <f t="shared" si="596"/>
        <v>7</v>
      </c>
      <c r="CB173" s="34">
        <f t="shared" si="596"/>
        <v>7</v>
      </c>
      <c r="CC173" s="34">
        <f t="shared" si="596"/>
        <v>7</v>
      </c>
      <c r="CD173" s="34">
        <f t="shared" si="596"/>
        <v>7</v>
      </c>
      <c r="CE173" s="34">
        <f t="shared" si="596"/>
        <v>7</v>
      </c>
      <c r="CF173" s="34">
        <f t="shared" si="596"/>
        <v>7</v>
      </c>
      <c r="CG173" s="34">
        <f t="shared" si="596"/>
        <v>7</v>
      </c>
      <c r="CH173" s="34">
        <f t="shared" si="596"/>
        <v>7</v>
      </c>
      <c r="CI173" s="34">
        <f t="shared" si="596"/>
        <v>7</v>
      </c>
      <c r="CJ173" s="34">
        <f t="shared" si="596"/>
        <v>7</v>
      </c>
      <c r="CK173" s="34">
        <f t="shared" si="596"/>
        <v>7</v>
      </c>
      <c r="CL173" s="34">
        <f t="shared" si="596"/>
        <v>8</v>
      </c>
      <c r="CM173" s="34">
        <f t="shared" si="596"/>
        <v>8</v>
      </c>
      <c r="CN173" s="34">
        <f t="shared" si="596"/>
        <v>8</v>
      </c>
      <c r="CO173" s="34">
        <f t="shared" si="596"/>
        <v>8</v>
      </c>
      <c r="CP173" s="34">
        <f t="shared" si="596"/>
        <v>8</v>
      </c>
      <c r="CQ173" s="34">
        <f t="shared" si="596"/>
        <v>8</v>
      </c>
      <c r="CR173" s="34">
        <f t="shared" si="596"/>
        <v>8</v>
      </c>
      <c r="CS173" s="34">
        <f t="shared" si="596"/>
        <v>8</v>
      </c>
      <c r="CT173" s="34">
        <f t="shared" si="596"/>
        <v>8</v>
      </c>
      <c r="CU173" s="34">
        <f t="shared" si="596"/>
        <v>8</v>
      </c>
      <c r="CV173" s="34">
        <f t="shared" si="596"/>
        <v>8</v>
      </c>
      <c r="CW173" s="34">
        <f t="shared" si="596"/>
        <v>8</v>
      </c>
      <c r="CX173" s="34">
        <f t="shared" ref="CX173:EC173" si="597">MAX(1,CX$170)</f>
        <v>9</v>
      </c>
      <c r="CY173" s="34">
        <f t="shared" si="597"/>
        <v>9</v>
      </c>
      <c r="CZ173" s="34">
        <f t="shared" si="597"/>
        <v>9</v>
      </c>
      <c r="DA173" s="34">
        <f t="shared" si="597"/>
        <v>9</v>
      </c>
      <c r="DB173" s="34">
        <f t="shared" si="597"/>
        <v>9</v>
      </c>
      <c r="DC173" s="34">
        <f t="shared" si="597"/>
        <v>9</v>
      </c>
      <c r="DD173" s="34">
        <f t="shared" si="597"/>
        <v>9</v>
      </c>
      <c r="DE173" s="34">
        <f t="shared" si="597"/>
        <v>9</v>
      </c>
      <c r="DF173" s="34">
        <f t="shared" si="597"/>
        <v>9</v>
      </c>
      <c r="DG173" s="34">
        <f t="shared" si="597"/>
        <v>9</v>
      </c>
      <c r="DH173" s="34">
        <f t="shared" si="597"/>
        <v>9</v>
      </c>
      <c r="DI173" s="34">
        <f t="shared" si="597"/>
        <v>9</v>
      </c>
      <c r="DJ173" s="34">
        <f t="shared" si="597"/>
        <v>10</v>
      </c>
      <c r="DK173" s="34">
        <f t="shared" si="597"/>
        <v>10</v>
      </c>
      <c r="DL173" s="34">
        <f t="shared" si="597"/>
        <v>10</v>
      </c>
      <c r="DM173" s="34">
        <f t="shared" si="597"/>
        <v>10</v>
      </c>
      <c r="DN173" s="34">
        <f t="shared" si="597"/>
        <v>10</v>
      </c>
      <c r="DO173" s="34">
        <f t="shared" si="597"/>
        <v>10</v>
      </c>
      <c r="DP173" s="34">
        <f t="shared" si="597"/>
        <v>10</v>
      </c>
      <c r="DQ173" s="34">
        <f t="shared" si="597"/>
        <v>10</v>
      </c>
      <c r="DR173" s="34">
        <f t="shared" si="597"/>
        <v>10</v>
      </c>
      <c r="DS173" s="34">
        <f t="shared" si="597"/>
        <v>10</v>
      </c>
      <c r="DT173" s="34">
        <f t="shared" si="597"/>
        <v>10</v>
      </c>
      <c r="DU173" s="34">
        <f t="shared" si="597"/>
        <v>10</v>
      </c>
      <c r="DV173" s="34">
        <f t="shared" si="597"/>
        <v>1</v>
      </c>
      <c r="DW173" s="34">
        <f t="shared" si="597"/>
        <v>1</v>
      </c>
      <c r="DX173" s="34">
        <f t="shared" si="597"/>
        <v>1</v>
      </c>
      <c r="DY173" s="34">
        <f t="shared" si="597"/>
        <v>1</v>
      </c>
      <c r="DZ173" s="34">
        <f t="shared" si="597"/>
        <v>1</v>
      </c>
      <c r="EA173" s="34">
        <f t="shared" si="597"/>
        <v>1</v>
      </c>
      <c r="EB173" s="34">
        <f t="shared" si="597"/>
        <v>1</v>
      </c>
      <c r="EC173" s="34">
        <f t="shared" si="597"/>
        <v>1</v>
      </c>
      <c r="ED173" s="34">
        <f t="shared" ref="ED173:ES173" si="598">MAX(1,ED$170)</f>
        <v>1</v>
      </c>
      <c r="EE173" s="34">
        <f t="shared" si="598"/>
        <v>1</v>
      </c>
      <c r="EF173" s="34">
        <f t="shared" si="598"/>
        <v>1</v>
      </c>
      <c r="EG173" s="34">
        <f t="shared" si="598"/>
        <v>1</v>
      </c>
      <c r="EH173" s="34">
        <f t="shared" si="598"/>
        <v>1</v>
      </c>
      <c r="EI173" s="34">
        <f t="shared" si="598"/>
        <v>1</v>
      </c>
      <c r="EJ173" s="34">
        <f t="shared" si="598"/>
        <v>1</v>
      </c>
      <c r="EK173" s="34">
        <f t="shared" si="598"/>
        <v>1</v>
      </c>
      <c r="EL173" s="34">
        <f t="shared" si="598"/>
        <v>1</v>
      </c>
      <c r="EM173" s="34">
        <f t="shared" si="598"/>
        <v>1</v>
      </c>
      <c r="EN173" s="34">
        <f t="shared" si="598"/>
        <v>1</v>
      </c>
      <c r="EO173" s="34">
        <f t="shared" si="598"/>
        <v>1</v>
      </c>
      <c r="EP173" s="34">
        <f t="shared" si="598"/>
        <v>1</v>
      </c>
      <c r="EQ173" s="34">
        <f t="shared" si="598"/>
        <v>1</v>
      </c>
      <c r="ER173" s="34">
        <f t="shared" si="598"/>
        <v>1</v>
      </c>
      <c r="ES173" s="34">
        <f t="shared" si="598"/>
        <v>1</v>
      </c>
    </row>
    <row r="174" spans="1:149" x14ac:dyDescent="0.3">
      <c r="A174" s="14" t="s">
        <v>1230</v>
      </c>
      <c r="B174" s="18" t="s">
        <v>995</v>
      </c>
      <c r="C174" s="18" t="s">
        <v>397</v>
      </c>
      <c r="F174" s="48">
        <f>IF(AND(AND(1&gt;Corte,1&lt;=Corte+n_Ventana),ISNUMBER(Detalle_24m!F$10)),Detalle_24m!F$10,INDEX(TC_V,1,MIN(10,F$6)))*(1+V_dTC)</f>
        <v>7300</v>
      </c>
      <c r="G174" s="48">
        <f>IF(AND(AND(2&gt;Corte,2&lt;=Corte+n_Ventana),ISNUMBER(Detalle_24m!G$10)),Detalle_24m!G$10,INDEX(TC_V,1,MIN(10,G$6)))*(1+V_dTC)</f>
        <v>7300</v>
      </c>
      <c r="H174" s="48">
        <f>IF(AND(AND(3&gt;Corte,3&lt;=Corte+n_Ventana),ISNUMBER(Detalle_24m!H$10)),Detalle_24m!H$10,INDEX(TC_V,1,MIN(10,H$6)))*(1+V_dTC)</f>
        <v>7300</v>
      </c>
      <c r="I174" s="48">
        <f>IF(AND(AND(4&gt;Corte,4&lt;=Corte+n_Ventana),ISNUMBER(Detalle_24m!I$10)),Detalle_24m!I$10,INDEX(TC_V,1,MIN(10,I$6)))*(1+V_dTC)</f>
        <v>7300</v>
      </c>
      <c r="J174" s="48">
        <f>IF(AND(AND(5&gt;Corte,5&lt;=Corte+n_Ventana),ISNUMBER(Detalle_24m!J$10)),Detalle_24m!J$10,INDEX(TC_V,1,MIN(10,J$6)))*(1+V_dTC)</f>
        <v>7300</v>
      </c>
      <c r="K174" s="48">
        <f>IF(AND(AND(6&gt;Corte,6&lt;=Corte+n_Ventana),ISNUMBER(Detalle_24m!K$10)),Detalle_24m!K$10,INDEX(TC_V,1,MIN(10,K$6)))*(1+V_dTC)</f>
        <v>7300</v>
      </c>
      <c r="L174" s="48">
        <f>IF(AND(AND(7&gt;Corte,7&lt;=Corte+n_Ventana),ISNUMBER(Detalle_24m!L$10)),Detalle_24m!L$10,INDEX(TC_V,1,MIN(10,L$6)))*(1+V_dTC)</f>
        <v>7300</v>
      </c>
      <c r="M174" s="48">
        <f>IF(AND(AND(8&gt;Corte,8&lt;=Corte+n_Ventana),ISNUMBER(Detalle_24m!M$10)),Detalle_24m!M$10,INDEX(TC_V,1,MIN(10,M$6)))*(1+V_dTC)</f>
        <v>7300</v>
      </c>
      <c r="N174" s="48">
        <f>IF(AND(AND(9&gt;Corte,9&lt;=Corte+n_Ventana),ISNUMBER(Detalle_24m!N$10)),Detalle_24m!N$10,INDEX(TC_V,1,MIN(10,N$6)))*(1+V_dTC)</f>
        <v>7300</v>
      </c>
      <c r="O174" s="48">
        <f>IF(AND(AND(10&gt;Corte,10&lt;=Corte+n_Ventana),ISNUMBER(Detalle_24m!O$10)),Detalle_24m!O$10,INDEX(TC_V,1,MIN(10,O$6)))*(1+V_dTC)</f>
        <v>7300</v>
      </c>
      <c r="P174" s="48">
        <f>IF(AND(AND(11&gt;Corte,11&lt;=Corte+n_Ventana),ISNUMBER(Detalle_24m!P$10)),Detalle_24m!P$10,INDEX(TC_V,1,MIN(10,P$6)))*(1+V_dTC)</f>
        <v>7300</v>
      </c>
      <c r="Q174" s="48">
        <f>IF(AND(AND(12&gt;Corte,12&lt;=Corte+n_Ventana),ISNUMBER(Detalle_24m!Q$10)),Detalle_24m!Q$10,INDEX(TC_V,1,MIN(10,Q$6)))*(1+V_dTC)</f>
        <v>7300</v>
      </c>
      <c r="R174" s="48">
        <f>IF(AND(AND(13&gt;Corte,13&lt;=Corte+n_Ventana),ISNUMBER(Detalle_24m!R$10)),Detalle_24m!R$10,INDEX(TC_V,1,MIN(10,R$6)))*(1+V_dTC)</f>
        <v>7300</v>
      </c>
      <c r="S174" s="48">
        <f>IF(AND(AND(14&gt;Corte,14&lt;=Corte+n_Ventana),ISNUMBER(Detalle_24m!S$10)),Detalle_24m!S$10,INDEX(TC_V,1,MIN(10,S$6)))*(1+V_dTC)</f>
        <v>7300</v>
      </c>
      <c r="T174" s="48">
        <f>IF(AND(AND(15&gt;Corte,15&lt;=Corte+n_Ventana),ISNUMBER(Detalle_24m!T$10)),Detalle_24m!T$10,INDEX(TC_V,1,MIN(10,T$6)))*(1+V_dTC)</f>
        <v>7300</v>
      </c>
      <c r="U174" s="48">
        <f>IF(AND(AND(16&gt;Corte,16&lt;=Corte+n_Ventana),ISNUMBER(Detalle_24m!U$10)),Detalle_24m!U$10,INDEX(TC_V,1,MIN(10,U$6)))*(1+V_dTC)</f>
        <v>7300</v>
      </c>
      <c r="V174" s="48">
        <f>IF(AND(AND(17&gt;Corte,17&lt;=Corte+n_Ventana),ISNUMBER(Detalle_24m!V$10)),Detalle_24m!V$10,INDEX(TC_V,1,MIN(10,V$6)))*(1+V_dTC)</f>
        <v>7300</v>
      </c>
      <c r="W174" s="48">
        <f>IF(AND(AND(18&gt;Corte,18&lt;=Corte+n_Ventana),ISNUMBER(Detalle_24m!W$10)),Detalle_24m!W$10,INDEX(TC_V,1,MIN(10,W$6)))*(1+V_dTC)</f>
        <v>7300</v>
      </c>
      <c r="X174" s="48">
        <f>IF(AND(AND(19&gt;Corte,19&lt;=Corte+n_Ventana),ISNUMBER(Detalle_24m!X$10)),Detalle_24m!X$10,INDEX(TC_V,1,MIN(10,X$6)))*(1+V_dTC)</f>
        <v>7300</v>
      </c>
      <c r="Y174" s="48">
        <f>IF(AND(AND(20&gt;Corte,20&lt;=Corte+n_Ventana),ISNUMBER(Detalle_24m!Y$10)),Detalle_24m!Y$10,INDEX(TC_V,1,MIN(10,Y$6)))*(1+V_dTC)</f>
        <v>7300</v>
      </c>
      <c r="Z174" s="48">
        <f>IF(AND(AND(21&gt;Corte,21&lt;=Corte+n_Ventana),ISNUMBER(Detalle_24m!Z$10)),Detalle_24m!Z$10,INDEX(TC_V,1,MIN(10,Z$6)))*(1+V_dTC)</f>
        <v>7300</v>
      </c>
      <c r="AA174" s="48">
        <f>IF(AND(AND(22&gt;Corte,22&lt;=Corte+n_Ventana),ISNUMBER(Detalle_24m!AA$10)),Detalle_24m!AA$10,INDEX(TC_V,1,MIN(10,AA$6)))*(1+V_dTC)</f>
        <v>7300</v>
      </c>
      <c r="AB174" s="48">
        <f>IF(AND(AND(23&gt;Corte,23&lt;=Corte+n_Ventana),ISNUMBER(Detalle_24m!AB$10)),Detalle_24m!AB$10,INDEX(TC_V,1,MIN(10,AB$6)))*(1+V_dTC)</f>
        <v>7300</v>
      </c>
      <c r="AC174" s="48">
        <f>IF(AND(AND(24&gt;Corte,24&lt;=Corte+n_Ventana),ISNUMBER(Detalle_24m!AC$10)),Detalle_24m!AC$10,INDEX(TC_V,1,MIN(10,AC$6)))*(1+V_dTC)</f>
        <v>7300</v>
      </c>
      <c r="AD174" s="48">
        <f>IF(AND(AND(25&gt;Corte,25&lt;=Corte+n_Ventana),ISNUMBER(Detalle_24m!AD$10)),Detalle_24m!AD$10,INDEX(TC_V,1,MIN(10,AD$6)))*(1+V_dTC)</f>
        <v>7300</v>
      </c>
      <c r="AE174" s="48">
        <f>IF(AND(AND(26&gt;Corte,26&lt;=Corte+n_Ventana),ISNUMBER(Detalle_24m!AE$10)),Detalle_24m!AE$10,INDEX(TC_V,1,MIN(10,AE$6)))*(1+V_dTC)</f>
        <v>7300</v>
      </c>
      <c r="AF174" s="48">
        <f>IF(AND(AND(27&gt;Corte,27&lt;=Corte+n_Ventana),ISNUMBER(Detalle_24m!AF$10)),Detalle_24m!AF$10,INDEX(TC_V,1,MIN(10,AF$6)))*(1+V_dTC)</f>
        <v>7300</v>
      </c>
      <c r="AG174" s="48">
        <f>IF(AND(AND(28&gt;Corte,28&lt;=Corte+n_Ventana),ISNUMBER(Detalle_24m!AG$10)),Detalle_24m!AG$10,INDEX(TC_V,1,MIN(10,AG$6)))*(1+V_dTC)</f>
        <v>7300</v>
      </c>
      <c r="AH174" s="48">
        <f>IF(AND(AND(29&gt;Corte,29&lt;=Corte+n_Ventana),ISNUMBER(Detalle_24m!AH$10)),Detalle_24m!AH$10,INDEX(TC_V,1,MIN(10,AH$6)))*(1+V_dTC)</f>
        <v>7300</v>
      </c>
      <c r="AI174" s="48">
        <f>IF(AND(AND(30&gt;Corte,30&lt;=Corte+n_Ventana),ISNUMBER(Detalle_24m!AI$10)),Detalle_24m!AI$10,INDEX(TC_V,1,MIN(10,AI$6)))*(1+V_dTC)</f>
        <v>7300</v>
      </c>
      <c r="AJ174" s="48">
        <f>IF(AND(AND(31&gt;Corte,31&lt;=Corte+n_Ventana),ISNUMBER(Detalle_24m!AJ$10)),Detalle_24m!AJ$10,INDEX(TC_V,1,MIN(10,AJ$6)))*(1+V_dTC)</f>
        <v>7300</v>
      </c>
      <c r="AK174" s="48">
        <f>IF(AND(AND(32&gt;Corte,32&lt;=Corte+n_Ventana),ISNUMBER(Detalle_24m!AK$10)),Detalle_24m!AK$10,INDEX(TC_V,1,MIN(10,AK$6)))*(1+V_dTC)</f>
        <v>7300</v>
      </c>
      <c r="AL174" s="48">
        <f>IF(AND(AND(33&gt;Corte,33&lt;=Corte+n_Ventana),ISNUMBER(Detalle_24m!AL$10)),Detalle_24m!AL$10,INDEX(TC_V,1,MIN(10,AL$6)))*(1+V_dTC)</f>
        <v>7300</v>
      </c>
      <c r="AM174" s="48">
        <f>IF(AND(AND(34&gt;Corte,34&lt;=Corte+n_Ventana),ISNUMBER(Detalle_24m!AM$10)),Detalle_24m!AM$10,INDEX(TC_V,1,MIN(10,AM$6)))*(1+V_dTC)</f>
        <v>7300</v>
      </c>
      <c r="AN174" s="48">
        <f>IF(AND(AND(35&gt;Corte,35&lt;=Corte+n_Ventana),ISNUMBER(Detalle_24m!AN$10)),Detalle_24m!AN$10,INDEX(TC_V,1,MIN(10,AN$6)))*(1+V_dTC)</f>
        <v>7300</v>
      </c>
      <c r="AO174" s="48">
        <f>IF(AND(AND(36&gt;Corte,36&lt;=Corte+n_Ventana),ISNUMBER(Detalle_24m!AO$10)),Detalle_24m!AO$10,INDEX(TC_V,1,MIN(10,AO$6)))*(1+V_dTC)</f>
        <v>7300</v>
      </c>
      <c r="AP174" s="48">
        <f>IF(AND(AND(37&gt;Corte,37&lt;=Corte+n_Ventana),ISNUMBER(Detalle_24m!AP$10)),Detalle_24m!AP$10,INDEX(TC_V,1,MIN(10,AP$6)))*(1+V_dTC)</f>
        <v>7300</v>
      </c>
      <c r="AQ174" s="48">
        <f>IF(AND(AND(38&gt;Corte,38&lt;=Corte+n_Ventana),ISNUMBER(Detalle_24m!AQ$10)),Detalle_24m!AQ$10,INDEX(TC_V,1,MIN(10,AQ$6)))*(1+V_dTC)</f>
        <v>7300</v>
      </c>
      <c r="AR174" s="48">
        <f>IF(AND(AND(39&gt;Corte,39&lt;=Corte+n_Ventana),ISNUMBER(Detalle_24m!AR$10)),Detalle_24m!AR$10,INDEX(TC_V,1,MIN(10,AR$6)))*(1+V_dTC)</f>
        <v>7300</v>
      </c>
      <c r="AS174" s="48">
        <f>IF(AND(AND(40&gt;Corte,40&lt;=Corte+n_Ventana),ISNUMBER(Detalle_24m!AS$10)),Detalle_24m!AS$10,INDEX(TC_V,1,MIN(10,AS$6)))*(1+V_dTC)</f>
        <v>7300</v>
      </c>
      <c r="AT174" s="48">
        <f>IF(AND(AND(41&gt;Corte,41&lt;=Corte+n_Ventana),ISNUMBER(Detalle_24m!AT$10)),Detalle_24m!AT$10,INDEX(TC_V,1,MIN(10,AT$6)))*(1+V_dTC)</f>
        <v>7300</v>
      </c>
      <c r="AU174" s="48">
        <f>IF(AND(AND(42&gt;Corte,42&lt;=Corte+n_Ventana),ISNUMBER(Detalle_24m!AU$10)),Detalle_24m!AU$10,INDEX(TC_V,1,MIN(10,AU$6)))*(1+V_dTC)</f>
        <v>7300</v>
      </c>
      <c r="AV174" s="48">
        <f>IF(AND(AND(43&gt;Corte,43&lt;=Corte+n_Ventana),ISNUMBER(Detalle_24m!AV$10)),Detalle_24m!AV$10,INDEX(TC_V,1,MIN(10,AV$6)))*(1+V_dTC)</f>
        <v>7300</v>
      </c>
      <c r="AW174" s="48">
        <f>IF(AND(AND(44&gt;Corte,44&lt;=Corte+n_Ventana),ISNUMBER(Detalle_24m!AW$10)),Detalle_24m!AW$10,INDEX(TC_V,1,MIN(10,AW$6)))*(1+V_dTC)</f>
        <v>7300</v>
      </c>
      <c r="AX174" s="48">
        <f>IF(AND(AND(45&gt;Corte,45&lt;=Corte+n_Ventana),ISNUMBER(Detalle_24m!AX$10)),Detalle_24m!AX$10,INDEX(TC_V,1,MIN(10,AX$6)))*(1+V_dTC)</f>
        <v>7300</v>
      </c>
      <c r="AY174" s="48">
        <f>IF(AND(AND(46&gt;Corte,46&lt;=Corte+n_Ventana),ISNUMBER(Detalle_24m!AY$10)),Detalle_24m!AY$10,INDEX(TC_V,1,MIN(10,AY$6)))*(1+V_dTC)</f>
        <v>7300</v>
      </c>
      <c r="AZ174" s="48">
        <f>IF(AND(AND(47&gt;Corte,47&lt;=Corte+n_Ventana),ISNUMBER(Detalle_24m!AZ$10)),Detalle_24m!AZ$10,INDEX(TC_V,1,MIN(10,AZ$6)))*(1+V_dTC)</f>
        <v>7300</v>
      </c>
      <c r="BA174" s="48">
        <f>IF(AND(AND(48&gt;Corte,48&lt;=Corte+n_Ventana),ISNUMBER(Detalle_24m!BA$10)),Detalle_24m!BA$10,INDEX(TC_V,1,MIN(10,BA$6)))*(1+V_dTC)</f>
        <v>7300</v>
      </c>
      <c r="BB174" s="48">
        <f>IF(AND(AND(49&gt;Corte,49&lt;=Corte+n_Ventana),ISNUMBER(Detalle_24m!BB$10)),Detalle_24m!BB$10,INDEX(TC_V,1,MIN(10,BB$6)))*(1+V_dTC)</f>
        <v>7300</v>
      </c>
      <c r="BC174" s="48">
        <f>IF(AND(AND(50&gt;Corte,50&lt;=Corte+n_Ventana),ISNUMBER(Detalle_24m!BC$10)),Detalle_24m!BC$10,INDEX(TC_V,1,MIN(10,BC$6)))*(1+V_dTC)</f>
        <v>7300</v>
      </c>
      <c r="BD174" s="48">
        <f>IF(AND(AND(51&gt;Corte,51&lt;=Corte+n_Ventana),ISNUMBER(Detalle_24m!BD$10)),Detalle_24m!BD$10,INDEX(TC_V,1,MIN(10,BD$6)))*(1+V_dTC)</f>
        <v>7300</v>
      </c>
      <c r="BE174" s="48">
        <f>IF(AND(AND(52&gt;Corte,52&lt;=Corte+n_Ventana),ISNUMBER(Detalle_24m!BE$10)),Detalle_24m!BE$10,INDEX(TC_V,1,MIN(10,BE$6)))*(1+V_dTC)</f>
        <v>7300</v>
      </c>
      <c r="BF174" s="48">
        <f>IF(AND(AND(53&gt;Corte,53&lt;=Corte+n_Ventana),ISNUMBER(Detalle_24m!BF$10)),Detalle_24m!BF$10,INDEX(TC_V,1,MIN(10,BF$6)))*(1+V_dTC)</f>
        <v>7300</v>
      </c>
      <c r="BG174" s="48">
        <f>IF(AND(AND(54&gt;Corte,54&lt;=Corte+n_Ventana),ISNUMBER(Detalle_24m!BG$10)),Detalle_24m!BG$10,INDEX(TC_V,1,MIN(10,BG$6)))*(1+V_dTC)</f>
        <v>7300</v>
      </c>
      <c r="BH174" s="48">
        <f>IF(AND(AND(55&gt;Corte,55&lt;=Corte+n_Ventana),ISNUMBER(Detalle_24m!BH$10)),Detalle_24m!BH$10,INDEX(TC_V,1,MIN(10,BH$6)))*(1+V_dTC)</f>
        <v>7300</v>
      </c>
      <c r="BI174" s="48">
        <f>IF(AND(AND(56&gt;Corte,56&lt;=Corte+n_Ventana),ISNUMBER(Detalle_24m!BI$10)),Detalle_24m!BI$10,INDEX(TC_V,1,MIN(10,BI$6)))*(1+V_dTC)</f>
        <v>7300</v>
      </c>
      <c r="BJ174" s="48">
        <f>IF(AND(AND(57&gt;Corte,57&lt;=Corte+n_Ventana),ISNUMBER(Detalle_24m!BJ$10)),Detalle_24m!BJ$10,INDEX(TC_V,1,MIN(10,BJ$6)))*(1+V_dTC)</f>
        <v>7300</v>
      </c>
      <c r="BK174" s="48">
        <f>IF(AND(AND(58&gt;Corte,58&lt;=Corte+n_Ventana),ISNUMBER(Detalle_24m!BK$10)),Detalle_24m!BK$10,INDEX(TC_V,1,MIN(10,BK$6)))*(1+V_dTC)</f>
        <v>7300</v>
      </c>
      <c r="BL174" s="48">
        <f>IF(AND(AND(59&gt;Corte,59&lt;=Corte+n_Ventana),ISNUMBER(Detalle_24m!BL$10)),Detalle_24m!BL$10,INDEX(TC_V,1,MIN(10,BL$6)))*(1+V_dTC)</f>
        <v>7300</v>
      </c>
      <c r="BM174" s="48">
        <f>IF(AND(AND(60&gt;Corte,60&lt;=Corte+n_Ventana),ISNUMBER(Detalle_24m!BM$10)),Detalle_24m!BM$10,INDEX(TC_V,1,MIN(10,BM$6)))*(1+V_dTC)</f>
        <v>7300</v>
      </c>
      <c r="BN174" s="48">
        <f>IF(AND(AND(61&gt;Corte,61&lt;=Corte+n_Ventana),ISNUMBER(Detalle_24m!BN$10)),Detalle_24m!BN$10,INDEX(TC_V,1,MIN(10,BN$6)))*(1+V_dTC)</f>
        <v>7300</v>
      </c>
      <c r="BO174" s="48">
        <f>IF(AND(AND(62&gt;Corte,62&lt;=Corte+n_Ventana),ISNUMBER(Detalle_24m!BO$10)),Detalle_24m!BO$10,INDEX(TC_V,1,MIN(10,BO$6)))*(1+V_dTC)</f>
        <v>7300</v>
      </c>
      <c r="BP174" s="48">
        <f>IF(AND(AND(63&gt;Corte,63&lt;=Corte+n_Ventana),ISNUMBER(Detalle_24m!BP$10)),Detalle_24m!BP$10,INDEX(TC_V,1,MIN(10,BP$6)))*(1+V_dTC)</f>
        <v>7300</v>
      </c>
      <c r="BQ174" s="48">
        <f>IF(AND(AND(64&gt;Corte,64&lt;=Corte+n_Ventana),ISNUMBER(Detalle_24m!BQ$10)),Detalle_24m!BQ$10,INDEX(TC_V,1,MIN(10,BQ$6)))*(1+V_dTC)</f>
        <v>7300</v>
      </c>
      <c r="BR174" s="48">
        <f>IF(AND(AND(65&gt;Corte,65&lt;=Corte+n_Ventana),ISNUMBER(Detalle_24m!BR$10)),Detalle_24m!BR$10,INDEX(TC_V,1,MIN(10,BR$6)))*(1+V_dTC)</f>
        <v>7300</v>
      </c>
      <c r="BS174" s="48">
        <f>IF(AND(AND(66&gt;Corte,66&lt;=Corte+n_Ventana),ISNUMBER(Detalle_24m!BS$10)),Detalle_24m!BS$10,INDEX(TC_V,1,MIN(10,BS$6)))*(1+V_dTC)</f>
        <v>7300</v>
      </c>
      <c r="BT174" s="48">
        <f>IF(AND(AND(67&gt;Corte,67&lt;=Corte+n_Ventana),ISNUMBER(Detalle_24m!BT$10)),Detalle_24m!BT$10,INDEX(TC_V,1,MIN(10,BT$6)))*(1+V_dTC)</f>
        <v>7300</v>
      </c>
      <c r="BU174" s="48">
        <f>IF(AND(AND(68&gt;Corte,68&lt;=Corte+n_Ventana),ISNUMBER(Detalle_24m!BU$10)),Detalle_24m!BU$10,INDEX(TC_V,1,MIN(10,BU$6)))*(1+V_dTC)</f>
        <v>7300</v>
      </c>
      <c r="BV174" s="48">
        <f>IF(AND(AND(69&gt;Corte,69&lt;=Corte+n_Ventana),ISNUMBER(Detalle_24m!BV$10)),Detalle_24m!BV$10,INDEX(TC_V,1,MIN(10,BV$6)))*(1+V_dTC)</f>
        <v>7300</v>
      </c>
      <c r="BW174" s="48">
        <f>IF(AND(AND(70&gt;Corte,70&lt;=Corte+n_Ventana),ISNUMBER(Detalle_24m!BW$10)),Detalle_24m!BW$10,INDEX(TC_V,1,MIN(10,BW$6)))*(1+V_dTC)</f>
        <v>7300</v>
      </c>
      <c r="BX174" s="48">
        <f>IF(AND(AND(71&gt;Corte,71&lt;=Corte+n_Ventana),ISNUMBER(Detalle_24m!BX$10)),Detalle_24m!BX$10,INDEX(TC_V,1,MIN(10,BX$6)))*(1+V_dTC)</f>
        <v>7300</v>
      </c>
      <c r="BY174" s="48">
        <f>IF(AND(AND(72&gt;Corte,72&lt;=Corte+n_Ventana),ISNUMBER(Detalle_24m!BY$10)),Detalle_24m!BY$10,INDEX(TC_V,1,MIN(10,BY$6)))*(1+V_dTC)</f>
        <v>7300</v>
      </c>
      <c r="BZ174" s="48">
        <f>IF(AND(AND(73&gt;Corte,73&lt;=Corte+n_Ventana),ISNUMBER(Detalle_24m!BZ$10)),Detalle_24m!BZ$10,INDEX(TC_V,1,MIN(10,BZ$6)))*(1+V_dTC)</f>
        <v>7300</v>
      </c>
      <c r="CA174" s="48">
        <f>IF(AND(AND(74&gt;Corte,74&lt;=Corte+n_Ventana),ISNUMBER(Detalle_24m!CA$10)),Detalle_24m!CA$10,INDEX(TC_V,1,MIN(10,CA$6)))*(1+V_dTC)</f>
        <v>7300</v>
      </c>
      <c r="CB174" s="48">
        <f>IF(AND(AND(75&gt;Corte,75&lt;=Corte+n_Ventana),ISNUMBER(Detalle_24m!CB$10)),Detalle_24m!CB$10,INDEX(TC_V,1,MIN(10,CB$6)))*(1+V_dTC)</f>
        <v>7300</v>
      </c>
      <c r="CC174" s="48">
        <f>IF(AND(AND(76&gt;Corte,76&lt;=Corte+n_Ventana),ISNUMBER(Detalle_24m!CC$10)),Detalle_24m!CC$10,INDEX(TC_V,1,MIN(10,CC$6)))*(1+V_dTC)</f>
        <v>7300</v>
      </c>
      <c r="CD174" s="48">
        <f>IF(AND(AND(77&gt;Corte,77&lt;=Corte+n_Ventana),ISNUMBER(Detalle_24m!CD$10)),Detalle_24m!CD$10,INDEX(TC_V,1,MIN(10,CD$6)))*(1+V_dTC)</f>
        <v>7300</v>
      </c>
      <c r="CE174" s="48">
        <f>IF(AND(AND(78&gt;Corte,78&lt;=Corte+n_Ventana),ISNUMBER(Detalle_24m!CE$10)),Detalle_24m!CE$10,INDEX(TC_V,1,MIN(10,CE$6)))*(1+V_dTC)</f>
        <v>7300</v>
      </c>
      <c r="CF174" s="48">
        <f>IF(AND(AND(79&gt;Corte,79&lt;=Corte+n_Ventana),ISNUMBER(Detalle_24m!CF$10)),Detalle_24m!CF$10,INDEX(TC_V,1,MIN(10,CF$6)))*(1+V_dTC)</f>
        <v>7300</v>
      </c>
      <c r="CG174" s="48">
        <f>IF(AND(AND(80&gt;Corte,80&lt;=Corte+n_Ventana),ISNUMBER(Detalle_24m!CG$10)),Detalle_24m!CG$10,INDEX(TC_V,1,MIN(10,CG$6)))*(1+V_dTC)</f>
        <v>7300</v>
      </c>
      <c r="CH174" s="48">
        <f>IF(AND(AND(81&gt;Corte,81&lt;=Corte+n_Ventana),ISNUMBER(Detalle_24m!CH$10)),Detalle_24m!CH$10,INDEX(TC_V,1,MIN(10,CH$6)))*(1+V_dTC)</f>
        <v>7300</v>
      </c>
      <c r="CI174" s="48">
        <f>IF(AND(AND(82&gt;Corte,82&lt;=Corte+n_Ventana),ISNUMBER(Detalle_24m!CI$10)),Detalle_24m!CI$10,INDEX(TC_V,1,MIN(10,CI$6)))*(1+V_dTC)</f>
        <v>7300</v>
      </c>
      <c r="CJ174" s="48">
        <f>IF(AND(AND(83&gt;Corte,83&lt;=Corte+n_Ventana),ISNUMBER(Detalle_24m!CJ$10)),Detalle_24m!CJ$10,INDEX(TC_V,1,MIN(10,CJ$6)))*(1+V_dTC)</f>
        <v>7300</v>
      </c>
      <c r="CK174" s="48">
        <f>IF(AND(AND(84&gt;Corte,84&lt;=Corte+n_Ventana),ISNUMBER(Detalle_24m!CK$10)),Detalle_24m!CK$10,INDEX(TC_V,1,MIN(10,CK$6)))*(1+V_dTC)</f>
        <v>7300</v>
      </c>
      <c r="CL174" s="48">
        <f>IF(AND(AND(85&gt;Corte,85&lt;=Corte+n_Ventana),ISNUMBER(Detalle_24m!CL$10)),Detalle_24m!CL$10,INDEX(TC_V,1,MIN(10,CL$6)))*(1+V_dTC)</f>
        <v>7300</v>
      </c>
      <c r="CM174" s="48">
        <f>IF(AND(AND(86&gt;Corte,86&lt;=Corte+n_Ventana),ISNUMBER(Detalle_24m!CM$10)),Detalle_24m!CM$10,INDEX(TC_V,1,MIN(10,CM$6)))*(1+V_dTC)</f>
        <v>7300</v>
      </c>
      <c r="CN174" s="48">
        <f>IF(AND(AND(87&gt;Corte,87&lt;=Corte+n_Ventana),ISNUMBER(Detalle_24m!CN$10)),Detalle_24m!CN$10,INDEX(TC_V,1,MIN(10,CN$6)))*(1+V_dTC)</f>
        <v>7300</v>
      </c>
      <c r="CO174" s="48">
        <f>IF(AND(AND(88&gt;Corte,88&lt;=Corte+n_Ventana),ISNUMBER(Detalle_24m!CO$10)),Detalle_24m!CO$10,INDEX(TC_V,1,MIN(10,CO$6)))*(1+V_dTC)</f>
        <v>7300</v>
      </c>
      <c r="CP174" s="48">
        <f>IF(AND(AND(89&gt;Corte,89&lt;=Corte+n_Ventana),ISNUMBER(Detalle_24m!CP$10)),Detalle_24m!CP$10,INDEX(TC_V,1,MIN(10,CP$6)))*(1+V_dTC)</f>
        <v>7300</v>
      </c>
      <c r="CQ174" s="48">
        <f>IF(AND(AND(90&gt;Corte,90&lt;=Corte+n_Ventana),ISNUMBER(Detalle_24m!CQ$10)),Detalle_24m!CQ$10,INDEX(TC_V,1,MIN(10,CQ$6)))*(1+V_dTC)</f>
        <v>7300</v>
      </c>
      <c r="CR174" s="48">
        <f>IF(AND(AND(91&gt;Corte,91&lt;=Corte+n_Ventana),ISNUMBER(Detalle_24m!CR$10)),Detalle_24m!CR$10,INDEX(TC_V,1,MIN(10,CR$6)))*(1+V_dTC)</f>
        <v>7300</v>
      </c>
      <c r="CS174" s="48">
        <f>IF(AND(AND(92&gt;Corte,92&lt;=Corte+n_Ventana),ISNUMBER(Detalle_24m!CS$10)),Detalle_24m!CS$10,INDEX(TC_V,1,MIN(10,CS$6)))*(1+V_dTC)</f>
        <v>7300</v>
      </c>
      <c r="CT174" s="48">
        <f>IF(AND(AND(93&gt;Corte,93&lt;=Corte+n_Ventana),ISNUMBER(Detalle_24m!CT$10)),Detalle_24m!CT$10,INDEX(TC_V,1,MIN(10,CT$6)))*(1+V_dTC)</f>
        <v>7300</v>
      </c>
      <c r="CU174" s="48">
        <f>IF(AND(AND(94&gt;Corte,94&lt;=Corte+n_Ventana),ISNUMBER(Detalle_24m!CU$10)),Detalle_24m!CU$10,INDEX(TC_V,1,MIN(10,CU$6)))*(1+V_dTC)</f>
        <v>7300</v>
      </c>
      <c r="CV174" s="48">
        <f>IF(AND(AND(95&gt;Corte,95&lt;=Corte+n_Ventana),ISNUMBER(Detalle_24m!CV$10)),Detalle_24m!CV$10,INDEX(TC_V,1,MIN(10,CV$6)))*(1+V_dTC)</f>
        <v>7300</v>
      </c>
      <c r="CW174" s="48">
        <f>IF(AND(AND(96&gt;Corte,96&lt;=Corte+n_Ventana),ISNUMBER(Detalle_24m!CW$10)),Detalle_24m!CW$10,INDEX(TC_V,1,MIN(10,CW$6)))*(1+V_dTC)</f>
        <v>7300</v>
      </c>
      <c r="CX174" s="48">
        <f>IF(AND(AND(97&gt;Corte,97&lt;=Corte+n_Ventana),ISNUMBER(Detalle_24m!CX$10)),Detalle_24m!CX$10,INDEX(TC_V,1,MIN(10,CX$6)))*(1+V_dTC)</f>
        <v>7300</v>
      </c>
      <c r="CY174" s="48">
        <f>IF(AND(AND(98&gt;Corte,98&lt;=Corte+n_Ventana),ISNUMBER(Detalle_24m!CY$10)),Detalle_24m!CY$10,INDEX(TC_V,1,MIN(10,CY$6)))*(1+V_dTC)</f>
        <v>7300</v>
      </c>
      <c r="CZ174" s="48">
        <f>IF(AND(AND(99&gt;Corte,99&lt;=Corte+n_Ventana),ISNUMBER(Detalle_24m!CZ$10)),Detalle_24m!CZ$10,INDEX(TC_V,1,MIN(10,CZ$6)))*(1+V_dTC)</f>
        <v>7300</v>
      </c>
      <c r="DA174" s="48">
        <f>IF(AND(AND(100&gt;Corte,100&lt;=Corte+n_Ventana),ISNUMBER(Detalle_24m!DA$10)),Detalle_24m!DA$10,INDEX(TC_V,1,MIN(10,DA$6)))*(1+V_dTC)</f>
        <v>7300</v>
      </c>
      <c r="DB174" s="48">
        <f>IF(AND(AND(101&gt;Corte,101&lt;=Corte+n_Ventana),ISNUMBER(Detalle_24m!DB$10)),Detalle_24m!DB$10,INDEX(TC_V,1,MIN(10,DB$6)))*(1+V_dTC)</f>
        <v>7300</v>
      </c>
      <c r="DC174" s="48">
        <f>IF(AND(AND(102&gt;Corte,102&lt;=Corte+n_Ventana),ISNUMBER(Detalle_24m!DC$10)),Detalle_24m!DC$10,INDEX(TC_V,1,MIN(10,DC$6)))*(1+V_dTC)</f>
        <v>7300</v>
      </c>
      <c r="DD174" s="48">
        <f>IF(AND(AND(103&gt;Corte,103&lt;=Corte+n_Ventana),ISNUMBER(Detalle_24m!DD$10)),Detalle_24m!DD$10,INDEX(TC_V,1,MIN(10,DD$6)))*(1+V_dTC)</f>
        <v>7300</v>
      </c>
      <c r="DE174" s="48">
        <f>IF(AND(AND(104&gt;Corte,104&lt;=Corte+n_Ventana),ISNUMBER(Detalle_24m!DE$10)),Detalle_24m!DE$10,INDEX(TC_V,1,MIN(10,DE$6)))*(1+V_dTC)</f>
        <v>7300</v>
      </c>
      <c r="DF174" s="48">
        <f>IF(AND(AND(105&gt;Corte,105&lt;=Corte+n_Ventana),ISNUMBER(Detalle_24m!DF$10)),Detalle_24m!DF$10,INDEX(TC_V,1,MIN(10,DF$6)))*(1+V_dTC)</f>
        <v>7300</v>
      </c>
      <c r="DG174" s="48">
        <f>IF(AND(AND(106&gt;Corte,106&lt;=Corte+n_Ventana),ISNUMBER(Detalle_24m!DG$10)),Detalle_24m!DG$10,INDEX(TC_V,1,MIN(10,DG$6)))*(1+V_dTC)</f>
        <v>7300</v>
      </c>
      <c r="DH174" s="48">
        <f>IF(AND(AND(107&gt;Corte,107&lt;=Corte+n_Ventana),ISNUMBER(Detalle_24m!DH$10)),Detalle_24m!DH$10,INDEX(TC_V,1,MIN(10,DH$6)))*(1+V_dTC)</f>
        <v>7300</v>
      </c>
      <c r="DI174" s="48">
        <f>IF(AND(AND(108&gt;Corte,108&lt;=Corte+n_Ventana),ISNUMBER(Detalle_24m!DI$10)),Detalle_24m!DI$10,INDEX(TC_V,1,MIN(10,DI$6)))*(1+V_dTC)</f>
        <v>7300</v>
      </c>
      <c r="DJ174" s="48">
        <f>IF(AND(AND(109&gt;Corte,109&lt;=Corte+n_Ventana),ISNUMBER(Detalle_24m!DJ$10)),Detalle_24m!DJ$10,INDEX(TC_V,1,MIN(10,DJ$6)))*(1+V_dTC)</f>
        <v>7300</v>
      </c>
      <c r="DK174" s="48">
        <f>IF(AND(AND(110&gt;Corte,110&lt;=Corte+n_Ventana),ISNUMBER(Detalle_24m!DK$10)),Detalle_24m!DK$10,INDEX(TC_V,1,MIN(10,DK$6)))*(1+V_dTC)</f>
        <v>7300</v>
      </c>
      <c r="DL174" s="48">
        <f>IF(AND(AND(111&gt;Corte,111&lt;=Corte+n_Ventana),ISNUMBER(Detalle_24m!DL$10)),Detalle_24m!DL$10,INDEX(TC_V,1,MIN(10,DL$6)))*(1+V_dTC)</f>
        <v>7300</v>
      </c>
      <c r="DM174" s="48">
        <f>IF(AND(AND(112&gt;Corte,112&lt;=Corte+n_Ventana),ISNUMBER(Detalle_24m!DM$10)),Detalle_24m!DM$10,INDEX(TC_V,1,MIN(10,DM$6)))*(1+V_dTC)</f>
        <v>7300</v>
      </c>
      <c r="DN174" s="48">
        <f>IF(AND(AND(113&gt;Corte,113&lt;=Corte+n_Ventana),ISNUMBER(Detalle_24m!DN$10)),Detalle_24m!DN$10,INDEX(TC_V,1,MIN(10,DN$6)))*(1+V_dTC)</f>
        <v>7300</v>
      </c>
      <c r="DO174" s="48">
        <f>IF(AND(AND(114&gt;Corte,114&lt;=Corte+n_Ventana),ISNUMBER(Detalle_24m!DO$10)),Detalle_24m!DO$10,INDEX(TC_V,1,MIN(10,DO$6)))*(1+V_dTC)</f>
        <v>7300</v>
      </c>
      <c r="DP174" s="48">
        <f>IF(AND(AND(115&gt;Corte,115&lt;=Corte+n_Ventana),ISNUMBER(Detalle_24m!DP$10)),Detalle_24m!DP$10,INDEX(TC_V,1,MIN(10,DP$6)))*(1+V_dTC)</f>
        <v>7300</v>
      </c>
      <c r="DQ174" s="48">
        <f>IF(AND(AND(116&gt;Corte,116&lt;=Corte+n_Ventana),ISNUMBER(Detalle_24m!DQ$10)),Detalle_24m!DQ$10,INDEX(TC_V,1,MIN(10,DQ$6)))*(1+V_dTC)</f>
        <v>7300</v>
      </c>
      <c r="DR174" s="48">
        <f>IF(AND(AND(117&gt;Corte,117&lt;=Corte+n_Ventana),ISNUMBER(Detalle_24m!DR$10)),Detalle_24m!DR$10,INDEX(TC_V,1,MIN(10,DR$6)))*(1+V_dTC)</f>
        <v>7300</v>
      </c>
      <c r="DS174" s="48">
        <f>IF(AND(AND(118&gt;Corte,118&lt;=Corte+n_Ventana),ISNUMBER(Detalle_24m!DS$10)),Detalle_24m!DS$10,INDEX(TC_V,1,MIN(10,DS$6)))*(1+V_dTC)</f>
        <v>7300</v>
      </c>
      <c r="DT174" s="48">
        <f>IF(AND(AND(119&gt;Corte,119&lt;=Corte+n_Ventana),ISNUMBER(Detalle_24m!DT$10)),Detalle_24m!DT$10,INDEX(TC_V,1,MIN(10,DT$6)))*(1+V_dTC)</f>
        <v>7300</v>
      </c>
      <c r="DU174" s="48">
        <f>IF(AND(AND(120&gt;Corte,120&lt;=Corte+n_Ventana),ISNUMBER(Detalle_24m!DU$10)),Detalle_24m!DU$10,INDEX(TC_V,1,MIN(10,DU$6)))*(1+V_dTC)</f>
        <v>7300</v>
      </c>
      <c r="DV174" s="48">
        <f>IF(AND(AND(121&gt;Corte,121&lt;=Corte+n_Ventana),ISNUMBER(Detalle_24m!DV$10)),Detalle_24m!DV$10,INDEX(TC_V,1,MIN(10,DV$6)))*(1+V_dTC)</f>
        <v>7300</v>
      </c>
      <c r="DW174" s="48">
        <f>IF(AND(AND(122&gt;Corte,122&lt;=Corte+n_Ventana),ISNUMBER(Detalle_24m!DW$10)),Detalle_24m!DW$10,INDEX(TC_V,1,MIN(10,DW$6)))*(1+V_dTC)</f>
        <v>7300</v>
      </c>
      <c r="DX174" s="48">
        <f>IF(AND(AND(123&gt;Corte,123&lt;=Corte+n_Ventana),ISNUMBER(Detalle_24m!DX$10)),Detalle_24m!DX$10,INDEX(TC_V,1,MIN(10,DX$6)))*(1+V_dTC)</f>
        <v>7300</v>
      </c>
      <c r="DY174" s="48">
        <f>IF(AND(AND(124&gt;Corte,124&lt;=Corte+n_Ventana),ISNUMBER(Detalle_24m!DY$10)),Detalle_24m!DY$10,INDEX(TC_V,1,MIN(10,DY$6)))*(1+V_dTC)</f>
        <v>7300</v>
      </c>
      <c r="DZ174" s="48">
        <f>IF(AND(AND(125&gt;Corte,125&lt;=Corte+n_Ventana),ISNUMBER(Detalle_24m!DZ$10)),Detalle_24m!DZ$10,INDEX(TC_V,1,MIN(10,DZ$6)))*(1+V_dTC)</f>
        <v>7300</v>
      </c>
      <c r="EA174" s="48">
        <f>IF(AND(AND(126&gt;Corte,126&lt;=Corte+n_Ventana),ISNUMBER(Detalle_24m!EA$10)),Detalle_24m!EA$10,INDEX(TC_V,1,MIN(10,EA$6)))*(1+V_dTC)</f>
        <v>7300</v>
      </c>
      <c r="EB174" s="48">
        <f>IF(AND(AND(127&gt;Corte,127&lt;=Corte+n_Ventana),ISNUMBER(Detalle_24m!EB$10)),Detalle_24m!EB$10,INDEX(TC_V,1,MIN(10,EB$6)))*(1+V_dTC)</f>
        <v>7300</v>
      </c>
      <c r="EC174" s="48">
        <f>IF(AND(AND(128&gt;Corte,128&lt;=Corte+n_Ventana),ISNUMBER(Detalle_24m!EC$10)),Detalle_24m!EC$10,INDEX(TC_V,1,MIN(10,EC$6)))*(1+V_dTC)</f>
        <v>7300</v>
      </c>
      <c r="ED174" s="48">
        <f>IF(AND(AND(129&gt;Corte,129&lt;=Corte+n_Ventana),ISNUMBER(Detalle_24m!ED$10)),Detalle_24m!ED$10,INDEX(TC_V,1,MIN(10,ED$6)))*(1+V_dTC)</f>
        <v>7300</v>
      </c>
      <c r="EE174" s="48">
        <f>IF(AND(AND(130&gt;Corte,130&lt;=Corte+n_Ventana),ISNUMBER(Detalle_24m!EE$10)),Detalle_24m!EE$10,INDEX(TC_V,1,MIN(10,EE$6)))*(1+V_dTC)</f>
        <v>7300</v>
      </c>
      <c r="EF174" s="48">
        <f>IF(AND(AND(131&gt;Corte,131&lt;=Corte+n_Ventana),ISNUMBER(Detalle_24m!EF$10)),Detalle_24m!EF$10,INDEX(TC_V,1,MIN(10,EF$6)))*(1+V_dTC)</f>
        <v>7300</v>
      </c>
      <c r="EG174" s="48">
        <f>IF(AND(AND(132&gt;Corte,132&lt;=Corte+n_Ventana),ISNUMBER(Detalle_24m!EG$10)),Detalle_24m!EG$10,INDEX(TC_V,1,MIN(10,EG$6)))*(1+V_dTC)</f>
        <v>7300</v>
      </c>
      <c r="EH174" s="48">
        <f>IF(AND(AND(133&gt;Corte,133&lt;=Corte+n_Ventana),ISNUMBER(Detalle_24m!EH$10)),Detalle_24m!EH$10,INDEX(TC_V,1,MIN(10,EH$6)))*(1+V_dTC)</f>
        <v>7300</v>
      </c>
      <c r="EI174" s="48">
        <f>IF(AND(AND(134&gt;Corte,134&lt;=Corte+n_Ventana),ISNUMBER(Detalle_24m!EI$10)),Detalle_24m!EI$10,INDEX(TC_V,1,MIN(10,EI$6)))*(1+V_dTC)</f>
        <v>7300</v>
      </c>
      <c r="EJ174" s="48">
        <f>IF(AND(AND(135&gt;Corte,135&lt;=Corte+n_Ventana),ISNUMBER(Detalle_24m!EJ$10)),Detalle_24m!EJ$10,INDEX(TC_V,1,MIN(10,EJ$6)))*(1+V_dTC)</f>
        <v>7300</v>
      </c>
      <c r="EK174" s="48">
        <f>IF(AND(AND(136&gt;Corte,136&lt;=Corte+n_Ventana),ISNUMBER(Detalle_24m!EK$10)),Detalle_24m!EK$10,INDEX(TC_V,1,MIN(10,EK$6)))*(1+V_dTC)</f>
        <v>7300</v>
      </c>
      <c r="EL174" s="48">
        <f>IF(AND(AND(137&gt;Corte,137&lt;=Corte+n_Ventana),ISNUMBER(Detalle_24m!EL$10)),Detalle_24m!EL$10,INDEX(TC_V,1,MIN(10,EL$6)))*(1+V_dTC)</f>
        <v>7300</v>
      </c>
      <c r="EM174" s="48">
        <f>IF(AND(AND(138&gt;Corte,138&lt;=Corte+n_Ventana),ISNUMBER(Detalle_24m!EM$10)),Detalle_24m!EM$10,INDEX(TC_V,1,MIN(10,EM$6)))*(1+V_dTC)</f>
        <v>7300</v>
      </c>
      <c r="EN174" s="48">
        <f>IF(AND(AND(139&gt;Corte,139&lt;=Corte+n_Ventana),ISNUMBER(Detalle_24m!EN$10)),Detalle_24m!EN$10,INDEX(TC_V,1,MIN(10,EN$6)))*(1+V_dTC)</f>
        <v>7300</v>
      </c>
      <c r="EO174" s="48">
        <f>IF(AND(AND(140&gt;Corte,140&lt;=Corte+n_Ventana),ISNUMBER(Detalle_24m!EO$10)),Detalle_24m!EO$10,INDEX(TC_V,1,MIN(10,EO$6)))*(1+V_dTC)</f>
        <v>7300</v>
      </c>
      <c r="EP174" s="48">
        <f>IF(AND(AND(141&gt;Corte,141&lt;=Corte+n_Ventana),ISNUMBER(Detalle_24m!EP$10)),Detalle_24m!EP$10,INDEX(TC_V,1,MIN(10,EP$6)))*(1+V_dTC)</f>
        <v>7300</v>
      </c>
      <c r="EQ174" s="48">
        <f>IF(AND(AND(142&gt;Corte,142&lt;=Corte+n_Ventana),ISNUMBER(Detalle_24m!EQ$10)),Detalle_24m!EQ$10,INDEX(TC_V,1,MIN(10,EQ$6)))*(1+V_dTC)</f>
        <v>7300</v>
      </c>
      <c r="ER174" s="48">
        <f>IF(AND(AND(143&gt;Corte,143&lt;=Corte+n_Ventana),ISNUMBER(Detalle_24m!ER$10)),Detalle_24m!ER$10,INDEX(TC_V,1,MIN(10,ER$6)))*(1+V_dTC)</f>
        <v>7300</v>
      </c>
      <c r="ES174" s="48">
        <f>IF(AND(AND(144&gt;Corte,144&lt;=Corte+n_Ventana),ISNUMBER(Detalle_24m!ES$10)),Detalle_24m!ES$10,INDEX(TC_V,1,MIN(10,ES$6)))*(1+V_dTC)</f>
        <v>7300</v>
      </c>
    </row>
    <row r="175" spans="1:149" x14ac:dyDescent="0.3">
      <c r="A175" s="14" t="s">
        <v>1231</v>
      </c>
      <c r="B175" s="18" t="s">
        <v>997</v>
      </c>
      <c r="C175" s="18"/>
      <c r="F175" s="42">
        <f t="shared" ref="F175:AK175" si="599">IF(F$174&gt;0,1/F$174,0)</f>
        <v>1.36986301369863E-4</v>
      </c>
      <c r="G175" s="42">
        <f t="shared" si="599"/>
        <v>1.36986301369863E-4</v>
      </c>
      <c r="H175" s="42">
        <f t="shared" si="599"/>
        <v>1.36986301369863E-4</v>
      </c>
      <c r="I175" s="42">
        <f t="shared" si="599"/>
        <v>1.36986301369863E-4</v>
      </c>
      <c r="J175" s="42">
        <f t="shared" si="599"/>
        <v>1.36986301369863E-4</v>
      </c>
      <c r="K175" s="42">
        <f t="shared" si="599"/>
        <v>1.36986301369863E-4</v>
      </c>
      <c r="L175" s="42">
        <f t="shared" si="599"/>
        <v>1.36986301369863E-4</v>
      </c>
      <c r="M175" s="42">
        <f t="shared" si="599"/>
        <v>1.36986301369863E-4</v>
      </c>
      <c r="N175" s="42">
        <f t="shared" si="599"/>
        <v>1.36986301369863E-4</v>
      </c>
      <c r="O175" s="42">
        <f t="shared" si="599"/>
        <v>1.36986301369863E-4</v>
      </c>
      <c r="P175" s="42">
        <f t="shared" si="599"/>
        <v>1.36986301369863E-4</v>
      </c>
      <c r="Q175" s="42">
        <f t="shared" si="599"/>
        <v>1.36986301369863E-4</v>
      </c>
      <c r="R175" s="42">
        <f t="shared" si="599"/>
        <v>1.36986301369863E-4</v>
      </c>
      <c r="S175" s="42">
        <f t="shared" si="599"/>
        <v>1.36986301369863E-4</v>
      </c>
      <c r="T175" s="42">
        <f t="shared" si="599"/>
        <v>1.36986301369863E-4</v>
      </c>
      <c r="U175" s="42">
        <f t="shared" si="599"/>
        <v>1.36986301369863E-4</v>
      </c>
      <c r="V175" s="42">
        <f t="shared" si="599"/>
        <v>1.36986301369863E-4</v>
      </c>
      <c r="W175" s="42">
        <f t="shared" si="599"/>
        <v>1.36986301369863E-4</v>
      </c>
      <c r="X175" s="42">
        <f t="shared" si="599"/>
        <v>1.36986301369863E-4</v>
      </c>
      <c r="Y175" s="42">
        <f t="shared" si="599"/>
        <v>1.36986301369863E-4</v>
      </c>
      <c r="Z175" s="42">
        <f t="shared" si="599"/>
        <v>1.36986301369863E-4</v>
      </c>
      <c r="AA175" s="42">
        <f t="shared" si="599"/>
        <v>1.36986301369863E-4</v>
      </c>
      <c r="AB175" s="42">
        <f t="shared" si="599"/>
        <v>1.36986301369863E-4</v>
      </c>
      <c r="AC175" s="42">
        <f t="shared" si="599"/>
        <v>1.36986301369863E-4</v>
      </c>
      <c r="AD175" s="42">
        <f t="shared" si="599"/>
        <v>1.36986301369863E-4</v>
      </c>
      <c r="AE175" s="42">
        <f t="shared" si="599"/>
        <v>1.36986301369863E-4</v>
      </c>
      <c r="AF175" s="42">
        <f t="shared" si="599"/>
        <v>1.36986301369863E-4</v>
      </c>
      <c r="AG175" s="42">
        <f t="shared" si="599"/>
        <v>1.36986301369863E-4</v>
      </c>
      <c r="AH175" s="42">
        <f t="shared" si="599"/>
        <v>1.36986301369863E-4</v>
      </c>
      <c r="AI175" s="42">
        <f t="shared" si="599"/>
        <v>1.36986301369863E-4</v>
      </c>
      <c r="AJ175" s="42">
        <f t="shared" si="599"/>
        <v>1.36986301369863E-4</v>
      </c>
      <c r="AK175" s="42">
        <f t="shared" si="599"/>
        <v>1.36986301369863E-4</v>
      </c>
      <c r="AL175" s="42">
        <f t="shared" ref="AL175:BQ175" si="600">IF(AL$174&gt;0,1/AL$174,0)</f>
        <v>1.36986301369863E-4</v>
      </c>
      <c r="AM175" s="42">
        <f t="shared" si="600"/>
        <v>1.36986301369863E-4</v>
      </c>
      <c r="AN175" s="42">
        <f t="shared" si="600"/>
        <v>1.36986301369863E-4</v>
      </c>
      <c r="AO175" s="42">
        <f t="shared" si="600"/>
        <v>1.36986301369863E-4</v>
      </c>
      <c r="AP175" s="42">
        <f t="shared" si="600"/>
        <v>1.36986301369863E-4</v>
      </c>
      <c r="AQ175" s="42">
        <f t="shared" si="600"/>
        <v>1.36986301369863E-4</v>
      </c>
      <c r="AR175" s="42">
        <f t="shared" si="600"/>
        <v>1.36986301369863E-4</v>
      </c>
      <c r="AS175" s="42">
        <f t="shared" si="600"/>
        <v>1.36986301369863E-4</v>
      </c>
      <c r="AT175" s="42">
        <f t="shared" si="600"/>
        <v>1.36986301369863E-4</v>
      </c>
      <c r="AU175" s="42">
        <f t="shared" si="600"/>
        <v>1.36986301369863E-4</v>
      </c>
      <c r="AV175" s="42">
        <f t="shared" si="600"/>
        <v>1.36986301369863E-4</v>
      </c>
      <c r="AW175" s="42">
        <f t="shared" si="600"/>
        <v>1.36986301369863E-4</v>
      </c>
      <c r="AX175" s="42">
        <f t="shared" si="600"/>
        <v>1.36986301369863E-4</v>
      </c>
      <c r="AY175" s="42">
        <f t="shared" si="600"/>
        <v>1.36986301369863E-4</v>
      </c>
      <c r="AZ175" s="42">
        <f t="shared" si="600"/>
        <v>1.36986301369863E-4</v>
      </c>
      <c r="BA175" s="42">
        <f t="shared" si="600"/>
        <v>1.36986301369863E-4</v>
      </c>
      <c r="BB175" s="42">
        <f t="shared" si="600"/>
        <v>1.36986301369863E-4</v>
      </c>
      <c r="BC175" s="42">
        <f t="shared" si="600"/>
        <v>1.36986301369863E-4</v>
      </c>
      <c r="BD175" s="42">
        <f t="shared" si="600"/>
        <v>1.36986301369863E-4</v>
      </c>
      <c r="BE175" s="42">
        <f t="shared" si="600"/>
        <v>1.36986301369863E-4</v>
      </c>
      <c r="BF175" s="42">
        <f t="shared" si="600"/>
        <v>1.36986301369863E-4</v>
      </c>
      <c r="BG175" s="42">
        <f t="shared" si="600"/>
        <v>1.36986301369863E-4</v>
      </c>
      <c r="BH175" s="42">
        <f t="shared" si="600"/>
        <v>1.36986301369863E-4</v>
      </c>
      <c r="BI175" s="42">
        <f t="shared" si="600"/>
        <v>1.36986301369863E-4</v>
      </c>
      <c r="BJ175" s="42">
        <f t="shared" si="600"/>
        <v>1.36986301369863E-4</v>
      </c>
      <c r="BK175" s="42">
        <f t="shared" si="600"/>
        <v>1.36986301369863E-4</v>
      </c>
      <c r="BL175" s="42">
        <f t="shared" si="600"/>
        <v>1.36986301369863E-4</v>
      </c>
      <c r="BM175" s="42">
        <f t="shared" si="600"/>
        <v>1.36986301369863E-4</v>
      </c>
      <c r="BN175" s="42">
        <f t="shared" si="600"/>
        <v>1.36986301369863E-4</v>
      </c>
      <c r="BO175" s="42">
        <f t="shared" si="600"/>
        <v>1.36986301369863E-4</v>
      </c>
      <c r="BP175" s="42">
        <f t="shared" si="600"/>
        <v>1.36986301369863E-4</v>
      </c>
      <c r="BQ175" s="42">
        <f t="shared" si="600"/>
        <v>1.36986301369863E-4</v>
      </c>
      <c r="BR175" s="42">
        <f t="shared" ref="BR175:CW175" si="601">IF(BR$174&gt;0,1/BR$174,0)</f>
        <v>1.36986301369863E-4</v>
      </c>
      <c r="BS175" s="42">
        <f t="shared" si="601"/>
        <v>1.36986301369863E-4</v>
      </c>
      <c r="BT175" s="42">
        <f t="shared" si="601"/>
        <v>1.36986301369863E-4</v>
      </c>
      <c r="BU175" s="42">
        <f t="shared" si="601"/>
        <v>1.36986301369863E-4</v>
      </c>
      <c r="BV175" s="42">
        <f t="shared" si="601"/>
        <v>1.36986301369863E-4</v>
      </c>
      <c r="BW175" s="42">
        <f t="shared" si="601"/>
        <v>1.36986301369863E-4</v>
      </c>
      <c r="BX175" s="42">
        <f t="shared" si="601"/>
        <v>1.36986301369863E-4</v>
      </c>
      <c r="BY175" s="42">
        <f t="shared" si="601"/>
        <v>1.36986301369863E-4</v>
      </c>
      <c r="BZ175" s="42">
        <f t="shared" si="601"/>
        <v>1.36986301369863E-4</v>
      </c>
      <c r="CA175" s="42">
        <f t="shared" si="601"/>
        <v>1.36986301369863E-4</v>
      </c>
      <c r="CB175" s="42">
        <f t="shared" si="601"/>
        <v>1.36986301369863E-4</v>
      </c>
      <c r="CC175" s="42">
        <f t="shared" si="601"/>
        <v>1.36986301369863E-4</v>
      </c>
      <c r="CD175" s="42">
        <f t="shared" si="601"/>
        <v>1.36986301369863E-4</v>
      </c>
      <c r="CE175" s="42">
        <f t="shared" si="601"/>
        <v>1.36986301369863E-4</v>
      </c>
      <c r="CF175" s="42">
        <f t="shared" si="601"/>
        <v>1.36986301369863E-4</v>
      </c>
      <c r="CG175" s="42">
        <f t="shared" si="601"/>
        <v>1.36986301369863E-4</v>
      </c>
      <c r="CH175" s="42">
        <f t="shared" si="601"/>
        <v>1.36986301369863E-4</v>
      </c>
      <c r="CI175" s="42">
        <f t="shared" si="601"/>
        <v>1.36986301369863E-4</v>
      </c>
      <c r="CJ175" s="42">
        <f t="shared" si="601"/>
        <v>1.36986301369863E-4</v>
      </c>
      <c r="CK175" s="42">
        <f t="shared" si="601"/>
        <v>1.36986301369863E-4</v>
      </c>
      <c r="CL175" s="42">
        <f t="shared" si="601"/>
        <v>1.36986301369863E-4</v>
      </c>
      <c r="CM175" s="42">
        <f t="shared" si="601"/>
        <v>1.36986301369863E-4</v>
      </c>
      <c r="CN175" s="42">
        <f t="shared" si="601"/>
        <v>1.36986301369863E-4</v>
      </c>
      <c r="CO175" s="42">
        <f t="shared" si="601"/>
        <v>1.36986301369863E-4</v>
      </c>
      <c r="CP175" s="42">
        <f t="shared" si="601"/>
        <v>1.36986301369863E-4</v>
      </c>
      <c r="CQ175" s="42">
        <f t="shared" si="601"/>
        <v>1.36986301369863E-4</v>
      </c>
      <c r="CR175" s="42">
        <f t="shared" si="601"/>
        <v>1.36986301369863E-4</v>
      </c>
      <c r="CS175" s="42">
        <f t="shared" si="601"/>
        <v>1.36986301369863E-4</v>
      </c>
      <c r="CT175" s="42">
        <f t="shared" si="601"/>
        <v>1.36986301369863E-4</v>
      </c>
      <c r="CU175" s="42">
        <f t="shared" si="601"/>
        <v>1.36986301369863E-4</v>
      </c>
      <c r="CV175" s="42">
        <f t="shared" si="601"/>
        <v>1.36986301369863E-4</v>
      </c>
      <c r="CW175" s="42">
        <f t="shared" si="601"/>
        <v>1.36986301369863E-4</v>
      </c>
      <c r="CX175" s="42">
        <f t="shared" ref="CX175:EC175" si="602">IF(CX$174&gt;0,1/CX$174,0)</f>
        <v>1.36986301369863E-4</v>
      </c>
      <c r="CY175" s="42">
        <f t="shared" si="602"/>
        <v>1.36986301369863E-4</v>
      </c>
      <c r="CZ175" s="42">
        <f t="shared" si="602"/>
        <v>1.36986301369863E-4</v>
      </c>
      <c r="DA175" s="42">
        <f t="shared" si="602"/>
        <v>1.36986301369863E-4</v>
      </c>
      <c r="DB175" s="42">
        <f t="shared" si="602"/>
        <v>1.36986301369863E-4</v>
      </c>
      <c r="DC175" s="42">
        <f t="shared" si="602"/>
        <v>1.36986301369863E-4</v>
      </c>
      <c r="DD175" s="42">
        <f t="shared" si="602"/>
        <v>1.36986301369863E-4</v>
      </c>
      <c r="DE175" s="42">
        <f t="shared" si="602"/>
        <v>1.36986301369863E-4</v>
      </c>
      <c r="DF175" s="42">
        <f t="shared" si="602"/>
        <v>1.36986301369863E-4</v>
      </c>
      <c r="DG175" s="42">
        <f t="shared" si="602"/>
        <v>1.36986301369863E-4</v>
      </c>
      <c r="DH175" s="42">
        <f t="shared" si="602"/>
        <v>1.36986301369863E-4</v>
      </c>
      <c r="DI175" s="42">
        <f t="shared" si="602"/>
        <v>1.36986301369863E-4</v>
      </c>
      <c r="DJ175" s="42">
        <f t="shared" si="602"/>
        <v>1.36986301369863E-4</v>
      </c>
      <c r="DK175" s="42">
        <f t="shared" si="602"/>
        <v>1.36986301369863E-4</v>
      </c>
      <c r="DL175" s="42">
        <f t="shared" si="602"/>
        <v>1.36986301369863E-4</v>
      </c>
      <c r="DM175" s="42">
        <f t="shared" si="602"/>
        <v>1.36986301369863E-4</v>
      </c>
      <c r="DN175" s="42">
        <f t="shared" si="602"/>
        <v>1.36986301369863E-4</v>
      </c>
      <c r="DO175" s="42">
        <f t="shared" si="602"/>
        <v>1.36986301369863E-4</v>
      </c>
      <c r="DP175" s="42">
        <f t="shared" si="602"/>
        <v>1.36986301369863E-4</v>
      </c>
      <c r="DQ175" s="42">
        <f t="shared" si="602"/>
        <v>1.36986301369863E-4</v>
      </c>
      <c r="DR175" s="42">
        <f t="shared" si="602"/>
        <v>1.36986301369863E-4</v>
      </c>
      <c r="DS175" s="42">
        <f t="shared" si="602"/>
        <v>1.36986301369863E-4</v>
      </c>
      <c r="DT175" s="42">
        <f t="shared" si="602"/>
        <v>1.36986301369863E-4</v>
      </c>
      <c r="DU175" s="42">
        <f t="shared" si="602"/>
        <v>1.36986301369863E-4</v>
      </c>
      <c r="DV175" s="42">
        <f t="shared" si="602"/>
        <v>1.36986301369863E-4</v>
      </c>
      <c r="DW175" s="42">
        <f t="shared" si="602"/>
        <v>1.36986301369863E-4</v>
      </c>
      <c r="DX175" s="42">
        <f t="shared" si="602"/>
        <v>1.36986301369863E-4</v>
      </c>
      <c r="DY175" s="42">
        <f t="shared" si="602"/>
        <v>1.36986301369863E-4</v>
      </c>
      <c r="DZ175" s="42">
        <f t="shared" si="602"/>
        <v>1.36986301369863E-4</v>
      </c>
      <c r="EA175" s="42">
        <f t="shared" si="602"/>
        <v>1.36986301369863E-4</v>
      </c>
      <c r="EB175" s="42">
        <f t="shared" si="602"/>
        <v>1.36986301369863E-4</v>
      </c>
      <c r="EC175" s="42">
        <f t="shared" si="602"/>
        <v>1.36986301369863E-4</v>
      </c>
      <c r="ED175" s="42">
        <f t="shared" ref="ED175:ES175" si="603">IF(ED$174&gt;0,1/ED$174,0)</f>
        <v>1.36986301369863E-4</v>
      </c>
      <c r="EE175" s="42">
        <f t="shared" si="603"/>
        <v>1.36986301369863E-4</v>
      </c>
      <c r="EF175" s="42">
        <f t="shared" si="603"/>
        <v>1.36986301369863E-4</v>
      </c>
      <c r="EG175" s="42">
        <f t="shared" si="603"/>
        <v>1.36986301369863E-4</v>
      </c>
      <c r="EH175" s="42">
        <f t="shared" si="603"/>
        <v>1.36986301369863E-4</v>
      </c>
      <c r="EI175" s="42">
        <f t="shared" si="603"/>
        <v>1.36986301369863E-4</v>
      </c>
      <c r="EJ175" s="42">
        <f t="shared" si="603"/>
        <v>1.36986301369863E-4</v>
      </c>
      <c r="EK175" s="42">
        <f t="shared" si="603"/>
        <v>1.36986301369863E-4</v>
      </c>
      <c r="EL175" s="42">
        <f t="shared" si="603"/>
        <v>1.36986301369863E-4</v>
      </c>
      <c r="EM175" s="42">
        <f t="shared" si="603"/>
        <v>1.36986301369863E-4</v>
      </c>
      <c r="EN175" s="42">
        <f t="shared" si="603"/>
        <v>1.36986301369863E-4</v>
      </c>
      <c r="EO175" s="42">
        <f t="shared" si="603"/>
        <v>1.36986301369863E-4</v>
      </c>
      <c r="EP175" s="42">
        <f t="shared" si="603"/>
        <v>1.36986301369863E-4</v>
      </c>
      <c r="EQ175" s="42">
        <f t="shared" si="603"/>
        <v>1.36986301369863E-4</v>
      </c>
      <c r="ER175" s="42">
        <f t="shared" si="603"/>
        <v>1.36986301369863E-4</v>
      </c>
      <c r="ES175" s="42">
        <f t="shared" si="603"/>
        <v>1.36986301369863E-4</v>
      </c>
    </row>
    <row r="176" spans="1:149" x14ac:dyDescent="0.3">
      <c r="A176" s="16"/>
      <c r="B176" s="15" t="s">
        <v>437</v>
      </c>
      <c r="C176" s="16"/>
      <c r="D176" s="16"/>
      <c r="E176" s="16"/>
    </row>
    <row r="177" spans="1:149" x14ac:dyDescent="0.3">
      <c r="A177" s="14" t="s">
        <v>1232</v>
      </c>
      <c r="B177" s="53" t="str">
        <f>IF(INDEX(Prod_Nombre,1)="","Producto 1",INDEX(Prod_Nombre,1))&amp;" — unidades"</f>
        <v>Gabinetes metálicos 153 kg — unidades</v>
      </c>
      <c r="C177" s="18" t="s">
        <v>475</v>
      </c>
      <c r="E177" s="54">
        <f t="shared" ref="E177:E208" si="604">SUM(F177:ES177)</f>
        <v>192000</v>
      </c>
      <c r="F177" s="48">
        <f>IF(F$8=1,N(Reales!F12),IF(F$171=1,IF(AND(AND(1&gt;Corte,1&lt;=Corte+n_Ventana),ISNUMBER(Detalle_24m!F$14)),Detalle_24m!F$14,INDEX(Vol_V,1,F$170)/12)*(1+V_dVol),0))</f>
        <v>1000</v>
      </c>
      <c r="G177" s="48">
        <f>IF(G$8=1,N(Reales!G12),IF(G$171=1,IF(AND(AND(2&gt;Corte,2&lt;=Corte+n_Ventana),ISNUMBER(Detalle_24m!G$14)),Detalle_24m!G$14,INDEX(Vol_V,1,G$170)/12)*(1+V_dVol),0))</f>
        <v>1000</v>
      </c>
      <c r="H177" s="48">
        <f>IF(H$8=1,N(Reales!H12),IF(H$171=1,IF(AND(AND(3&gt;Corte,3&lt;=Corte+n_Ventana),ISNUMBER(Detalle_24m!H$14)),Detalle_24m!H$14,INDEX(Vol_V,1,H$170)/12)*(1+V_dVol),0))</f>
        <v>1000</v>
      </c>
      <c r="I177" s="48">
        <f>IF(I$8=1,N(Reales!I12),IF(I$171=1,IF(AND(AND(4&gt;Corte,4&lt;=Corte+n_Ventana),ISNUMBER(Detalle_24m!I$14)),Detalle_24m!I$14,INDEX(Vol_V,1,I$170)/12)*(1+V_dVol),0))</f>
        <v>1000</v>
      </c>
      <c r="J177" s="48">
        <f>IF(J$8=1,N(Reales!J12),IF(J$171=1,IF(AND(AND(5&gt;Corte,5&lt;=Corte+n_Ventana),ISNUMBER(Detalle_24m!J$14)),Detalle_24m!J$14,INDEX(Vol_V,1,J$170)/12)*(1+V_dVol),0))</f>
        <v>1000</v>
      </c>
      <c r="K177" s="48">
        <f>IF(K$8=1,N(Reales!K12),IF(K$171=1,IF(AND(AND(6&gt;Corte,6&lt;=Corte+n_Ventana),ISNUMBER(Detalle_24m!K$14)),Detalle_24m!K$14,INDEX(Vol_V,1,K$170)/12)*(1+V_dVol),0))</f>
        <v>1000</v>
      </c>
      <c r="L177" s="48">
        <f>IF(L$8=1,N(Reales!L12),IF(L$171=1,IF(AND(AND(7&gt;Corte,7&lt;=Corte+n_Ventana),ISNUMBER(Detalle_24m!L$14)),Detalle_24m!L$14,INDEX(Vol_V,1,L$170)/12)*(1+V_dVol),0))</f>
        <v>1000</v>
      </c>
      <c r="M177" s="48">
        <f>IF(M$8=1,N(Reales!M12),IF(M$171=1,IF(AND(AND(8&gt;Corte,8&lt;=Corte+n_Ventana),ISNUMBER(Detalle_24m!M$14)),Detalle_24m!M$14,INDEX(Vol_V,1,M$170)/12)*(1+V_dVol),0))</f>
        <v>1000</v>
      </c>
      <c r="N177" s="48">
        <f>IF(N$8=1,N(Reales!N12),IF(N$171=1,IF(AND(AND(9&gt;Corte,9&lt;=Corte+n_Ventana),ISNUMBER(Detalle_24m!N$14)),Detalle_24m!N$14,INDEX(Vol_V,1,N$170)/12)*(1+V_dVol),0))</f>
        <v>1000</v>
      </c>
      <c r="O177" s="48">
        <f>IF(O$8=1,N(Reales!O12),IF(O$171=1,IF(AND(AND(10&gt;Corte,10&lt;=Corte+n_Ventana),ISNUMBER(Detalle_24m!O$14)),Detalle_24m!O$14,INDEX(Vol_V,1,O$170)/12)*(1+V_dVol),0))</f>
        <v>1000</v>
      </c>
      <c r="P177" s="48">
        <f>IF(P$8=1,N(Reales!P12),IF(P$171=1,IF(AND(AND(11&gt;Corte,11&lt;=Corte+n_Ventana),ISNUMBER(Detalle_24m!P$14)),Detalle_24m!P$14,INDEX(Vol_V,1,P$170)/12)*(1+V_dVol),0))</f>
        <v>1000</v>
      </c>
      <c r="Q177" s="48">
        <f>IF(Q$8=1,N(Reales!Q12),IF(Q$171=1,IF(AND(AND(12&gt;Corte,12&lt;=Corte+n_Ventana),ISNUMBER(Detalle_24m!Q$14)),Detalle_24m!Q$14,INDEX(Vol_V,1,Q$170)/12)*(1+V_dVol),0))</f>
        <v>1000</v>
      </c>
      <c r="R177" s="48">
        <f>IF(R$8=1,N(Reales!R12),IF(R$171=1,IF(AND(AND(13&gt;Corte,13&lt;=Corte+n_Ventana),ISNUMBER(Detalle_24m!R$14)),Detalle_24m!R$14,INDEX(Vol_V,1,R$170)/12)*(1+V_dVol),0))</f>
        <v>1250</v>
      </c>
      <c r="S177" s="48">
        <f>IF(S$8=1,N(Reales!S12),IF(S$171=1,IF(AND(AND(14&gt;Corte,14&lt;=Corte+n_Ventana),ISNUMBER(Detalle_24m!S$14)),Detalle_24m!S$14,INDEX(Vol_V,1,S$170)/12)*(1+V_dVol),0))</f>
        <v>1250</v>
      </c>
      <c r="T177" s="48">
        <f>IF(T$8=1,N(Reales!T12),IF(T$171=1,IF(AND(AND(15&gt;Corte,15&lt;=Corte+n_Ventana),ISNUMBER(Detalle_24m!T$14)),Detalle_24m!T$14,INDEX(Vol_V,1,T$170)/12)*(1+V_dVol),0))</f>
        <v>1250</v>
      </c>
      <c r="U177" s="48">
        <f>IF(U$8=1,N(Reales!U12),IF(U$171=1,IF(AND(AND(16&gt;Corte,16&lt;=Corte+n_Ventana),ISNUMBER(Detalle_24m!U$14)),Detalle_24m!U$14,INDEX(Vol_V,1,U$170)/12)*(1+V_dVol),0))</f>
        <v>1250</v>
      </c>
      <c r="V177" s="48">
        <f>IF(V$8=1,N(Reales!V12),IF(V$171=1,IF(AND(AND(17&gt;Corte,17&lt;=Corte+n_Ventana),ISNUMBER(Detalle_24m!V$14)),Detalle_24m!V$14,INDEX(Vol_V,1,V$170)/12)*(1+V_dVol),0))</f>
        <v>1250</v>
      </c>
      <c r="W177" s="48">
        <f>IF(W$8=1,N(Reales!W12),IF(W$171=1,IF(AND(AND(18&gt;Corte,18&lt;=Corte+n_Ventana),ISNUMBER(Detalle_24m!W$14)),Detalle_24m!W$14,INDEX(Vol_V,1,W$170)/12)*(1+V_dVol),0))</f>
        <v>1250</v>
      </c>
      <c r="X177" s="48">
        <f>IF(X$8=1,N(Reales!X12),IF(X$171=1,IF(AND(AND(19&gt;Corte,19&lt;=Corte+n_Ventana),ISNUMBER(Detalle_24m!X$14)),Detalle_24m!X$14,INDEX(Vol_V,1,X$170)/12)*(1+V_dVol),0))</f>
        <v>1250</v>
      </c>
      <c r="Y177" s="48">
        <f>IF(Y$8=1,N(Reales!Y12),IF(Y$171=1,IF(AND(AND(20&gt;Corte,20&lt;=Corte+n_Ventana),ISNUMBER(Detalle_24m!Y$14)),Detalle_24m!Y$14,INDEX(Vol_V,1,Y$170)/12)*(1+V_dVol),0))</f>
        <v>1250</v>
      </c>
      <c r="Z177" s="48">
        <f>IF(Z$8=1,N(Reales!Z12),IF(Z$171=1,IF(AND(AND(21&gt;Corte,21&lt;=Corte+n_Ventana),ISNUMBER(Detalle_24m!Z$14)),Detalle_24m!Z$14,INDEX(Vol_V,1,Z$170)/12)*(1+V_dVol),0))</f>
        <v>1250</v>
      </c>
      <c r="AA177" s="48">
        <f>IF(AA$8=1,N(Reales!AA12),IF(AA$171=1,IF(AND(AND(22&gt;Corte,22&lt;=Corte+n_Ventana),ISNUMBER(Detalle_24m!AA$14)),Detalle_24m!AA$14,INDEX(Vol_V,1,AA$170)/12)*(1+V_dVol),0))</f>
        <v>1250</v>
      </c>
      <c r="AB177" s="48">
        <f>IF(AB$8=1,N(Reales!AB12),IF(AB$171=1,IF(AND(AND(23&gt;Corte,23&lt;=Corte+n_Ventana),ISNUMBER(Detalle_24m!AB$14)),Detalle_24m!AB$14,INDEX(Vol_V,1,AB$170)/12)*(1+V_dVol),0))</f>
        <v>1250</v>
      </c>
      <c r="AC177" s="48">
        <f>IF(AC$8=1,N(Reales!AC12),IF(AC$171=1,IF(AND(AND(24&gt;Corte,24&lt;=Corte+n_Ventana),ISNUMBER(Detalle_24m!AC$14)),Detalle_24m!AC$14,INDEX(Vol_V,1,AC$170)/12)*(1+V_dVol),0))</f>
        <v>1250</v>
      </c>
      <c r="AD177" s="48">
        <f>IF(AD$8=1,N(Reales!AD12),IF(AD$171=1,IF(AND(AND(25&gt;Corte,25&lt;=Corte+n_Ventana),ISNUMBER(Detalle_24m!AD$14)),Detalle_24m!AD$14,INDEX(Vol_V,1,AD$170)/12)*(1+V_dVol),0))</f>
        <v>1500</v>
      </c>
      <c r="AE177" s="48">
        <f>IF(AE$8=1,N(Reales!AE12),IF(AE$171=1,IF(AND(AND(26&gt;Corte,26&lt;=Corte+n_Ventana),ISNUMBER(Detalle_24m!AE$14)),Detalle_24m!AE$14,INDEX(Vol_V,1,AE$170)/12)*(1+V_dVol),0))</f>
        <v>1500</v>
      </c>
      <c r="AF177" s="48">
        <f>IF(AF$8=1,N(Reales!AF12),IF(AF$171=1,IF(AND(AND(27&gt;Corte,27&lt;=Corte+n_Ventana),ISNUMBER(Detalle_24m!AF$14)),Detalle_24m!AF$14,INDEX(Vol_V,1,AF$170)/12)*(1+V_dVol),0))</f>
        <v>1500</v>
      </c>
      <c r="AG177" s="48">
        <f>IF(AG$8=1,N(Reales!AG12),IF(AG$171=1,IF(AND(AND(28&gt;Corte,28&lt;=Corte+n_Ventana),ISNUMBER(Detalle_24m!AG$14)),Detalle_24m!AG$14,INDEX(Vol_V,1,AG$170)/12)*(1+V_dVol),0))</f>
        <v>1500</v>
      </c>
      <c r="AH177" s="48">
        <f>IF(AH$8=1,N(Reales!AH12),IF(AH$171=1,IF(AND(AND(29&gt;Corte,29&lt;=Corte+n_Ventana),ISNUMBER(Detalle_24m!AH$14)),Detalle_24m!AH$14,INDEX(Vol_V,1,AH$170)/12)*(1+V_dVol),0))</f>
        <v>1500</v>
      </c>
      <c r="AI177" s="48">
        <f>IF(AI$8=1,N(Reales!AI12),IF(AI$171=1,IF(AND(AND(30&gt;Corte,30&lt;=Corte+n_Ventana),ISNUMBER(Detalle_24m!AI$14)),Detalle_24m!AI$14,INDEX(Vol_V,1,AI$170)/12)*(1+V_dVol),0))</f>
        <v>1500</v>
      </c>
      <c r="AJ177" s="48">
        <f>IF(AJ$8=1,N(Reales!AJ12),IF(AJ$171=1,IF(AND(AND(31&gt;Corte,31&lt;=Corte+n_Ventana),ISNUMBER(Detalle_24m!AJ$14)),Detalle_24m!AJ$14,INDEX(Vol_V,1,AJ$170)/12)*(1+V_dVol),0))</f>
        <v>1500</v>
      </c>
      <c r="AK177" s="48">
        <f>IF(AK$8=1,N(Reales!AK12),IF(AK$171=1,IF(AND(AND(32&gt;Corte,32&lt;=Corte+n_Ventana),ISNUMBER(Detalle_24m!AK$14)),Detalle_24m!AK$14,INDEX(Vol_V,1,AK$170)/12)*(1+V_dVol),0))</f>
        <v>1500</v>
      </c>
      <c r="AL177" s="48">
        <f>IF(AL$8=1,N(Reales!AL12),IF(AL$171=1,IF(AND(AND(33&gt;Corte,33&lt;=Corte+n_Ventana),ISNUMBER(Detalle_24m!AL$14)),Detalle_24m!AL$14,INDEX(Vol_V,1,AL$170)/12)*(1+V_dVol),0))</f>
        <v>1500</v>
      </c>
      <c r="AM177" s="48">
        <f>IF(AM$8=1,N(Reales!AM12),IF(AM$171=1,IF(AND(AND(34&gt;Corte,34&lt;=Corte+n_Ventana),ISNUMBER(Detalle_24m!AM$14)),Detalle_24m!AM$14,INDEX(Vol_V,1,AM$170)/12)*(1+V_dVol),0))</f>
        <v>1500</v>
      </c>
      <c r="AN177" s="48">
        <f>IF(AN$8=1,N(Reales!AN12),IF(AN$171=1,IF(AND(AND(35&gt;Corte,35&lt;=Corte+n_Ventana),ISNUMBER(Detalle_24m!AN$14)),Detalle_24m!AN$14,INDEX(Vol_V,1,AN$170)/12)*(1+V_dVol),0))</f>
        <v>1500</v>
      </c>
      <c r="AO177" s="48">
        <f>IF(AO$8=1,N(Reales!AO12),IF(AO$171=1,IF(AND(AND(36&gt;Corte,36&lt;=Corte+n_Ventana),ISNUMBER(Detalle_24m!AO$14)),Detalle_24m!AO$14,INDEX(Vol_V,1,AO$170)/12)*(1+V_dVol),0))</f>
        <v>1500</v>
      </c>
      <c r="AP177" s="48">
        <f>IF(AP$8=1,N(Reales!AP12),IF(AP$171=1,IF(AND(AND(37&gt;Corte,37&lt;=Corte+n_Ventana),ISNUMBER(Detalle_24m!AP$14)),Detalle_24m!AP$14,INDEX(Vol_V,1,AP$170)/12)*(1+V_dVol),0))</f>
        <v>1750</v>
      </c>
      <c r="AQ177" s="48">
        <f>IF(AQ$8=1,N(Reales!AQ12),IF(AQ$171=1,IF(AND(AND(38&gt;Corte,38&lt;=Corte+n_Ventana),ISNUMBER(Detalle_24m!AQ$14)),Detalle_24m!AQ$14,INDEX(Vol_V,1,AQ$170)/12)*(1+V_dVol),0))</f>
        <v>1750</v>
      </c>
      <c r="AR177" s="48">
        <f>IF(AR$8=1,N(Reales!AR12),IF(AR$171=1,IF(AND(AND(39&gt;Corte,39&lt;=Corte+n_Ventana),ISNUMBER(Detalle_24m!AR$14)),Detalle_24m!AR$14,INDEX(Vol_V,1,AR$170)/12)*(1+V_dVol),0))</f>
        <v>1750</v>
      </c>
      <c r="AS177" s="48">
        <f>IF(AS$8=1,N(Reales!AS12),IF(AS$171=1,IF(AND(AND(40&gt;Corte,40&lt;=Corte+n_Ventana),ISNUMBER(Detalle_24m!AS$14)),Detalle_24m!AS$14,INDEX(Vol_V,1,AS$170)/12)*(1+V_dVol),0))</f>
        <v>1750</v>
      </c>
      <c r="AT177" s="48">
        <f>IF(AT$8=1,N(Reales!AT12),IF(AT$171=1,IF(AND(AND(41&gt;Corte,41&lt;=Corte+n_Ventana),ISNUMBER(Detalle_24m!AT$14)),Detalle_24m!AT$14,INDEX(Vol_V,1,AT$170)/12)*(1+V_dVol),0))</f>
        <v>1750</v>
      </c>
      <c r="AU177" s="48">
        <f>IF(AU$8=1,N(Reales!AU12),IF(AU$171=1,IF(AND(AND(42&gt;Corte,42&lt;=Corte+n_Ventana),ISNUMBER(Detalle_24m!AU$14)),Detalle_24m!AU$14,INDEX(Vol_V,1,AU$170)/12)*(1+V_dVol),0))</f>
        <v>1750</v>
      </c>
      <c r="AV177" s="48">
        <f>IF(AV$8=1,N(Reales!AV12),IF(AV$171=1,IF(AND(AND(43&gt;Corte,43&lt;=Corte+n_Ventana),ISNUMBER(Detalle_24m!AV$14)),Detalle_24m!AV$14,INDEX(Vol_V,1,AV$170)/12)*(1+V_dVol),0))</f>
        <v>1750</v>
      </c>
      <c r="AW177" s="48">
        <f>IF(AW$8=1,N(Reales!AW12),IF(AW$171=1,IF(AND(AND(44&gt;Corte,44&lt;=Corte+n_Ventana),ISNUMBER(Detalle_24m!AW$14)),Detalle_24m!AW$14,INDEX(Vol_V,1,AW$170)/12)*(1+V_dVol),0))</f>
        <v>1750</v>
      </c>
      <c r="AX177" s="48">
        <f>IF(AX$8=1,N(Reales!AX12),IF(AX$171=1,IF(AND(AND(45&gt;Corte,45&lt;=Corte+n_Ventana),ISNUMBER(Detalle_24m!AX$14)),Detalle_24m!AX$14,INDEX(Vol_V,1,AX$170)/12)*(1+V_dVol),0))</f>
        <v>1750</v>
      </c>
      <c r="AY177" s="48">
        <f>IF(AY$8=1,N(Reales!AY12),IF(AY$171=1,IF(AND(AND(46&gt;Corte,46&lt;=Corte+n_Ventana),ISNUMBER(Detalle_24m!AY$14)),Detalle_24m!AY$14,INDEX(Vol_V,1,AY$170)/12)*(1+V_dVol),0))</f>
        <v>1750</v>
      </c>
      <c r="AZ177" s="48">
        <f>IF(AZ$8=1,N(Reales!AZ12),IF(AZ$171=1,IF(AND(AND(47&gt;Corte,47&lt;=Corte+n_Ventana),ISNUMBER(Detalle_24m!AZ$14)),Detalle_24m!AZ$14,INDEX(Vol_V,1,AZ$170)/12)*(1+V_dVol),0))</f>
        <v>1750</v>
      </c>
      <c r="BA177" s="48">
        <f>IF(BA$8=1,N(Reales!BA12),IF(BA$171=1,IF(AND(AND(48&gt;Corte,48&lt;=Corte+n_Ventana),ISNUMBER(Detalle_24m!BA$14)),Detalle_24m!BA$14,INDEX(Vol_V,1,BA$170)/12)*(1+V_dVol),0))</f>
        <v>1750</v>
      </c>
      <c r="BB177" s="48">
        <f>IF(BB$8=1,N(Reales!BB12),IF(BB$171=1,IF(AND(AND(49&gt;Corte,49&lt;=Corte+n_Ventana),ISNUMBER(Detalle_24m!BB$14)),Detalle_24m!BB$14,INDEX(Vol_V,1,BB$170)/12)*(1+V_dVol),0))</f>
        <v>1750</v>
      </c>
      <c r="BC177" s="48">
        <f>IF(BC$8=1,N(Reales!BC12),IF(BC$171=1,IF(AND(AND(50&gt;Corte,50&lt;=Corte+n_Ventana),ISNUMBER(Detalle_24m!BC$14)),Detalle_24m!BC$14,INDEX(Vol_V,1,BC$170)/12)*(1+V_dVol),0))</f>
        <v>1750</v>
      </c>
      <c r="BD177" s="48">
        <f>IF(BD$8=1,N(Reales!BD12),IF(BD$171=1,IF(AND(AND(51&gt;Corte,51&lt;=Corte+n_Ventana),ISNUMBER(Detalle_24m!BD$14)),Detalle_24m!BD$14,INDEX(Vol_V,1,BD$170)/12)*(1+V_dVol),0))</f>
        <v>1750</v>
      </c>
      <c r="BE177" s="48">
        <f>IF(BE$8=1,N(Reales!BE12),IF(BE$171=1,IF(AND(AND(52&gt;Corte,52&lt;=Corte+n_Ventana),ISNUMBER(Detalle_24m!BE$14)),Detalle_24m!BE$14,INDEX(Vol_V,1,BE$170)/12)*(1+V_dVol),0))</f>
        <v>1750</v>
      </c>
      <c r="BF177" s="48">
        <f>IF(BF$8=1,N(Reales!BF12),IF(BF$171=1,IF(AND(AND(53&gt;Corte,53&lt;=Corte+n_Ventana),ISNUMBER(Detalle_24m!BF$14)),Detalle_24m!BF$14,INDEX(Vol_V,1,BF$170)/12)*(1+V_dVol),0))</f>
        <v>1750</v>
      </c>
      <c r="BG177" s="48">
        <f>IF(BG$8=1,N(Reales!BG12),IF(BG$171=1,IF(AND(AND(54&gt;Corte,54&lt;=Corte+n_Ventana),ISNUMBER(Detalle_24m!BG$14)),Detalle_24m!BG$14,INDEX(Vol_V,1,BG$170)/12)*(1+V_dVol),0))</f>
        <v>1750</v>
      </c>
      <c r="BH177" s="48">
        <f>IF(BH$8=1,N(Reales!BH12),IF(BH$171=1,IF(AND(AND(55&gt;Corte,55&lt;=Corte+n_Ventana),ISNUMBER(Detalle_24m!BH$14)),Detalle_24m!BH$14,INDEX(Vol_V,1,BH$170)/12)*(1+V_dVol),0))</f>
        <v>1750</v>
      </c>
      <c r="BI177" s="48">
        <f>IF(BI$8=1,N(Reales!BI12),IF(BI$171=1,IF(AND(AND(56&gt;Corte,56&lt;=Corte+n_Ventana),ISNUMBER(Detalle_24m!BI$14)),Detalle_24m!BI$14,INDEX(Vol_V,1,BI$170)/12)*(1+V_dVol),0))</f>
        <v>1750</v>
      </c>
      <c r="BJ177" s="48">
        <f>IF(BJ$8=1,N(Reales!BJ12),IF(BJ$171=1,IF(AND(AND(57&gt;Corte,57&lt;=Corte+n_Ventana),ISNUMBER(Detalle_24m!BJ$14)),Detalle_24m!BJ$14,INDEX(Vol_V,1,BJ$170)/12)*(1+V_dVol),0))</f>
        <v>1750</v>
      </c>
      <c r="BK177" s="48">
        <f>IF(BK$8=1,N(Reales!BK12),IF(BK$171=1,IF(AND(AND(58&gt;Corte,58&lt;=Corte+n_Ventana),ISNUMBER(Detalle_24m!BK$14)),Detalle_24m!BK$14,INDEX(Vol_V,1,BK$170)/12)*(1+V_dVol),0))</f>
        <v>1750</v>
      </c>
      <c r="BL177" s="48">
        <f>IF(BL$8=1,N(Reales!BL12),IF(BL$171=1,IF(AND(AND(59&gt;Corte,59&lt;=Corte+n_Ventana),ISNUMBER(Detalle_24m!BL$14)),Detalle_24m!BL$14,INDEX(Vol_V,1,BL$170)/12)*(1+V_dVol),0))</f>
        <v>1750</v>
      </c>
      <c r="BM177" s="48">
        <f>IF(BM$8=1,N(Reales!BM12),IF(BM$171=1,IF(AND(AND(60&gt;Corte,60&lt;=Corte+n_Ventana),ISNUMBER(Detalle_24m!BM$14)),Detalle_24m!BM$14,INDEX(Vol_V,1,BM$170)/12)*(1+V_dVol),0))</f>
        <v>1750</v>
      </c>
      <c r="BN177" s="48">
        <f>IF(BN$8=1,N(Reales!BN12),IF(BN$171=1,IF(AND(AND(61&gt;Corte,61&lt;=Corte+n_Ventana),ISNUMBER(Detalle_24m!BN$14)),Detalle_24m!BN$14,INDEX(Vol_V,1,BN$170)/12)*(1+V_dVol),0))</f>
        <v>1750</v>
      </c>
      <c r="BO177" s="48">
        <f>IF(BO$8=1,N(Reales!BO12),IF(BO$171=1,IF(AND(AND(62&gt;Corte,62&lt;=Corte+n_Ventana),ISNUMBER(Detalle_24m!BO$14)),Detalle_24m!BO$14,INDEX(Vol_V,1,BO$170)/12)*(1+V_dVol),0))</f>
        <v>1750</v>
      </c>
      <c r="BP177" s="48">
        <f>IF(BP$8=1,N(Reales!BP12),IF(BP$171=1,IF(AND(AND(63&gt;Corte,63&lt;=Corte+n_Ventana),ISNUMBER(Detalle_24m!BP$14)),Detalle_24m!BP$14,INDEX(Vol_V,1,BP$170)/12)*(1+V_dVol),0))</f>
        <v>1750</v>
      </c>
      <c r="BQ177" s="48">
        <f>IF(BQ$8=1,N(Reales!BQ12),IF(BQ$171=1,IF(AND(AND(64&gt;Corte,64&lt;=Corte+n_Ventana),ISNUMBER(Detalle_24m!BQ$14)),Detalle_24m!BQ$14,INDEX(Vol_V,1,BQ$170)/12)*(1+V_dVol),0))</f>
        <v>1750</v>
      </c>
      <c r="BR177" s="48">
        <f>IF(BR$8=1,N(Reales!BR12),IF(BR$171=1,IF(AND(AND(65&gt;Corte,65&lt;=Corte+n_Ventana),ISNUMBER(Detalle_24m!BR$14)),Detalle_24m!BR$14,INDEX(Vol_V,1,BR$170)/12)*(1+V_dVol),0))</f>
        <v>1750</v>
      </c>
      <c r="BS177" s="48">
        <f>IF(BS$8=1,N(Reales!BS12),IF(BS$171=1,IF(AND(AND(66&gt;Corte,66&lt;=Corte+n_Ventana),ISNUMBER(Detalle_24m!BS$14)),Detalle_24m!BS$14,INDEX(Vol_V,1,BS$170)/12)*(1+V_dVol),0))</f>
        <v>1750</v>
      </c>
      <c r="BT177" s="48">
        <f>IF(BT$8=1,N(Reales!BT12),IF(BT$171=1,IF(AND(AND(67&gt;Corte,67&lt;=Corte+n_Ventana),ISNUMBER(Detalle_24m!BT$14)),Detalle_24m!BT$14,INDEX(Vol_V,1,BT$170)/12)*(1+V_dVol),0))</f>
        <v>1750</v>
      </c>
      <c r="BU177" s="48">
        <f>IF(BU$8=1,N(Reales!BU12),IF(BU$171=1,IF(AND(AND(68&gt;Corte,68&lt;=Corte+n_Ventana),ISNUMBER(Detalle_24m!BU$14)),Detalle_24m!BU$14,INDEX(Vol_V,1,BU$170)/12)*(1+V_dVol),0))</f>
        <v>1750</v>
      </c>
      <c r="BV177" s="48">
        <f>IF(BV$8=1,N(Reales!BV12),IF(BV$171=1,IF(AND(AND(69&gt;Corte,69&lt;=Corte+n_Ventana),ISNUMBER(Detalle_24m!BV$14)),Detalle_24m!BV$14,INDEX(Vol_V,1,BV$170)/12)*(1+V_dVol),0))</f>
        <v>1750</v>
      </c>
      <c r="BW177" s="48">
        <f>IF(BW$8=1,N(Reales!BW12),IF(BW$171=1,IF(AND(AND(70&gt;Corte,70&lt;=Corte+n_Ventana),ISNUMBER(Detalle_24m!BW$14)),Detalle_24m!BW$14,INDEX(Vol_V,1,BW$170)/12)*(1+V_dVol),0))</f>
        <v>1750</v>
      </c>
      <c r="BX177" s="48">
        <f>IF(BX$8=1,N(Reales!BX12),IF(BX$171=1,IF(AND(AND(71&gt;Corte,71&lt;=Corte+n_Ventana),ISNUMBER(Detalle_24m!BX$14)),Detalle_24m!BX$14,INDEX(Vol_V,1,BX$170)/12)*(1+V_dVol),0))</f>
        <v>1750</v>
      </c>
      <c r="BY177" s="48">
        <f>IF(BY$8=1,N(Reales!BY12),IF(BY$171=1,IF(AND(AND(72&gt;Corte,72&lt;=Corte+n_Ventana),ISNUMBER(Detalle_24m!BY$14)),Detalle_24m!BY$14,INDEX(Vol_V,1,BY$170)/12)*(1+V_dVol),0))</f>
        <v>1750</v>
      </c>
      <c r="BZ177" s="48">
        <f>IF(BZ$8=1,N(Reales!BZ12),IF(BZ$171=1,IF(AND(AND(73&gt;Corte,73&lt;=Corte+n_Ventana),ISNUMBER(Detalle_24m!BZ$14)),Detalle_24m!BZ$14,INDEX(Vol_V,1,BZ$170)/12)*(1+V_dVol),0))</f>
        <v>1750</v>
      </c>
      <c r="CA177" s="48">
        <f>IF(CA$8=1,N(Reales!CA12),IF(CA$171=1,IF(AND(AND(74&gt;Corte,74&lt;=Corte+n_Ventana),ISNUMBER(Detalle_24m!CA$14)),Detalle_24m!CA$14,INDEX(Vol_V,1,CA$170)/12)*(1+V_dVol),0))</f>
        <v>1750</v>
      </c>
      <c r="CB177" s="48">
        <f>IF(CB$8=1,N(Reales!CB12),IF(CB$171=1,IF(AND(AND(75&gt;Corte,75&lt;=Corte+n_Ventana),ISNUMBER(Detalle_24m!CB$14)),Detalle_24m!CB$14,INDEX(Vol_V,1,CB$170)/12)*(1+V_dVol),0))</f>
        <v>1750</v>
      </c>
      <c r="CC177" s="48">
        <f>IF(CC$8=1,N(Reales!CC12),IF(CC$171=1,IF(AND(AND(76&gt;Corte,76&lt;=Corte+n_Ventana),ISNUMBER(Detalle_24m!CC$14)),Detalle_24m!CC$14,INDEX(Vol_V,1,CC$170)/12)*(1+V_dVol),0))</f>
        <v>1750</v>
      </c>
      <c r="CD177" s="48">
        <f>IF(CD$8=1,N(Reales!CD12),IF(CD$171=1,IF(AND(AND(77&gt;Corte,77&lt;=Corte+n_Ventana),ISNUMBER(Detalle_24m!CD$14)),Detalle_24m!CD$14,INDEX(Vol_V,1,CD$170)/12)*(1+V_dVol),0))</f>
        <v>1750</v>
      </c>
      <c r="CE177" s="48">
        <f>IF(CE$8=1,N(Reales!CE12),IF(CE$171=1,IF(AND(AND(78&gt;Corte,78&lt;=Corte+n_Ventana),ISNUMBER(Detalle_24m!CE$14)),Detalle_24m!CE$14,INDEX(Vol_V,1,CE$170)/12)*(1+V_dVol),0))</f>
        <v>1750</v>
      </c>
      <c r="CF177" s="48">
        <f>IF(CF$8=1,N(Reales!CF12),IF(CF$171=1,IF(AND(AND(79&gt;Corte,79&lt;=Corte+n_Ventana),ISNUMBER(Detalle_24m!CF$14)),Detalle_24m!CF$14,INDEX(Vol_V,1,CF$170)/12)*(1+V_dVol),0))</f>
        <v>1750</v>
      </c>
      <c r="CG177" s="48">
        <f>IF(CG$8=1,N(Reales!CG12),IF(CG$171=1,IF(AND(AND(80&gt;Corte,80&lt;=Corte+n_Ventana),ISNUMBER(Detalle_24m!CG$14)),Detalle_24m!CG$14,INDEX(Vol_V,1,CG$170)/12)*(1+V_dVol),0))</f>
        <v>1750</v>
      </c>
      <c r="CH177" s="48">
        <f>IF(CH$8=1,N(Reales!CH12),IF(CH$171=1,IF(AND(AND(81&gt;Corte,81&lt;=Corte+n_Ventana),ISNUMBER(Detalle_24m!CH$14)),Detalle_24m!CH$14,INDEX(Vol_V,1,CH$170)/12)*(1+V_dVol),0))</f>
        <v>1750</v>
      </c>
      <c r="CI177" s="48">
        <f>IF(CI$8=1,N(Reales!CI12),IF(CI$171=1,IF(AND(AND(82&gt;Corte,82&lt;=Corte+n_Ventana),ISNUMBER(Detalle_24m!CI$14)),Detalle_24m!CI$14,INDEX(Vol_V,1,CI$170)/12)*(1+V_dVol),0))</f>
        <v>1750</v>
      </c>
      <c r="CJ177" s="48">
        <f>IF(CJ$8=1,N(Reales!CJ12),IF(CJ$171=1,IF(AND(AND(83&gt;Corte,83&lt;=Corte+n_Ventana),ISNUMBER(Detalle_24m!CJ$14)),Detalle_24m!CJ$14,INDEX(Vol_V,1,CJ$170)/12)*(1+V_dVol),0))</f>
        <v>1750</v>
      </c>
      <c r="CK177" s="48">
        <f>IF(CK$8=1,N(Reales!CK12),IF(CK$171=1,IF(AND(AND(84&gt;Corte,84&lt;=Corte+n_Ventana),ISNUMBER(Detalle_24m!CK$14)),Detalle_24m!CK$14,INDEX(Vol_V,1,CK$170)/12)*(1+V_dVol),0))</f>
        <v>1750</v>
      </c>
      <c r="CL177" s="48">
        <f>IF(CL$8=1,N(Reales!CL12),IF(CL$171=1,IF(AND(AND(85&gt;Corte,85&lt;=Corte+n_Ventana),ISNUMBER(Detalle_24m!CL$14)),Detalle_24m!CL$14,INDEX(Vol_V,1,CL$170)/12)*(1+V_dVol),0))</f>
        <v>1750</v>
      </c>
      <c r="CM177" s="48">
        <f>IF(CM$8=1,N(Reales!CM12),IF(CM$171=1,IF(AND(AND(86&gt;Corte,86&lt;=Corte+n_Ventana),ISNUMBER(Detalle_24m!CM$14)),Detalle_24m!CM$14,INDEX(Vol_V,1,CM$170)/12)*(1+V_dVol),0))</f>
        <v>1750</v>
      </c>
      <c r="CN177" s="48">
        <f>IF(CN$8=1,N(Reales!CN12),IF(CN$171=1,IF(AND(AND(87&gt;Corte,87&lt;=Corte+n_Ventana),ISNUMBER(Detalle_24m!CN$14)),Detalle_24m!CN$14,INDEX(Vol_V,1,CN$170)/12)*(1+V_dVol),0))</f>
        <v>1750</v>
      </c>
      <c r="CO177" s="48">
        <f>IF(CO$8=1,N(Reales!CO12),IF(CO$171=1,IF(AND(AND(88&gt;Corte,88&lt;=Corte+n_Ventana),ISNUMBER(Detalle_24m!CO$14)),Detalle_24m!CO$14,INDEX(Vol_V,1,CO$170)/12)*(1+V_dVol),0))</f>
        <v>1750</v>
      </c>
      <c r="CP177" s="48">
        <f>IF(CP$8=1,N(Reales!CP12),IF(CP$171=1,IF(AND(AND(89&gt;Corte,89&lt;=Corte+n_Ventana),ISNUMBER(Detalle_24m!CP$14)),Detalle_24m!CP$14,INDEX(Vol_V,1,CP$170)/12)*(1+V_dVol),0))</f>
        <v>1750</v>
      </c>
      <c r="CQ177" s="48">
        <f>IF(CQ$8=1,N(Reales!CQ12),IF(CQ$171=1,IF(AND(AND(90&gt;Corte,90&lt;=Corte+n_Ventana),ISNUMBER(Detalle_24m!CQ$14)),Detalle_24m!CQ$14,INDEX(Vol_V,1,CQ$170)/12)*(1+V_dVol),0))</f>
        <v>1750</v>
      </c>
      <c r="CR177" s="48">
        <f>IF(CR$8=1,N(Reales!CR12),IF(CR$171=1,IF(AND(AND(91&gt;Corte,91&lt;=Corte+n_Ventana),ISNUMBER(Detalle_24m!CR$14)),Detalle_24m!CR$14,INDEX(Vol_V,1,CR$170)/12)*(1+V_dVol),0))</f>
        <v>1750</v>
      </c>
      <c r="CS177" s="48">
        <f>IF(CS$8=1,N(Reales!CS12),IF(CS$171=1,IF(AND(AND(92&gt;Corte,92&lt;=Corte+n_Ventana),ISNUMBER(Detalle_24m!CS$14)),Detalle_24m!CS$14,INDEX(Vol_V,1,CS$170)/12)*(1+V_dVol),0))</f>
        <v>1750</v>
      </c>
      <c r="CT177" s="48">
        <f>IF(CT$8=1,N(Reales!CT12),IF(CT$171=1,IF(AND(AND(93&gt;Corte,93&lt;=Corte+n_Ventana),ISNUMBER(Detalle_24m!CT$14)),Detalle_24m!CT$14,INDEX(Vol_V,1,CT$170)/12)*(1+V_dVol),0))</f>
        <v>1750</v>
      </c>
      <c r="CU177" s="48">
        <f>IF(CU$8=1,N(Reales!CU12),IF(CU$171=1,IF(AND(AND(94&gt;Corte,94&lt;=Corte+n_Ventana),ISNUMBER(Detalle_24m!CU$14)),Detalle_24m!CU$14,INDEX(Vol_V,1,CU$170)/12)*(1+V_dVol),0))</f>
        <v>1750</v>
      </c>
      <c r="CV177" s="48">
        <f>IF(CV$8=1,N(Reales!CV12),IF(CV$171=1,IF(AND(AND(95&gt;Corte,95&lt;=Corte+n_Ventana),ISNUMBER(Detalle_24m!CV$14)),Detalle_24m!CV$14,INDEX(Vol_V,1,CV$170)/12)*(1+V_dVol),0))</f>
        <v>1750</v>
      </c>
      <c r="CW177" s="48">
        <f>IF(CW$8=1,N(Reales!CW12),IF(CW$171=1,IF(AND(AND(96&gt;Corte,96&lt;=Corte+n_Ventana),ISNUMBER(Detalle_24m!CW$14)),Detalle_24m!CW$14,INDEX(Vol_V,1,CW$170)/12)*(1+V_dVol),0))</f>
        <v>1750</v>
      </c>
      <c r="CX177" s="48">
        <f>IF(CX$8=1,N(Reales!CX12),IF(CX$171=1,IF(AND(AND(97&gt;Corte,97&lt;=Corte+n_Ventana),ISNUMBER(Detalle_24m!CX$14)),Detalle_24m!CX$14,INDEX(Vol_V,1,CX$170)/12)*(1+V_dVol),0))</f>
        <v>1750</v>
      </c>
      <c r="CY177" s="48">
        <f>IF(CY$8=1,N(Reales!CY12),IF(CY$171=1,IF(AND(AND(98&gt;Corte,98&lt;=Corte+n_Ventana),ISNUMBER(Detalle_24m!CY$14)),Detalle_24m!CY$14,INDEX(Vol_V,1,CY$170)/12)*(1+V_dVol),0))</f>
        <v>1750</v>
      </c>
      <c r="CZ177" s="48">
        <f>IF(CZ$8=1,N(Reales!CZ12),IF(CZ$171=1,IF(AND(AND(99&gt;Corte,99&lt;=Corte+n_Ventana),ISNUMBER(Detalle_24m!CZ$14)),Detalle_24m!CZ$14,INDEX(Vol_V,1,CZ$170)/12)*(1+V_dVol),0))</f>
        <v>1750</v>
      </c>
      <c r="DA177" s="48">
        <f>IF(DA$8=1,N(Reales!DA12),IF(DA$171=1,IF(AND(AND(100&gt;Corte,100&lt;=Corte+n_Ventana),ISNUMBER(Detalle_24m!DA$14)),Detalle_24m!DA$14,INDEX(Vol_V,1,DA$170)/12)*(1+V_dVol),0))</f>
        <v>1750</v>
      </c>
      <c r="DB177" s="48">
        <f>IF(DB$8=1,N(Reales!DB12),IF(DB$171=1,IF(AND(AND(101&gt;Corte,101&lt;=Corte+n_Ventana),ISNUMBER(Detalle_24m!DB$14)),Detalle_24m!DB$14,INDEX(Vol_V,1,DB$170)/12)*(1+V_dVol),0))</f>
        <v>1750</v>
      </c>
      <c r="DC177" s="48">
        <f>IF(DC$8=1,N(Reales!DC12),IF(DC$171=1,IF(AND(AND(102&gt;Corte,102&lt;=Corte+n_Ventana),ISNUMBER(Detalle_24m!DC$14)),Detalle_24m!DC$14,INDEX(Vol_V,1,DC$170)/12)*(1+V_dVol),0))</f>
        <v>1750</v>
      </c>
      <c r="DD177" s="48">
        <f>IF(DD$8=1,N(Reales!DD12),IF(DD$171=1,IF(AND(AND(103&gt;Corte,103&lt;=Corte+n_Ventana),ISNUMBER(Detalle_24m!DD$14)),Detalle_24m!DD$14,INDEX(Vol_V,1,DD$170)/12)*(1+V_dVol),0))</f>
        <v>1750</v>
      </c>
      <c r="DE177" s="48">
        <f>IF(DE$8=1,N(Reales!DE12),IF(DE$171=1,IF(AND(AND(104&gt;Corte,104&lt;=Corte+n_Ventana),ISNUMBER(Detalle_24m!DE$14)),Detalle_24m!DE$14,INDEX(Vol_V,1,DE$170)/12)*(1+V_dVol),0))</f>
        <v>1750</v>
      </c>
      <c r="DF177" s="48">
        <f>IF(DF$8=1,N(Reales!DF12),IF(DF$171=1,IF(AND(AND(105&gt;Corte,105&lt;=Corte+n_Ventana),ISNUMBER(Detalle_24m!DF$14)),Detalle_24m!DF$14,INDEX(Vol_V,1,DF$170)/12)*(1+V_dVol),0))</f>
        <v>1750</v>
      </c>
      <c r="DG177" s="48">
        <f>IF(DG$8=1,N(Reales!DG12),IF(DG$171=1,IF(AND(AND(106&gt;Corte,106&lt;=Corte+n_Ventana),ISNUMBER(Detalle_24m!DG$14)),Detalle_24m!DG$14,INDEX(Vol_V,1,DG$170)/12)*(1+V_dVol),0))</f>
        <v>1750</v>
      </c>
      <c r="DH177" s="48">
        <f>IF(DH$8=1,N(Reales!DH12),IF(DH$171=1,IF(AND(AND(107&gt;Corte,107&lt;=Corte+n_Ventana),ISNUMBER(Detalle_24m!DH$14)),Detalle_24m!DH$14,INDEX(Vol_V,1,DH$170)/12)*(1+V_dVol),0))</f>
        <v>1750</v>
      </c>
      <c r="DI177" s="48">
        <f>IF(DI$8=1,N(Reales!DI12),IF(DI$171=1,IF(AND(AND(108&gt;Corte,108&lt;=Corte+n_Ventana),ISNUMBER(Detalle_24m!DI$14)),Detalle_24m!DI$14,INDEX(Vol_V,1,DI$170)/12)*(1+V_dVol),0))</f>
        <v>1750</v>
      </c>
      <c r="DJ177" s="48">
        <f>IF(DJ$8=1,N(Reales!DJ12),IF(DJ$171=1,IF(AND(AND(109&gt;Corte,109&lt;=Corte+n_Ventana),ISNUMBER(Detalle_24m!DJ$14)),Detalle_24m!DJ$14,INDEX(Vol_V,1,DJ$170)/12)*(1+V_dVol),0))</f>
        <v>1750</v>
      </c>
      <c r="DK177" s="48">
        <f>IF(DK$8=1,N(Reales!DK12),IF(DK$171=1,IF(AND(AND(110&gt;Corte,110&lt;=Corte+n_Ventana),ISNUMBER(Detalle_24m!DK$14)),Detalle_24m!DK$14,INDEX(Vol_V,1,DK$170)/12)*(1+V_dVol),0))</f>
        <v>1750</v>
      </c>
      <c r="DL177" s="48">
        <f>IF(DL$8=1,N(Reales!DL12),IF(DL$171=1,IF(AND(AND(111&gt;Corte,111&lt;=Corte+n_Ventana),ISNUMBER(Detalle_24m!DL$14)),Detalle_24m!DL$14,INDEX(Vol_V,1,DL$170)/12)*(1+V_dVol),0))</f>
        <v>1750</v>
      </c>
      <c r="DM177" s="48">
        <f>IF(DM$8=1,N(Reales!DM12),IF(DM$171=1,IF(AND(AND(112&gt;Corte,112&lt;=Corte+n_Ventana),ISNUMBER(Detalle_24m!DM$14)),Detalle_24m!DM$14,INDEX(Vol_V,1,DM$170)/12)*(1+V_dVol),0))</f>
        <v>1750</v>
      </c>
      <c r="DN177" s="48">
        <f>IF(DN$8=1,N(Reales!DN12),IF(DN$171=1,IF(AND(AND(113&gt;Corte,113&lt;=Corte+n_Ventana),ISNUMBER(Detalle_24m!DN$14)),Detalle_24m!DN$14,INDEX(Vol_V,1,DN$170)/12)*(1+V_dVol),0))</f>
        <v>1750</v>
      </c>
      <c r="DO177" s="48">
        <f>IF(DO$8=1,N(Reales!DO12),IF(DO$171=1,IF(AND(AND(114&gt;Corte,114&lt;=Corte+n_Ventana),ISNUMBER(Detalle_24m!DO$14)),Detalle_24m!DO$14,INDEX(Vol_V,1,DO$170)/12)*(1+V_dVol),0))</f>
        <v>1750</v>
      </c>
      <c r="DP177" s="48">
        <f>IF(DP$8=1,N(Reales!DP12),IF(DP$171=1,IF(AND(AND(115&gt;Corte,115&lt;=Corte+n_Ventana),ISNUMBER(Detalle_24m!DP$14)),Detalle_24m!DP$14,INDEX(Vol_V,1,DP$170)/12)*(1+V_dVol),0))</f>
        <v>1750</v>
      </c>
      <c r="DQ177" s="48">
        <f>IF(DQ$8=1,N(Reales!DQ12),IF(DQ$171=1,IF(AND(AND(116&gt;Corte,116&lt;=Corte+n_Ventana),ISNUMBER(Detalle_24m!DQ$14)),Detalle_24m!DQ$14,INDEX(Vol_V,1,DQ$170)/12)*(1+V_dVol),0))</f>
        <v>1750</v>
      </c>
      <c r="DR177" s="48">
        <f>IF(DR$8=1,N(Reales!DR12),IF(DR$171=1,IF(AND(AND(117&gt;Corte,117&lt;=Corte+n_Ventana),ISNUMBER(Detalle_24m!DR$14)),Detalle_24m!DR$14,INDEX(Vol_V,1,DR$170)/12)*(1+V_dVol),0))</f>
        <v>1750</v>
      </c>
      <c r="DS177" s="48">
        <f>IF(DS$8=1,N(Reales!DS12),IF(DS$171=1,IF(AND(AND(118&gt;Corte,118&lt;=Corte+n_Ventana),ISNUMBER(Detalle_24m!DS$14)),Detalle_24m!DS$14,INDEX(Vol_V,1,DS$170)/12)*(1+V_dVol),0))</f>
        <v>1750</v>
      </c>
      <c r="DT177" s="48">
        <f>IF(DT$8=1,N(Reales!DT12),IF(DT$171=1,IF(AND(AND(119&gt;Corte,119&lt;=Corte+n_Ventana),ISNUMBER(Detalle_24m!DT$14)),Detalle_24m!DT$14,INDEX(Vol_V,1,DT$170)/12)*(1+V_dVol),0))</f>
        <v>1750</v>
      </c>
      <c r="DU177" s="48">
        <f>IF(DU$8=1,N(Reales!DU12),IF(DU$171=1,IF(AND(AND(120&gt;Corte,120&lt;=Corte+n_Ventana),ISNUMBER(Detalle_24m!DU$14)),Detalle_24m!DU$14,INDEX(Vol_V,1,DU$170)/12)*(1+V_dVol),0))</f>
        <v>1750</v>
      </c>
      <c r="DV177" s="48">
        <f>IF(DV$8=1,N(Reales!DV12),IF(DV$171=1,IF(AND(AND(121&gt;Corte,121&lt;=Corte+n_Ventana),ISNUMBER(Detalle_24m!DV$14)),Detalle_24m!DV$14,INDEX(Vol_V,1,DV$170)/12)*(1+V_dVol),0))</f>
        <v>0</v>
      </c>
      <c r="DW177" s="48">
        <f>IF(DW$8=1,N(Reales!DW12),IF(DW$171=1,IF(AND(AND(122&gt;Corte,122&lt;=Corte+n_Ventana),ISNUMBER(Detalle_24m!DW$14)),Detalle_24m!DW$14,INDEX(Vol_V,1,DW$170)/12)*(1+V_dVol),0))</f>
        <v>0</v>
      </c>
      <c r="DX177" s="48">
        <f>IF(DX$8=1,N(Reales!DX12),IF(DX$171=1,IF(AND(AND(123&gt;Corte,123&lt;=Corte+n_Ventana),ISNUMBER(Detalle_24m!DX$14)),Detalle_24m!DX$14,INDEX(Vol_V,1,DX$170)/12)*(1+V_dVol),0))</f>
        <v>0</v>
      </c>
      <c r="DY177" s="48">
        <f>IF(DY$8=1,N(Reales!DY12),IF(DY$171=1,IF(AND(AND(124&gt;Corte,124&lt;=Corte+n_Ventana),ISNUMBER(Detalle_24m!DY$14)),Detalle_24m!DY$14,INDEX(Vol_V,1,DY$170)/12)*(1+V_dVol),0))</f>
        <v>0</v>
      </c>
      <c r="DZ177" s="48">
        <f>IF(DZ$8=1,N(Reales!DZ12),IF(DZ$171=1,IF(AND(AND(125&gt;Corte,125&lt;=Corte+n_Ventana),ISNUMBER(Detalle_24m!DZ$14)),Detalle_24m!DZ$14,INDEX(Vol_V,1,DZ$170)/12)*(1+V_dVol),0))</f>
        <v>0</v>
      </c>
      <c r="EA177" s="48">
        <f>IF(EA$8=1,N(Reales!EA12),IF(EA$171=1,IF(AND(AND(126&gt;Corte,126&lt;=Corte+n_Ventana),ISNUMBER(Detalle_24m!EA$14)),Detalle_24m!EA$14,INDEX(Vol_V,1,EA$170)/12)*(1+V_dVol),0))</f>
        <v>0</v>
      </c>
      <c r="EB177" s="48">
        <f>IF(EB$8=1,N(Reales!EB12),IF(EB$171=1,IF(AND(AND(127&gt;Corte,127&lt;=Corte+n_Ventana),ISNUMBER(Detalle_24m!EB$14)),Detalle_24m!EB$14,INDEX(Vol_V,1,EB$170)/12)*(1+V_dVol),0))</f>
        <v>0</v>
      </c>
      <c r="EC177" s="48">
        <f>IF(EC$8=1,N(Reales!EC12),IF(EC$171=1,IF(AND(AND(128&gt;Corte,128&lt;=Corte+n_Ventana),ISNUMBER(Detalle_24m!EC$14)),Detalle_24m!EC$14,INDEX(Vol_V,1,EC$170)/12)*(1+V_dVol),0))</f>
        <v>0</v>
      </c>
      <c r="ED177" s="48">
        <f>IF(ED$8=1,N(Reales!ED12),IF(ED$171=1,IF(AND(AND(129&gt;Corte,129&lt;=Corte+n_Ventana),ISNUMBER(Detalle_24m!ED$14)),Detalle_24m!ED$14,INDEX(Vol_V,1,ED$170)/12)*(1+V_dVol),0))</f>
        <v>0</v>
      </c>
      <c r="EE177" s="48">
        <f>IF(EE$8=1,N(Reales!EE12),IF(EE$171=1,IF(AND(AND(130&gt;Corte,130&lt;=Corte+n_Ventana),ISNUMBER(Detalle_24m!EE$14)),Detalle_24m!EE$14,INDEX(Vol_V,1,EE$170)/12)*(1+V_dVol),0))</f>
        <v>0</v>
      </c>
      <c r="EF177" s="48">
        <f>IF(EF$8=1,N(Reales!EF12),IF(EF$171=1,IF(AND(AND(131&gt;Corte,131&lt;=Corte+n_Ventana),ISNUMBER(Detalle_24m!EF$14)),Detalle_24m!EF$14,INDEX(Vol_V,1,EF$170)/12)*(1+V_dVol),0))</f>
        <v>0</v>
      </c>
      <c r="EG177" s="48">
        <f>IF(EG$8=1,N(Reales!EG12),IF(EG$171=1,IF(AND(AND(132&gt;Corte,132&lt;=Corte+n_Ventana),ISNUMBER(Detalle_24m!EG$14)),Detalle_24m!EG$14,INDEX(Vol_V,1,EG$170)/12)*(1+V_dVol),0))</f>
        <v>0</v>
      </c>
      <c r="EH177" s="48">
        <f>IF(EH$8=1,N(Reales!EH12),IF(EH$171=1,IF(AND(AND(133&gt;Corte,133&lt;=Corte+n_Ventana),ISNUMBER(Detalle_24m!EH$14)),Detalle_24m!EH$14,INDEX(Vol_V,1,EH$170)/12)*(1+V_dVol),0))</f>
        <v>0</v>
      </c>
      <c r="EI177" s="48">
        <f>IF(EI$8=1,N(Reales!EI12),IF(EI$171=1,IF(AND(AND(134&gt;Corte,134&lt;=Corte+n_Ventana),ISNUMBER(Detalle_24m!EI$14)),Detalle_24m!EI$14,INDEX(Vol_V,1,EI$170)/12)*(1+V_dVol),0))</f>
        <v>0</v>
      </c>
      <c r="EJ177" s="48">
        <f>IF(EJ$8=1,N(Reales!EJ12),IF(EJ$171=1,IF(AND(AND(135&gt;Corte,135&lt;=Corte+n_Ventana),ISNUMBER(Detalle_24m!EJ$14)),Detalle_24m!EJ$14,INDEX(Vol_V,1,EJ$170)/12)*(1+V_dVol),0))</f>
        <v>0</v>
      </c>
      <c r="EK177" s="48">
        <f>IF(EK$8=1,N(Reales!EK12),IF(EK$171=1,IF(AND(AND(136&gt;Corte,136&lt;=Corte+n_Ventana),ISNUMBER(Detalle_24m!EK$14)),Detalle_24m!EK$14,INDEX(Vol_V,1,EK$170)/12)*(1+V_dVol),0))</f>
        <v>0</v>
      </c>
      <c r="EL177" s="48">
        <f>IF(EL$8=1,N(Reales!EL12),IF(EL$171=1,IF(AND(AND(137&gt;Corte,137&lt;=Corte+n_Ventana),ISNUMBER(Detalle_24m!EL$14)),Detalle_24m!EL$14,INDEX(Vol_V,1,EL$170)/12)*(1+V_dVol),0))</f>
        <v>0</v>
      </c>
      <c r="EM177" s="48">
        <f>IF(EM$8=1,N(Reales!EM12),IF(EM$171=1,IF(AND(AND(138&gt;Corte,138&lt;=Corte+n_Ventana),ISNUMBER(Detalle_24m!EM$14)),Detalle_24m!EM$14,INDEX(Vol_V,1,EM$170)/12)*(1+V_dVol),0))</f>
        <v>0</v>
      </c>
      <c r="EN177" s="48">
        <f>IF(EN$8=1,N(Reales!EN12),IF(EN$171=1,IF(AND(AND(139&gt;Corte,139&lt;=Corte+n_Ventana),ISNUMBER(Detalle_24m!EN$14)),Detalle_24m!EN$14,INDEX(Vol_V,1,EN$170)/12)*(1+V_dVol),0))</f>
        <v>0</v>
      </c>
      <c r="EO177" s="48">
        <f>IF(EO$8=1,N(Reales!EO12),IF(EO$171=1,IF(AND(AND(140&gt;Corte,140&lt;=Corte+n_Ventana),ISNUMBER(Detalle_24m!EO$14)),Detalle_24m!EO$14,INDEX(Vol_V,1,EO$170)/12)*(1+V_dVol),0))</f>
        <v>0</v>
      </c>
      <c r="EP177" s="48">
        <f>IF(EP$8=1,N(Reales!EP12),IF(EP$171=1,IF(AND(AND(141&gt;Corte,141&lt;=Corte+n_Ventana),ISNUMBER(Detalle_24m!EP$14)),Detalle_24m!EP$14,INDEX(Vol_V,1,EP$170)/12)*(1+V_dVol),0))</f>
        <v>0</v>
      </c>
      <c r="EQ177" s="48">
        <f>IF(EQ$8=1,N(Reales!EQ12),IF(EQ$171=1,IF(AND(AND(142&gt;Corte,142&lt;=Corte+n_Ventana),ISNUMBER(Detalle_24m!EQ$14)),Detalle_24m!EQ$14,INDEX(Vol_V,1,EQ$170)/12)*(1+V_dVol),0))</f>
        <v>0</v>
      </c>
      <c r="ER177" s="48">
        <f>IF(ER$8=1,N(Reales!ER12),IF(ER$171=1,IF(AND(AND(143&gt;Corte,143&lt;=Corte+n_Ventana),ISNUMBER(Detalle_24m!ER$14)),Detalle_24m!ER$14,INDEX(Vol_V,1,ER$170)/12)*(1+V_dVol),0))</f>
        <v>0</v>
      </c>
      <c r="ES177" s="48">
        <f>IF(ES$8=1,N(Reales!ES12),IF(ES$171=1,IF(AND(AND(144&gt;Corte,144&lt;=Corte+n_Ventana),ISNUMBER(Detalle_24m!ES$14)),Detalle_24m!ES$14,INDEX(Vol_V,1,ES$170)/12)*(1+V_dVol),0))</f>
        <v>0</v>
      </c>
    </row>
    <row r="178" spans="1:149" x14ac:dyDescent="0.3">
      <c r="A178" s="14" t="s">
        <v>1233</v>
      </c>
      <c r="B178" s="53" t="str">
        <f>IF(INDEX(Prod_Nombre,2)="","Producto 2",INDEX(Prod_Nombre,2))&amp;" — unidades"</f>
        <v>Cajas metálicas 13 kg — unidades</v>
      </c>
      <c r="C178" s="18" t="s">
        <v>475</v>
      </c>
      <c r="E178" s="54">
        <f t="shared" si="604"/>
        <v>1110000</v>
      </c>
      <c r="F178" s="48">
        <f>IF(F$8=1,N(Reales!F13),IF(F$171=1,IF(AND(AND(1&gt;Corte,1&lt;=Corte+n_Ventana),ISNUMBER(Detalle_24m!F$15)),Detalle_24m!F$15,INDEX(Vol_V,2,F$170)/12)*(1+V_dVol),0))</f>
        <v>5833.333333333333</v>
      </c>
      <c r="G178" s="48">
        <f>IF(G$8=1,N(Reales!G13),IF(G$171=1,IF(AND(AND(2&gt;Corte,2&lt;=Corte+n_Ventana),ISNUMBER(Detalle_24m!G$15)),Detalle_24m!G$15,INDEX(Vol_V,2,G$170)/12)*(1+V_dVol),0))</f>
        <v>5833.333333333333</v>
      </c>
      <c r="H178" s="48">
        <f>IF(H$8=1,N(Reales!H13),IF(H$171=1,IF(AND(AND(3&gt;Corte,3&lt;=Corte+n_Ventana),ISNUMBER(Detalle_24m!H$15)),Detalle_24m!H$15,INDEX(Vol_V,2,H$170)/12)*(1+V_dVol),0))</f>
        <v>5833.333333333333</v>
      </c>
      <c r="I178" s="48">
        <f>IF(I$8=1,N(Reales!I13),IF(I$171=1,IF(AND(AND(4&gt;Corte,4&lt;=Corte+n_Ventana),ISNUMBER(Detalle_24m!I$15)),Detalle_24m!I$15,INDEX(Vol_V,2,I$170)/12)*(1+V_dVol),0))</f>
        <v>5833.333333333333</v>
      </c>
      <c r="J178" s="48">
        <f>IF(J$8=1,N(Reales!J13),IF(J$171=1,IF(AND(AND(5&gt;Corte,5&lt;=Corte+n_Ventana),ISNUMBER(Detalle_24m!J$15)),Detalle_24m!J$15,INDEX(Vol_V,2,J$170)/12)*(1+V_dVol),0))</f>
        <v>5833.333333333333</v>
      </c>
      <c r="K178" s="48">
        <f>IF(K$8=1,N(Reales!K13),IF(K$171=1,IF(AND(AND(6&gt;Corte,6&lt;=Corte+n_Ventana),ISNUMBER(Detalle_24m!K$15)),Detalle_24m!K$15,INDEX(Vol_V,2,K$170)/12)*(1+V_dVol),0))</f>
        <v>5833.333333333333</v>
      </c>
      <c r="L178" s="48">
        <f>IF(L$8=1,N(Reales!L13),IF(L$171=1,IF(AND(AND(7&gt;Corte,7&lt;=Corte+n_Ventana),ISNUMBER(Detalle_24m!L$15)),Detalle_24m!L$15,INDEX(Vol_V,2,L$170)/12)*(1+V_dVol),0))</f>
        <v>5833.333333333333</v>
      </c>
      <c r="M178" s="48">
        <f>IF(M$8=1,N(Reales!M13),IF(M$171=1,IF(AND(AND(8&gt;Corte,8&lt;=Corte+n_Ventana),ISNUMBER(Detalle_24m!M$15)),Detalle_24m!M$15,INDEX(Vol_V,2,M$170)/12)*(1+V_dVol),0))</f>
        <v>5833.333333333333</v>
      </c>
      <c r="N178" s="48">
        <f>IF(N$8=1,N(Reales!N13),IF(N$171=1,IF(AND(AND(9&gt;Corte,9&lt;=Corte+n_Ventana),ISNUMBER(Detalle_24m!N$15)),Detalle_24m!N$15,INDEX(Vol_V,2,N$170)/12)*(1+V_dVol),0))</f>
        <v>5833.333333333333</v>
      </c>
      <c r="O178" s="48">
        <f>IF(O$8=1,N(Reales!O13),IF(O$171=1,IF(AND(AND(10&gt;Corte,10&lt;=Corte+n_Ventana),ISNUMBER(Detalle_24m!O$15)),Detalle_24m!O$15,INDEX(Vol_V,2,O$170)/12)*(1+V_dVol),0))</f>
        <v>5833.333333333333</v>
      </c>
      <c r="P178" s="48">
        <f>IF(P$8=1,N(Reales!P13),IF(P$171=1,IF(AND(AND(11&gt;Corte,11&lt;=Corte+n_Ventana),ISNUMBER(Detalle_24m!P$15)),Detalle_24m!P$15,INDEX(Vol_V,2,P$170)/12)*(1+V_dVol),0))</f>
        <v>5833.333333333333</v>
      </c>
      <c r="Q178" s="48">
        <f>IF(Q$8=1,N(Reales!Q13),IF(Q$171=1,IF(AND(AND(12&gt;Corte,12&lt;=Corte+n_Ventana),ISNUMBER(Detalle_24m!Q$15)),Detalle_24m!Q$15,INDEX(Vol_V,2,Q$170)/12)*(1+V_dVol),0))</f>
        <v>5833.333333333333</v>
      </c>
      <c r="R178" s="48">
        <f>IF(R$8=1,N(Reales!R13),IF(R$171=1,IF(AND(AND(13&gt;Corte,13&lt;=Corte+n_Ventana),ISNUMBER(Detalle_24m!R$15)),Detalle_24m!R$15,INDEX(Vol_V,2,R$170)/12)*(1+V_dVol),0))</f>
        <v>7500</v>
      </c>
      <c r="S178" s="48">
        <f>IF(S$8=1,N(Reales!S13),IF(S$171=1,IF(AND(AND(14&gt;Corte,14&lt;=Corte+n_Ventana),ISNUMBER(Detalle_24m!S$15)),Detalle_24m!S$15,INDEX(Vol_V,2,S$170)/12)*(1+V_dVol),0))</f>
        <v>7500</v>
      </c>
      <c r="T178" s="48">
        <f>IF(T$8=1,N(Reales!T13),IF(T$171=1,IF(AND(AND(15&gt;Corte,15&lt;=Corte+n_Ventana),ISNUMBER(Detalle_24m!T$15)),Detalle_24m!T$15,INDEX(Vol_V,2,T$170)/12)*(1+V_dVol),0))</f>
        <v>7500</v>
      </c>
      <c r="U178" s="48">
        <f>IF(U$8=1,N(Reales!U13),IF(U$171=1,IF(AND(AND(16&gt;Corte,16&lt;=Corte+n_Ventana),ISNUMBER(Detalle_24m!U$15)),Detalle_24m!U$15,INDEX(Vol_V,2,U$170)/12)*(1+V_dVol),0))</f>
        <v>7500</v>
      </c>
      <c r="V178" s="48">
        <f>IF(V$8=1,N(Reales!V13),IF(V$171=1,IF(AND(AND(17&gt;Corte,17&lt;=Corte+n_Ventana),ISNUMBER(Detalle_24m!V$15)),Detalle_24m!V$15,INDEX(Vol_V,2,V$170)/12)*(1+V_dVol),0))</f>
        <v>7500</v>
      </c>
      <c r="W178" s="48">
        <f>IF(W$8=1,N(Reales!W13),IF(W$171=1,IF(AND(AND(18&gt;Corte,18&lt;=Corte+n_Ventana),ISNUMBER(Detalle_24m!W$15)),Detalle_24m!W$15,INDEX(Vol_V,2,W$170)/12)*(1+V_dVol),0))</f>
        <v>7500</v>
      </c>
      <c r="X178" s="48">
        <f>IF(X$8=1,N(Reales!X13),IF(X$171=1,IF(AND(AND(19&gt;Corte,19&lt;=Corte+n_Ventana),ISNUMBER(Detalle_24m!X$15)),Detalle_24m!X$15,INDEX(Vol_V,2,X$170)/12)*(1+V_dVol),0))</f>
        <v>7500</v>
      </c>
      <c r="Y178" s="48">
        <f>IF(Y$8=1,N(Reales!Y13),IF(Y$171=1,IF(AND(AND(20&gt;Corte,20&lt;=Corte+n_Ventana),ISNUMBER(Detalle_24m!Y$15)),Detalle_24m!Y$15,INDEX(Vol_V,2,Y$170)/12)*(1+V_dVol),0))</f>
        <v>7500</v>
      </c>
      <c r="Z178" s="48">
        <f>IF(Z$8=1,N(Reales!Z13),IF(Z$171=1,IF(AND(AND(21&gt;Corte,21&lt;=Corte+n_Ventana),ISNUMBER(Detalle_24m!Z$15)),Detalle_24m!Z$15,INDEX(Vol_V,2,Z$170)/12)*(1+V_dVol),0))</f>
        <v>7500</v>
      </c>
      <c r="AA178" s="48">
        <f>IF(AA$8=1,N(Reales!AA13),IF(AA$171=1,IF(AND(AND(22&gt;Corte,22&lt;=Corte+n_Ventana),ISNUMBER(Detalle_24m!AA$15)),Detalle_24m!AA$15,INDEX(Vol_V,2,AA$170)/12)*(1+V_dVol),0))</f>
        <v>7500</v>
      </c>
      <c r="AB178" s="48">
        <f>IF(AB$8=1,N(Reales!AB13),IF(AB$171=1,IF(AND(AND(23&gt;Corte,23&lt;=Corte+n_Ventana),ISNUMBER(Detalle_24m!AB$15)),Detalle_24m!AB$15,INDEX(Vol_V,2,AB$170)/12)*(1+V_dVol),0))</f>
        <v>7500</v>
      </c>
      <c r="AC178" s="48">
        <f>IF(AC$8=1,N(Reales!AC13),IF(AC$171=1,IF(AND(AND(24&gt;Corte,24&lt;=Corte+n_Ventana),ISNUMBER(Detalle_24m!AC$15)),Detalle_24m!AC$15,INDEX(Vol_V,2,AC$170)/12)*(1+V_dVol),0))</f>
        <v>7500</v>
      </c>
      <c r="AD178" s="48">
        <f>IF(AD$8=1,N(Reales!AD13),IF(AD$171=1,IF(AND(AND(25&gt;Corte,25&lt;=Corte+n_Ventana),ISNUMBER(Detalle_24m!AD$15)),Detalle_24m!AD$15,INDEX(Vol_V,2,AD$170)/12)*(1+V_dVol),0))</f>
        <v>9166.6666666666661</v>
      </c>
      <c r="AE178" s="48">
        <f>IF(AE$8=1,N(Reales!AE13),IF(AE$171=1,IF(AND(AND(26&gt;Corte,26&lt;=Corte+n_Ventana),ISNUMBER(Detalle_24m!AE$15)),Detalle_24m!AE$15,INDEX(Vol_V,2,AE$170)/12)*(1+V_dVol),0))</f>
        <v>9166.6666666666661</v>
      </c>
      <c r="AF178" s="48">
        <f>IF(AF$8=1,N(Reales!AF13),IF(AF$171=1,IF(AND(AND(27&gt;Corte,27&lt;=Corte+n_Ventana),ISNUMBER(Detalle_24m!AF$15)),Detalle_24m!AF$15,INDEX(Vol_V,2,AF$170)/12)*(1+V_dVol),0))</f>
        <v>9166.6666666666661</v>
      </c>
      <c r="AG178" s="48">
        <f>IF(AG$8=1,N(Reales!AG13),IF(AG$171=1,IF(AND(AND(28&gt;Corte,28&lt;=Corte+n_Ventana),ISNUMBER(Detalle_24m!AG$15)),Detalle_24m!AG$15,INDEX(Vol_V,2,AG$170)/12)*(1+V_dVol),0))</f>
        <v>9166.6666666666661</v>
      </c>
      <c r="AH178" s="48">
        <f>IF(AH$8=1,N(Reales!AH13),IF(AH$171=1,IF(AND(AND(29&gt;Corte,29&lt;=Corte+n_Ventana),ISNUMBER(Detalle_24m!AH$15)),Detalle_24m!AH$15,INDEX(Vol_V,2,AH$170)/12)*(1+V_dVol),0))</f>
        <v>9166.6666666666661</v>
      </c>
      <c r="AI178" s="48">
        <f>IF(AI$8=1,N(Reales!AI13),IF(AI$171=1,IF(AND(AND(30&gt;Corte,30&lt;=Corte+n_Ventana),ISNUMBER(Detalle_24m!AI$15)),Detalle_24m!AI$15,INDEX(Vol_V,2,AI$170)/12)*(1+V_dVol),0))</f>
        <v>9166.6666666666661</v>
      </c>
      <c r="AJ178" s="48">
        <f>IF(AJ$8=1,N(Reales!AJ13),IF(AJ$171=1,IF(AND(AND(31&gt;Corte,31&lt;=Corte+n_Ventana),ISNUMBER(Detalle_24m!AJ$15)),Detalle_24m!AJ$15,INDEX(Vol_V,2,AJ$170)/12)*(1+V_dVol),0))</f>
        <v>9166.6666666666661</v>
      </c>
      <c r="AK178" s="48">
        <f>IF(AK$8=1,N(Reales!AK13),IF(AK$171=1,IF(AND(AND(32&gt;Corte,32&lt;=Corte+n_Ventana),ISNUMBER(Detalle_24m!AK$15)),Detalle_24m!AK$15,INDEX(Vol_V,2,AK$170)/12)*(1+V_dVol),0))</f>
        <v>9166.6666666666661</v>
      </c>
      <c r="AL178" s="48">
        <f>IF(AL$8=1,N(Reales!AL13),IF(AL$171=1,IF(AND(AND(33&gt;Corte,33&lt;=Corte+n_Ventana),ISNUMBER(Detalle_24m!AL$15)),Detalle_24m!AL$15,INDEX(Vol_V,2,AL$170)/12)*(1+V_dVol),0))</f>
        <v>9166.6666666666661</v>
      </c>
      <c r="AM178" s="48">
        <f>IF(AM$8=1,N(Reales!AM13),IF(AM$171=1,IF(AND(AND(34&gt;Corte,34&lt;=Corte+n_Ventana),ISNUMBER(Detalle_24m!AM$15)),Detalle_24m!AM$15,INDEX(Vol_V,2,AM$170)/12)*(1+V_dVol),0))</f>
        <v>9166.6666666666661</v>
      </c>
      <c r="AN178" s="48">
        <f>IF(AN$8=1,N(Reales!AN13),IF(AN$171=1,IF(AND(AND(35&gt;Corte,35&lt;=Corte+n_Ventana),ISNUMBER(Detalle_24m!AN$15)),Detalle_24m!AN$15,INDEX(Vol_V,2,AN$170)/12)*(1+V_dVol),0))</f>
        <v>9166.6666666666661</v>
      </c>
      <c r="AO178" s="48">
        <f>IF(AO$8=1,N(Reales!AO13),IF(AO$171=1,IF(AND(AND(36&gt;Corte,36&lt;=Corte+n_Ventana),ISNUMBER(Detalle_24m!AO$15)),Detalle_24m!AO$15,INDEX(Vol_V,2,AO$170)/12)*(1+V_dVol),0))</f>
        <v>9166.6666666666661</v>
      </c>
      <c r="AP178" s="48">
        <f>IF(AP$8=1,N(Reales!AP13),IF(AP$171=1,IF(AND(AND(37&gt;Corte,37&lt;=Corte+n_Ventana),ISNUMBER(Detalle_24m!AP$15)),Detalle_24m!AP$15,INDEX(Vol_V,2,AP$170)/12)*(1+V_dVol),0))</f>
        <v>10000</v>
      </c>
      <c r="AQ178" s="48">
        <f>IF(AQ$8=1,N(Reales!AQ13),IF(AQ$171=1,IF(AND(AND(38&gt;Corte,38&lt;=Corte+n_Ventana),ISNUMBER(Detalle_24m!AQ$15)),Detalle_24m!AQ$15,INDEX(Vol_V,2,AQ$170)/12)*(1+V_dVol),0))</f>
        <v>10000</v>
      </c>
      <c r="AR178" s="48">
        <f>IF(AR$8=1,N(Reales!AR13),IF(AR$171=1,IF(AND(AND(39&gt;Corte,39&lt;=Corte+n_Ventana),ISNUMBER(Detalle_24m!AR$15)),Detalle_24m!AR$15,INDEX(Vol_V,2,AR$170)/12)*(1+V_dVol),0))</f>
        <v>10000</v>
      </c>
      <c r="AS178" s="48">
        <f>IF(AS$8=1,N(Reales!AS13),IF(AS$171=1,IF(AND(AND(40&gt;Corte,40&lt;=Corte+n_Ventana),ISNUMBER(Detalle_24m!AS$15)),Detalle_24m!AS$15,INDEX(Vol_V,2,AS$170)/12)*(1+V_dVol),0))</f>
        <v>10000</v>
      </c>
      <c r="AT178" s="48">
        <f>IF(AT$8=1,N(Reales!AT13),IF(AT$171=1,IF(AND(AND(41&gt;Corte,41&lt;=Corte+n_Ventana),ISNUMBER(Detalle_24m!AT$15)),Detalle_24m!AT$15,INDEX(Vol_V,2,AT$170)/12)*(1+V_dVol),0))</f>
        <v>10000</v>
      </c>
      <c r="AU178" s="48">
        <f>IF(AU$8=1,N(Reales!AU13),IF(AU$171=1,IF(AND(AND(42&gt;Corte,42&lt;=Corte+n_Ventana),ISNUMBER(Detalle_24m!AU$15)),Detalle_24m!AU$15,INDEX(Vol_V,2,AU$170)/12)*(1+V_dVol),0))</f>
        <v>10000</v>
      </c>
      <c r="AV178" s="48">
        <f>IF(AV$8=1,N(Reales!AV13),IF(AV$171=1,IF(AND(AND(43&gt;Corte,43&lt;=Corte+n_Ventana),ISNUMBER(Detalle_24m!AV$15)),Detalle_24m!AV$15,INDEX(Vol_V,2,AV$170)/12)*(1+V_dVol),0))</f>
        <v>10000</v>
      </c>
      <c r="AW178" s="48">
        <f>IF(AW$8=1,N(Reales!AW13),IF(AW$171=1,IF(AND(AND(44&gt;Corte,44&lt;=Corte+n_Ventana),ISNUMBER(Detalle_24m!AW$15)),Detalle_24m!AW$15,INDEX(Vol_V,2,AW$170)/12)*(1+V_dVol),0))</f>
        <v>10000</v>
      </c>
      <c r="AX178" s="48">
        <f>IF(AX$8=1,N(Reales!AX13),IF(AX$171=1,IF(AND(AND(45&gt;Corte,45&lt;=Corte+n_Ventana),ISNUMBER(Detalle_24m!AX$15)),Detalle_24m!AX$15,INDEX(Vol_V,2,AX$170)/12)*(1+V_dVol),0))</f>
        <v>10000</v>
      </c>
      <c r="AY178" s="48">
        <f>IF(AY$8=1,N(Reales!AY13),IF(AY$171=1,IF(AND(AND(46&gt;Corte,46&lt;=Corte+n_Ventana),ISNUMBER(Detalle_24m!AY$15)),Detalle_24m!AY$15,INDEX(Vol_V,2,AY$170)/12)*(1+V_dVol),0))</f>
        <v>10000</v>
      </c>
      <c r="AZ178" s="48">
        <f>IF(AZ$8=1,N(Reales!AZ13),IF(AZ$171=1,IF(AND(AND(47&gt;Corte,47&lt;=Corte+n_Ventana),ISNUMBER(Detalle_24m!AZ$15)),Detalle_24m!AZ$15,INDEX(Vol_V,2,AZ$170)/12)*(1+V_dVol),0))</f>
        <v>10000</v>
      </c>
      <c r="BA178" s="48">
        <f>IF(BA$8=1,N(Reales!BA13),IF(BA$171=1,IF(AND(AND(48&gt;Corte,48&lt;=Corte+n_Ventana),ISNUMBER(Detalle_24m!BA$15)),Detalle_24m!BA$15,INDEX(Vol_V,2,BA$170)/12)*(1+V_dVol),0))</f>
        <v>10000</v>
      </c>
      <c r="BB178" s="48">
        <f>IF(BB$8=1,N(Reales!BB13),IF(BB$171=1,IF(AND(AND(49&gt;Corte,49&lt;=Corte+n_Ventana),ISNUMBER(Detalle_24m!BB$15)),Detalle_24m!BB$15,INDEX(Vol_V,2,BB$170)/12)*(1+V_dVol),0))</f>
        <v>10000</v>
      </c>
      <c r="BC178" s="48">
        <f>IF(BC$8=1,N(Reales!BC13),IF(BC$171=1,IF(AND(AND(50&gt;Corte,50&lt;=Corte+n_Ventana),ISNUMBER(Detalle_24m!BC$15)),Detalle_24m!BC$15,INDEX(Vol_V,2,BC$170)/12)*(1+V_dVol),0))</f>
        <v>10000</v>
      </c>
      <c r="BD178" s="48">
        <f>IF(BD$8=1,N(Reales!BD13),IF(BD$171=1,IF(AND(AND(51&gt;Corte,51&lt;=Corte+n_Ventana),ISNUMBER(Detalle_24m!BD$15)),Detalle_24m!BD$15,INDEX(Vol_V,2,BD$170)/12)*(1+V_dVol),0))</f>
        <v>10000</v>
      </c>
      <c r="BE178" s="48">
        <f>IF(BE$8=1,N(Reales!BE13),IF(BE$171=1,IF(AND(AND(52&gt;Corte,52&lt;=Corte+n_Ventana),ISNUMBER(Detalle_24m!BE$15)),Detalle_24m!BE$15,INDEX(Vol_V,2,BE$170)/12)*(1+V_dVol),0))</f>
        <v>10000</v>
      </c>
      <c r="BF178" s="48">
        <f>IF(BF$8=1,N(Reales!BF13),IF(BF$171=1,IF(AND(AND(53&gt;Corte,53&lt;=Corte+n_Ventana),ISNUMBER(Detalle_24m!BF$15)),Detalle_24m!BF$15,INDEX(Vol_V,2,BF$170)/12)*(1+V_dVol),0))</f>
        <v>10000</v>
      </c>
      <c r="BG178" s="48">
        <f>IF(BG$8=1,N(Reales!BG13),IF(BG$171=1,IF(AND(AND(54&gt;Corte,54&lt;=Corte+n_Ventana),ISNUMBER(Detalle_24m!BG$15)),Detalle_24m!BG$15,INDEX(Vol_V,2,BG$170)/12)*(1+V_dVol),0))</f>
        <v>10000</v>
      </c>
      <c r="BH178" s="48">
        <f>IF(BH$8=1,N(Reales!BH13),IF(BH$171=1,IF(AND(AND(55&gt;Corte,55&lt;=Corte+n_Ventana),ISNUMBER(Detalle_24m!BH$15)),Detalle_24m!BH$15,INDEX(Vol_V,2,BH$170)/12)*(1+V_dVol),0))</f>
        <v>10000</v>
      </c>
      <c r="BI178" s="48">
        <f>IF(BI$8=1,N(Reales!BI13),IF(BI$171=1,IF(AND(AND(56&gt;Corte,56&lt;=Corte+n_Ventana),ISNUMBER(Detalle_24m!BI$15)),Detalle_24m!BI$15,INDEX(Vol_V,2,BI$170)/12)*(1+V_dVol),0))</f>
        <v>10000</v>
      </c>
      <c r="BJ178" s="48">
        <f>IF(BJ$8=1,N(Reales!BJ13),IF(BJ$171=1,IF(AND(AND(57&gt;Corte,57&lt;=Corte+n_Ventana),ISNUMBER(Detalle_24m!BJ$15)),Detalle_24m!BJ$15,INDEX(Vol_V,2,BJ$170)/12)*(1+V_dVol),0))</f>
        <v>10000</v>
      </c>
      <c r="BK178" s="48">
        <f>IF(BK$8=1,N(Reales!BK13),IF(BK$171=1,IF(AND(AND(58&gt;Corte,58&lt;=Corte+n_Ventana),ISNUMBER(Detalle_24m!BK$15)),Detalle_24m!BK$15,INDEX(Vol_V,2,BK$170)/12)*(1+V_dVol),0))</f>
        <v>10000</v>
      </c>
      <c r="BL178" s="48">
        <f>IF(BL$8=1,N(Reales!BL13),IF(BL$171=1,IF(AND(AND(59&gt;Corte,59&lt;=Corte+n_Ventana),ISNUMBER(Detalle_24m!BL$15)),Detalle_24m!BL$15,INDEX(Vol_V,2,BL$170)/12)*(1+V_dVol),0))</f>
        <v>10000</v>
      </c>
      <c r="BM178" s="48">
        <f>IF(BM$8=1,N(Reales!BM13),IF(BM$171=1,IF(AND(AND(60&gt;Corte,60&lt;=Corte+n_Ventana),ISNUMBER(Detalle_24m!BM$15)),Detalle_24m!BM$15,INDEX(Vol_V,2,BM$170)/12)*(1+V_dVol),0))</f>
        <v>10000</v>
      </c>
      <c r="BN178" s="48">
        <f>IF(BN$8=1,N(Reales!BN13),IF(BN$171=1,IF(AND(AND(61&gt;Corte,61&lt;=Corte+n_Ventana),ISNUMBER(Detalle_24m!BN$15)),Detalle_24m!BN$15,INDEX(Vol_V,2,BN$170)/12)*(1+V_dVol),0))</f>
        <v>10000</v>
      </c>
      <c r="BO178" s="48">
        <f>IF(BO$8=1,N(Reales!BO13),IF(BO$171=1,IF(AND(AND(62&gt;Corte,62&lt;=Corte+n_Ventana),ISNUMBER(Detalle_24m!BO$15)),Detalle_24m!BO$15,INDEX(Vol_V,2,BO$170)/12)*(1+V_dVol),0))</f>
        <v>10000</v>
      </c>
      <c r="BP178" s="48">
        <f>IF(BP$8=1,N(Reales!BP13),IF(BP$171=1,IF(AND(AND(63&gt;Corte,63&lt;=Corte+n_Ventana),ISNUMBER(Detalle_24m!BP$15)),Detalle_24m!BP$15,INDEX(Vol_V,2,BP$170)/12)*(1+V_dVol),0))</f>
        <v>10000</v>
      </c>
      <c r="BQ178" s="48">
        <f>IF(BQ$8=1,N(Reales!BQ13),IF(BQ$171=1,IF(AND(AND(64&gt;Corte,64&lt;=Corte+n_Ventana),ISNUMBER(Detalle_24m!BQ$15)),Detalle_24m!BQ$15,INDEX(Vol_V,2,BQ$170)/12)*(1+V_dVol),0))</f>
        <v>10000</v>
      </c>
      <c r="BR178" s="48">
        <f>IF(BR$8=1,N(Reales!BR13),IF(BR$171=1,IF(AND(AND(65&gt;Corte,65&lt;=Corte+n_Ventana),ISNUMBER(Detalle_24m!BR$15)),Detalle_24m!BR$15,INDEX(Vol_V,2,BR$170)/12)*(1+V_dVol),0))</f>
        <v>10000</v>
      </c>
      <c r="BS178" s="48">
        <f>IF(BS$8=1,N(Reales!BS13),IF(BS$171=1,IF(AND(AND(66&gt;Corte,66&lt;=Corte+n_Ventana),ISNUMBER(Detalle_24m!BS$15)),Detalle_24m!BS$15,INDEX(Vol_V,2,BS$170)/12)*(1+V_dVol),0))</f>
        <v>10000</v>
      </c>
      <c r="BT178" s="48">
        <f>IF(BT$8=1,N(Reales!BT13),IF(BT$171=1,IF(AND(AND(67&gt;Corte,67&lt;=Corte+n_Ventana),ISNUMBER(Detalle_24m!BT$15)),Detalle_24m!BT$15,INDEX(Vol_V,2,BT$170)/12)*(1+V_dVol),0))</f>
        <v>10000</v>
      </c>
      <c r="BU178" s="48">
        <f>IF(BU$8=1,N(Reales!BU13),IF(BU$171=1,IF(AND(AND(68&gt;Corte,68&lt;=Corte+n_Ventana),ISNUMBER(Detalle_24m!BU$15)),Detalle_24m!BU$15,INDEX(Vol_V,2,BU$170)/12)*(1+V_dVol),0))</f>
        <v>10000</v>
      </c>
      <c r="BV178" s="48">
        <f>IF(BV$8=1,N(Reales!BV13),IF(BV$171=1,IF(AND(AND(69&gt;Corte,69&lt;=Corte+n_Ventana),ISNUMBER(Detalle_24m!BV$15)),Detalle_24m!BV$15,INDEX(Vol_V,2,BV$170)/12)*(1+V_dVol),0))</f>
        <v>10000</v>
      </c>
      <c r="BW178" s="48">
        <f>IF(BW$8=1,N(Reales!BW13),IF(BW$171=1,IF(AND(AND(70&gt;Corte,70&lt;=Corte+n_Ventana),ISNUMBER(Detalle_24m!BW$15)),Detalle_24m!BW$15,INDEX(Vol_V,2,BW$170)/12)*(1+V_dVol),0))</f>
        <v>10000</v>
      </c>
      <c r="BX178" s="48">
        <f>IF(BX$8=1,N(Reales!BX13),IF(BX$171=1,IF(AND(AND(71&gt;Corte,71&lt;=Corte+n_Ventana),ISNUMBER(Detalle_24m!BX$15)),Detalle_24m!BX$15,INDEX(Vol_V,2,BX$170)/12)*(1+V_dVol),0))</f>
        <v>10000</v>
      </c>
      <c r="BY178" s="48">
        <f>IF(BY$8=1,N(Reales!BY13),IF(BY$171=1,IF(AND(AND(72&gt;Corte,72&lt;=Corte+n_Ventana),ISNUMBER(Detalle_24m!BY$15)),Detalle_24m!BY$15,INDEX(Vol_V,2,BY$170)/12)*(1+V_dVol),0))</f>
        <v>10000</v>
      </c>
      <c r="BZ178" s="48">
        <f>IF(BZ$8=1,N(Reales!BZ13),IF(BZ$171=1,IF(AND(AND(73&gt;Corte,73&lt;=Corte+n_Ventana),ISNUMBER(Detalle_24m!BZ$15)),Detalle_24m!BZ$15,INDEX(Vol_V,2,BZ$170)/12)*(1+V_dVol),0))</f>
        <v>10000</v>
      </c>
      <c r="CA178" s="48">
        <f>IF(CA$8=1,N(Reales!CA13),IF(CA$171=1,IF(AND(AND(74&gt;Corte,74&lt;=Corte+n_Ventana),ISNUMBER(Detalle_24m!CA$15)),Detalle_24m!CA$15,INDEX(Vol_V,2,CA$170)/12)*(1+V_dVol),0))</f>
        <v>10000</v>
      </c>
      <c r="CB178" s="48">
        <f>IF(CB$8=1,N(Reales!CB13),IF(CB$171=1,IF(AND(AND(75&gt;Corte,75&lt;=Corte+n_Ventana),ISNUMBER(Detalle_24m!CB$15)),Detalle_24m!CB$15,INDEX(Vol_V,2,CB$170)/12)*(1+V_dVol),0))</f>
        <v>10000</v>
      </c>
      <c r="CC178" s="48">
        <f>IF(CC$8=1,N(Reales!CC13),IF(CC$171=1,IF(AND(AND(76&gt;Corte,76&lt;=Corte+n_Ventana),ISNUMBER(Detalle_24m!CC$15)),Detalle_24m!CC$15,INDEX(Vol_V,2,CC$170)/12)*(1+V_dVol),0))</f>
        <v>10000</v>
      </c>
      <c r="CD178" s="48">
        <f>IF(CD$8=1,N(Reales!CD13),IF(CD$171=1,IF(AND(AND(77&gt;Corte,77&lt;=Corte+n_Ventana),ISNUMBER(Detalle_24m!CD$15)),Detalle_24m!CD$15,INDEX(Vol_V,2,CD$170)/12)*(1+V_dVol),0))</f>
        <v>10000</v>
      </c>
      <c r="CE178" s="48">
        <f>IF(CE$8=1,N(Reales!CE13),IF(CE$171=1,IF(AND(AND(78&gt;Corte,78&lt;=Corte+n_Ventana),ISNUMBER(Detalle_24m!CE$15)),Detalle_24m!CE$15,INDEX(Vol_V,2,CE$170)/12)*(1+V_dVol),0))</f>
        <v>10000</v>
      </c>
      <c r="CF178" s="48">
        <f>IF(CF$8=1,N(Reales!CF13),IF(CF$171=1,IF(AND(AND(79&gt;Corte,79&lt;=Corte+n_Ventana),ISNUMBER(Detalle_24m!CF$15)),Detalle_24m!CF$15,INDEX(Vol_V,2,CF$170)/12)*(1+V_dVol),0))</f>
        <v>10000</v>
      </c>
      <c r="CG178" s="48">
        <f>IF(CG$8=1,N(Reales!CG13),IF(CG$171=1,IF(AND(AND(80&gt;Corte,80&lt;=Corte+n_Ventana),ISNUMBER(Detalle_24m!CG$15)),Detalle_24m!CG$15,INDEX(Vol_V,2,CG$170)/12)*(1+V_dVol),0))</f>
        <v>10000</v>
      </c>
      <c r="CH178" s="48">
        <f>IF(CH$8=1,N(Reales!CH13),IF(CH$171=1,IF(AND(AND(81&gt;Corte,81&lt;=Corte+n_Ventana),ISNUMBER(Detalle_24m!CH$15)),Detalle_24m!CH$15,INDEX(Vol_V,2,CH$170)/12)*(1+V_dVol),0))</f>
        <v>10000</v>
      </c>
      <c r="CI178" s="48">
        <f>IF(CI$8=1,N(Reales!CI13),IF(CI$171=1,IF(AND(AND(82&gt;Corte,82&lt;=Corte+n_Ventana),ISNUMBER(Detalle_24m!CI$15)),Detalle_24m!CI$15,INDEX(Vol_V,2,CI$170)/12)*(1+V_dVol),0))</f>
        <v>10000</v>
      </c>
      <c r="CJ178" s="48">
        <f>IF(CJ$8=1,N(Reales!CJ13),IF(CJ$171=1,IF(AND(AND(83&gt;Corte,83&lt;=Corte+n_Ventana),ISNUMBER(Detalle_24m!CJ$15)),Detalle_24m!CJ$15,INDEX(Vol_V,2,CJ$170)/12)*(1+V_dVol),0))</f>
        <v>10000</v>
      </c>
      <c r="CK178" s="48">
        <f>IF(CK$8=1,N(Reales!CK13),IF(CK$171=1,IF(AND(AND(84&gt;Corte,84&lt;=Corte+n_Ventana),ISNUMBER(Detalle_24m!CK$15)),Detalle_24m!CK$15,INDEX(Vol_V,2,CK$170)/12)*(1+V_dVol),0))</f>
        <v>10000</v>
      </c>
      <c r="CL178" s="48">
        <f>IF(CL$8=1,N(Reales!CL13),IF(CL$171=1,IF(AND(AND(85&gt;Corte,85&lt;=Corte+n_Ventana),ISNUMBER(Detalle_24m!CL$15)),Detalle_24m!CL$15,INDEX(Vol_V,2,CL$170)/12)*(1+V_dVol),0))</f>
        <v>10000</v>
      </c>
      <c r="CM178" s="48">
        <f>IF(CM$8=1,N(Reales!CM13),IF(CM$171=1,IF(AND(AND(86&gt;Corte,86&lt;=Corte+n_Ventana),ISNUMBER(Detalle_24m!CM$15)),Detalle_24m!CM$15,INDEX(Vol_V,2,CM$170)/12)*(1+V_dVol),0))</f>
        <v>10000</v>
      </c>
      <c r="CN178" s="48">
        <f>IF(CN$8=1,N(Reales!CN13),IF(CN$171=1,IF(AND(AND(87&gt;Corte,87&lt;=Corte+n_Ventana),ISNUMBER(Detalle_24m!CN$15)),Detalle_24m!CN$15,INDEX(Vol_V,2,CN$170)/12)*(1+V_dVol),0))</f>
        <v>10000</v>
      </c>
      <c r="CO178" s="48">
        <f>IF(CO$8=1,N(Reales!CO13),IF(CO$171=1,IF(AND(AND(88&gt;Corte,88&lt;=Corte+n_Ventana),ISNUMBER(Detalle_24m!CO$15)),Detalle_24m!CO$15,INDEX(Vol_V,2,CO$170)/12)*(1+V_dVol),0))</f>
        <v>10000</v>
      </c>
      <c r="CP178" s="48">
        <f>IF(CP$8=1,N(Reales!CP13),IF(CP$171=1,IF(AND(AND(89&gt;Corte,89&lt;=Corte+n_Ventana),ISNUMBER(Detalle_24m!CP$15)),Detalle_24m!CP$15,INDEX(Vol_V,2,CP$170)/12)*(1+V_dVol),0))</f>
        <v>10000</v>
      </c>
      <c r="CQ178" s="48">
        <f>IF(CQ$8=1,N(Reales!CQ13),IF(CQ$171=1,IF(AND(AND(90&gt;Corte,90&lt;=Corte+n_Ventana),ISNUMBER(Detalle_24m!CQ$15)),Detalle_24m!CQ$15,INDEX(Vol_V,2,CQ$170)/12)*(1+V_dVol),0))</f>
        <v>10000</v>
      </c>
      <c r="CR178" s="48">
        <f>IF(CR$8=1,N(Reales!CR13),IF(CR$171=1,IF(AND(AND(91&gt;Corte,91&lt;=Corte+n_Ventana),ISNUMBER(Detalle_24m!CR$15)),Detalle_24m!CR$15,INDEX(Vol_V,2,CR$170)/12)*(1+V_dVol),0))</f>
        <v>10000</v>
      </c>
      <c r="CS178" s="48">
        <f>IF(CS$8=1,N(Reales!CS13),IF(CS$171=1,IF(AND(AND(92&gt;Corte,92&lt;=Corte+n_Ventana),ISNUMBER(Detalle_24m!CS$15)),Detalle_24m!CS$15,INDEX(Vol_V,2,CS$170)/12)*(1+V_dVol),0))</f>
        <v>10000</v>
      </c>
      <c r="CT178" s="48">
        <f>IF(CT$8=1,N(Reales!CT13),IF(CT$171=1,IF(AND(AND(93&gt;Corte,93&lt;=Corte+n_Ventana),ISNUMBER(Detalle_24m!CT$15)),Detalle_24m!CT$15,INDEX(Vol_V,2,CT$170)/12)*(1+V_dVol),0))</f>
        <v>10000</v>
      </c>
      <c r="CU178" s="48">
        <f>IF(CU$8=1,N(Reales!CU13),IF(CU$171=1,IF(AND(AND(94&gt;Corte,94&lt;=Corte+n_Ventana),ISNUMBER(Detalle_24m!CU$15)),Detalle_24m!CU$15,INDEX(Vol_V,2,CU$170)/12)*(1+V_dVol),0))</f>
        <v>10000</v>
      </c>
      <c r="CV178" s="48">
        <f>IF(CV$8=1,N(Reales!CV13),IF(CV$171=1,IF(AND(AND(95&gt;Corte,95&lt;=Corte+n_Ventana),ISNUMBER(Detalle_24m!CV$15)),Detalle_24m!CV$15,INDEX(Vol_V,2,CV$170)/12)*(1+V_dVol),0))</f>
        <v>10000</v>
      </c>
      <c r="CW178" s="48">
        <f>IF(CW$8=1,N(Reales!CW13),IF(CW$171=1,IF(AND(AND(96&gt;Corte,96&lt;=Corte+n_Ventana),ISNUMBER(Detalle_24m!CW$15)),Detalle_24m!CW$15,INDEX(Vol_V,2,CW$170)/12)*(1+V_dVol),0))</f>
        <v>10000</v>
      </c>
      <c r="CX178" s="48">
        <f>IF(CX$8=1,N(Reales!CX13),IF(CX$171=1,IF(AND(AND(97&gt;Corte,97&lt;=Corte+n_Ventana),ISNUMBER(Detalle_24m!CX$15)),Detalle_24m!CX$15,INDEX(Vol_V,2,CX$170)/12)*(1+V_dVol),0))</f>
        <v>10000</v>
      </c>
      <c r="CY178" s="48">
        <f>IF(CY$8=1,N(Reales!CY13),IF(CY$171=1,IF(AND(AND(98&gt;Corte,98&lt;=Corte+n_Ventana),ISNUMBER(Detalle_24m!CY$15)),Detalle_24m!CY$15,INDEX(Vol_V,2,CY$170)/12)*(1+V_dVol),0))</f>
        <v>10000</v>
      </c>
      <c r="CZ178" s="48">
        <f>IF(CZ$8=1,N(Reales!CZ13),IF(CZ$171=1,IF(AND(AND(99&gt;Corte,99&lt;=Corte+n_Ventana),ISNUMBER(Detalle_24m!CZ$15)),Detalle_24m!CZ$15,INDEX(Vol_V,2,CZ$170)/12)*(1+V_dVol),0))</f>
        <v>10000</v>
      </c>
      <c r="DA178" s="48">
        <f>IF(DA$8=1,N(Reales!DA13),IF(DA$171=1,IF(AND(AND(100&gt;Corte,100&lt;=Corte+n_Ventana),ISNUMBER(Detalle_24m!DA$15)),Detalle_24m!DA$15,INDEX(Vol_V,2,DA$170)/12)*(1+V_dVol),0))</f>
        <v>10000</v>
      </c>
      <c r="DB178" s="48">
        <f>IF(DB$8=1,N(Reales!DB13),IF(DB$171=1,IF(AND(AND(101&gt;Corte,101&lt;=Corte+n_Ventana),ISNUMBER(Detalle_24m!DB$15)),Detalle_24m!DB$15,INDEX(Vol_V,2,DB$170)/12)*(1+V_dVol),0))</f>
        <v>10000</v>
      </c>
      <c r="DC178" s="48">
        <f>IF(DC$8=1,N(Reales!DC13),IF(DC$171=1,IF(AND(AND(102&gt;Corte,102&lt;=Corte+n_Ventana),ISNUMBER(Detalle_24m!DC$15)),Detalle_24m!DC$15,INDEX(Vol_V,2,DC$170)/12)*(1+V_dVol),0))</f>
        <v>10000</v>
      </c>
      <c r="DD178" s="48">
        <f>IF(DD$8=1,N(Reales!DD13),IF(DD$171=1,IF(AND(AND(103&gt;Corte,103&lt;=Corte+n_Ventana),ISNUMBER(Detalle_24m!DD$15)),Detalle_24m!DD$15,INDEX(Vol_V,2,DD$170)/12)*(1+V_dVol),0))</f>
        <v>10000</v>
      </c>
      <c r="DE178" s="48">
        <f>IF(DE$8=1,N(Reales!DE13),IF(DE$171=1,IF(AND(AND(104&gt;Corte,104&lt;=Corte+n_Ventana),ISNUMBER(Detalle_24m!DE$15)),Detalle_24m!DE$15,INDEX(Vol_V,2,DE$170)/12)*(1+V_dVol),0))</f>
        <v>10000</v>
      </c>
      <c r="DF178" s="48">
        <f>IF(DF$8=1,N(Reales!DF13),IF(DF$171=1,IF(AND(AND(105&gt;Corte,105&lt;=Corte+n_Ventana),ISNUMBER(Detalle_24m!DF$15)),Detalle_24m!DF$15,INDEX(Vol_V,2,DF$170)/12)*(1+V_dVol),0))</f>
        <v>10000</v>
      </c>
      <c r="DG178" s="48">
        <f>IF(DG$8=1,N(Reales!DG13),IF(DG$171=1,IF(AND(AND(106&gt;Corte,106&lt;=Corte+n_Ventana),ISNUMBER(Detalle_24m!DG$15)),Detalle_24m!DG$15,INDEX(Vol_V,2,DG$170)/12)*(1+V_dVol),0))</f>
        <v>10000</v>
      </c>
      <c r="DH178" s="48">
        <f>IF(DH$8=1,N(Reales!DH13),IF(DH$171=1,IF(AND(AND(107&gt;Corte,107&lt;=Corte+n_Ventana),ISNUMBER(Detalle_24m!DH$15)),Detalle_24m!DH$15,INDEX(Vol_V,2,DH$170)/12)*(1+V_dVol),0))</f>
        <v>10000</v>
      </c>
      <c r="DI178" s="48">
        <f>IF(DI$8=1,N(Reales!DI13),IF(DI$171=1,IF(AND(AND(108&gt;Corte,108&lt;=Corte+n_Ventana),ISNUMBER(Detalle_24m!DI$15)),Detalle_24m!DI$15,INDEX(Vol_V,2,DI$170)/12)*(1+V_dVol),0))</f>
        <v>10000</v>
      </c>
      <c r="DJ178" s="48">
        <f>IF(DJ$8=1,N(Reales!DJ13),IF(DJ$171=1,IF(AND(AND(109&gt;Corte,109&lt;=Corte+n_Ventana),ISNUMBER(Detalle_24m!DJ$15)),Detalle_24m!DJ$15,INDEX(Vol_V,2,DJ$170)/12)*(1+V_dVol),0))</f>
        <v>10000</v>
      </c>
      <c r="DK178" s="48">
        <f>IF(DK$8=1,N(Reales!DK13),IF(DK$171=1,IF(AND(AND(110&gt;Corte,110&lt;=Corte+n_Ventana),ISNUMBER(Detalle_24m!DK$15)),Detalle_24m!DK$15,INDEX(Vol_V,2,DK$170)/12)*(1+V_dVol),0))</f>
        <v>10000</v>
      </c>
      <c r="DL178" s="48">
        <f>IF(DL$8=1,N(Reales!DL13),IF(DL$171=1,IF(AND(AND(111&gt;Corte,111&lt;=Corte+n_Ventana),ISNUMBER(Detalle_24m!DL$15)),Detalle_24m!DL$15,INDEX(Vol_V,2,DL$170)/12)*(1+V_dVol),0))</f>
        <v>10000</v>
      </c>
      <c r="DM178" s="48">
        <f>IF(DM$8=1,N(Reales!DM13),IF(DM$171=1,IF(AND(AND(112&gt;Corte,112&lt;=Corte+n_Ventana),ISNUMBER(Detalle_24m!DM$15)),Detalle_24m!DM$15,INDEX(Vol_V,2,DM$170)/12)*(1+V_dVol),0))</f>
        <v>10000</v>
      </c>
      <c r="DN178" s="48">
        <f>IF(DN$8=1,N(Reales!DN13),IF(DN$171=1,IF(AND(AND(113&gt;Corte,113&lt;=Corte+n_Ventana),ISNUMBER(Detalle_24m!DN$15)),Detalle_24m!DN$15,INDEX(Vol_V,2,DN$170)/12)*(1+V_dVol),0))</f>
        <v>10000</v>
      </c>
      <c r="DO178" s="48">
        <f>IF(DO$8=1,N(Reales!DO13),IF(DO$171=1,IF(AND(AND(114&gt;Corte,114&lt;=Corte+n_Ventana),ISNUMBER(Detalle_24m!DO$15)),Detalle_24m!DO$15,INDEX(Vol_V,2,DO$170)/12)*(1+V_dVol),0))</f>
        <v>10000</v>
      </c>
      <c r="DP178" s="48">
        <f>IF(DP$8=1,N(Reales!DP13),IF(DP$171=1,IF(AND(AND(115&gt;Corte,115&lt;=Corte+n_Ventana),ISNUMBER(Detalle_24m!DP$15)),Detalle_24m!DP$15,INDEX(Vol_V,2,DP$170)/12)*(1+V_dVol),0))</f>
        <v>10000</v>
      </c>
      <c r="DQ178" s="48">
        <f>IF(DQ$8=1,N(Reales!DQ13),IF(DQ$171=1,IF(AND(AND(116&gt;Corte,116&lt;=Corte+n_Ventana),ISNUMBER(Detalle_24m!DQ$15)),Detalle_24m!DQ$15,INDEX(Vol_V,2,DQ$170)/12)*(1+V_dVol),0))</f>
        <v>10000</v>
      </c>
      <c r="DR178" s="48">
        <f>IF(DR$8=1,N(Reales!DR13),IF(DR$171=1,IF(AND(AND(117&gt;Corte,117&lt;=Corte+n_Ventana),ISNUMBER(Detalle_24m!DR$15)),Detalle_24m!DR$15,INDEX(Vol_V,2,DR$170)/12)*(1+V_dVol),0))</f>
        <v>10000</v>
      </c>
      <c r="DS178" s="48">
        <f>IF(DS$8=1,N(Reales!DS13),IF(DS$171=1,IF(AND(AND(118&gt;Corte,118&lt;=Corte+n_Ventana),ISNUMBER(Detalle_24m!DS$15)),Detalle_24m!DS$15,INDEX(Vol_V,2,DS$170)/12)*(1+V_dVol),0))</f>
        <v>10000</v>
      </c>
      <c r="DT178" s="48">
        <f>IF(DT$8=1,N(Reales!DT13),IF(DT$171=1,IF(AND(AND(119&gt;Corte,119&lt;=Corte+n_Ventana),ISNUMBER(Detalle_24m!DT$15)),Detalle_24m!DT$15,INDEX(Vol_V,2,DT$170)/12)*(1+V_dVol),0))</f>
        <v>10000</v>
      </c>
      <c r="DU178" s="48">
        <f>IF(DU$8=1,N(Reales!DU13),IF(DU$171=1,IF(AND(AND(120&gt;Corte,120&lt;=Corte+n_Ventana),ISNUMBER(Detalle_24m!DU$15)),Detalle_24m!DU$15,INDEX(Vol_V,2,DU$170)/12)*(1+V_dVol),0))</f>
        <v>10000</v>
      </c>
      <c r="DV178" s="48">
        <f>IF(DV$8=1,N(Reales!DV13),IF(DV$171=1,IF(AND(AND(121&gt;Corte,121&lt;=Corte+n_Ventana),ISNUMBER(Detalle_24m!DV$15)),Detalle_24m!DV$15,INDEX(Vol_V,2,DV$170)/12)*(1+V_dVol),0))</f>
        <v>0</v>
      </c>
      <c r="DW178" s="48">
        <f>IF(DW$8=1,N(Reales!DW13),IF(DW$171=1,IF(AND(AND(122&gt;Corte,122&lt;=Corte+n_Ventana),ISNUMBER(Detalle_24m!DW$15)),Detalle_24m!DW$15,INDEX(Vol_V,2,DW$170)/12)*(1+V_dVol),0))</f>
        <v>0</v>
      </c>
      <c r="DX178" s="48">
        <f>IF(DX$8=1,N(Reales!DX13),IF(DX$171=1,IF(AND(AND(123&gt;Corte,123&lt;=Corte+n_Ventana),ISNUMBER(Detalle_24m!DX$15)),Detalle_24m!DX$15,INDEX(Vol_V,2,DX$170)/12)*(1+V_dVol),0))</f>
        <v>0</v>
      </c>
      <c r="DY178" s="48">
        <f>IF(DY$8=1,N(Reales!DY13),IF(DY$171=1,IF(AND(AND(124&gt;Corte,124&lt;=Corte+n_Ventana),ISNUMBER(Detalle_24m!DY$15)),Detalle_24m!DY$15,INDEX(Vol_V,2,DY$170)/12)*(1+V_dVol),0))</f>
        <v>0</v>
      </c>
      <c r="DZ178" s="48">
        <f>IF(DZ$8=1,N(Reales!DZ13),IF(DZ$171=1,IF(AND(AND(125&gt;Corte,125&lt;=Corte+n_Ventana),ISNUMBER(Detalle_24m!DZ$15)),Detalle_24m!DZ$15,INDEX(Vol_V,2,DZ$170)/12)*(1+V_dVol),0))</f>
        <v>0</v>
      </c>
      <c r="EA178" s="48">
        <f>IF(EA$8=1,N(Reales!EA13),IF(EA$171=1,IF(AND(AND(126&gt;Corte,126&lt;=Corte+n_Ventana),ISNUMBER(Detalle_24m!EA$15)),Detalle_24m!EA$15,INDEX(Vol_V,2,EA$170)/12)*(1+V_dVol),0))</f>
        <v>0</v>
      </c>
      <c r="EB178" s="48">
        <f>IF(EB$8=1,N(Reales!EB13),IF(EB$171=1,IF(AND(AND(127&gt;Corte,127&lt;=Corte+n_Ventana),ISNUMBER(Detalle_24m!EB$15)),Detalle_24m!EB$15,INDEX(Vol_V,2,EB$170)/12)*(1+V_dVol),0))</f>
        <v>0</v>
      </c>
      <c r="EC178" s="48">
        <f>IF(EC$8=1,N(Reales!EC13),IF(EC$171=1,IF(AND(AND(128&gt;Corte,128&lt;=Corte+n_Ventana),ISNUMBER(Detalle_24m!EC$15)),Detalle_24m!EC$15,INDEX(Vol_V,2,EC$170)/12)*(1+V_dVol),0))</f>
        <v>0</v>
      </c>
      <c r="ED178" s="48">
        <f>IF(ED$8=1,N(Reales!ED13),IF(ED$171=1,IF(AND(AND(129&gt;Corte,129&lt;=Corte+n_Ventana),ISNUMBER(Detalle_24m!ED$15)),Detalle_24m!ED$15,INDEX(Vol_V,2,ED$170)/12)*(1+V_dVol),0))</f>
        <v>0</v>
      </c>
      <c r="EE178" s="48">
        <f>IF(EE$8=1,N(Reales!EE13),IF(EE$171=1,IF(AND(AND(130&gt;Corte,130&lt;=Corte+n_Ventana),ISNUMBER(Detalle_24m!EE$15)),Detalle_24m!EE$15,INDEX(Vol_V,2,EE$170)/12)*(1+V_dVol),0))</f>
        <v>0</v>
      </c>
      <c r="EF178" s="48">
        <f>IF(EF$8=1,N(Reales!EF13),IF(EF$171=1,IF(AND(AND(131&gt;Corte,131&lt;=Corte+n_Ventana),ISNUMBER(Detalle_24m!EF$15)),Detalle_24m!EF$15,INDEX(Vol_V,2,EF$170)/12)*(1+V_dVol),0))</f>
        <v>0</v>
      </c>
      <c r="EG178" s="48">
        <f>IF(EG$8=1,N(Reales!EG13),IF(EG$171=1,IF(AND(AND(132&gt;Corte,132&lt;=Corte+n_Ventana),ISNUMBER(Detalle_24m!EG$15)),Detalle_24m!EG$15,INDEX(Vol_V,2,EG$170)/12)*(1+V_dVol),0))</f>
        <v>0</v>
      </c>
      <c r="EH178" s="48">
        <f>IF(EH$8=1,N(Reales!EH13),IF(EH$171=1,IF(AND(AND(133&gt;Corte,133&lt;=Corte+n_Ventana),ISNUMBER(Detalle_24m!EH$15)),Detalle_24m!EH$15,INDEX(Vol_V,2,EH$170)/12)*(1+V_dVol),0))</f>
        <v>0</v>
      </c>
      <c r="EI178" s="48">
        <f>IF(EI$8=1,N(Reales!EI13),IF(EI$171=1,IF(AND(AND(134&gt;Corte,134&lt;=Corte+n_Ventana),ISNUMBER(Detalle_24m!EI$15)),Detalle_24m!EI$15,INDEX(Vol_V,2,EI$170)/12)*(1+V_dVol),0))</f>
        <v>0</v>
      </c>
      <c r="EJ178" s="48">
        <f>IF(EJ$8=1,N(Reales!EJ13),IF(EJ$171=1,IF(AND(AND(135&gt;Corte,135&lt;=Corte+n_Ventana),ISNUMBER(Detalle_24m!EJ$15)),Detalle_24m!EJ$15,INDEX(Vol_V,2,EJ$170)/12)*(1+V_dVol),0))</f>
        <v>0</v>
      </c>
      <c r="EK178" s="48">
        <f>IF(EK$8=1,N(Reales!EK13),IF(EK$171=1,IF(AND(AND(136&gt;Corte,136&lt;=Corte+n_Ventana),ISNUMBER(Detalle_24m!EK$15)),Detalle_24m!EK$15,INDEX(Vol_V,2,EK$170)/12)*(1+V_dVol),0))</f>
        <v>0</v>
      </c>
      <c r="EL178" s="48">
        <f>IF(EL$8=1,N(Reales!EL13),IF(EL$171=1,IF(AND(AND(137&gt;Corte,137&lt;=Corte+n_Ventana),ISNUMBER(Detalle_24m!EL$15)),Detalle_24m!EL$15,INDEX(Vol_V,2,EL$170)/12)*(1+V_dVol),0))</f>
        <v>0</v>
      </c>
      <c r="EM178" s="48">
        <f>IF(EM$8=1,N(Reales!EM13),IF(EM$171=1,IF(AND(AND(138&gt;Corte,138&lt;=Corte+n_Ventana),ISNUMBER(Detalle_24m!EM$15)),Detalle_24m!EM$15,INDEX(Vol_V,2,EM$170)/12)*(1+V_dVol),0))</f>
        <v>0</v>
      </c>
      <c r="EN178" s="48">
        <f>IF(EN$8=1,N(Reales!EN13),IF(EN$171=1,IF(AND(AND(139&gt;Corte,139&lt;=Corte+n_Ventana),ISNUMBER(Detalle_24m!EN$15)),Detalle_24m!EN$15,INDEX(Vol_V,2,EN$170)/12)*(1+V_dVol),0))</f>
        <v>0</v>
      </c>
      <c r="EO178" s="48">
        <f>IF(EO$8=1,N(Reales!EO13),IF(EO$171=1,IF(AND(AND(140&gt;Corte,140&lt;=Corte+n_Ventana),ISNUMBER(Detalle_24m!EO$15)),Detalle_24m!EO$15,INDEX(Vol_V,2,EO$170)/12)*(1+V_dVol),0))</f>
        <v>0</v>
      </c>
      <c r="EP178" s="48">
        <f>IF(EP$8=1,N(Reales!EP13),IF(EP$171=1,IF(AND(AND(141&gt;Corte,141&lt;=Corte+n_Ventana),ISNUMBER(Detalle_24m!EP$15)),Detalle_24m!EP$15,INDEX(Vol_V,2,EP$170)/12)*(1+V_dVol),0))</f>
        <v>0</v>
      </c>
      <c r="EQ178" s="48">
        <f>IF(EQ$8=1,N(Reales!EQ13),IF(EQ$171=1,IF(AND(AND(142&gt;Corte,142&lt;=Corte+n_Ventana),ISNUMBER(Detalle_24m!EQ$15)),Detalle_24m!EQ$15,INDEX(Vol_V,2,EQ$170)/12)*(1+V_dVol),0))</f>
        <v>0</v>
      </c>
      <c r="ER178" s="48">
        <f>IF(ER$8=1,N(Reales!ER13),IF(ER$171=1,IF(AND(AND(143&gt;Corte,143&lt;=Corte+n_Ventana),ISNUMBER(Detalle_24m!ER$15)),Detalle_24m!ER$15,INDEX(Vol_V,2,ER$170)/12)*(1+V_dVol),0))</f>
        <v>0</v>
      </c>
      <c r="ES178" s="48">
        <f>IF(ES$8=1,N(Reales!ES13),IF(ES$171=1,IF(AND(AND(144&gt;Corte,144&lt;=Corte+n_Ventana),ISNUMBER(Detalle_24m!ES$15)),Detalle_24m!ES$15,INDEX(Vol_V,2,ES$170)/12)*(1+V_dVol),0))</f>
        <v>0</v>
      </c>
    </row>
    <row r="179" spans="1:149" x14ac:dyDescent="0.3">
      <c r="A179" s="14" t="s">
        <v>1234</v>
      </c>
      <c r="B179" s="53" t="str">
        <f>IF(INDEX(Prod_Nombre,3)="","Producto 3",INDEX(Prod_Nombre,3))&amp;" — unidades"</f>
        <v>Producto 3 — unidades</v>
      </c>
      <c r="C179" s="18" t="s">
        <v>475</v>
      </c>
      <c r="E179" s="54">
        <f t="shared" si="604"/>
        <v>0</v>
      </c>
      <c r="F179" s="48">
        <f>IF(F$8=1,N(Reales!F14),IF(F$171=1,IF(AND(AND(1&gt;Corte,1&lt;=Corte+n_Ventana),ISNUMBER(Detalle_24m!F$16)),Detalle_24m!F$16,INDEX(Vol_V,3,F$170)/12)*(1+V_dVol),0))</f>
        <v>0</v>
      </c>
      <c r="G179" s="48">
        <f>IF(G$8=1,N(Reales!G14),IF(G$171=1,IF(AND(AND(2&gt;Corte,2&lt;=Corte+n_Ventana),ISNUMBER(Detalle_24m!G$16)),Detalle_24m!G$16,INDEX(Vol_V,3,G$170)/12)*(1+V_dVol),0))</f>
        <v>0</v>
      </c>
      <c r="H179" s="48">
        <f>IF(H$8=1,N(Reales!H14),IF(H$171=1,IF(AND(AND(3&gt;Corte,3&lt;=Corte+n_Ventana),ISNUMBER(Detalle_24m!H$16)),Detalle_24m!H$16,INDEX(Vol_V,3,H$170)/12)*(1+V_dVol),0))</f>
        <v>0</v>
      </c>
      <c r="I179" s="48">
        <f>IF(I$8=1,N(Reales!I14),IF(I$171=1,IF(AND(AND(4&gt;Corte,4&lt;=Corte+n_Ventana),ISNUMBER(Detalle_24m!I$16)),Detalle_24m!I$16,INDEX(Vol_V,3,I$170)/12)*(1+V_dVol),0))</f>
        <v>0</v>
      </c>
      <c r="J179" s="48">
        <f>IF(J$8=1,N(Reales!J14),IF(J$171=1,IF(AND(AND(5&gt;Corte,5&lt;=Corte+n_Ventana),ISNUMBER(Detalle_24m!J$16)),Detalle_24m!J$16,INDEX(Vol_V,3,J$170)/12)*(1+V_dVol),0))</f>
        <v>0</v>
      </c>
      <c r="K179" s="48">
        <f>IF(K$8=1,N(Reales!K14),IF(K$171=1,IF(AND(AND(6&gt;Corte,6&lt;=Corte+n_Ventana),ISNUMBER(Detalle_24m!K$16)),Detalle_24m!K$16,INDEX(Vol_V,3,K$170)/12)*(1+V_dVol),0))</f>
        <v>0</v>
      </c>
      <c r="L179" s="48">
        <f>IF(L$8=1,N(Reales!L14),IF(L$171=1,IF(AND(AND(7&gt;Corte,7&lt;=Corte+n_Ventana),ISNUMBER(Detalle_24m!L$16)),Detalle_24m!L$16,INDEX(Vol_V,3,L$170)/12)*(1+V_dVol),0))</f>
        <v>0</v>
      </c>
      <c r="M179" s="48">
        <f>IF(M$8=1,N(Reales!M14),IF(M$171=1,IF(AND(AND(8&gt;Corte,8&lt;=Corte+n_Ventana),ISNUMBER(Detalle_24m!M$16)),Detalle_24m!M$16,INDEX(Vol_V,3,M$170)/12)*(1+V_dVol),0))</f>
        <v>0</v>
      </c>
      <c r="N179" s="48">
        <f>IF(N$8=1,N(Reales!N14),IF(N$171=1,IF(AND(AND(9&gt;Corte,9&lt;=Corte+n_Ventana),ISNUMBER(Detalle_24m!N$16)),Detalle_24m!N$16,INDEX(Vol_V,3,N$170)/12)*(1+V_dVol),0))</f>
        <v>0</v>
      </c>
      <c r="O179" s="48">
        <f>IF(O$8=1,N(Reales!O14),IF(O$171=1,IF(AND(AND(10&gt;Corte,10&lt;=Corte+n_Ventana),ISNUMBER(Detalle_24m!O$16)),Detalle_24m!O$16,INDEX(Vol_V,3,O$170)/12)*(1+V_dVol),0))</f>
        <v>0</v>
      </c>
      <c r="P179" s="48">
        <f>IF(P$8=1,N(Reales!P14),IF(P$171=1,IF(AND(AND(11&gt;Corte,11&lt;=Corte+n_Ventana),ISNUMBER(Detalle_24m!P$16)),Detalle_24m!P$16,INDEX(Vol_V,3,P$170)/12)*(1+V_dVol),0))</f>
        <v>0</v>
      </c>
      <c r="Q179" s="48">
        <f>IF(Q$8=1,N(Reales!Q14),IF(Q$171=1,IF(AND(AND(12&gt;Corte,12&lt;=Corte+n_Ventana),ISNUMBER(Detalle_24m!Q$16)),Detalle_24m!Q$16,INDEX(Vol_V,3,Q$170)/12)*(1+V_dVol),0))</f>
        <v>0</v>
      </c>
      <c r="R179" s="48">
        <f>IF(R$8=1,N(Reales!R14),IF(R$171=1,IF(AND(AND(13&gt;Corte,13&lt;=Corte+n_Ventana),ISNUMBER(Detalle_24m!R$16)),Detalle_24m!R$16,INDEX(Vol_V,3,R$170)/12)*(1+V_dVol),0))</f>
        <v>0</v>
      </c>
      <c r="S179" s="48">
        <f>IF(S$8=1,N(Reales!S14),IF(S$171=1,IF(AND(AND(14&gt;Corte,14&lt;=Corte+n_Ventana),ISNUMBER(Detalle_24m!S$16)),Detalle_24m!S$16,INDEX(Vol_V,3,S$170)/12)*(1+V_dVol),0))</f>
        <v>0</v>
      </c>
      <c r="T179" s="48">
        <f>IF(T$8=1,N(Reales!T14),IF(T$171=1,IF(AND(AND(15&gt;Corte,15&lt;=Corte+n_Ventana),ISNUMBER(Detalle_24m!T$16)),Detalle_24m!T$16,INDEX(Vol_V,3,T$170)/12)*(1+V_dVol),0))</f>
        <v>0</v>
      </c>
      <c r="U179" s="48">
        <f>IF(U$8=1,N(Reales!U14),IF(U$171=1,IF(AND(AND(16&gt;Corte,16&lt;=Corte+n_Ventana),ISNUMBER(Detalle_24m!U$16)),Detalle_24m!U$16,INDEX(Vol_V,3,U$170)/12)*(1+V_dVol),0))</f>
        <v>0</v>
      </c>
      <c r="V179" s="48">
        <f>IF(V$8=1,N(Reales!V14),IF(V$171=1,IF(AND(AND(17&gt;Corte,17&lt;=Corte+n_Ventana),ISNUMBER(Detalle_24m!V$16)),Detalle_24m!V$16,INDEX(Vol_V,3,V$170)/12)*(1+V_dVol),0))</f>
        <v>0</v>
      </c>
      <c r="W179" s="48">
        <f>IF(W$8=1,N(Reales!W14),IF(W$171=1,IF(AND(AND(18&gt;Corte,18&lt;=Corte+n_Ventana),ISNUMBER(Detalle_24m!W$16)),Detalle_24m!W$16,INDEX(Vol_V,3,W$170)/12)*(1+V_dVol),0))</f>
        <v>0</v>
      </c>
      <c r="X179" s="48">
        <f>IF(X$8=1,N(Reales!X14),IF(X$171=1,IF(AND(AND(19&gt;Corte,19&lt;=Corte+n_Ventana),ISNUMBER(Detalle_24m!X$16)),Detalle_24m!X$16,INDEX(Vol_V,3,X$170)/12)*(1+V_dVol),0))</f>
        <v>0</v>
      </c>
      <c r="Y179" s="48">
        <f>IF(Y$8=1,N(Reales!Y14),IF(Y$171=1,IF(AND(AND(20&gt;Corte,20&lt;=Corte+n_Ventana),ISNUMBER(Detalle_24m!Y$16)),Detalle_24m!Y$16,INDEX(Vol_V,3,Y$170)/12)*(1+V_dVol),0))</f>
        <v>0</v>
      </c>
      <c r="Z179" s="48">
        <f>IF(Z$8=1,N(Reales!Z14),IF(Z$171=1,IF(AND(AND(21&gt;Corte,21&lt;=Corte+n_Ventana),ISNUMBER(Detalle_24m!Z$16)),Detalle_24m!Z$16,INDEX(Vol_V,3,Z$170)/12)*(1+V_dVol),0))</f>
        <v>0</v>
      </c>
      <c r="AA179" s="48">
        <f>IF(AA$8=1,N(Reales!AA14),IF(AA$171=1,IF(AND(AND(22&gt;Corte,22&lt;=Corte+n_Ventana),ISNUMBER(Detalle_24m!AA$16)),Detalle_24m!AA$16,INDEX(Vol_V,3,AA$170)/12)*(1+V_dVol),0))</f>
        <v>0</v>
      </c>
      <c r="AB179" s="48">
        <f>IF(AB$8=1,N(Reales!AB14),IF(AB$171=1,IF(AND(AND(23&gt;Corte,23&lt;=Corte+n_Ventana),ISNUMBER(Detalle_24m!AB$16)),Detalle_24m!AB$16,INDEX(Vol_V,3,AB$170)/12)*(1+V_dVol),0))</f>
        <v>0</v>
      </c>
      <c r="AC179" s="48">
        <f>IF(AC$8=1,N(Reales!AC14),IF(AC$171=1,IF(AND(AND(24&gt;Corte,24&lt;=Corte+n_Ventana),ISNUMBER(Detalle_24m!AC$16)),Detalle_24m!AC$16,INDEX(Vol_V,3,AC$170)/12)*(1+V_dVol),0))</f>
        <v>0</v>
      </c>
      <c r="AD179" s="48">
        <f>IF(AD$8=1,N(Reales!AD14),IF(AD$171=1,IF(AND(AND(25&gt;Corte,25&lt;=Corte+n_Ventana),ISNUMBER(Detalle_24m!AD$16)),Detalle_24m!AD$16,INDEX(Vol_V,3,AD$170)/12)*(1+V_dVol),0))</f>
        <v>0</v>
      </c>
      <c r="AE179" s="48">
        <f>IF(AE$8=1,N(Reales!AE14),IF(AE$171=1,IF(AND(AND(26&gt;Corte,26&lt;=Corte+n_Ventana),ISNUMBER(Detalle_24m!AE$16)),Detalle_24m!AE$16,INDEX(Vol_V,3,AE$170)/12)*(1+V_dVol),0))</f>
        <v>0</v>
      </c>
      <c r="AF179" s="48">
        <f>IF(AF$8=1,N(Reales!AF14),IF(AF$171=1,IF(AND(AND(27&gt;Corte,27&lt;=Corte+n_Ventana),ISNUMBER(Detalle_24m!AF$16)),Detalle_24m!AF$16,INDEX(Vol_V,3,AF$170)/12)*(1+V_dVol),0))</f>
        <v>0</v>
      </c>
      <c r="AG179" s="48">
        <f>IF(AG$8=1,N(Reales!AG14),IF(AG$171=1,IF(AND(AND(28&gt;Corte,28&lt;=Corte+n_Ventana),ISNUMBER(Detalle_24m!AG$16)),Detalle_24m!AG$16,INDEX(Vol_V,3,AG$170)/12)*(1+V_dVol),0))</f>
        <v>0</v>
      </c>
      <c r="AH179" s="48">
        <f>IF(AH$8=1,N(Reales!AH14),IF(AH$171=1,IF(AND(AND(29&gt;Corte,29&lt;=Corte+n_Ventana),ISNUMBER(Detalle_24m!AH$16)),Detalle_24m!AH$16,INDEX(Vol_V,3,AH$170)/12)*(1+V_dVol),0))</f>
        <v>0</v>
      </c>
      <c r="AI179" s="48">
        <f>IF(AI$8=1,N(Reales!AI14),IF(AI$171=1,IF(AND(AND(30&gt;Corte,30&lt;=Corte+n_Ventana),ISNUMBER(Detalle_24m!AI$16)),Detalle_24m!AI$16,INDEX(Vol_V,3,AI$170)/12)*(1+V_dVol),0))</f>
        <v>0</v>
      </c>
      <c r="AJ179" s="48">
        <f>IF(AJ$8=1,N(Reales!AJ14),IF(AJ$171=1,IF(AND(AND(31&gt;Corte,31&lt;=Corte+n_Ventana),ISNUMBER(Detalle_24m!AJ$16)),Detalle_24m!AJ$16,INDEX(Vol_V,3,AJ$170)/12)*(1+V_dVol),0))</f>
        <v>0</v>
      </c>
      <c r="AK179" s="48">
        <f>IF(AK$8=1,N(Reales!AK14),IF(AK$171=1,IF(AND(AND(32&gt;Corte,32&lt;=Corte+n_Ventana),ISNUMBER(Detalle_24m!AK$16)),Detalle_24m!AK$16,INDEX(Vol_V,3,AK$170)/12)*(1+V_dVol),0))</f>
        <v>0</v>
      </c>
      <c r="AL179" s="48">
        <f>IF(AL$8=1,N(Reales!AL14),IF(AL$171=1,IF(AND(AND(33&gt;Corte,33&lt;=Corte+n_Ventana),ISNUMBER(Detalle_24m!AL$16)),Detalle_24m!AL$16,INDEX(Vol_V,3,AL$170)/12)*(1+V_dVol),0))</f>
        <v>0</v>
      </c>
      <c r="AM179" s="48">
        <f>IF(AM$8=1,N(Reales!AM14),IF(AM$171=1,IF(AND(AND(34&gt;Corte,34&lt;=Corte+n_Ventana),ISNUMBER(Detalle_24m!AM$16)),Detalle_24m!AM$16,INDEX(Vol_V,3,AM$170)/12)*(1+V_dVol),0))</f>
        <v>0</v>
      </c>
      <c r="AN179" s="48">
        <f>IF(AN$8=1,N(Reales!AN14),IF(AN$171=1,IF(AND(AND(35&gt;Corte,35&lt;=Corte+n_Ventana),ISNUMBER(Detalle_24m!AN$16)),Detalle_24m!AN$16,INDEX(Vol_V,3,AN$170)/12)*(1+V_dVol),0))</f>
        <v>0</v>
      </c>
      <c r="AO179" s="48">
        <f>IF(AO$8=1,N(Reales!AO14),IF(AO$171=1,IF(AND(AND(36&gt;Corte,36&lt;=Corte+n_Ventana),ISNUMBER(Detalle_24m!AO$16)),Detalle_24m!AO$16,INDEX(Vol_V,3,AO$170)/12)*(1+V_dVol),0))</f>
        <v>0</v>
      </c>
      <c r="AP179" s="48">
        <f>IF(AP$8=1,N(Reales!AP14),IF(AP$171=1,IF(AND(AND(37&gt;Corte,37&lt;=Corte+n_Ventana),ISNUMBER(Detalle_24m!AP$16)),Detalle_24m!AP$16,INDEX(Vol_V,3,AP$170)/12)*(1+V_dVol),0))</f>
        <v>0</v>
      </c>
      <c r="AQ179" s="48">
        <f>IF(AQ$8=1,N(Reales!AQ14),IF(AQ$171=1,IF(AND(AND(38&gt;Corte,38&lt;=Corte+n_Ventana),ISNUMBER(Detalle_24m!AQ$16)),Detalle_24m!AQ$16,INDEX(Vol_V,3,AQ$170)/12)*(1+V_dVol),0))</f>
        <v>0</v>
      </c>
      <c r="AR179" s="48">
        <f>IF(AR$8=1,N(Reales!AR14),IF(AR$171=1,IF(AND(AND(39&gt;Corte,39&lt;=Corte+n_Ventana),ISNUMBER(Detalle_24m!AR$16)),Detalle_24m!AR$16,INDEX(Vol_V,3,AR$170)/12)*(1+V_dVol),0))</f>
        <v>0</v>
      </c>
      <c r="AS179" s="48">
        <f>IF(AS$8=1,N(Reales!AS14),IF(AS$171=1,IF(AND(AND(40&gt;Corte,40&lt;=Corte+n_Ventana),ISNUMBER(Detalle_24m!AS$16)),Detalle_24m!AS$16,INDEX(Vol_V,3,AS$170)/12)*(1+V_dVol),0))</f>
        <v>0</v>
      </c>
      <c r="AT179" s="48">
        <f>IF(AT$8=1,N(Reales!AT14),IF(AT$171=1,IF(AND(AND(41&gt;Corte,41&lt;=Corte+n_Ventana),ISNUMBER(Detalle_24m!AT$16)),Detalle_24m!AT$16,INDEX(Vol_V,3,AT$170)/12)*(1+V_dVol),0))</f>
        <v>0</v>
      </c>
      <c r="AU179" s="48">
        <f>IF(AU$8=1,N(Reales!AU14),IF(AU$171=1,IF(AND(AND(42&gt;Corte,42&lt;=Corte+n_Ventana),ISNUMBER(Detalle_24m!AU$16)),Detalle_24m!AU$16,INDEX(Vol_V,3,AU$170)/12)*(1+V_dVol),0))</f>
        <v>0</v>
      </c>
      <c r="AV179" s="48">
        <f>IF(AV$8=1,N(Reales!AV14),IF(AV$171=1,IF(AND(AND(43&gt;Corte,43&lt;=Corte+n_Ventana),ISNUMBER(Detalle_24m!AV$16)),Detalle_24m!AV$16,INDEX(Vol_V,3,AV$170)/12)*(1+V_dVol),0))</f>
        <v>0</v>
      </c>
      <c r="AW179" s="48">
        <f>IF(AW$8=1,N(Reales!AW14),IF(AW$171=1,IF(AND(AND(44&gt;Corte,44&lt;=Corte+n_Ventana),ISNUMBER(Detalle_24m!AW$16)),Detalle_24m!AW$16,INDEX(Vol_V,3,AW$170)/12)*(1+V_dVol),0))</f>
        <v>0</v>
      </c>
      <c r="AX179" s="48">
        <f>IF(AX$8=1,N(Reales!AX14),IF(AX$171=1,IF(AND(AND(45&gt;Corte,45&lt;=Corte+n_Ventana),ISNUMBER(Detalle_24m!AX$16)),Detalle_24m!AX$16,INDEX(Vol_V,3,AX$170)/12)*(1+V_dVol),0))</f>
        <v>0</v>
      </c>
      <c r="AY179" s="48">
        <f>IF(AY$8=1,N(Reales!AY14),IF(AY$171=1,IF(AND(AND(46&gt;Corte,46&lt;=Corte+n_Ventana),ISNUMBER(Detalle_24m!AY$16)),Detalle_24m!AY$16,INDEX(Vol_V,3,AY$170)/12)*(1+V_dVol),0))</f>
        <v>0</v>
      </c>
      <c r="AZ179" s="48">
        <f>IF(AZ$8=1,N(Reales!AZ14),IF(AZ$171=1,IF(AND(AND(47&gt;Corte,47&lt;=Corte+n_Ventana),ISNUMBER(Detalle_24m!AZ$16)),Detalle_24m!AZ$16,INDEX(Vol_V,3,AZ$170)/12)*(1+V_dVol),0))</f>
        <v>0</v>
      </c>
      <c r="BA179" s="48">
        <f>IF(BA$8=1,N(Reales!BA14),IF(BA$171=1,IF(AND(AND(48&gt;Corte,48&lt;=Corte+n_Ventana),ISNUMBER(Detalle_24m!BA$16)),Detalle_24m!BA$16,INDEX(Vol_V,3,BA$170)/12)*(1+V_dVol),0))</f>
        <v>0</v>
      </c>
      <c r="BB179" s="48">
        <f>IF(BB$8=1,N(Reales!BB14),IF(BB$171=1,IF(AND(AND(49&gt;Corte,49&lt;=Corte+n_Ventana),ISNUMBER(Detalle_24m!BB$16)),Detalle_24m!BB$16,INDEX(Vol_V,3,BB$170)/12)*(1+V_dVol),0))</f>
        <v>0</v>
      </c>
      <c r="BC179" s="48">
        <f>IF(BC$8=1,N(Reales!BC14),IF(BC$171=1,IF(AND(AND(50&gt;Corte,50&lt;=Corte+n_Ventana),ISNUMBER(Detalle_24m!BC$16)),Detalle_24m!BC$16,INDEX(Vol_V,3,BC$170)/12)*(1+V_dVol),0))</f>
        <v>0</v>
      </c>
      <c r="BD179" s="48">
        <f>IF(BD$8=1,N(Reales!BD14),IF(BD$171=1,IF(AND(AND(51&gt;Corte,51&lt;=Corte+n_Ventana),ISNUMBER(Detalle_24m!BD$16)),Detalle_24m!BD$16,INDEX(Vol_V,3,BD$170)/12)*(1+V_dVol),0))</f>
        <v>0</v>
      </c>
      <c r="BE179" s="48">
        <f>IF(BE$8=1,N(Reales!BE14),IF(BE$171=1,IF(AND(AND(52&gt;Corte,52&lt;=Corte+n_Ventana),ISNUMBER(Detalle_24m!BE$16)),Detalle_24m!BE$16,INDEX(Vol_V,3,BE$170)/12)*(1+V_dVol),0))</f>
        <v>0</v>
      </c>
      <c r="BF179" s="48">
        <f>IF(BF$8=1,N(Reales!BF14),IF(BF$171=1,IF(AND(AND(53&gt;Corte,53&lt;=Corte+n_Ventana),ISNUMBER(Detalle_24m!BF$16)),Detalle_24m!BF$16,INDEX(Vol_V,3,BF$170)/12)*(1+V_dVol),0))</f>
        <v>0</v>
      </c>
      <c r="BG179" s="48">
        <f>IF(BG$8=1,N(Reales!BG14),IF(BG$171=1,IF(AND(AND(54&gt;Corte,54&lt;=Corte+n_Ventana),ISNUMBER(Detalle_24m!BG$16)),Detalle_24m!BG$16,INDEX(Vol_V,3,BG$170)/12)*(1+V_dVol),0))</f>
        <v>0</v>
      </c>
      <c r="BH179" s="48">
        <f>IF(BH$8=1,N(Reales!BH14),IF(BH$171=1,IF(AND(AND(55&gt;Corte,55&lt;=Corte+n_Ventana),ISNUMBER(Detalle_24m!BH$16)),Detalle_24m!BH$16,INDEX(Vol_V,3,BH$170)/12)*(1+V_dVol),0))</f>
        <v>0</v>
      </c>
      <c r="BI179" s="48">
        <f>IF(BI$8=1,N(Reales!BI14),IF(BI$171=1,IF(AND(AND(56&gt;Corte,56&lt;=Corte+n_Ventana),ISNUMBER(Detalle_24m!BI$16)),Detalle_24m!BI$16,INDEX(Vol_V,3,BI$170)/12)*(1+V_dVol),0))</f>
        <v>0</v>
      </c>
      <c r="BJ179" s="48">
        <f>IF(BJ$8=1,N(Reales!BJ14),IF(BJ$171=1,IF(AND(AND(57&gt;Corte,57&lt;=Corte+n_Ventana),ISNUMBER(Detalle_24m!BJ$16)),Detalle_24m!BJ$16,INDEX(Vol_V,3,BJ$170)/12)*(1+V_dVol),0))</f>
        <v>0</v>
      </c>
      <c r="BK179" s="48">
        <f>IF(BK$8=1,N(Reales!BK14),IF(BK$171=1,IF(AND(AND(58&gt;Corte,58&lt;=Corte+n_Ventana),ISNUMBER(Detalle_24m!BK$16)),Detalle_24m!BK$16,INDEX(Vol_V,3,BK$170)/12)*(1+V_dVol),0))</f>
        <v>0</v>
      </c>
      <c r="BL179" s="48">
        <f>IF(BL$8=1,N(Reales!BL14),IF(BL$171=1,IF(AND(AND(59&gt;Corte,59&lt;=Corte+n_Ventana),ISNUMBER(Detalle_24m!BL$16)),Detalle_24m!BL$16,INDEX(Vol_V,3,BL$170)/12)*(1+V_dVol),0))</f>
        <v>0</v>
      </c>
      <c r="BM179" s="48">
        <f>IF(BM$8=1,N(Reales!BM14),IF(BM$171=1,IF(AND(AND(60&gt;Corte,60&lt;=Corte+n_Ventana),ISNUMBER(Detalle_24m!BM$16)),Detalle_24m!BM$16,INDEX(Vol_V,3,BM$170)/12)*(1+V_dVol),0))</f>
        <v>0</v>
      </c>
      <c r="BN179" s="48">
        <f>IF(BN$8=1,N(Reales!BN14),IF(BN$171=1,IF(AND(AND(61&gt;Corte,61&lt;=Corte+n_Ventana),ISNUMBER(Detalle_24m!BN$16)),Detalle_24m!BN$16,INDEX(Vol_V,3,BN$170)/12)*(1+V_dVol),0))</f>
        <v>0</v>
      </c>
      <c r="BO179" s="48">
        <f>IF(BO$8=1,N(Reales!BO14),IF(BO$171=1,IF(AND(AND(62&gt;Corte,62&lt;=Corte+n_Ventana),ISNUMBER(Detalle_24m!BO$16)),Detalle_24m!BO$16,INDEX(Vol_V,3,BO$170)/12)*(1+V_dVol),0))</f>
        <v>0</v>
      </c>
      <c r="BP179" s="48">
        <f>IF(BP$8=1,N(Reales!BP14),IF(BP$171=1,IF(AND(AND(63&gt;Corte,63&lt;=Corte+n_Ventana),ISNUMBER(Detalle_24m!BP$16)),Detalle_24m!BP$16,INDEX(Vol_V,3,BP$170)/12)*(1+V_dVol),0))</f>
        <v>0</v>
      </c>
      <c r="BQ179" s="48">
        <f>IF(BQ$8=1,N(Reales!BQ14),IF(BQ$171=1,IF(AND(AND(64&gt;Corte,64&lt;=Corte+n_Ventana),ISNUMBER(Detalle_24m!BQ$16)),Detalle_24m!BQ$16,INDEX(Vol_V,3,BQ$170)/12)*(1+V_dVol),0))</f>
        <v>0</v>
      </c>
      <c r="BR179" s="48">
        <f>IF(BR$8=1,N(Reales!BR14),IF(BR$171=1,IF(AND(AND(65&gt;Corte,65&lt;=Corte+n_Ventana),ISNUMBER(Detalle_24m!BR$16)),Detalle_24m!BR$16,INDEX(Vol_V,3,BR$170)/12)*(1+V_dVol),0))</f>
        <v>0</v>
      </c>
      <c r="BS179" s="48">
        <f>IF(BS$8=1,N(Reales!BS14),IF(BS$171=1,IF(AND(AND(66&gt;Corte,66&lt;=Corte+n_Ventana),ISNUMBER(Detalle_24m!BS$16)),Detalle_24m!BS$16,INDEX(Vol_V,3,BS$170)/12)*(1+V_dVol),0))</f>
        <v>0</v>
      </c>
      <c r="BT179" s="48">
        <f>IF(BT$8=1,N(Reales!BT14),IF(BT$171=1,IF(AND(AND(67&gt;Corte,67&lt;=Corte+n_Ventana),ISNUMBER(Detalle_24m!BT$16)),Detalle_24m!BT$16,INDEX(Vol_V,3,BT$170)/12)*(1+V_dVol),0))</f>
        <v>0</v>
      </c>
      <c r="BU179" s="48">
        <f>IF(BU$8=1,N(Reales!BU14),IF(BU$171=1,IF(AND(AND(68&gt;Corte,68&lt;=Corte+n_Ventana),ISNUMBER(Detalle_24m!BU$16)),Detalle_24m!BU$16,INDEX(Vol_V,3,BU$170)/12)*(1+V_dVol),0))</f>
        <v>0</v>
      </c>
      <c r="BV179" s="48">
        <f>IF(BV$8=1,N(Reales!BV14),IF(BV$171=1,IF(AND(AND(69&gt;Corte,69&lt;=Corte+n_Ventana),ISNUMBER(Detalle_24m!BV$16)),Detalle_24m!BV$16,INDEX(Vol_V,3,BV$170)/12)*(1+V_dVol),0))</f>
        <v>0</v>
      </c>
      <c r="BW179" s="48">
        <f>IF(BW$8=1,N(Reales!BW14),IF(BW$171=1,IF(AND(AND(70&gt;Corte,70&lt;=Corte+n_Ventana),ISNUMBER(Detalle_24m!BW$16)),Detalle_24m!BW$16,INDEX(Vol_V,3,BW$170)/12)*(1+V_dVol),0))</f>
        <v>0</v>
      </c>
      <c r="BX179" s="48">
        <f>IF(BX$8=1,N(Reales!BX14),IF(BX$171=1,IF(AND(AND(71&gt;Corte,71&lt;=Corte+n_Ventana),ISNUMBER(Detalle_24m!BX$16)),Detalle_24m!BX$16,INDEX(Vol_V,3,BX$170)/12)*(1+V_dVol),0))</f>
        <v>0</v>
      </c>
      <c r="BY179" s="48">
        <f>IF(BY$8=1,N(Reales!BY14),IF(BY$171=1,IF(AND(AND(72&gt;Corte,72&lt;=Corte+n_Ventana),ISNUMBER(Detalle_24m!BY$16)),Detalle_24m!BY$16,INDEX(Vol_V,3,BY$170)/12)*(1+V_dVol),0))</f>
        <v>0</v>
      </c>
      <c r="BZ179" s="48">
        <f>IF(BZ$8=1,N(Reales!BZ14),IF(BZ$171=1,IF(AND(AND(73&gt;Corte,73&lt;=Corte+n_Ventana),ISNUMBER(Detalle_24m!BZ$16)),Detalle_24m!BZ$16,INDEX(Vol_V,3,BZ$170)/12)*(1+V_dVol),0))</f>
        <v>0</v>
      </c>
      <c r="CA179" s="48">
        <f>IF(CA$8=1,N(Reales!CA14),IF(CA$171=1,IF(AND(AND(74&gt;Corte,74&lt;=Corte+n_Ventana),ISNUMBER(Detalle_24m!CA$16)),Detalle_24m!CA$16,INDEX(Vol_V,3,CA$170)/12)*(1+V_dVol),0))</f>
        <v>0</v>
      </c>
      <c r="CB179" s="48">
        <f>IF(CB$8=1,N(Reales!CB14),IF(CB$171=1,IF(AND(AND(75&gt;Corte,75&lt;=Corte+n_Ventana),ISNUMBER(Detalle_24m!CB$16)),Detalle_24m!CB$16,INDEX(Vol_V,3,CB$170)/12)*(1+V_dVol),0))</f>
        <v>0</v>
      </c>
      <c r="CC179" s="48">
        <f>IF(CC$8=1,N(Reales!CC14),IF(CC$171=1,IF(AND(AND(76&gt;Corte,76&lt;=Corte+n_Ventana),ISNUMBER(Detalle_24m!CC$16)),Detalle_24m!CC$16,INDEX(Vol_V,3,CC$170)/12)*(1+V_dVol),0))</f>
        <v>0</v>
      </c>
      <c r="CD179" s="48">
        <f>IF(CD$8=1,N(Reales!CD14),IF(CD$171=1,IF(AND(AND(77&gt;Corte,77&lt;=Corte+n_Ventana),ISNUMBER(Detalle_24m!CD$16)),Detalle_24m!CD$16,INDEX(Vol_V,3,CD$170)/12)*(1+V_dVol),0))</f>
        <v>0</v>
      </c>
      <c r="CE179" s="48">
        <f>IF(CE$8=1,N(Reales!CE14),IF(CE$171=1,IF(AND(AND(78&gt;Corte,78&lt;=Corte+n_Ventana),ISNUMBER(Detalle_24m!CE$16)),Detalle_24m!CE$16,INDEX(Vol_V,3,CE$170)/12)*(1+V_dVol),0))</f>
        <v>0</v>
      </c>
      <c r="CF179" s="48">
        <f>IF(CF$8=1,N(Reales!CF14),IF(CF$171=1,IF(AND(AND(79&gt;Corte,79&lt;=Corte+n_Ventana),ISNUMBER(Detalle_24m!CF$16)),Detalle_24m!CF$16,INDEX(Vol_V,3,CF$170)/12)*(1+V_dVol),0))</f>
        <v>0</v>
      </c>
      <c r="CG179" s="48">
        <f>IF(CG$8=1,N(Reales!CG14),IF(CG$171=1,IF(AND(AND(80&gt;Corte,80&lt;=Corte+n_Ventana),ISNUMBER(Detalle_24m!CG$16)),Detalle_24m!CG$16,INDEX(Vol_V,3,CG$170)/12)*(1+V_dVol),0))</f>
        <v>0</v>
      </c>
      <c r="CH179" s="48">
        <f>IF(CH$8=1,N(Reales!CH14),IF(CH$171=1,IF(AND(AND(81&gt;Corte,81&lt;=Corte+n_Ventana),ISNUMBER(Detalle_24m!CH$16)),Detalle_24m!CH$16,INDEX(Vol_V,3,CH$170)/12)*(1+V_dVol),0))</f>
        <v>0</v>
      </c>
      <c r="CI179" s="48">
        <f>IF(CI$8=1,N(Reales!CI14),IF(CI$171=1,IF(AND(AND(82&gt;Corte,82&lt;=Corte+n_Ventana),ISNUMBER(Detalle_24m!CI$16)),Detalle_24m!CI$16,INDEX(Vol_V,3,CI$170)/12)*(1+V_dVol),0))</f>
        <v>0</v>
      </c>
      <c r="CJ179" s="48">
        <f>IF(CJ$8=1,N(Reales!CJ14),IF(CJ$171=1,IF(AND(AND(83&gt;Corte,83&lt;=Corte+n_Ventana),ISNUMBER(Detalle_24m!CJ$16)),Detalle_24m!CJ$16,INDEX(Vol_V,3,CJ$170)/12)*(1+V_dVol),0))</f>
        <v>0</v>
      </c>
      <c r="CK179" s="48">
        <f>IF(CK$8=1,N(Reales!CK14),IF(CK$171=1,IF(AND(AND(84&gt;Corte,84&lt;=Corte+n_Ventana),ISNUMBER(Detalle_24m!CK$16)),Detalle_24m!CK$16,INDEX(Vol_V,3,CK$170)/12)*(1+V_dVol),0))</f>
        <v>0</v>
      </c>
      <c r="CL179" s="48">
        <f>IF(CL$8=1,N(Reales!CL14),IF(CL$171=1,IF(AND(AND(85&gt;Corte,85&lt;=Corte+n_Ventana),ISNUMBER(Detalle_24m!CL$16)),Detalle_24m!CL$16,INDEX(Vol_V,3,CL$170)/12)*(1+V_dVol),0))</f>
        <v>0</v>
      </c>
      <c r="CM179" s="48">
        <f>IF(CM$8=1,N(Reales!CM14),IF(CM$171=1,IF(AND(AND(86&gt;Corte,86&lt;=Corte+n_Ventana),ISNUMBER(Detalle_24m!CM$16)),Detalle_24m!CM$16,INDEX(Vol_V,3,CM$170)/12)*(1+V_dVol),0))</f>
        <v>0</v>
      </c>
      <c r="CN179" s="48">
        <f>IF(CN$8=1,N(Reales!CN14),IF(CN$171=1,IF(AND(AND(87&gt;Corte,87&lt;=Corte+n_Ventana),ISNUMBER(Detalle_24m!CN$16)),Detalle_24m!CN$16,INDEX(Vol_V,3,CN$170)/12)*(1+V_dVol),0))</f>
        <v>0</v>
      </c>
      <c r="CO179" s="48">
        <f>IF(CO$8=1,N(Reales!CO14),IF(CO$171=1,IF(AND(AND(88&gt;Corte,88&lt;=Corte+n_Ventana),ISNUMBER(Detalle_24m!CO$16)),Detalle_24m!CO$16,INDEX(Vol_V,3,CO$170)/12)*(1+V_dVol),0))</f>
        <v>0</v>
      </c>
      <c r="CP179" s="48">
        <f>IF(CP$8=1,N(Reales!CP14),IF(CP$171=1,IF(AND(AND(89&gt;Corte,89&lt;=Corte+n_Ventana),ISNUMBER(Detalle_24m!CP$16)),Detalle_24m!CP$16,INDEX(Vol_V,3,CP$170)/12)*(1+V_dVol),0))</f>
        <v>0</v>
      </c>
      <c r="CQ179" s="48">
        <f>IF(CQ$8=1,N(Reales!CQ14),IF(CQ$171=1,IF(AND(AND(90&gt;Corte,90&lt;=Corte+n_Ventana),ISNUMBER(Detalle_24m!CQ$16)),Detalle_24m!CQ$16,INDEX(Vol_V,3,CQ$170)/12)*(1+V_dVol),0))</f>
        <v>0</v>
      </c>
      <c r="CR179" s="48">
        <f>IF(CR$8=1,N(Reales!CR14),IF(CR$171=1,IF(AND(AND(91&gt;Corte,91&lt;=Corte+n_Ventana),ISNUMBER(Detalle_24m!CR$16)),Detalle_24m!CR$16,INDEX(Vol_V,3,CR$170)/12)*(1+V_dVol),0))</f>
        <v>0</v>
      </c>
      <c r="CS179" s="48">
        <f>IF(CS$8=1,N(Reales!CS14),IF(CS$171=1,IF(AND(AND(92&gt;Corte,92&lt;=Corte+n_Ventana),ISNUMBER(Detalle_24m!CS$16)),Detalle_24m!CS$16,INDEX(Vol_V,3,CS$170)/12)*(1+V_dVol),0))</f>
        <v>0</v>
      </c>
      <c r="CT179" s="48">
        <f>IF(CT$8=1,N(Reales!CT14),IF(CT$171=1,IF(AND(AND(93&gt;Corte,93&lt;=Corte+n_Ventana),ISNUMBER(Detalle_24m!CT$16)),Detalle_24m!CT$16,INDEX(Vol_V,3,CT$170)/12)*(1+V_dVol),0))</f>
        <v>0</v>
      </c>
      <c r="CU179" s="48">
        <f>IF(CU$8=1,N(Reales!CU14),IF(CU$171=1,IF(AND(AND(94&gt;Corte,94&lt;=Corte+n_Ventana),ISNUMBER(Detalle_24m!CU$16)),Detalle_24m!CU$16,INDEX(Vol_V,3,CU$170)/12)*(1+V_dVol),0))</f>
        <v>0</v>
      </c>
      <c r="CV179" s="48">
        <f>IF(CV$8=1,N(Reales!CV14),IF(CV$171=1,IF(AND(AND(95&gt;Corte,95&lt;=Corte+n_Ventana),ISNUMBER(Detalle_24m!CV$16)),Detalle_24m!CV$16,INDEX(Vol_V,3,CV$170)/12)*(1+V_dVol),0))</f>
        <v>0</v>
      </c>
      <c r="CW179" s="48">
        <f>IF(CW$8=1,N(Reales!CW14),IF(CW$171=1,IF(AND(AND(96&gt;Corte,96&lt;=Corte+n_Ventana),ISNUMBER(Detalle_24m!CW$16)),Detalle_24m!CW$16,INDEX(Vol_V,3,CW$170)/12)*(1+V_dVol),0))</f>
        <v>0</v>
      </c>
      <c r="CX179" s="48">
        <f>IF(CX$8=1,N(Reales!CX14),IF(CX$171=1,IF(AND(AND(97&gt;Corte,97&lt;=Corte+n_Ventana),ISNUMBER(Detalle_24m!CX$16)),Detalle_24m!CX$16,INDEX(Vol_V,3,CX$170)/12)*(1+V_dVol),0))</f>
        <v>0</v>
      </c>
      <c r="CY179" s="48">
        <f>IF(CY$8=1,N(Reales!CY14),IF(CY$171=1,IF(AND(AND(98&gt;Corte,98&lt;=Corte+n_Ventana),ISNUMBER(Detalle_24m!CY$16)),Detalle_24m!CY$16,INDEX(Vol_V,3,CY$170)/12)*(1+V_dVol),0))</f>
        <v>0</v>
      </c>
      <c r="CZ179" s="48">
        <f>IF(CZ$8=1,N(Reales!CZ14),IF(CZ$171=1,IF(AND(AND(99&gt;Corte,99&lt;=Corte+n_Ventana),ISNUMBER(Detalle_24m!CZ$16)),Detalle_24m!CZ$16,INDEX(Vol_V,3,CZ$170)/12)*(1+V_dVol),0))</f>
        <v>0</v>
      </c>
      <c r="DA179" s="48">
        <f>IF(DA$8=1,N(Reales!DA14),IF(DA$171=1,IF(AND(AND(100&gt;Corte,100&lt;=Corte+n_Ventana),ISNUMBER(Detalle_24m!DA$16)),Detalle_24m!DA$16,INDEX(Vol_V,3,DA$170)/12)*(1+V_dVol),0))</f>
        <v>0</v>
      </c>
      <c r="DB179" s="48">
        <f>IF(DB$8=1,N(Reales!DB14),IF(DB$171=1,IF(AND(AND(101&gt;Corte,101&lt;=Corte+n_Ventana),ISNUMBER(Detalle_24m!DB$16)),Detalle_24m!DB$16,INDEX(Vol_V,3,DB$170)/12)*(1+V_dVol),0))</f>
        <v>0</v>
      </c>
      <c r="DC179" s="48">
        <f>IF(DC$8=1,N(Reales!DC14),IF(DC$171=1,IF(AND(AND(102&gt;Corte,102&lt;=Corte+n_Ventana),ISNUMBER(Detalle_24m!DC$16)),Detalle_24m!DC$16,INDEX(Vol_V,3,DC$170)/12)*(1+V_dVol),0))</f>
        <v>0</v>
      </c>
      <c r="DD179" s="48">
        <f>IF(DD$8=1,N(Reales!DD14),IF(DD$171=1,IF(AND(AND(103&gt;Corte,103&lt;=Corte+n_Ventana),ISNUMBER(Detalle_24m!DD$16)),Detalle_24m!DD$16,INDEX(Vol_V,3,DD$170)/12)*(1+V_dVol),0))</f>
        <v>0</v>
      </c>
      <c r="DE179" s="48">
        <f>IF(DE$8=1,N(Reales!DE14),IF(DE$171=1,IF(AND(AND(104&gt;Corte,104&lt;=Corte+n_Ventana),ISNUMBER(Detalle_24m!DE$16)),Detalle_24m!DE$16,INDEX(Vol_V,3,DE$170)/12)*(1+V_dVol),0))</f>
        <v>0</v>
      </c>
      <c r="DF179" s="48">
        <f>IF(DF$8=1,N(Reales!DF14),IF(DF$171=1,IF(AND(AND(105&gt;Corte,105&lt;=Corte+n_Ventana),ISNUMBER(Detalle_24m!DF$16)),Detalle_24m!DF$16,INDEX(Vol_V,3,DF$170)/12)*(1+V_dVol),0))</f>
        <v>0</v>
      </c>
      <c r="DG179" s="48">
        <f>IF(DG$8=1,N(Reales!DG14),IF(DG$171=1,IF(AND(AND(106&gt;Corte,106&lt;=Corte+n_Ventana),ISNUMBER(Detalle_24m!DG$16)),Detalle_24m!DG$16,INDEX(Vol_V,3,DG$170)/12)*(1+V_dVol),0))</f>
        <v>0</v>
      </c>
      <c r="DH179" s="48">
        <f>IF(DH$8=1,N(Reales!DH14),IF(DH$171=1,IF(AND(AND(107&gt;Corte,107&lt;=Corte+n_Ventana),ISNUMBER(Detalle_24m!DH$16)),Detalle_24m!DH$16,INDEX(Vol_V,3,DH$170)/12)*(1+V_dVol),0))</f>
        <v>0</v>
      </c>
      <c r="DI179" s="48">
        <f>IF(DI$8=1,N(Reales!DI14),IF(DI$171=1,IF(AND(AND(108&gt;Corte,108&lt;=Corte+n_Ventana),ISNUMBER(Detalle_24m!DI$16)),Detalle_24m!DI$16,INDEX(Vol_V,3,DI$170)/12)*(1+V_dVol),0))</f>
        <v>0</v>
      </c>
      <c r="DJ179" s="48">
        <f>IF(DJ$8=1,N(Reales!DJ14),IF(DJ$171=1,IF(AND(AND(109&gt;Corte,109&lt;=Corte+n_Ventana),ISNUMBER(Detalle_24m!DJ$16)),Detalle_24m!DJ$16,INDEX(Vol_V,3,DJ$170)/12)*(1+V_dVol),0))</f>
        <v>0</v>
      </c>
      <c r="DK179" s="48">
        <f>IF(DK$8=1,N(Reales!DK14),IF(DK$171=1,IF(AND(AND(110&gt;Corte,110&lt;=Corte+n_Ventana),ISNUMBER(Detalle_24m!DK$16)),Detalle_24m!DK$16,INDEX(Vol_V,3,DK$170)/12)*(1+V_dVol),0))</f>
        <v>0</v>
      </c>
      <c r="DL179" s="48">
        <f>IF(DL$8=1,N(Reales!DL14),IF(DL$171=1,IF(AND(AND(111&gt;Corte,111&lt;=Corte+n_Ventana),ISNUMBER(Detalle_24m!DL$16)),Detalle_24m!DL$16,INDEX(Vol_V,3,DL$170)/12)*(1+V_dVol),0))</f>
        <v>0</v>
      </c>
      <c r="DM179" s="48">
        <f>IF(DM$8=1,N(Reales!DM14),IF(DM$171=1,IF(AND(AND(112&gt;Corte,112&lt;=Corte+n_Ventana),ISNUMBER(Detalle_24m!DM$16)),Detalle_24m!DM$16,INDEX(Vol_V,3,DM$170)/12)*(1+V_dVol),0))</f>
        <v>0</v>
      </c>
      <c r="DN179" s="48">
        <f>IF(DN$8=1,N(Reales!DN14),IF(DN$171=1,IF(AND(AND(113&gt;Corte,113&lt;=Corte+n_Ventana),ISNUMBER(Detalle_24m!DN$16)),Detalle_24m!DN$16,INDEX(Vol_V,3,DN$170)/12)*(1+V_dVol),0))</f>
        <v>0</v>
      </c>
      <c r="DO179" s="48">
        <f>IF(DO$8=1,N(Reales!DO14),IF(DO$171=1,IF(AND(AND(114&gt;Corte,114&lt;=Corte+n_Ventana),ISNUMBER(Detalle_24m!DO$16)),Detalle_24m!DO$16,INDEX(Vol_V,3,DO$170)/12)*(1+V_dVol),0))</f>
        <v>0</v>
      </c>
      <c r="DP179" s="48">
        <f>IF(DP$8=1,N(Reales!DP14),IF(DP$171=1,IF(AND(AND(115&gt;Corte,115&lt;=Corte+n_Ventana),ISNUMBER(Detalle_24m!DP$16)),Detalle_24m!DP$16,INDEX(Vol_V,3,DP$170)/12)*(1+V_dVol),0))</f>
        <v>0</v>
      </c>
      <c r="DQ179" s="48">
        <f>IF(DQ$8=1,N(Reales!DQ14),IF(DQ$171=1,IF(AND(AND(116&gt;Corte,116&lt;=Corte+n_Ventana),ISNUMBER(Detalle_24m!DQ$16)),Detalle_24m!DQ$16,INDEX(Vol_V,3,DQ$170)/12)*(1+V_dVol),0))</f>
        <v>0</v>
      </c>
      <c r="DR179" s="48">
        <f>IF(DR$8=1,N(Reales!DR14),IF(DR$171=1,IF(AND(AND(117&gt;Corte,117&lt;=Corte+n_Ventana),ISNUMBER(Detalle_24m!DR$16)),Detalle_24m!DR$16,INDEX(Vol_V,3,DR$170)/12)*(1+V_dVol),0))</f>
        <v>0</v>
      </c>
      <c r="DS179" s="48">
        <f>IF(DS$8=1,N(Reales!DS14),IF(DS$171=1,IF(AND(AND(118&gt;Corte,118&lt;=Corte+n_Ventana),ISNUMBER(Detalle_24m!DS$16)),Detalle_24m!DS$16,INDEX(Vol_V,3,DS$170)/12)*(1+V_dVol),0))</f>
        <v>0</v>
      </c>
      <c r="DT179" s="48">
        <f>IF(DT$8=1,N(Reales!DT14),IF(DT$171=1,IF(AND(AND(119&gt;Corte,119&lt;=Corte+n_Ventana),ISNUMBER(Detalle_24m!DT$16)),Detalle_24m!DT$16,INDEX(Vol_V,3,DT$170)/12)*(1+V_dVol),0))</f>
        <v>0</v>
      </c>
      <c r="DU179" s="48">
        <f>IF(DU$8=1,N(Reales!DU14),IF(DU$171=1,IF(AND(AND(120&gt;Corte,120&lt;=Corte+n_Ventana),ISNUMBER(Detalle_24m!DU$16)),Detalle_24m!DU$16,INDEX(Vol_V,3,DU$170)/12)*(1+V_dVol),0))</f>
        <v>0</v>
      </c>
      <c r="DV179" s="48">
        <f>IF(DV$8=1,N(Reales!DV14),IF(DV$171=1,IF(AND(AND(121&gt;Corte,121&lt;=Corte+n_Ventana),ISNUMBER(Detalle_24m!DV$16)),Detalle_24m!DV$16,INDEX(Vol_V,3,DV$170)/12)*(1+V_dVol),0))</f>
        <v>0</v>
      </c>
      <c r="DW179" s="48">
        <f>IF(DW$8=1,N(Reales!DW14),IF(DW$171=1,IF(AND(AND(122&gt;Corte,122&lt;=Corte+n_Ventana),ISNUMBER(Detalle_24m!DW$16)),Detalle_24m!DW$16,INDEX(Vol_V,3,DW$170)/12)*(1+V_dVol),0))</f>
        <v>0</v>
      </c>
      <c r="DX179" s="48">
        <f>IF(DX$8=1,N(Reales!DX14),IF(DX$171=1,IF(AND(AND(123&gt;Corte,123&lt;=Corte+n_Ventana),ISNUMBER(Detalle_24m!DX$16)),Detalle_24m!DX$16,INDEX(Vol_V,3,DX$170)/12)*(1+V_dVol),0))</f>
        <v>0</v>
      </c>
      <c r="DY179" s="48">
        <f>IF(DY$8=1,N(Reales!DY14),IF(DY$171=1,IF(AND(AND(124&gt;Corte,124&lt;=Corte+n_Ventana),ISNUMBER(Detalle_24m!DY$16)),Detalle_24m!DY$16,INDEX(Vol_V,3,DY$170)/12)*(1+V_dVol),0))</f>
        <v>0</v>
      </c>
      <c r="DZ179" s="48">
        <f>IF(DZ$8=1,N(Reales!DZ14),IF(DZ$171=1,IF(AND(AND(125&gt;Corte,125&lt;=Corte+n_Ventana),ISNUMBER(Detalle_24m!DZ$16)),Detalle_24m!DZ$16,INDEX(Vol_V,3,DZ$170)/12)*(1+V_dVol),0))</f>
        <v>0</v>
      </c>
      <c r="EA179" s="48">
        <f>IF(EA$8=1,N(Reales!EA14),IF(EA$171=1,IF(AND(AND(126&gt;Corte,126&lt;=Corte+n_Ventana),ISNUMBER(Detalle_24m!EA$16)),Detalle_24m!EA$16,INDEX(Vol_V,3,EA$170)/12)*(1+V_dVol),0))</f>
        <v>0</v>
      </c>
      <c r="EB179" s="48">
        <f>IF(EB$8=1,N(Reales!EB14),IF(EB$171=1,IF(AND(AND(127&gt;Corte,127&lt;=Corte+n_Ventana),ISNUMBER(Detalle_24m!EB$16)),Detalle_24m!EB$16,INDEX(Vol_V,3,EB$170)/12)*(1+V_dVol),0))</f>
        <v>0</v>
      </c>
      <c r="EC179" s="48">
        <f>IF(EC$8=1,N(Reales!EC14),IF(EC$171=1,IF(AND(AND(128&gt;Corte,128&lt;=Corte+n_Ventana),ISNUMBER(Detalle_24m!EC$16)),Detalle_24m!EC$16,INDEX(Vol_V,3,EC$170)/12)*(1+V_dVol),0))</f>
        <v>0</v>
      </c>
      <c r="ED179" s="48">
        <f>IF(ED$8=1,N(Reales!ED14),IF(ED$171=1,IF(AND(AND(129&gt;Corte,129&lt;=Corte+n_Ventana),ISNUMBER(Detalle_24m!ED$16)),Detalle_24m!ED$16,INDEX(Vol_V,3,ED$170)/12)*(1+V_dVol),0))</f>
        <v>0</v>
      </c>
      <c r="EE179" s="48">
        <f>IF(EE$8=1,N(Reales!EE14),IF(EE$171=1,IF(AND(AND(130&gt;Corte,130&lt;=Corte+n_Ventana),ISNUMBER(Detalle_24m!EE$16)),Detalle_24m!EE$16,INDEX(Vol_V,3,EE$170)/12)*(1+V_dVol),0))</f>
        <v>0</v>
      </c>
      <c r="EF179" s="48">
        <f>IF(EF$8=1,N(Reales!EF14),IF(EF$171=1,IF(AND(AND(131&gt;Corte,131&lt;=Corte+n_Ventana),ISNUMBER(Detalle_24m!EF$16)),Detalle_24m!EF$16,INDEX(Vol_V,3,EF$170)/12)*(1+V_dVol),0))</f>
        <v>0</v>
      </c>
      <c r="EG179" s="48">
        <f>IF(EG$8=1,N(Reales!EG14),IF(EG$171=1,IF(AND(AND(132&gt;Corte,132&lt;=Corte+n_Ventana),ISNUMBER(Detalle_24m!EG$16)),Detalle_24m!EG$16,INDEX(Vol_V,3,EG$170)/12)*(1+V_dVol),0))</f>
        <v>0</v>
      </c>
      <c r="EH179" s="48">
        <f>IF(EH$8=1,N(Reales!EH14),IF(EH$171=1,IF(AND(AND(133&gt;Corte,133&lt;=Corte+n_Ventana),ISNUMBER(Detalle_24m!EH$16)),Detalle_24m!EH$16,INDEX(Vol_V,3,EH$170)/12)*(1+V_dVol),0))</f>
        <v>0</v>
      </c>
      <c r="EI179" s="48">
        <f>IF(EI$8=1,N(Reales!EI14),IF(EI$171=1,IF(AND(AND(134&gt;Corte,134&lt;=Corte+n_Ventana),ISNUMBER(Detalle_24m!EI$16)),Detalle_24m!EI$16,INDEX(Vol_V,3,EI$170)/12)*(1+V_dVol),0))</f>
        <v>0</v>
      </c>
      <c r="EJ179" s="48">
        <f>IF(EJ$8=1,N(Reales!EJ14),IF(EJ$171=1,IF(AND(AND(135&gt;Corte,135&lt;=Corte+n_Ventana),ISNUMBER(Detalle_24m!EJ$16)),Detalle_24m!EJ$16,INDEX(Vol_V,3,EJ$170)/12)*(1+V_dVol),0))</f>
        <v>0</v>
      </c>
      <c r="EK179" s="48">
        <f>IF(EK$8=1,N(Reales!EK14),IF(EK$171=1,IF(AND(AND(136&gt;Corte,136&lt;=Corte+n_Ventana),ISNUMBER(Detalle_24m!EK$16)),Detalle_24m!EK$16,INDEX(Vol_V,3,EK$170)/12)*(1+V_dVol),0))</f>
        <v>0</v>
      </c>
      <c r="EL179" s="48">
        <f>IF(EL$8=1,N(Reales!EL14),IF(EL$171=1,IF(AND(AND(137&gt;Corte,137&lt;=Corte+n_Ventana),ISNUMBER(Detalle_24m!EL$16)),Detalle_24m!EL$16,INDEX(Vol_V,3,EL$170)/12)*(1+V_dVol),0))</f>
        <v>0</v>
      </c>
      <c r="EM179" s="48">
        <f>IF(EM$8=1,N(Reales!EM14),IF(EM$171=1,IF(AND(AND(138&gt;Corte,138&lt;=Corte+n_Ventana),ISNUMBER(Detalle_24m!EM$16)),Detalle_24m!EM$16,INDEX(Vol_V,3,EM$170)/12)*(1+V_dVol),0))</f>
        <v>0</v>
      </c>
      <c r="EN179" s="48">
        <f>IF(EN$8=1,N(Reales!EN14),IF(EN$171=1,IF(AND(AND(139&gt;Corte,139&lt;=Corte+n_Ventana),ISNUMBER(Detalle_24m!EN$16)),Detalle_24m!EN$16,INDEX(Vol_V,3,EN$170)/12)*(1+V_dVol),0))</f>
        <v>0</v>
      </c>
      <c r="EO179" s="48">
        <f>IF(EO$8=1,N(Reales!EO14),IF(EO$171=1,IF(AND(AND(140&gt;Corte,140&lt;=Corte+n_Ventana),ISNUMBER(Detalle_24m!EO$16)),Detalle_24m!EO$16,INDEX(Vol_V,3,EO$170)/12)*(1+V_dVol),0))</f>
        <v>0</v>
      </c>
      <c r="EP179" s="48">
        <f>IF(EP$8=1,N(Reales!EP14),IF(EP$171=1,IF(AND(AND(141&gt;Corte,141&lt;=Corte+n_Ventana),ISNUMBER(Detalle_24m!EP$16)),Detalle_24m!EP$16,INDEX(Vol_V,3,EP$170)/12)*(1+V_dVol),0))</f>
        <v>0</v>
      </c>
      <c r="EQ179" s="48">
        <f>IF(EQ$8=1,N(Reales!EQ14),IF(EQ$171=1,IF(AND(AND(142&gt;Corte,142&lt;=Corte+n_Ventana),ISNUMBER(Detalle_24m!EQ$16)),Detalle_24m!EQ$16,INDEX(Vol_V,3,EQ$170)/12)*(1+V_dVol),0))</f>
        <v>0</v>
      </c>
      <c r="ER179" s="48">
        <f>IF(ER$8=1,N(Reales!ER14),IF(ER$171=1,IF(AND(AND(143&gt;Corte,143&lt;=Corte+n_Ventana),ISNUMBER(Detalle_24m!ER$16)),Detalle_24m!ER$16,INDEX(Vol_V,3,ER$170)/12)*(1+V_dVol),0))</f>
        <v>0</v>
      </c>
      <c r="ES179" s="48">
        <f>IF(ES$8=1,N(Reales!ES14),IF(ES$171=1,IF(AND(AND(144&gt;Corte,144&lt;=Corte+n_Ventana),ISNUMBER(Detalle_24m!ES$16)),Detalle_24m!ES$16,INDEX(Vol_V,3,ES$170)/12)*(1+V_dVol),0))</f>
        <v>0</v>
      </c>
    </row>
    <row r="180" spans="1:149" x14ac:dyDescent="0.3">
      <c r="A180" s="14" t="s">
        <v>1235</v>
      </c>
      <c r="B180" s="53" t="str">
        <f>IF(INDEX(Prod_Nombre,4)="","Producto 4",INDEX(Prod_Nombre,4))&amp;" — unidades"</f>
        <v>Producto 4 — unidades</v>
      </c>
      <c r="C180" s="18" t="s">
        <v>475</v>
      </c>
      <c r="E180" s="54">
        <f t="shared" si="604"/>
        <v>0</v>
      </c>
      <c r="F180" s="48">
        <f>IF(F$8=1,N(Reales!F15),IF(F$171=1,IF(AND(AND(1&gt;Corte,1&lt;=Corte+n_Ventana),ISNUMBER(Detalle_24m!F$17)),Detalle_24m!F$17,INDEX(Vol_V,4,F$170)/12)*(1+V_dVol),0))</f>
        <v>0</v>
      </c>
      <c r="G180" s="48">
        <f>IF(G$8=1,N(Reales!G15),IF(G$171=1,IF(AND(AND(2&gt;Corte,2&lt;=Corte+n_Ventana),ISNUMBER(Detalle_24m!G$17)),Detalle_24m!G$17,INDEX(Vol_V,4,G$170)/12)*(1+V_dVol),0))</f>
        <v>0</v>
      </c>
      <c r="H180" s="48">
        <f>IF(H$8=1,N(Reales!H15),IF(H$171=1,IF(AND(AND(3&gt;Corte,3&lt;=Corte+n_Ventana),ISNUMBER(Detalle_24m!H$17)),Detalle_24m!H$17,INDEX(Vol_V,4,H$170)/12)*(1+V_dVol),0))</f>
        <v>0</v>
      </c>
      <c r="I180" s="48">
        <f>IF(I$8=1,N(Reales!I15),IF(I$171=1,IF(AND(AND(4&gt;Corte,4&lt;=Corte+n_Ventana),ISNUMBER(Detalle_24m!I$17)),Detalle_24m!I$17,INDEX(Vol_V,4,I$170)/12)*(1+V_dVol),0))</f>
        <v>0</v>
      </c>
      <c r="J180" s="48">
        <f>IF(J$8=1,N(Reales!J15),IF(J$171=1,IF(AND(AND(5&gt;Corte,5&lt;=Corte+n_Ventana),ISNUMBER(Detalle_24m!J$17)),Detalle_24m!J$17,INDEX(Vol_V,4,J$170)/12)*(1+V_dVol),0))</f>
        <v>0</v>
      </c>
      <c r="K180" s="48">
        <f>IF(K$8=1,N(Reales!K15),IF(K$171=1,IF(AND(AND(6&gt;Corte,6&lt;=Corte+n_Ventana),ISNUMBER(Detalle_24m!K$17)),Detalle_24m!K$17,INDEX(Vol_V,4,K$170)/12)*(1+V_dVol),0))</f>
        <v>0</v>
      </c>
      <c r="L180" s="48">
        <f>IF(L$8=1,N(Reales!L15),IF(L$171=1,IF(AND(AND(7&gt;Corte,7&lt;=Corte+n_Ventana),ISNUMBER(Detalle_24m!L$17)),Detalle_24m!L$17,INDEX(Vol_V,4,L$170)/12)*(1+V_dVol),0))</f>
        <v>0</v>
      </c>
      <c r="M180" s="48">
        <f>IF(M$8=1,N(Reales!M15),IF(M$171=1,IF(AND(AND(8&gt;Corte,8&lt;=Corte+n_Ventana),ISNUMBER(Detalle_24m!M$17)),Detalle_24m!M$17,INDEX(Vol_V,4,M$170)/12)*(1+V_dVol),0))</f>
        <v>0</v>
      </c>
      <c r="N180" s="48">
        <f>IF(N$8=1,N(Reales!N15),IF(N$171=1,IF(AND(AND(9&gt;Corte,9&lt;=Corte+n_Ventana),ISNUMBER(Detalle_24m!N$17)),Detalle_24m!N$17,INDEX(Vol_V,4,N$170)/12)*(1+V_dVol),0))</f>
        <v>0</v>
      </c>
      <c r="O180" s="48">
        <f>IF(O$8=1,N(Reales!O15),IF(O$171=1,IF(AND(AND(10&gt;Corte,10&lt;=Corte+n_Ventana),ISNUMBER(Detalle_24m!O$17)),Detalle_24m!O$17,INDEX(Vol_V,4,O$170)/12)*(1+V_dVol),0))</f>
        <v>0</v>
      </c>
      <c r="P180" s="48">
        <f>IF(P$8=1,N(Reales!P15),IF(P$171=1,IF(AND(AND(11&gt;Corte,11&lt;=Corte+n_Ventana),ISNUMBER(Detalle_24m!P$17)),Detalle_24m!P$17,INDEX(Vol_V,4,P$170)/12)*(1+V_dVol),0))</f>
        <v>0</v>
      </c>
      <c r="Q180" s="48">
        <f>IF(Q$8=1,N(Reales!Q15),IF(Q$171=1,IF(AND(AND(12&gt;Corte,12&lt;=Corte+n_Ventana),ISNUMBER(Detalle_24m!Q$17)),Detalle_24m!Q$17,INDEX(Vol_V,4,Q$170)/12)*(1+V_dVol),0))</f>
        <v>0</v>
      </c>
      <c r="R180" s="48">
        <f>IF(R$8=1,N(Reales!R15),IF(R$171=1,IF(AND(AND(13&gt;Corte,13&lt;=Corte+n_Ventana),ISNUMBER(Detalle_24m!R$17)),Detalle_24m!R$17,INDEX(Vol_V,4,R$170)/12)*(1+V_dVol),0))</f>
        <v>0</v>
      </c>
      <c r="S180" s="48">
        <f>IF(S$8=1,N(Reales!S15),IF(S$171=1,IF(AND(AND(14&gt;Corte,14&lt;=Corte+n_Ventana),ISNUMBER(Detalle_24m!S$17)),Detalle_24m!S$17,INDEX(Vol_V,4,S$170)/12)*(1+V_dVol),0))</f>
        <v>0</v>
      </c>
      <c r="T180" s="48">
        <f>IF(T$8=1,N(Reales!T15),IF(T$171=1,IF(AND(AND(15&gt;Corte,15&lt;=Corte+n_Ventana),ISNUMBER(Detalle_24m!T$17)),Detalle_24m!T$17,INDEX(Vol_V,4,T$170)/12)*(1+V_dVol),0))</f>
        <v>0</v>
      </c>
      <c r="U180" s="48">
        <f>IF(U$8=1,N(Reales!U15),IF(U$171=1,IF(AND(AND(16&gt;Corte,16&lt;=Corte+n_Ventana),ISNUMBER(Detalle_24m!U$17)),Detalle_24m!U$17,INDEX(Vol_V,4,U$170)/12)*(1+V_dVol),0))</f>
        <v>0</v>
      </c>
      <c r="V180" s="48">
        <f>IF(V$8=1,N(Reales!V15),IF(V$171=1,IF(AND(AND(17&gt;Corte,17&lt;=Corte+n_Ventana),ISNUMBER(Detalle_24m!V$17)),Detalle_24m!V$17,INDEX(Vol_V,4,V$170)/12)*(1+V_dVol),0))</f>
        <v>0</v>
      </c>
      <c r="W180" s="48">
        <f>IF(W$8=1,N(Reales!W15),IF(W$171=1,IF(AND(AND(18&gt;Corte,18&lt;=Corte+n_Ventana),ISNUMBER(Detalle_24m!W$17)),Detalle_24m!W$17,INDEX(Vol_V,4,W$170)/12)*(1+V_dVol),0))</f>
        <v>0</v>
      </c>
      <c r="X180" s="48">
        <f>IF(X$8=1,N(Reales!X15),IF(X$171=1,IF(AND(AND(19&gt;Corte,19&lt;=Corte+n_Ventana),ISNUMBER(Detalle_24m!X$17)),Detalle_24m!X$17,INDEX(Vol_V,4,X$170)/12)*(1+V_dVol),0))</f>
        <v>0</v>
      </c>
      <c r="Y180" s="48">
        <f>IF(Y$8=1,N(Reales!Y15),IF(Y$171=1,IF(AND(AND(20&gt;Corte,20&lt;=Corte+n_Ventana),ISNUMBER(Detalle_24m!Y$17)),Detalle_24m!Y$17,INDEX(Vol_V,4,Y$170)/12)*(1+V_dVol),0))</f>
        <v>0</v>
      </c>
      <c r="Z180" s="48">
        <f>IF(Z$8=1,N(Reales!Z15),IF(Z$171=1,IF(AND(AND(21&gt;Corte,21&lt;=Corte+n_Ventana),ISNUMBER(Detalle_24m!Z$17)),Detalle_24m!Z$17,INDEX(Vol_V,4,Z$170)/12)*(1+V_dVol),0))</f>
        <v>0</v>
      </c>
      <c r="AA180" s="48">
        <f>IF(AA$8=1,N(Reales!AA15),IF(AA$171=1,IF(AND(AND(22&gt;Corte,22&lt;=Corte+n_Ventana),ISNUMBER(Detalle_24m!AA$17)),Detalle_24m!AA$17,INDEX(Vol_V,4,AA$170)/12)*(1+V_dVol),0))</f>
        <v>0</v>
      </c>
      <c r="AB180" s="48">
        <f>IF(AB$8=1,N(Reales!AB15),IF(AB$171=1,IF(AND(AND(23&gt;Corte,23&lt;=Corte+n_Ventana),ISNUMBER(Detalle_24m!AB$17)),Detalle_24m!AB$17,INDEX(Vol_V,4,AB$170)/12)*(1+V_dVol),0))</f>
        <v>0</v>
      </c>
      <c r="AC180" s="48">
        <f>IF(AC$8=1,N(Reales!AC15),IF(AC$171=1,IF(AND(AND(24&gt;Corte,24&lt;=Corte+n_Ventana),ISNUMBER(Detalle_24m!AC$17)),Detalle_24m!AC$17,INDEX(Vol_V,4,AC$170)/12)*(1+V_dVol),0))</f>
        <v>0</v>
      </c>
      <c r="AD180" s="48">
        <f>IF(AD$8=1,N(Reales!AD15),IF(AD$171=1,IF(AND(AND(25&gt;Corte,25&lt;=Corte+n_Ventana),ISNUMBER(Detalle_24m!AD$17)),Detalle_24m!AD$17,INDEX(Vol_V,4,AD$170)/12)*(1+V_dVol),0))</f>
        <v>0</v>
      </c>
      <c r="AE180" s="48">
        <f>IF(AE$8=1,N(Reales!AE15),IF(AE$171=1,IF(AND(AND(26&gt;Corte,26&lt;=Corte+n_Ventana),ISNUMBER(Detalle_24m!AE$17)),Detalle_24m!AE$17,INDEX(Vol_V,4,AE$170)/12)*(1+V_dVol),0))</f>
        <v>0</v>
      </c>
      <c r="AF180" s="48">
        <f>IF(AF$8=1,N(Reales!AF15),IF(AF$171=1,IF(AND(AND(27&gt;Corte,27&lt;=Corte+n_Ventana),ISNUMBER(Detalle_24m!AF$17)),Detalle_24m!AF$17,INDEX(Vol_V,4,AF$170)/12)*(1+V_dVol),0))</f>
        <v>0</v>
      </c>
      <c r="AG180" s="48">
        <f>IF(AG$8=1,N(Reales!AG15),IF(AG$171=1,IF(AND(AND(28&gt;Corte,28&lt;=Corte+n_Ventana),ISNUMBER(Detalle_24m!AG$17)),Detalle_24m!AG$17,INDEX(Vol_V,4,AG$170)/12)*(1+V_dVol),0))</f>
        <v>0</v>
      </c>
      <c r="AH180" s="48">
        <f>IF(AH$8=1,N(Reales!AH15),IF(AH$171=1,IF(AND(AND(29&gt;Corte,29&lt;=Corte+n_Ventana),ISNUMBER(Detalle_24m!AH$17)),Detalle_24m!AH$17,INDEX(Vol_V,4,AH$170)/12)*(1+V_dVol),0))</f>
        <v>0</v>
      </c>
      <c r="AI180" s="48">
        <f>IF(AI$8=1,N(Reales!AI15),IF(AI$171=1,IF(AND(AND(30&gt;Corte,30&lt;=Corte+n_Ventana),ISNUMBER(Detalle_24m!AI$17)),Detalle_24m!AI$17,INDEX(Vol_V,4,AI$170)/12)*(1+V_dVol),0))</f>
        <v>0</v>
      </c>
      <c r="AJ180" s="48">
        <f>IF(AJ$8=1,N(Reales!AJ15),IF(AJ$171=1,IF(AND(AND(31&gt;Corte,31&lt;=Corte+n_Ventana),ISNUMBER(Detalle_24m!AJ$17)),Detalle_24m!AJ$17,INDEX(Vol_V,4,AJ$170)/12)*(1+V_dVol),0))</f>
        <v>0</v>
      </c>
      <c r="AK180" s="48">
        <f>IF(AK$8=1,N(Reales!AK15),IF(AK$171=1,IF(AND(AND(32&gt;Corte,32&lt;=Corte+n_Ventana),ISNUMBER(Detalle_24m!AK$17)),Detalle_24m!AK$17,INDEX(Vol_V,4,AK$170)/12)*(1+V_dVol),0))</f>
        <v>0</v>
      </c>
      <c r="AL180" s="48">
        <f>IF(AL$8=1,N(Reales!AL15),IF(AL$171=1,IF(AND(AND(33&gt;Corte,33&lt;=Corte+n_Ventana),ISNUMBER(Detalle_24m!AL$17)),Detalle_24m!AL$17,INDEX(Vol_V,4,AL$170)/12)*(1+V_dVol),0))</f>
        <v>0</v>
      </c>
      <c r="AM180" s="48">
        <f>IF(AM$8=1,N(Reales!AM15),IF(AM$171=1,IF(AND(AND(34&gt;Corte,34&lt;=Corte+n_Ventana),ISNUMBER(Detalle_24m!AM$17)),Detalle_24m!AM$17,INDEX(Vol_V,4,AM$170)/12)*(1+V_dVol),0))</f>
        <v>0</v>
      </c>
      <c r="AN180" s="48">
        <f>IF(AN$8=1,N(Reales!AN15),IF(AN$171=1,IF(AND(AND(35&gt;Corte,35&lt;=Corte+n_Ventana),ISNUMBER(Detalle_24m!AN$17)),Detalle_24m!AN$17,INDEX(Vol_V,4,AN$170)/12)*(1+V_dVol),0))</f>
        <v>0</v>
      </c>
      <c r="AO180" s="48">
        <f>IF(AO$8=1,N(Reales!AO15),IF(AO$171=1,IF(AND(AND(36&gt;Corte,36&lt;=Corte+n_Ventana),ISNUMBER(Detalle_24m!AO$17)),Detalle_24m!AO$17,INDEX(Vol_V,4,AO$170)/12)*(1+V_dVol),0))</f>
        <v>0</v>
      </c>
      <c r="AP180" s="48">
        <f>IF(AP$8=1,N(Reales!AP15),IF(AP$171=1,IF(AND(AND(37&gt;Corte,37&lt;=Corte+n_Ventana),ISNUMBER(Detalle_24m!AP$17)),Detalle_24m!AP$17,INDEX(Vol_V,4,AP$170)/12)*(1+V_dVol),0))</f>
        <v>0</v>
      </c>
      <c r="AQ180" s="48">
        <f>IF(AQ$8=1,N(Reales!AQ15),IF(AQ$171=1,IF(AND(AND(38&gt;Corte,38&lt;=Corte+n_Ventana),ISNUMBER(Detalle_24m!AQ$17)),Detalle_24m!AQ$17,INDEX(Vol_V,4,AQ$170)/12)*(1+V_dVol),0))</f>
        <v>0</v>
      </c>
      <c r="AR180" s="48">
        <f>IF(AR$8=1,N(Reales!AR15),IF(AR$171=1,IF(AND(AND(39&gt;Corte,39&lt;=Corte+n_Ventana),ISNUMBER(Detalle_24m!AR$17)),Detalle_24m!AR$17,INDEX(Vol_V,4,AR$170)/12)*(1+V_dVol),0))</f>
        <v>0</v>
      </c>
      <c r="AS180" s="48">
        <f>IF(AS$8=1,N(Reales!AS15),IF(AS$171=1,IF(AND(AND(40&gt;Corte,40&lt;=Corte+n_Ventana),ISNUMBER(Detalle_24m!AS$17)),Detalle_24m!AS$17,INDEX(Vol_V,4,AS$170)/12)*(1+V_dVol),0))</f>
        <v>0</v>
      </c>
      <c r="AT180" s="48">
        <f>IF(AT$8=1,N(Reales!AT15),IF(AT$171=1,IF(AND(AND(41&gt;Corte,41&lt;=Corte+n_Ventana),ISNUMBER(Detalle_24m!AT$17)),Detalle_24m!AT$17,INDEX(Vol_V,4,AT$170)/12)*(1+V_dVol),0))</f>
        <v>0</v>
      </c>
      <c r="AU180" s="48">
        <f>IF(AU$8=1,N(Reales!AU15),IF(AU$171=1,IF(AND(AND(42&gt;Corte,42&lt;=Corte+n_Ventana),ISNUMBER(Detalle_24m!AU$17)),Detalle_24m!AU$17,INDEX(Vol_V,4,AU$170)/12)*(1+V_dVol),0))</f>
        <v>0</v>
      </c>
      <c r="AV180" s="48">
        <f>IF(AV$8=1,N(Reales!AV15),IF(AV$171=1,IF(AND(AND(43&gt;Corte,43&lt;=Corte+n_Ventana),ISNUMBER(Detalle_24m!AV$17)),Detalle_24m!AV$17,INDEX(Vol_V,4,AV$170)/12)*(1+V_dVol),0))</f>
        <v>0</v>
      </c>
      <c r="AW180" s="48">
        <f>IF(AW$8=1,N(Reales!AW15),IF(AW$171=1,IF(AND(AND(44&gt;Corte,44&lt;=Corte+n_Ventana),ISNUMBER(Detalle_24m!AW$17)),Detalle_24m!AW$17,INDEX(Vol_V,4,AW$170)/12)*(1+V_dVol),0))</f>
        <v>0</v>
      </c>
      <c r="AX180" s="48">
        <f>IF(AX$8=1,N(Reales!AX15),IF(AX$171=1,IF(AND(AND(45&gt;Corte,45&lt;=Corte+n_Ventana),ISNUMBER(Detalle_24m!AX$17)),Detalle_24m!AX$17,INDEX(Vol_V,4,AX$170)/12)*(1+V_dVol),0))</f>
        <v>0</v>
      </c>
      <c r="AY180" s="48">
        <f>IF(AY$8=1,N(Reales!AY15),IF(AY$171=1,IF(AND(AND(46&gt;Corte,46&lt;=Corte+n_Ventana),ISNUMBER(Detalle_24m!AY$17)),Detalle_24m!AY$17,INDEX(Vol_V,4,AY$170)/12)*(1+V_dVol),0))</f>
        <v>0</v>
      </c>
      <c r="AZ180" s="48">
        <f>IF(AZ$8=1,N(Reales!AZ15),IF(AZ$171=1,IF(AND(AND(47&gt;Corte,47&lt;=Corte+n_Ventana),ISNUMBER(Detalle_24m!AZ$17)),Detalle_24m!AZ$17,INDEX(Vol_V,4,AZ$170)/12)*(1+V_dVol),0))</f>
        <v>0</v>
      </c>
      <c r="BA180" s="48">
        <f>IF(BA$8=1,N(Reales!BA15),IF(BA$171=1,IF(AND(AND(48&gt;Corte,48&lt;=Corte+n_Ventana),ISNUMBER(Detalle_24m!BA$17)),Detalle_24m!BA$17,INDEX(Vol_V,4,BA$170)/12)*(1+V_dVol),0))</f>
        <v>0</v>
      </c>
      <c r="BB180" s="48">
        <f>IF(BB$8=1,N(Reales!BB15),IF(BB$171=1,IF(AND(AND(49&gt;Corte,49&lt;=Corte+n_Ventana),ISNUMBER(Detalle_24m!BB$17)),Detalle_24m!BB$17,INDEX(Vol_V,4,BB$170)/12)*(1+V_dVol),0))</f>
        <v>0</v>
      </c>
      <c r="BC180" s="48">
        <f>IF(BC$8=1,N(Reales!BC15),IF(BC$171=1,IF(AND(AND(50&gt;Corte,50&lt;=Corte+n_Ventana),ISNUMBER(Detalle_24m!BC$17)),Detalle_24m!BC$17,INDEX(Vol_V,4,BC$170)/12)*(1+V_dVol),0))</f>
        <v>0</v>
      </c>
      <c r="BD180" s="48">
        <f>IF(BD$8=1,N(Reales!BD15),IF(BD$171=1,IF(AND(AND(51&gt;Corte,51&lt;=Corte+n_Ventana),ISNUMBER(Detalle_24m!BD$17)),Detalle_24m!BD$17,INDEX(Vol_V,4,BD$170)/12)*(1+V_dVol),0))</f>
        <v>0</v>
      </c>
      <c r="BE180" s="48">
        <f>IF(BE$8=1,N(Reales!BE15),IF(BE$171=1,IF(AND(AND(52&gt;Corte,52&lt;=Corte+n_Ventana),ISNUMBER(Detalle_24m!BE$17)),Detalle_24m!BE$17,INDEX(Vol_V,4,BE$170)/12)*(1+V_dVol),0))</f>
        <v>0</v>
      </c>
      <c r="BF180" s="48">
        <f>IF(BF$8=1,N(Reales!BF15),IF(BF$171=1,IF(AND(AND(53&gt;Corte,53&lt;=Corte+n_Ventana),ISNUMBER(Detalle_24m!BF$17)),Detalle_24m!BF$17,INDEX(Vol_V,4,BF$170)/12)*(1+V_dVol),0))</f>
        <v>0</v>
      </c>
      <c r="BG180" s="48">
        <f>IF(BG$8=1,N(Reales!BG15),IF(BG$171=1,IF(AND(AND(54&gt;Corte,54&lt;=Corte+n_Ventana),ISNUMBER(Detalle_24m!BG$17)),Detalle_24m!BG$17,INDEX(Vol_V,4,BG$170)/12)*(1+V_dVol),0))</f>
        <v>0</v>
      </c>
      <c r="BH180" s="48">
        <f>IF(BH$8=1,N(Reales!BH15),IF(BH$171=1,IF(AND(AND(55&gt;Corte,55&lt;=Corte+n_Ventana),ISNUMBER(Detalle_24m!BH$17)),Detalle_24m!BH$17,INDEX(Vol_V,4,BH$170)/12)*(1+V_dVol),0))</f>
        <v>0</v>
      </c>
      <c r="BI180" s="48">
        <f>IF(BI$8=1,N(Reales!BI15),IF(BI$171=1,IF(AND(AND(56&gt;Corte,56&lt;=Corte+n_Ventana),ISNUMBER(Detalle_24m!BI$17)),Detalle_24m!BI$17,INDEX(Vol_V,4,BI$170)/12)*(1+V_dVol),0))</f>
        <v>0</v>
      </c>
      <c r="BJ180" s="48">
        <f>IF(BJ$8=1,N(Reales!BJ15),IF(BJ$171=1,IF(AND(AND(57&gt;Corte,57&lt;=Corte+n_Ventana),ISNUMBER(Detalle_24m!BJ$17)),Detalle_24m!BJ$17,INDEX(Vol_V,4,BJ$170)/12)*(1+V_dVol),0))</f>
        <v>0</v>
      </c>
      <c r="BK180" s="48">
        <f>IF(BK$8=1,N(Reales!BK15),IF(BK$171=1,IF(AND(AND(58&gt;Corte,58&lt;=Corte+n_Ventana),ISNUMBER(Detalle_24m!BK$17)),Detalle_24m!BK$17,INDEX(Vol_V,4,BK$170)/12)*(1+V_dVol),0))</f>
        <v>0</v>
      </c>
      <c r="BL180" s="48">
        <f>IF(BL$8=1,N(Reales!BL15),IF(BL$171=1,IF(AND(AND(59&gt;Corte,59&lt;=Corte+n_Ventana),ISNUMBER(Detalle_24m!BL$17)),Detalle_24m!BL$17,INDEX(Vol_V,4,BL$170)/12)*(1+V_dVol),0))</f>
        <v>0</v>
      </c>
      <c r="BM180" s="48">
        <f>IF(BM$8=1,N(Reales!BM15),IF(BM$171=1,IF(AND(AND(60&gt;Corte,60&lt;=Corte+n_Ventana),ISNUMBER(Detalle_24m!BM$17)),Detalle_24m!BM$17,INDEX(Vol_V,4,BM$170)/12)*(1+V_dVol),0))</f>
        <v>0</v>
      </c>
      <c r="BN180" s="48">
        <f>IF(BN$8=1,N(Reales!BN15),IF(BN$171=1,IF(AND(AND(61&gt;Corte,61&lt;=Corte+n_Ventana),ISNUMBER(Detalle_24m!BN$17)),Detalle_24m!BN$17,INDEX(Vol_V,4,BN$170)/12)*(1+V_dVol),0))</f>
        <v>0</v>
      </c>
      <c r="BO180" s="48">
        <f>IF(BO$8=1,N(Reales!BO15),IF(BO$171=1,IF(AND(AND(62&gt;Corte,62&lt;=Corte+n_Ventana),ISNUMBER(Detalle_24m!BO$17)),Detalle_24m!BO$17,INDEX(Vol_V,4,BO$170)/12)*(1+V_dVol),0))</f>
        <v>0</v>
      </c>
      <c r="BP180" s="48">
        <f>IF(BP$8=1,N(Reales!BP15),IF(BP$171=1,IF(AND(AND(63&gt;Corte,63&lt;=Corte+n_Ventana),ISNUMBER(Detalle_24m!BP$17)),Detalle_24m!BP$17,INDEX(Vol_V,4,BP$170)/12)*(1+V_dVol),0))</f>
        <v>0</v>
      </c>
      <c r="BQ180" s="48">
        <f>IF(BQ$8=1,N(Reales!BQ15),IF(BQ$171=1,IF(AND(AND(64&gt;Corte,64&lt;=Corte+n_Ventana),ISNUMBER(Detalle_24m!BQ$17)),Detalle_24m!BQ$17,INDEX(Vol_V,4,BQ$170)/12)*(1+V_dVol),0))</f>
        <v>0</v>
      </c>
      <c r="BR180" s="48">
        <f>IF(BR$8=1,N(Reales!BR15),IF(BR$171=1,IF(AND(AND(65&gt;Corte,65&lt;=Corte+n_Ventana),ISNUMBER(Detalle_24m!BR$17)),Detalle_24m!BR$17,INDEX(Vol_V,4,BR$170)/12)*(1+V_dVol),0))</f>
        <v>0</v>
      </c>
      <c r="BS180" s="48">
        <f>IF(BS$8=1,N(Reales!BS15),IF(BS$171=1,IF(AND(AND(66&gt;Corte,66&lt;=Corte+n_Ventana),ISNUMBER(Detalle_24m!BS$17)),Detalle_24m!BS$17,INDEX(Vol_V,4,BS$170)/12)*(1+V_dVol),0))</f>
        <v>0</v>
      </c>
      <c r="BT180" s="48">
        <f>IF(BT$8=1,N(Reales!BT15),IF(BT$171=1,IF(AND(AND(67&gt;Corte,67&lt;=Corte+n_Ventana),ISNUMBER(Detalle_24m!BT$17)),Detalle_24m!BT$17,INDEX(Vol_V,4,BT$170)/12)*(1+V_dVol),0))</f>
        <v>0</v>
      </c>
      <c r="BU180" s="48">
        <f>IF(BU$8=1,N(Reales!BU15),IF(BU$171=1,IF(AND(AND(68&gt;Corte,68&lt;=Corte+n_Ventana),ISNUMBER(Detalle_24m!BU$17)),Detalle_24m!BU$17,INDEX(Vol_V,4,BU$170)/12)*(1+V_dVol),0))</f>
        <v>0</v>
      </c>
      <c r="BV180" s="48">
        <f>IF(BV$8=1,N(Reales!BV15),IF(BV$171=1,IF(AND(AND(69&gt;Corte,69&lt;=Corte+n_Ventana),ISNUMBER(Detalle_24m!BV$17)),Detalle_24m!BV$17,INDEX(Vol_V,4,BV$170)/12)*(1+V_dVol),0))</f>
        <v>0</v>
      </c>
      <c r="BW180" s="48">
        <f>IF(BW$8=1,N(Reales!BW15),IF(BW$171=1,IF(AND(AND(70&gt;Corte,70&lt;=Corte+n_Ventana),ISNUMBER(Detalle_24m!BW$17)),Detalle_24m!BW$17,INDEX(Vol_V,4,BW$170)/12)*(1+V_dVol),0))</f>
        <v>0</v>
      </c>
      <c r="BX180" s="48">
        <f>IF(BX$8=1,N(Reales!BX15),IF(BX$171=1,IF(AND(AND(71&gt;Corte,71&lt;=Corte+n_Ventana),ISNUMBER(Detalle_24m!BX$17)),Detalle_24m!BX$17,INDEX(Vol_V,4,BX$170)/12)*(1+V_dVol),0))</f>
        <v>0</v>
      </c>
      <c r="BY180" s="48">
        <f>IF(BY$8=1,N(Reales!BY15),IF(BY$171=1,IF(AND(AND(72&gt;Corte,72&lt;=Corte+n_Ventana),ISNUMBER(Detalle_24m!BY$17)),Detalle_24m!BY$17,INDEX(Vol_V,4,BY$170)/12)*(1+V_dVol),0))</f>
        <v>0</v>
      </c>
      <c r="BZ180" s="48">
        <f>IF(BZ$8=1,N(Reales!BZ15),IF(BZ$171=1,IF(AND(AND(73&gt;Corte,73&lt;=Corte+n_Ventana),ISNUMBER(Detalle_24m!BZ$17)),Detalle_24m!BZ$17,INDEX(Vol_V,4,BZ$170)/12)*(1+V_dVol),0))</f>
        <v>0</v>
      </c>
      <c r="CA180" s="48">
        <f>IF(CA$8=1,N(Reales!CA15),IF(CA$171=1,IF(AND(AND(74&gt;Corte,74&lt;=Corte+n_Ventana),ISNUMBER(Detalle_24m!CA$17)),Detalle_24m!CA$17,INDEX(Vol_V,4,CA$170)/12)*(1+V_dVol),0))</f>
        <v>0</v>
      </c>
      <c r="CB180" s="48">
        <f>IF(CB$8=1,N(Reales!CB15),IF(CB$171=1,IF(AND(AND(75&gt;Corte,75&lt;=Corte+n_Ventana),ISNUMBER(Detalle_24m!CB$17)),Detalle_24m!CB$17,INDEX(Vol_V,4,CB$170)/12)*(1+V_dVol),0))</f>
        <v>0</v>
      </c>
      <c r="CC180" s="48">
        <f>IF(CC$8=1,N(Reales!CC15),IF(CC$171=1,IF(AND(AND(76&gt;Corte,76&lt;=Corte+n_Ventana),ISNUMBER(Detalle_24m!CC$17)),Detalle_24m!CC$17,INDEX(Vol_V,4,CC$170)/12)*(1+V_dVol),0))</f>
        <v>0</v>
      </c>
      <c r="CD180" s="48">
        <f>IF(CD$8=1,N(Reales!CD15),IF(CD$171=1,IF(AND(AND(77&gt;Corte,77&lt;=Corte+n_Ventana),ISNUMBER(Detalle_24m!CD$17)),Detalle_24m!CD$17,INDEX(Vol_V,4,CD$170)/12)*(1+V_dVol),0))</f>
        <v>0</v>
      </c>
      <c r="CE180" s="48">
        <f>IF(CE$8=1,N(Reales!CE15),IF(CE$171=1,IF(AND(AND(78&gt;Corte,78&lt;=Corte+n_Ventana),ISNUMBER(Detalle_24m!CE$17)),Detalle_24m!CE$17,INDEX(Vol_V,4,CE$170)/12)*(1+V_dVol),0))</f>
        <v>0</v>
      </c>
      <c r="CF180" s="48">
        <f>IF(CF$8=1,N(Reales!CF15),IF(CF$171=1,IF(AND(AND(79&gt;Corte,79&lt;=Corte+n_Ventana),ISNUMBER(Detalle_24m!CF$17)),Detalle_24m!CF$17,INDEX(Vol_V,4,CF$170)/12)*(1+V_dVol),0))</f>
        <v>0</v>
      </c>
      <c r="CG180" s="48">
        <f>IF(CG$8=1,N(Reales!CG15),IF(CG$171=1,IF(AND(AND(80&gt;Corte,80&lt;=Corte+n_Ventana),ISNUMBER(Detalle_24m!CG$17)),Detalle_24m!CG$17,INDEX(Vol_V,4,CG$170)/12)*(1+V_dVol),0))</f>
        <v>0</v>
      </c>
      <c r="CH180" s="48">
        <f>IF(CH$8=1,N(Reales!CH15),IF(CH$171=1,IF(AND(AND(81&gt;Corte,81&lt;=Corte+n_Ventana),ISNUMBER(Detalle_24m!CH$17)),Detalle_24m!CH$17,INDEX(Vol_V,4,CH$170)/12)*(1+V_dVol),0))</f>
        <v>0</v>
      </c>
      <c r="CI180" s="48">
        <f>IF(CI$8=1,N(Reales!CI15),IF(CI$171=1,IF(AND(AND(82&gt;Corte,82&lt;=Corte+n_Ventana),ISNUMBER(Detalle_24m!CI$17)),Detalle_24m!CI$17,INDEX(Vol_V,4,CI$170)/12)*(1+V_dVol),0))</f>
        <v>0</v>
      </c>
      <c r="CJ180" s="48">
        <f>IF(CJ$8=1,N(Reales!CJ15),IF(CJ$171=1,IF(AND(AND(83&gt;Corte,83&lt;=Corte+n_Ventana),ISNUMBER(Detalle_24m!CJ$17)),Detalle_24m!CJ$17,INDEX(Vol_V,4,CJ$170)/12)*(1+V_dVol),0))</f>
        <v>0</v>
      </c>
      <c r="CK180" s="48">
        <f>IF(CK$8=1,N(Reales!CK15),IF(CK$171=1,IF(AND(AND(84&gt;Corte,84&lt;=Corte+n_Ventana),ISNUMBER(Detalle_24m!CK$17)),Detalle_24m!CK$17,INDEX(Vol_V,4,CK$170)/12)*(1+V_dVol),0))</f>
        <v>0</v>
      </c>
      <c r="CL180" s="48">
        <f>IF(CL$8=1,N(Reales!CL15),IF(CL$171=1,IF(AND(AND(85&gt;Corte,85&lt;=Corte+n_Ventana),ISNUMBER(Detalle_24m!CL$17)),Detalle_24m!CL$17,INDEX(Vol_V,4,CL$170)/12)*(1+V_dVol),0))</f>
        <v>0</v>
      </c>
      <c r="CM180" s="48">
        <f>IF(CM$8=1,N(Reales!CM15),IF(CM$171=1,IF(AND(AND(86&gt;Corte,86&lt;=Corte+n_Ventana),ISNUMBER(Detalle_24m!CM$17)),Detalle_24m!CM$17,INDEX(Vol_V,4,CM$170)/12)*(1+V_dVol),0))</f>
        <v>0</v>
      </c>
      <c r="CN180" s="48">
        <f>IF(CN$8=1,N(Reales!CN15),IF(CN$171=1,IF(AND(AND(87&gt;Corte,87&lt;=Corte+n_Ventana),ISNUMBER(Detalle_24m!CN$17)),Detalle_24m!CN$17,INDEX(Vol_V,4,CN$170)/12)*(1+V_dVol),0))</f>
        <v>0</v>
      </c>
      <c r="CO180" s="48">
        <f>IF(CO$8=1,N(Reales!CO15),IF(CO$171=1,IF(AND(AND(88&gt;Corte,88&lt;=Corte+n_Ventana),ISNUMBER(Detalle_24m!CO$17)),Detalle_24m!CO$17,INDEX(Vol_V,4,CO$170)/12)*(1+V_dVol),0))</f>
        <v>0</v>
      </c>
      <c r="CP180" s="48">
        <f>IF(CP$8=1,N(Reales!CP15),IF(CP$171=1,IF(AND(AND(89&gt;Corte,89&lt;=Corte+n_Ventana),ISNUMBER(Detalle_24m!CP$17)),Detalle_24m!CP$17,INDEX(Vol_V,4,CP$170)/12)*(1+V_dVol),0))</f>
        <v>0</v>
      </c>
      <c r="CQ180" s="48">
        <f>IF(CQ$8=1,N(Reales!CQ15),IF(CQ$171=1,IF(AND(AND(90&gt;Corte,90&lt;=Corte+n_Ventana),ISNUMBER(Detalle_24m!CQ$17)),Detalle_24m!CQ$17,INDEX(Vol_V,4,CQ$170)/12)*(1+V_dVol),0))</f>
        <v>0</v>
      </c>
      <c r="CR180" s="48">
        <f>IF(CR$8=1,N(Reales!CR15),IF(CR$171=1,IF(AND(AND(91&gt;Corte,91&lt;=Corte+n_Ventana),ISNUMBER(Detalle_24m!CR$17)),Detalle_24m!CR$17,INDEX(Vol_V,4,CR$170)/12)*(1+V_dVol),0))</f>
        <v>0</v>
      </c>
      <c r="CS180" s="48">
        <f>IF(CS$8=1,N(Reales!CS15),IF(CS$171=1,IF(AND(AND(92&gt;Corte,92&lt;=Corte+n_Ventana),ISNUMBER(Detalle_24m!CS$17)),Detalle_24m!CS$17,INDEX(Vol_V,4,CS$170)/12)*(1+V_dVol),0))</f>
        <v>0</v>
      </c>
      <c r="CT180" s="48">
        <f>IF(CT$8=1,N(Reales!CT15),IF(CT$171=1,IF(AND(AND(93&gt;Corte,93&lt;=Corte+n_Ventana),ISNUMBER(Detalle_24m!CT$17)),Detalle_24m!CT$17,INDEX(Vol_V,4,CT$170)/12)*(1+V_dVol),0))</f>
        <v>0</v>
      </c>
      <c r="CU180" s="48">
        <f>IF(CU$8=1,N(Reales!CU15),IF(CU$171=1,IF(AND(AND(94&gt;Corte,94&lt;=Corte+n_Ventana),ISNUMBER(Detalle_24m!CU$17)),Detalle_24m!CU$17,INDEX(Vol_V,4,CU$170)/12)*(1+V_dVol),0))</f>
        <v>0</v>
      </c>
      <c r="CV180" s="48">
        <f>IF(CV$8=1,N(Reales!CV15),IF(CV$171=1,IF(AND(AND(95&gt;Corte,95&lt;=Corte+n_Ventana),ISNUMBER(Detalle_24m!CV$17)),Detalle_24m!CV$17,INDEX(Vol_V,4,CV$170)/12)*(1+V_dVol),0))</f>
        <v>0</v>
      </c>
      <c r="CW180" s="48">
        <f>IF(CW$8=1,N(Reales!CW15),IF(CW$171=1,IF(AND(AND(96&gt;Corte,96&lt;=Corte+n_Ventana),ISNUMBER(Detalle_24m!CW$17)),Detalle_24m!CW$17,INDEX(Vol_V,4,CW$170)/12)*(1+V_dVol),0))</f>
        <v>0</v>
      </c>
      <c r="CX180" s="48">
        <f>IF(CX$8=1,N(Reales!CX15),IF(CX$171=1,IF(AND(AND(97&gt;Corte,97&lt;=Corte+n_Ventana),ISNUMBER(Detalle_24m!CX$17)),Detalle_24m!CX$17,INDEX(Vol_V,4,CX$170)/12)*(1+V_dVol),0))</f>
        <v>0</v>
      </c>
      <c r="CY180" s="48">
        <f>IF(CY$8=1,N(Reales!CY15),IF(CY$171=1,IF(AND(AND(98&gt;Corte,98&lt;=Corte+n_Ventana),ISNUMBER(Detalle_24m!CY$17)),Detalle_24m!CY$17,INDEX(Vol_V,4,CY$170)/12)*(1+V_dVol),0))</f>
        <v>0</v>
      </c>
      <c r="CZ180" s="48">
        <f>IF(CZ$8=1,N(Reales!CZ15),IF(CZ$171=1,IF(AND(AND(99&gt;Corte,99&lt;=Corte+n_Ventana),ISNUMBER(Detalle_24m!CZ$17)),Detalle_24m!CZ$17,INDEX(Vol_V,4,CZ$170)/12)*(1+V_dVol),0))</f>
        <v>0</v>
      </c>
      <c r="DA180" s="48">
        <f>IF(DA$8=1,N(Reales!DA15),IF(DA$171=1,IF(AND(AND(100&gt;Corte,100&lt;=Corte+n_Ventana),ISNUMBER(Detalle_24m!DA$17)),Detalle_24m!DA$17,INDEX(Vol_V,4,DA$170)/12)*(1+V_dVol),0))</f>
        <v>0</v>
      </c>
      <c r="DB180" s="48">
        <f>IF(DB$8=1,N(Reales!DB15),IF(DB$171=1,IF(AND(AND(101&gt;Corte,101&lt;=Corte+n_Ventana),ISNUMBER(Detalle_24m!DB$17)),Detalle_24m!DB$17,INDEX(Vol_V,4,DB$170)/12)*(1+V_dVol),0))</f>
        <v>0</v>
      </c>
      <c r="DC180" s="48">
        <f>IF(DC$8=1,N(Reales!DC15),IF(DC$171=1,IF(AND(AND(102&gt;Corte,102&lt;=Corte+n_Ventana),ISNUMBER(Detalle_24m!DC$17)),Detalle_24m!DC$17,INDEX(Vol_V,4,DC$170)/12)*(1+V_dVol),0))</f>
        <v>0</v>
      </c>
      <c r="DD180" s="48">
        <f>IF(DD$8=1,N(Reales!DD15),IF(DD$171=1,IF(AND(AND(103&gt;Corte,103&lt;=Corte+n_Ventana),ISNUMBER(Detalle_24m!DD$17)),Detalle_24m!DD$17,INDEX(Vol_V,4,DD$170)/12)*(1+V_dVol),0))</f>
        <v>0</v>
      </c>
      <c r="DE180" s="48">
        <f>IF(DE$8=1,N(Reales!DE15),IF(DE$171=1,IF(AND(AND(104&gt;Corte,104&lt;=Corte+n_Ventana),ISNUMBER(Detalle_24m!DE$17)),Detalle_24m!DE$17,INDEX(Vol_V,4,DE$170)/12)*(1+V_dVol),0))</f>
        <v>0</v>
      </c>
      <c r="DF180" s="48">
        <f>IF(DF$8=1,N(Reales!DF15),IF(DF$171=1,IF(AND(AND(105&gt;Corte,105&lt;=Corte+n_Ventana),ISNUMBER(Detalle_24m!DF$17)),Detalle_24m!DF$17,INDEX(Vol_V,4,DF$170)/12)*(1+V_dVol),0))</f>
        <v>0</v>
      </c>
      <c r="DG180" s="48">
        <f>IF(DG$8=1,N(Reales!DG15),IF(DG$171=1,IF(AND(AND(106&gt;Corte,106&lt;=Corte+n_Ventana),ISNUMBER(Detalle_24m!DG$17)),Detalle_24m!DG$17,INDEX(Vol_V,4,DG$170)/12)*(1+V_dVol),0))</f>
        <v>0</v>
      </c>
      <c r="DH180" s="48">
        <f>IF(DH$8=1,N(Reales!DH15),IF(DH$171=1,IF(AND(AND(107&gt;Corte,107&lt;=Corte+n_Ventana),ISNUMBER(Detalle_24m!DH$17)),Detalle_24m!DH$17,INDEX(Vol_V,4,DH$170)/12)*(1+V_dVol),0))</f>
        <v>0</v>
      </c>
      <c r="DI180" s="48">
        <f>IF(DI$8=1,N(Reales!DI15),IF(DI$171=1,IF(AND(AND(108&gt;Corte,108&lt;=Corte+n_Ventana),ISNUMBER(Detalle_24m!DI$17)),Detalle_24m!DI$17,INDEX(Vol_V,4,DI$170)/12)*(1+V_dVol),0))</f>
        <v>0</v>
      </c>
      <c r="DJ180" s="48">
        <f>IF(DJ$8=1,N(Reales!DJ15),IF(DJ$171=1,IF(AND(AND(109&gt;Corte,109&lt;=Corte+n_Ventana),ISNUMBER(Detalle_24m!DJ$17)),Detalle_24m!DJ$17,INDEX(Vol_V,4,DJ$170)/12)*(1+V_dVol),0))</f>
        <v>0</v>
      </c>
      <c r="DK180" s="48">
        <f>IF(DK$8=1,N(Reales!DK15),IF(DK$171=1,IF(AND(AND(110&gt;Corte,110&lt;=Corte+n_Ventana),ISNUMBER(Detalle_24m!DK$17)),Detalle_24m!DK$17,INDEX(Vol_V,4,DK$170)/12)*(1+V_dVol),0))</f>
        <v>0</v>
      </c>
      <c r="DL180" s="48">
        <f>IF(DL$8=1,N(Reales!DL15),IF(DL$171=1,IF(AND(AND(111&gt;Corte,111&lt;=Corte+n_Ventana),ISNUMBER(Detalle_24m!DL$17)),Detalle_24m!DL$17,INDEX(Vol_V,4,DL$170)/12)*(1+V_dVol),0))</f>
        <v>0</v>
      </c>
      <c r="DM180" s="48">
        <f>IF(DM$8=1,N(Reales!DM15),IF(DM$171=1,IF(AND(AND(112&gt;Corte,112&lt;=Corte+n_Ventana),ISNUMBER(Detalle_24m!DM$17)),Detalle_24m!DM$17,INDEX(Vol_V,4,DM$170)/12)*(1+V_dVol),0))</f>
        <v>0</v>
      </c>
      <c r="DN180" s="48">
        <f>IF(DN$8=1,N(Reales!DN15),IF(DN$171=1,IF(AND(AND(113&gt;Corte,113&lt;=Corte+n_Ventana),ISNUMBER(Detalle_24m!DN$17)),Detalle_24m!DN$17,INDEX(Vol_V,4,DN$170)/12)*(1+V_dVol),0))</f>
        <v>0</v>
      </c>
      <c r="DO180" s="48">
        <f>IF(DO$8=1,N(Reales!DO15),IF(DO$171=1,IF(AND(AND(114&gt;Corte,114&lt;=Corte+n_Ventana),ISNUMBER(Detalle_24m!DO$17)),Detalle_24m!DO$17,INDEX(Vol_V,4,DO$170)/12)*(1+V_dVol),0))</f>
        <v>0</v>
      </c>
      <c r="DP180" s="48">
        <f>IF(DP$8=1,N(Reales!DP15),IF(DP$171=1,IF(AND(AND(115&gt;Corte,115&lt;=Corte+n_Ventana),ISNUMBER(Detalle_24m!DP$17)),Detalle_24m!DP$17,INDEX(Vol_V,4,DP$170)/12)*(1+V_dVol),0))</f>
        <v>0</v>
      </c>
      <c r="DQ180" s="48">
        <f>IF(DQ$8=1,N(Reales!DQ15),IF(DQ$171=1,IF(AND(AND(116&gt;Corte,116&lt;=Corte+n_Ventana),ISNUMBER(Detalle_24m!DQ$17)),Detalle_24m!DQ$17,INDEX(Vol_V,4,DQ$170)/12)*(1+V_dVol),0))</f>
        <v>0</v>
      </c>
      <c r="DR180" s="48">
        <f>IF(DR$8=1,N(Reales!DR15),IF(DR$171=1,IF(AND(AND(117&gt;Corte,117&lt;=Corte+n_Ventana),ISNUMBER(Detalle_24m!DR$17)),Detalle_24m!DR$17,INDEX(Vol_V,4,DR$170)/12)*(1+V_dVol),0))</f>
        <v>0</v>
      </c>
      <c r="DS180" s="48">
        <f>IF(DS$8=1,N(Reales!DS15),IF(DS$171=1,IF(AND(AND(118&gt;Corte,118&lt;=Corte+n_Ventana),ISNUMBER(Detalle_24m!DS$17)),Detalle_24m!DS$17,INDEX(Vol_V,4,DS$170)/12)*(1+V_dVol),0))</f>
        <v>0</v>
      </c>
      <c r="DT180" s="48">
        <f>IF(DT$8=1,N(Reales!DT15),IF(DT$171=1,IF(AND(AND(119&gt;Corte,119&lt;=Corte+n_Ventana),ISNUMBER(Detalle_24m!DT$17)),Detalle_24m!DT$17,INDEX(Vol_V,4,DT$170)/12)*(1+V_dVol),0))</f>
        <v>0</v>
      </c>
      <c r="DU180" s="48">
        <f>IF(DU$8=1,N(Reales!DU15),IF(DU$171=1,IF(AND(AND(120&gt;Corte,120&lt;=Corte+n_Ventana),ISNUMBER(Detalle_24m!DU$17)),Detalle_24m!DU$17,INDEX(Vol_V,4,DU$170)/12)*(1+V_dVol),0))</f>
        <v>0</v>
      </c>
      <c r="DV180" s="48">
        <f>IF(DV$8=1,N(Reales!DV15),IF(DV$171=1,IF(AND(AND(121&gt;Corte,121&lt;=Corte+n_Ventana),ISNUMBER(Detalle_24m!DV$17)),Detalle_24m!DV$17,INDEX(Vol_V,4,DV$170)/12)*(1+V_dVol),0))</f>
        <v>0</v>
      </c>
      <c r="DW180" s="48">
        <f>IF(DW$8=1,N(Reales!DW15),IF(DW$171=1,IF(AND(AND(122&gt;Corte,122&lt;=Corte+n_Ventana),ISNUMBER(Detalle_24m!DW$17)),Detalle_24m!DW$17,INDEX(Vol_V,4,DW$170)/12)*(1+V_dVol),0))</f>
        <v>0</v>
      </c>
      <c r="DX180" s="48">
        <f>IF(DX$8=1,N(Reales!DX15),IF(DX$171=1,IF(AND(AND(123&gt;Corte,123&lt;=Corte+n_Ventana),ISNUMBER(Detalle_24m!DX$17)),Detalle_24m!DX$17,INDEX(Vol_V,4,DX$170)/12)*(1+V_dVol),0))</f>
        <v>0</v>
      </c>
      <c r="DY180" s="48">
        <f>IF(DY$8=1,N(Reales!DY15),IF(DY$171=1,IF(AND(AND(124&gt;Corte,124&lt;=Corte+n_Ventana),ISNUMBER(Detalle_24m!DY$17)),Detalle_24m!DY$17,INDEX(Vol_V,4,DY$170)/12)*(1+V_dVol),0))</f>
        <v>0</v>
      </c>
      <c r="DZ180" s="48">
        <f>IF(DZ$8=1,N(Reales!DZ15),IF(DZ$171=1,IF(AND(AND(125&gt;Corte,125&lt;=Corte+n_Ventana),ISNUMBER(Detalle_24m!DZ$17)),Detalle_24m!DZ$17,INDEX(Vol_V,4,DZ$170)/12)*(1+V_dVol),0))</f>
        <v>0</v>
      </c>
      <c r="EA180" s="48">
        <f>IF(EA$8=1,N(Reales!EA15),IF(EA$171=1,IF(AND(AND(126&gt;Corte,126&lt;=Corte+n_Ventana),ISNUMBER(Detalle_24m!EA$17)),Detalle_24m!EA$17,INDEX(Vol_V,4,EA$170)/12)*(1+V_dVol),0))</f>
        <v>0</v>
      </c>
      <c r="EB180" s="48">
        <f>IF(EB$8=1,N(Reales!EB15),IF(EB$171=1,IF(AND(AND(127&gt;Corte,127&lt;=Corte+n_Ventana),ISNUMBER(Detalle_24m!EB$17)),Detalle_24m!EB$17,INDEX(Vol_V,4,EB$170)/12)*(1+V_dVol),0))</f>
        <v>0</v>
      </c>
      <c r="EC180" s="48">
        <f>IF(EC$8=1,N(Reales!EC15),IF(EC$171=1,IF(AND(AND(128&gt;Corte,128&lt;=Corte+n_Ventana),ISNUMBER(Detalle_24m!EC$17)),Detalle_24m!EC$17,INDEX(Vol_V,4,EC$170)/12)*(1+V_dVol),0))</f>
        <v>0</v>
      </c>
      <c r="ED180" s="48">
        <f>IF(ED$8=1,N(Reales!ED15),IF(ED$171=1,IF(AND(AND(129&gt;Corte,129&lt;=Corte+n_Ventana),ISNUMBER(Detalle_24m!ED$17)),Detalle_24m!ED$17,INDEX(Vol_V,4,ED$170)/12)*(1+V_dVol),0))</f>
        <v>0</v>
      </c>
      <c r="EE180" s="48">
        <f>IF(EE$8=1,N(Reales!EE15),IF(EE$171=1,IF(AND(AND(130&gt;Corte,130&lt;=Corte+n_Ventana),ISNUMBER(Detalle_24m!EE$17)),Detalle_24m!EE$17,INDEX(Vol_V,4,EE$170)/12)*(1+V_dVol),0))</f>
        <v>0</v>
      </c>
      <c r="EF180" s="48">
        <f>IF(EF$8=1,N(Reales!EF15),IF(EF$171=1,IF(AND(AND(131&gt;Corte,131&lt;=Corte+n_Ventana),ISNUMBER(Detalle_24m!EF$17)),Detalle_24m!EF$17,INDEX(Vol_V,4,EF$170)/12)*(1+V_dVol),0))</f>
        <v>0</v>
      </c>
      <c r="EG180" s="48">
        <f>IF(EG$8=1,N(Reales!EG15),IF(EG$171=1,IF(AND(AND(132&gt;Corte,132&lt;=Corte+n_Ventana),ISNUMBER(Detalle_24m!EG$17)),Detalle_24m!EG$17,INDEX(Vol_V,4,EG$170)/12)*(1+V_dVol),0))</f>
        <v>0</v>
      </c>
      <c r="EH180" s="48">
        <f>IF(EH$8=1,N(Reales!EH15),IF(EH$171=1,IF(AND(AND(133&gt;Corte,133&lt;=Corte+n_Ventana),ISNUMBER(Detalle_24m!EH$17)),Detalle_24m!EH$17,INDEX(Vol_V,4,EH$170)/12)*(1+V_dVol),0))</f>
        <v>0</v>
      </c>
      <c r="EI180" s="48">
        <f>IF(EI$8=1,N(Reales!EI15),IF(EI$171=1,IF(AND(AND(134&gt;Corte,134&lt;=Corte+n_Ventana),ISNUMBER(Detalle_24m!EI$17)),Detalle_24m!EI$17,INDEX(Vol_V,4,EI$170)/12)*(1+V_dVol),0))</f>
        <v>0</v>
      </c>
      <c r="EJ180" s="48">
        <f>IF(EJ$8=1,N(Reales!EJ15),IF(EJ$171=1,IF(AND(AND(135&gt;Corte,135&lt;=Corte+n_Ventana),ISNUMBER(Detalle_24m!EJ$17)),Detalle_24m!EJ$17,INDEX(Vol_V,4,EJ$170)/12)*(1+V_dVol),0))</f>
        <v>0</v>
      </c>
      <c r="EK180" s="48">
        <f>IF(EK$8=1,N(Reales!EK15),IF(EK$171=1,IF(AND(AND(136&gt;Corte,136&lt;=Corte+n_Ventana),ISNUMBER(Detalle_24m!EK$17)),Detalle_24m!EK$17,INDEX(Vol_V,4,EK$170)/12)*(1+V_dVol),0))</f>
        <v>0</v>
      </c>
      <c r="EL180" s="48">
        <f>IF(EL$8=1,N(Reales!EL15),IF(EL$171=1,IF(AND(AND(137&gt;Corte,137&lt;=Corte+n_Ventana),ISNUMBER(Detalle_24m!EL$17)),Detalle_24m!EL$17,INDEX(Vol_V,4,EL$170)/12)*(1+V_dVol),0))</f>
        <v>0</v>
      </c>
      <c r="EM180" s="48">
        <f>IF(EM$8=1,N(Reales!EM15),IF(EM$171=1,IF(AND(AND(138&gt;Corte,138&lt;=Corte+n_Ventana),ISNUMBER(Detalle_24m!EM$17)),Detalle_24m!EM$17,INDEX(Vol_V,4,EM$170)/12)*(1+V_dVol),0))</f>
        <v>0</v>
      </c>
      <c r="EN180" s="48">
        <f>IF(EN$8=1,N(Reales!EN15),IF(EN$171=1,IF(AND(AND(139&gt;Corte,139&lt;=Corte+n_Ventana),ISNUMBER(Detalle_24m!EN$17)),Detalle_24m!EN$17,INDEX(Vol_V,4,EN$170)/12)*(1+V_dVol),0))</f>
        <v>0</v>
      </c>
      <c r="EO180" s="48">
        <f>IF(EO$8=1,N(Reales!EO15),IF(EO$171=1,IF(AND(AND(140&gt;Corte,140&lt;=Corte+n_Ventana),ISNUMBER(Detalle_24m!EO$17)),Detalle_24m!EO$17,INDEX(Vol_V,4,EO$170)/12)*(1+V_dVol),0))</f>
        <v>0</v>
      </c>
      <c r="EP180" s="48">
        <f>IF(EP$8=1,N(Reales!EP15),IF(EP$171=1,IF(AND(AND(141&gt;Corte,141&lt;=Corte+n_Ventana),ISNUMBER(Detalle_24m!EP$17)),Detalle_24m!EP$17,INDEX(Vol_V,4,EP$170)/12)*(1+V_dVol),0))</f>
        <v>0</v>
      </c>
      <c r="EQ180" s="48">
        <f>IF(EQ$8=1,N(Reales!EQ15),IF(EQ$171=1,IF(AND(AND(142&gt;Corte,142&lt;=Corte+n_Ventana),ISNUMBER(Detalle_24m!EQ$17)),Detalle_24m!EQ$17,INDEX(Vol_V,4,EQ$170)/12)*(1+V_dVol),0))</f>
        <v>0</v>
      </c>
      <c r="ER180" s="48">
        <f>IF(ER$8=1,N(Reales!ER15),IF(ER$171=1,IF(AND(AND(143&gt;Corte,143&lt;=Corte+n_Ventana),ISNUMBER(Detalle_24m!ER$17)),Detalle_24m!ER$17,INDEX(Vol_V,4,ER$170)/12)*(1+V_dVol),0))</f>
        <v>0</v>
      </c>
      <c r="ES180" s="48">
        <f>IF(ES$8=1,N(Reales!ES15),IF(ES$171=1,IF(AND(AND(144&gt;Corte,144&lt;=Corte+n_Ventana),ISNUMBER(Detalle_24m!ES$17)),Detalle_24m!ES$17,INDEX(Vol_V,4,ES$170)/12)*(1+V_dVol),0))</f>
        <v>0</v>
      </c>
    </row>
    <row r="181" spans="1:149" x14ac:dyDescent="0.3">
      <c r="A181" s="14" t="s">
        <v>1236</v>
      </c>
      <c r="B181" s="53" t="str">
        <f>IF(INDEX(Prod_Nombre,5)="","Producto 5",INDEX(Prod_Nombre,5))&amp;" — unidades"</f>
        <v>Producto 5 — unidades</v>
      </c>
      <c r="C181" s="18" t="s">
        <v>475</v>
      </c>
      <c r="E181" s="54">
        <f t="shared" si="604"/>
        <v>0</v>
      </c>
      <c r="F181" s="48">
        <f>IF(F$8=1,N(Reales!F16),IF(F$171=1,IF(AND(AND(1&gt;Corte,1&lt;=Corte+n_Ventana),ISNUMBER(Detalle_24m!F$18)),Detalle_24m!F$18,INDEX(Vol_V,5,F$170)/12)*(1+V_dVol),0))</f>
        <v>0</v>
      </c>
      <c r="G181" s="48">
        <f>IF(G$8=1,N(Reales!G16),IF(G$171=1,IF(AND(AND(2&gt;Corte,2&lt;=Corte+n_Ventana),ISNUMBER(Detalle_24m!G$18)),Detalle_24m!G$18,INDEX(Vol_V,5,G$170)/12)*(1+V_dVol),0))</f>
        <v>0</v>
      </c>
      <c r="H181" s="48">
        <f>IF(H$8=1,N(Reales!H16),IF(H$171=1,IF(AND(AND(3&gt;Corte,3&lt;=Corte+n_Ventana),ISNUMBER(Detalle_24m!H$18)),Detalle_24m!H$18,INDEX(Vol_V,5,H$170)/12)*(1+V_dVol),0))</f>
        <v>0</v>
      </c>
      <c r="I181" s="48">
        <f>IF(I$8=1,N(Reales!I16),IF(I$171=1,IF(AND(AND(4&gt;Corte,4&lt;=Corte+n_Ventana),ISNUMBER(Detalle_24m!I$18)),Detalle_24m!I$18,INDEX(Vol_V,5,I$170)/12)*(1+V_dVol),0))</f>
        <v>0</v>
      </c>
      <c r="J181" s="48">
        <f>IF(J$8=1,N(Reales!J16),IF(J$171=1,IF(AND(AND(5&gt;Corte,5&lt;=Corte+n_Ventana),ISNUMBER(Detalle_24m!J$18)),Detalle_24m!J$18,INDEX(Vol_V,5,J$170)/12)*(1+V_dVol),0))</f>
        <v>0</v>
      </c>
      <c r="K181" s="48">
        <f>IF(K$8=1,N(Reales!K16),IF(K$171=1,IF(AND(AND(6&gt;Corte,6&lt;=Corte+n_Ventana),ISNUMBER(Detalle_24m!K$18)),Detalle_24m!K$18,INDEX(Vol_V,5,K$170)/12)*(1+V_dVol),0))</f>
        <v>0</v>
      </c>
      <c r="L181" s="48">
        <f>IF(L$8=1,N(Reales!L16),IF(L$171=1,IF(AND(AND(7&gt;Corte,7&lt;=Corte+n_Ventana),ISNUMBER(Detalle_24m!L$18)),Detalle_24m!L$18,INDEX(Vol_V,5,L$170)/12)*(1+V_dVol),0))</f>
        <v>0</v>
      </c>
      <c r="M181" s="48">
        <f>IF(M$8=1,N(Reales!M16),IF(M$171=1,IF(AND(AND(8&gt;Corte,8&lt;=Corte+n_Ventana),ISNUMBER(Detalle_24m!M$18)),Detalle_24m!M$18,INDEX(Vol_V,5,M$170)/12)*(1+V_dVol),0))</f>
        <v>0</v>
      </c>
      <c r="N181" s="48">
        <f>IF(N$8=1,N(Reales!N16),IF(N$171=1,IF(AND(AND(9&gt;Corte,9&lt;=Corte+n_Ventana),ISNUMBER(Detalle_24m!N$18)),Detalle_24m!N$18,INDEX(Vol_V,5,N$170)/12)*(1+V_dVol),0))</f>
        <v>0</v>
      </c>
      <c r="O181" s="48">
        <f>IF(O$8=1,N(Reales!O16),IF(O$171=1,IF(AND(AND(10&gt;Corte,10&lt;=Corte+n_Ventana),ISNUMBER(Detalle_24m!O$18)),Detalle_24m!O$18,INDEX(Vol_V,5,O$170)/12)*(1+V_dVol),0))</f>
        <v>0</v>
      </c>
      <c r="P181" s="48">
        <f>IF(P$8=1,N(Reales!P16),IF(P$171=1,IF(AND(AND(11&gt;Corte,11&lt;=Corte+n_Ventana),ISNUMBER(Detalle_24m!P$18)),Detalle_24m!P$18,INDEX(Vol_V,5,P$170)/12)*(1+V_dVol),0))</f>
        <v>0</v>
      </c>
      <c r="Q181" s="48">
        <f>IF(Q$8=1,N(Reales!Q16),IF(Q$171=1,IF(AND(AND(12&gt;Corte,12&lt;=Corte+n_Ventana),ISNUMBER(Detalle_24m!Q$18)),Detalle_24m!Q$18,INDEX(Vol_V,5,Q$170)/12)*(1+V_dVol),0))</f>
        <v>0</v>
      </c>
      <c r="R181" s="48">
        <f>IF(R$8=1,N(Reales!R16),IF(R$171=1,IF(AND(AND(13&gt;Corte,13&lt;=Corte+n_Ventana),ISNUMBER(Detalle_24m!R$18)),Detalle_24m!R$18,INDEX(Vol_V,5,R$170)/12)*(1+V_dVol),0))</f>
        <v>0</v>
      </c>
      <c r="S181" s="48">
        <f>IF(S$8=1,N(Reales!S16),IF(S$171=1,IF(AND(AND(14&gt;Corte,14&lt;=Corte+n_Ventana),ISNUMBER(Detalle_24m!S$18)),Detalle_24m!S$18,INDEX(Vol_V,5,S$170)/12)*(1+V_dVol),0))</f>
        <v>0</v>
      </c>
      <c r="T181" s="48">
        <f>IF(T$8=1,N(Reales!T16),IF(T$171=1,IF(AND(AND(15&gt;Corte,15&lt;=Corte+n_Ventana),ISNUMBER(Detalle_24m!T$18)),Detalle_24m!T$18,INDEX(Vol_V,5,T$170)/12)*(1+V_dVol),0))</f>
        <v>0</v>
      </c>
      <c r="U181" s="48">
        <f>IF(U$8=1,N(Reales!U16),IF(U$171=1,IF(AND(AND(16&gt;Corte,16&lt;=Corte+n_Ventana),ISNUMBER(Detalle_24m!U$18)),Detalle_24m!U$18,INDEX(Vol_V,5,U$170)/12)*(1+V_dVol),0))</f>
        <v>0</v>
      </c>
      <c r="V181" s="48">
        <f>IF(V$8=1,N(Reales!V16),IF(V$171=1,IF(AND(AND(17&gt;Corte,17&lt;=Corte+n_Ventana),ISNUMBER(Detalle_24m!V$18)),Detalle_24m!V$18,INDEX(Vol_V,5,V$170)/12)*(1+V_dVol),0))</f>
        <v>0</v>
      </c>
      <c r="W181" s="48">
        <f>IF(W$8=1,N(Reales!W16),IF(W$171=1,IF(AND(AND(18&gt;Corte,18&lt;=Corte+n_Ventana),ISNUMBER(Detalle_24m!W$18)),Detalle_24m!W$18,INDEX(Vol_V,5,W$170)/12)*(1+V_dVol),0))</f>
        <v>0</v>
      </c>
      <c r="X181" s="48">
        <f>IF(X$8=1,N(Reales!X16),IF(X$171=1,IF(AND(AND(19&gt;Corte,19&lt;=Corte+n_Ventana),ISNUMBER(Detalle_24m!X$18)),Detalle_24m!X$18,INDEX(Vol_V,5,X$170)/12)*(1+V_dVol),0))</f>
        <v>0</v>
      </c>
      <c r="Y181" s="48">
        <f>IF(Y$8=1,N(Reales!Y16),IF(Y$171=1,IF(AND(AND(20&gt;Corte,20&lt;=Corte+n_Ventana),ISNUMBER(Detalle_24m!Y$18)),Detalle_24m!Y$18,INDEX(Vol_V,5,Y$170)/12)*(1+V_dVol),0))</f>
        <v>0</v>
      </c>
      <c r="Z181" s="48">
        <f>IF(Z$8=1,N(Reales!Z16),IF(Z$171=1,IF(AND(AND(21&gt;Corte,21&lt;=Corte+n_Ventana),ISNUMBER(Detalle_24m!Z$18)),Detalle_24m!Z$18,INDEX(Vol_V,5,Z$170)/12)*(1+V_dVol),0))</f>
        <v>0</v>
      </c>
      <c r="AA181" s="48">
        <f>IF(AA$8=1,N(Reales!AA16),IF(AA$171=1,IF(AND(AND(22&gt;Corte,22&lt;=Corte+n_Ventana),ISNUMBER(Detalle_24m!AA$18)),Detalle_24m!AA$18,INDEX(Vol_V,5,AA$170)/12)*(1+V_dVol),0))</f>
        <v>0</v>
      </c>
      <c r="AB181" s="48">
        <f>IF(AB$8=1,N(Reales!AB16),IF(AB$171=1,IF(AND(AND(23&gt;Corte,23&lt;=Corte+n_Ventana),ISNUMBER(Detalle_24m!AB$18)),Detalle_24m!AB$18,INDEX(Vol_V,5,AB$170)/12)*(1+V_dVol),0))</f>
        <v>0</v>
      </c>
      <c r="AC181" s="48">
        <f>IF(AC$8=1,N(Reales!AC16),IF(AC$171=1,IF(AND(AND(24&gt;Corte,24&lt;=Corte+n_Ventana),ISNUMBER(Detalle_24m!AC$18)),Detalle_24m!AC$18,INDEX(Vol_V,5,AC$170)/12)*(1+V_dVol),0))</f>
        <v>0</v>
      </c>
      <c r="AD181" s="48">
        <f>IF(AD$8=1,N(Reales!AD16),IF(AD$171=1,IF(AND(AND(25&gt;Corte,25&lt;=Corte+n_Ventana),ISNUMBER(Detalle_24m!AD$18)),Detalle_24m!AD$18,INDEX(Vol_V,5,AD$170)/12)*(1+V_dVol),0))</f>
        <v>0</v>
      </c>
      <c r="AE181" s="48">
        <f>IF(AE$8=1,N(Reales!AE16),IF(AE$171=1,IF(AND(AND(26&gt;Corte,26&lt;=Corte+n_Ventana),ISNUMBER(Detalle_24m!AE$18)),Detalle_24m!AE$18,INDEX(Vol_V,5,AE$170)/12)*(1+V_dVol),0))</f>
        <v>0</v>
      </c>
      <c r="AF181" s="48">
        <f>IF(AF$8=1,N(Reales!AF16),IF(AF$171=1,IF(AND(AND(27&gt;Corte,27&lt;=Corte+n_Ventana),ISNUMBER(Detalle_24m!AF$18)),Detalle_24m!AF$18,INDEX(Vol_V,5,AF$170)/12)*(1+V_dVol),0))</f>
        <v>0</v>
      </c>
      <c r="AG181" s="48">
        <f>IF(AG$8=1,N(Reales!AG16),IF(AG$171=1,IF(AND(AND(28&gt;Corte,28&lt;=Corte+n_Ventana),ISNUMBER(Detalle_24m!AG$18)),Detalle_24m!AG$18,INDEX(Vol_V,5,AG$170)/12)*(1+V_dVol),0))</f>
        <v>0</v>
      </c>
      <c r="AH181" s="48">
        <f>IF(AH$8=1,N(Reales!AH16),IF(AH$171=1,IF(AND(AND(29&gt;Corte,29&lt;=Corte+n_Ventana),ISNUMBER(Detalle_24m!AH$18)),Detalle_24m!AH$18,INDEX(Vol_V,5,AH$170)/12)*(1+V_dVol),0))</f>
        <v>0</v>
      </c>
      <c r="AI181" s="48">
        <f>IF(AI$8=1,N(Reales!AI16),IF(AI$171=1,IF(AND(AND(30&gt;Corte,30&lt;=Corte+n_Ventana),ISNUMBER(Detalle_24m!AI$18)),Detalle_24m!AI$18,INDEX(Vol_V,5,AI$170)/12)*(1+V_dVol),0))</f>
        <v>0</v>
      </c>
      <c r="AJ181" s="48">
        <f>IF(AJ$8=1,N(Reales!AJ16),IF(AJ$171=1,IF(AND(AND(31&gt;Corte,31&lt;=Corte+n_Ventana),ISNUMBER(Detalle_24m!AJ$18)),Detalle_24m!AJ$18,INDEX(Vol_V,5,AJ$170)/12)*(1+V_dVol),0))</f>
        <v>0</v>
      </c>
      <c r="AK181" s="48">
        <f>IF(AK$8=1,N(Reales!AK16),IF(AK$171=1,IF(AND(AND(32&gt;Corte,32&lt;=Corte+n_Ventana),ISNUMBER(Detalle_24m!AK$18)),Detalle_24m!AK$18,INDEX(Vol_V,5,AK$170)/12)*(1+V_dVol),0))</f>
        <v>0</v>
      </c>
      <c r="AL181" s="48">
        <f>IF(AL$8=1,N(Reales!AL16),IF(AL$171=1,IF(AND(AND(33&gt;Corte,33&lt;=Corte+n_Ventana),ISNUMBER(Detalle_24m!AL$18)),Detalle_24m!AL$18,INDEX(Vol_V,5,AL$170)/12)*(1+V_dVol),0))</f>
        <v>0</v>
      </c>
      <c r="AM181" s="48">
        <f>IF(AM$8=1,N(Reales!AM16),IF(AM$171=1,IF(AND(AND(34&gt;Corte,34&lt;=Corte+n_Ventana),ISNUMBER(Detalle_24m!AM$18)),Detalle_24m!AM$18,INDEX(Vol_V,5,AM$170)/12)*(1+V_dVol),0))</f>
        <v>0</v>
      </c>
      <c r="AN181" s="48">
        <f>IF(AN$8=1,N(Reales!AN16),IF(AN$171=1,IF(AND(AND(35&gt;Corte,35&lt;=Corte+n_Ventana),ISNUMBER(Detalle_24m!AN$18)),Detalle_24m!AN$18,INDEX(Vol_V,5,AN$170)/12)*(1+V_dVol),0))</f>
        <v>0</v>
      </c>
      <c r="AO181" s="48">
        <f>IF(AO$8=1,N(Reales!AO16),IF(AO$171=1,IF(AND(AND(36&gt;Corte,36&lt;=Corte+n_Ventana),ISNUMBER(Detalle_24m!AO$18)),Detalle_24m!AO$18,INDEX(Vol_V,5,AO$170)/12)*(1+V_dVol),0))</f>
        <v>0</v>
      </c>
      <c r="AP181" s="48">
        <f>IF(AP$8=1,N(Reales!AP16),IF(AP$171=1,IF(AND(AND(37&gt;Corte,37&lt;=Corte+n_Ventana),ISNUMBER(Detalle_24m!AP$18)),Detalle_24m!AP$18,INDEX(Vol_V,5,AP$170)/12)*(1+V_dVol),0))</f>
        <v>0</v>
      </c>
      <c r="AQ181" s="48">
        <f>IF(AQ$8=1,N(Reales!AQ16),IF(AQ$171=1,IF(AND(AND(38&gt;Corte,38&lt;=Corte+n_Ventana),ISNUMBER(Detalle_24m!AQ$18)),Detalle_24m!AQ$18,INDEX(Vol_V,5,AQ$170)/12)*(1+V_dVol),0))</f>
        <v>0</v>
      </c>
      <c r="AR181" s="48">
        <f>IF(AR$8=1,N(Reales!AR16),IF(AR$171=1,IF(AND(AND(39&gt;Corte,39&lt;=Corte+n_Ventana),ISNUMBER(Detalle_24m!AR$18)),Detalle_24m!AR$18,INDEX(Vol_V,5,AR$170)/12)*(1+V_dVol),0))</f>
        <v>0</v>
      </c>
      <c r="AS181" s="48">
        <f>IF(AS$8=1,N(Reales!AS16),IF(AS$171=1,IF(AND(AND(40&gt;Corte,40&lt;=Corte+n_Ventana),ISNUMBER(Detalle_24m!AS$18)),Detalle_24m!AS$18,INDEX(Vol_V,5,AS$170)/12)*(1+V_dVol),0))</f>
        <v>0</v>
      </c>
      <c r="AT181" s="48">
        <f>IF(AT$8=1,N(Reales!AT16),IF(AT$171=1,IF(AND(AND(41&gt;Corte,41&lt;=Corte+n_Ventana),ISNUMBER(Detalle_24m!AT$18)),Detalle_24m!AT$18,INDEX(Vol_V,5,AT$170)/12)*(1+V_dVol),0))</f>
        <v>0</v>
      </c>
      <c r="AU181" s="48">
        <f>IF(AU$8=1,N(Reales!AU16),IF(AU$171=1,IF(AND(AND(42&gt;Corte,42&lt;=Corte+n_Ventana),ISNUMBER(Detalle_24m!AU$18)),Detalle_24m!AU$18,INDEX(Vol_V,5,AU$170)/12)*(1+V_dVol),0))</f>
        <v>0</v>
      </c>
      <c r="AV181" s="48">
        <f>IF(AV$8=1,N(Reales!AV16),IF(AV$171=1,IF(AND(AND(43&gt;Corte,43&lt;=Corte+n_Ventana),ISNUMBER(Detalle_24m!AV$18)),Detalle_24m!AV$18,INDEX(Vol_V,5,AV$170)/12)*(1+V_dVol),0))</f>
        <v>0</v>
      </c>
      <c r="AW181" s="48">
        <f>IF(AW$8=1,N(Reales!AW16),IF(AW$171=1,IF(AND(AND(44&gt;Corte,44&lt;=Corte+n_Ventana),ISNUMBER(Detalle_24m!AW$18)),Detalle_24m!AW$18,INDEX(Vol_V,5,AW$170)/12)*(1+V_dVol),0))</f>
        <v>0</v>
      </c>
      <c r="AX181" s="48">
        <f>IF(AX$8=1,N(Reales!AX16),IF(AX$171=1,IF(AND(AND(45&gt;Corte,45&lt;=Corte+n_Ventana),ISNUMBER(Detalle_24m!AX$18)),Detalle_24m!AX$18,INDEX(Vol_V,5,AX$170)/12)*(1+V_dVol),0))</f>
        <v>0</v>
      </c>
      <c r="AY181" s="48">
        <f>IF(AY$8=1,N(Reales!AY16),IF(AY$171=1,IF(AND(AND(46&gt;Corte,46&lt;=Corte+n_Ventana),ISNUMBER(Detalle_24m!AY$18)),Detalle_24m!AY$18,INDEX(Vol_V,5,AY$170)/12)*(1+V_dVol),0))</f>
        <v>0</v>
      </c>
      <c r="AZ181" s="48">
        <f>IF(AZ$8=1,N(Reales!AZ16),IF(AZ$171=1,IF(AND(AND(47&gt;Corte,47&lt;=Corte+n_Ventana),ISNUMBER(Detalle_24m!AZ$18)),Detalle_24m!AZ$18,INDEX(Vol_V,5,AZ$170)/12)*(1+V_dVol),0))</f>
        <v>0</v>
      </c>
      <c r="BA181" s="48">
        <f>IF(BA$8=1,N(Reales!BA16),IF(BA$171=1,IF(AND(AND(48&gt;Corte,48&lt;=Corte+n_Ventana),ISNUMBER(Detalle_24m!BA$18)),Detalle_24m!BA$18,INDEX(Vol_V,5,BA$170)/12)*(1+V_dVol),0))</f>
        <v>0</v>
      </c>
      <c r="BB181" s="48">
        <f>IF(BB$8=1,N(Reales!BB16),IF(BB$171=1,IF(AND(AND(49&gt;Corte,49&lt;=Corte+n_Ventana),ISNUMBER(Detalle_24m!BB$18)),Detalle_24m!BB$18,INDEX(Vol_V,5,BB$170)/12)*(1+V_dVol),0))</f>
        <v>0</v>
      </c>
      <c r="BC181" s="48">
        <f>IF(BC$8=1,N(Reales!BC16),IF(BC$171=1,IF(AND(AND(50&gt;Corte,50&lt;=Corte+n_Ventana),ISNUMBER(Detalle_24m!BC$18)),Detalle_24m!BC$18,INDEX(Vol_V,5,BC$170)/12)*(1+V_dVol),0))</f>
        <v>0</v>
      </c>
      <c r="BD181" s="48">
        <f>IF(BD$8=1,N(Reales!BD16),IF(BD$171=1,IF(AND(AND(51&gt;Corte,51&lt;=Corte+n_Ventana),ISNUMBER(Detalle_24m!BD$18)),Detalle_24m!BD$18,INDEX(Vol_V,5,BD$170)/12)*(1+V_dVol),0))</f>
        <v>0</v>
      </c>
      <c r="BE181" s="48">
        <f>IF(BE$8=1,N(Reales!BE16),IF(BE$171=1,IF(AND(AND(52&gt;Corte,52&lt;=Corte+n_Ventana),ISNUMBER(Detalle_24m!BE$18)),Detalle_24m!BE$18,INDEX(Vol_V,5,BE$170)/12)*(1+V_dVol),0))</f>
        <v>0</v>
      </c>
      <c r="BF181" s="48">
        <f>IF(BF$8=1,N(Reales!BF16),IF(BF$171=1,IF(AND(AND(53&gt;Corte,53&lt;=Corte+n_Ventana),ISNUMBER(Detalle_24m!BF$18)),Detalle_24m!BF$18,INDEX(Vol_V,5,BF$170)/12)*(1+V_dVol),0))</f>
        <v>0</v>
      </c>
      <c r="BG181" s="48">
        <f>IF(BG$8=1,N(Reales!BG16),IF(BG$171=1,IF(AND(AND(54&gt;Corte,54&lt;=Corte+n_Ventana),ISNUMBER(Detalle_24m!BG$18)),Detalle_24m!BG$18,INDEX(Vol_V,5,BG$170)/12)*(1+V_dVol),0))</f>
        <v>0</v>
      </c>
      <c r="BH181" s="48">
        <f>IF(BH$8=1,N(Reales!BH16),IF(BH$171=1,IF(AND(AND(55&gt;Corte,55&lt;=Corte+n_Ventana),ISNUMBER(Detalle_24m!BH$18)),Detalle_24m!BH$18,INDEX(Vol_V,5,BH$170)/12)*(1+V_dVol),0))</f>
        <v>0</v>
      </c>
      <c r="BI181" s="48">
        <f>IF(BI$8=1,N(Reales!BI16),IF(BI$171=1,IF(AND(AND(56&gt;Corte,56&lt;=Corte+n_Ventana),ISNUMBER(Detalle_24m!BI$18)),Detalle_24m!BI$18,INDEX(Vol_V,5,BI$170)/12)*(1+V_dVol),0))</f>
        <v>0</v>
      </c>
      <c r="BJ181" s="48">
        <f>IF(BJ$8=1,N(Reales!BJ16),IF(BJ$171=1,IF(AND(AND(57&gt;Corte,57&lt;=Corte+n_Ventana),ISNUMBER(Detalle_24m!BJ$18)),Detalle_24m!BJ$18,INDEX(Vol_V,5,BJ$170)/12)*(1+V_dVol),0))</f>
        <v>0</v>
      </c>
      <c r="BK181" s="48">
        <f>IF(BK$8=1,N(Reales!BK16),IF(BK$171=1,IF(AND(AND(58&gt;Corte,58&lt;=Corte+n_Ventana),ISNUMBER(Detalle_24m!BK$18)),Detalle_24m!BK$18,INDEX(Vol_V,5,BK$170)/12)*(1+V_dVol),0))</f>
        <v>0</v>
      </c>
      <c r="BL181" s="48">
        <f>IF(BL$8=1,N(Reales!BL16),IF(BL$171=1,IF(AND(AND(59&gt;Corte,59&lt;=Corte+n_Ventana),ISNUMBER(Detalle_24m!BL$18)),Detalle_24m!BL$18,INDEX(Vol_V,5,BL$170)/12)*(1+V_dVol),0))</f>
        <v>0</v>
      </c>
      <c r="BM181" s="48">
        <f>IF(BM$8=1,N(Reales!BM16),IF(BM$171=1,IF(AND(AND(60&gt;Corte,60&lt;=Corte+n_Ventana),ISNUMBER(Detalle_24m!BM$18)),Detalle_24m!BM$18,INDEX(Vol_V,5,BM$170)/12)*(1+V_dVol),0))</f>
        <v>0</v>
      </c>
      <c r="BN181" s="48">
        <f>IF(BN$8=1,N(Reales!BN16),IF(BN$171=1,IF(AND(AND(61&gt;Corte,61&lt;=Corte+n_Ventana),ISNUMBER(Detalle_24m!BN$18)),Detalle_24m!BN$18,INDEX(Vol_V,5,BN$170)/12)*(1+V_dVol),0))</f>
        <v>0</v>
      </c>
      <c r="BO181" s="48">
        <f>IF(BO$8=1,N(Reales!BO16),IF(BO$171=1,IF(AND(AND(62&gt;Corte,62&lt;=Corte+n_Ventana),ISNUMBER(Detalle_24m!BO$18)),Detalle_24m!BO$18,INDEX(Vol_V,5,BO$170)/12)*(1+V_dVol),0))</f>
        <v>0</v>
      </c>
      <c r="BP181" s="48">
        <f>IF(BP$8=1,N(Reales!BP16),IF(BP$171=1,IF(AND(AND(63&gt;Corte,63&lt;=Corte+n_Ventana),ISNUMBER(Detalle_24m!BP$18)),Detalle_24m!BP$18,INDEX(Vol_V,5,BP$170)/12)*(1+V_dVol),0))</f>
        <v>0</v>
      </c>
      <c r="BQ181" s="48">
        <f>IF(BQ$8=1,N(Reales!BQ16),IF(BQ$171=1,IF(AND(AND(64&gt;Corte,64&lt;=Corte+n_Ventana),ISNUMBER(Detalle_24m!BQ$18)),Detalle_24m!BQ$18,INDEX(Vol_V,5,BQ$170)/12)*(1+V_dVol),0))</f>
        <v>0</v>
      </c>
      <c r="BR181" s="48">
        <f>IF(BR$8=1,N(Reales!BR16),IF(BR$171=1,IF(AND(AND(65&gt;Corte,65&lt;=Corte+n_Ventana),ISNUMBER(Detalle_24m!BR$18)),Detalle_24m!BR$18,INDEX(Vol_V,5,BR$170)/12)*(1+V_dVol),0))</f>
        <v>0</v>
      </c>
      <c r="BS181" s="48">
        <f>IF(BS$8=1,N(Reales!BS16),IF(BS$171=1,IF(AND(AND(66&gt;Corte,66&lt;=Corte+n_Ventana),ISNUMBER(Detalle_24m!BS$18)),Detalle_24m!BS$18,INDEX(Vol_V,5,BS$170)/12)*(1+V_dVol),0))</f>
        <v>0</v>
      </c>
      <c r="BT181" s="48">
        <f>IF(BT$8=1,N(Reales!BT16),IF(BT$171=1,IF(AND(AND(67&gt;Corte,67&lt;=Corte+n_Ventana),ISNUMBER(Detalle_24m!BT$18)),Detalle_24m!BT$18,INDEX(Vol_V,5,BT$170)/12)*(1+V_dVol),0))</f>
        <v>0</v>
      </c>
      <c r="BU181" s="48">
        <f>IF(BU$8=1,N(Reales!BU16),IF(BU$171=1,IF(AND(AND(68&gt;Corte,68&lt;=Corte+n_Ventana),ISNUMBER(Detalle_24m!BU$18)),Detalle_24m!BU$18,INDEX(Vol_V,5,BU$170)/12)*(1+V_dVol),0))</f>
        <v>0</v>
      </c>
      <c r="BV181" s="48">
        <f>IF(BV$8=1,N(Reales!BV16),IF(BV$171=1,IF(AND(AND(69&gt;Corte,69&lt;=Corte+n_Ventana),ISNUMBER(Detalle_24m!BV$18)),Detalle_24m!BV$18,INDEX(Vol_V,5,BV$170)/12)*(1+V_dVol),0))</f>
        <v>0</v>
      </c>
      <c r="BW181" s="48">
        <f>IF(BW$8=1,N(Reales!BW16),IF(BW$171=1,IF(AND(AND(70&gt;Corte,70&lt;=Corte+n_Ventana),ISNUMBER(Detalle_24m!BW$18)),Detalle_24m!BW$18,INDEX(Vol_V,5,BW$170)/12)*(1+V_dVol),0))</f>
        <v>0</v>
      </c>
      <c r="BX181" s="48">
        <f>IF(BX$8=1,N(Reales!BX16),IF(BX$171=1,IF(AND(AND(71&gt;Corte,71&lt;=Corte+n_Ventana),ISNUMBER(Detalle_24m!BX$18)),Detalle_24m!BX$18,INDEX(Vol_V,5,BX$170)/12)*(1+V_dVol),0))</f>
        <v>0</v>
      </c>
      <c r="BY181" s="48">
        <f>IF(BY$8=1,N(Reales!BY16),IF(BY$171=1,IF(AND(AND(72&gt;Corte,72&lt;=Corte+n_Ventana),ISNUMBER(Detalle_24m!BY$18)),Detalle_24m!BY$18,INDEX(Vol_V,5,BY$170)/12)*(1+V_dVol),0))</f>
        <v>0</v>
      </c>
      <c r="BZ181" s="48">
        <f>IF(BZ$8=1,N(Reales!BZ16),IF(BZ$171=1,IF(AND(AND(73&gt;Corte,73&lt;=Corte+n_Ventana),ISNUMBER(Detalle_24m!BZ$18)),Detalle_24m!BZ$18,INDEX(Vol_V,5,BZ$170)/12)*(1+V_dVol),0))</f>
        <v>0</v>
      </c>
      <c r="CA181" s="48">
        <f>IF(CA$8=1,N(Reales!CA16),IF(CA$171=1,IF(AND(AND(74&gt;Corte,74&lt;=Corte+n_Ventana),ISNUMBER(Detalle_24m!CA$18)),Detalle_24m!CA$18,INDEX(Vol_V,5,CA$170)/12)*(1+V_dVol),0))</f>
        <v>0</v>
      </c>
      <c r="CB181" s="48">
        <f>IF(CB$8=1,N(Reales!CB16),IF(CB$171=1,IF(AND(AND(75&gt;Corte,75&lt;=Corte+n_Ventana),ISNUMBER(Detalle_24m!CB$18)),Detalle_24m!CB$18,INDEX(Vol_V,5,CB$170)/12)*(1+V_dVol),0))</f>
        <v>0</v>
      </c>
      <c r="CC181" s="48">
        <f>IF(CC$8=1,N(Reales!CC16),IF(CC$171=1,IF(AND(AND(76&gt;Corte,76&lt;=Corte+n_Ventana),ISNUMBER(Detalle_24m!CC$18)),Detalle_24m!CC$18,INDEX(Vol_V,5,CC$170)/12)*(1+V_dVol),0))</f>
        <v>0</v>
      </c>
      <c r="CD181" s="48">
        <f>IF(CD$8=1,N(Reales!CD16),IF(CD$171=1,IF(AND(AND(77&gt;Corte,77&lt;=Corte+n_Ventana),ISNUMBER(Detalle_24m!CD$18)),Detalle_24m!CD$18,INDEX(Vol_V,5,CD$170)/12)*(1+V_dVol),0))</f>
        <v>0</v>
      </c>
      <c r="CE181" s="48">
        <f>IF(CE$8=1,N(Reales!CE16),IF(CE$171=1,IF(AND(AND(78&gt;Corte,78&lt;=Corte+n_Ventana),ISNUMBER(Detalle_24m!CE$18)),Detalle_24m!CE$18,INDEX(Vol_V,5,CE$170)/12)*(1+V_dVol),0))</f>
        <v>0</v>
      </c>
      <c r="CF181" s="48">
        <f>IF(CF$8=1,N(Reales!CF16),IF(CF$171=1,IF(AND(AND(79&gt;Corte,79&lt;=Corte+n_Ventana),ISNUMBER(Detalle_24m!CF$18)),Detalle_24m!CF$18,INDEX(Vol_V,5,CF$170)/12)*(1+V_dVol),0))</f>
        <v>0</v>
      </c>
      <c r="CG181" s="48">
        <f>IF(CG$8=1,N(Reales!CG16),IF(CG$171=1,IF(AND(AND(80&gt;Corte,80&lt;=Corte+n_Ventana),ISNUMBER(Detalle_24m!CG$18)),Detalle_24m!CG$18,INDEX(Vol_V,5,CG$170)/12)*(1+V_dVol),0))</f>
        <v>0</v>
      </c>
      <c r="CH181" s="48">
        <f>IF(CH$8=1,N(Reales!CH16),IF(CH$171=1,IF(AND(AND(81&gt;Corte,81&lt;=Corte+n_Ventana),ISNUMBER(Detalle_24m!CH$18)),Detalle_24m!CH$18,INDEX(Vol_V,5,CH$170)/12)*(1+V_dVol),0))</f>
        <v>0</v>
      </c>
      <c r="CI181" s="48">
        <f>IF(CI$8=1,N(Reales!CI16),IF(CI$171=1,IF(AND(AND(82&gt;Corte,82&lt;=Corte+n_Ventana),ISNUMBER(Detalle_24m!CI$18)),Detalle_24m!CI$18,INDEX(Vol_V,5,CI$170)/12)*(1+V_dVol),0))</f>
        <v>0</v>
      </c>
      <c r="CJ181" s="48">
        <f>IF(CJ$8=1,N(Reales!CJ16),IF(CJ$171=1,IF(AND(AND(83&gt;Corte,83&lt;=Corte+n_Ventana),ISNUMBER(Detalle_24m!CJ$18)),Detalle_24m!CJ$18,INDEX(Vol_V,5,CJ$170)/12)*(1+V_dVol),0))</f>
        <v>0</v>
      </c>
      <c r="CK181" s="48">
        <f>IF(CK$8=1,N(Reales!CK16),IF(CK$171=1,IF(AND(AND(84&gt;Corte,84&lt;=Corte+n_Ventana),ISNUMBER(Detalle_24m!CK$18)),Detalle_24m!CK$18,INDEX(Vol_V,5,CK$170)/12)*(1+V_dVol),0))</f>
        <v>0</v>
      </c>
      <c r="CL181" s="48">
        <f>IF(CL$8=1,N(Reales!CL16),IF(CL$171=1,IF(AND(AND(85&gt;Corte,85&lt;=Corte+n_Ventana),ISNUMBER(Detalle_24m!CL$18)),Detalle_24m!CL$18,INDEX(Vol_V,5,CL$170)/12)*(1+V_dVol),0))</f>
        <v>0</v>
      </c>
      <c r="CM181" s="48">
        <f>IF(CM$8=1,N(Reales!CM16),IF(CM$171=1,IF(AND(AND(86&gt;Corte,86&lt;=Corte+n_Ventana),ISNUMBER(Detalle_24m!CM$18)),Detalle_24m!CM$18,INDEX(Vol_V,5,CM$170)/12)*(1+V_dVol),0))</f>
        <v>0</v>
      </c>
      <c r="CN181" s="48">
        <f>IF(CN$8=1,N(Reales!CN16),IF(CN$171=1,IF(AND(AND(87&gt;Corte,87&lt;=Corte+n_Ventana),ISNUMBER(Detalle_24m!CN$18)),Detalle_24m!CN$18,INDEX(Vol_V,5,CN$170)/12)*(1+V_dVol),0))</f>
        <v>0</v>
      </c>
      <c r="CO181" s="48">
        <f>IF(CO$8=1,N(Reales!CO16),IF(CO$171=1,IF(AND(AND(88&gt;Corte,88&lt;=Corte+n_Ventana),ISNUMBER(Detalle_24m!CO$18)),Detalle_24m!CO$18,INDEX(Vol_V,5,CO$170)/12)*(1+V_dVol),0))</f>
        <v>0</v>
      </c>
      <c r="CP181" s="48">
        <f>IF(CP$8=1,N(Reales!CP16),IF(CP$171=1,IF(AND(AND(89&gt;Corte,89&lt;=Corte+n_Ventana),ISNUMBER(Detalle_24m!CP$18)),Detalle_24m!CP$18,INDEX(Vol_V,5,CP$170)/12)*(1+V_dVol),0))</f>
        <v>0</v>
      </c>
      <c r="CQ181" s="48">
        <f>IF(CQ$8=1,N(Reales!CQ16),IF(CQ$171=1,IF(AND(AND(90&gt;Corte,90&lt;=Corte+n_Ventana),ISNUMBER(Detalle_24m!CQ$18)),Detalle_24m!CQ$18,INDEX(Vol_V,5,CQ$170)/12)*(1+V_dVol),0))</f>
        <v>0</v>
      </c>
      <c r="CR181" s="48">
        <f>IF(CR$8=1,N(Reales!CR16),IF(CR$171=1,IF(AND(AND(91&gt;Corte,91&lt;=Corte+n_Ventana),ISNUMBER(Detalle_24m!CR$18)),Detalle_24m!CR$18,INDEX(Vol_V,5,CR$170)/12)*(1+V_dVol),0))</f>
        <v>0</v>
      </c>
      <c r="CS181" s="48">
        <f>IF(CS$8=1,N(Reales!CS16),IF(CS$171=1,IF(AND(AND(92&gt;Corte,92&lt;=Corte+n_Ventana),ISNUMBER(Detalle_24m!CS$18)),Detalle_24m!CS$18,INDEX(Vol_V,5,CS$170)/12)*(1+V_dVol),0))</f>
        <v>0</v>
      </c>
      <c r="CT181" s="48">
        <f>IF(CT$8=1,N(Reales!CT16),IF(CT$171=1,IF(AND(AND(93&gt;Corte,93&lt;=Corte+n_Ventana),ISNUMBER(Detalle_24m!CT$18)),Detalle_24m!CT$18,INDEX(Vol_V,5,CT$170)/12)*(1+V_dVol),0))</f>
        <v>0</v>
      </c>
      <c r="CU181" s="48">
        <f>IF(CU$8=1,N(Reales!CU16),IF(CU$171=1,IF(AND(AND(94&gt;Corte,94&lt;=Corte+n_Ventana),ISNUMBER(Detalle_24m!CU$18)),Detalle_24m!CU$18,INDEX(Vol_V,5,CU$170)/12)*(1+V_dVol),0))</f>
        <v>0</v>
      </c>
      <c r="CV181" s="48">
        <f>IF(CV$8=1,N(Reales!CV16),IF(CV$171=1,IF(AND(AND(95&gt;Corte,95&lt;=Corte+n_Ventana),ISNUMBER(Detalle_24m!CV$18)),Detalle_24m!CV$18,INDEX(Vol_V,5,CV$170)/12)*(1+V_dVol),0))</f>
        <v>0</v>
      </c>
      <c r="CW181" s="48">
        <f>IF(CW$8=1,N(Reales!CW16),IF(CW$171=1,IF(AND(AND(96&gt;Corte,96&lt;=Corte+n_Ventana),ISNUMBER(Detalle_24m!CW$18)),Detalle_24m!CW$18,INDEX(Vol_V,5,CW$170)/12)*(1+V_dVol),0))</f>
        <v>0</v>
      </c>
      <c r="CX181" s="48">
        <f>IF(CX$8=1,N(Reales!CX16),IF(CX$171=1,IF(AND(AND(97&gt;Corte,97&lt;=Corte+n_Ventana),ISNUMBER(Detalle_24m!CX$18)),Detalle_24m!CX$18,INDEX(Vol_V,5,CX$170)/12)*(1+V_dVol),0))</f>
        <v>0</v>
      </c>
      <c r="CY181" s="48">
        <f>IF(CY$8=1,N(Reales!CY16),IF(CY$171=1,IF(AND(AND(98&gt;Corte,98&lt;=Corte+n_Ventana),ISNUMBER(Detalle_24m!CY$18)),Detalle_24m!CY$18,INDEX(Vol_V,5,CY$170)/12)*(1+V_dVol),0))</f>
        <v>0</v>
      </c>
      <c r="CZ181" s="48">
        <f>IF(CZ$8=1,N(Reales!CZ16),IF(CZ$171=1,IF(AND(AND(99&gt;Corte,99&lt;=Corte+n_Ventana),ISNUMBER(Detalle_24m!CZ$18)),Detalle_24m!CZ$18,INDEX(Vol_V,5,CZ$170)/12)*(1+V_dVol),0))</f>
        <v>0</v>
      </c>
      <c r="DA181" s="48">
        <f>IF(DA$8=1,N(Reales!DA16),IF(DA$171=1,IF(AND(AND(100&gt;Corte,100&lt;=Corte+n_Ventana),ISNUMBER(Detalle_24m!DA$18)),Detalle_24m!DA$18,INDEX(Vol_V,5,DA$170)/12)*(1+V_dVol),0))</f>
        <v>0</v>
      </c>
      <c r="DB181" s="48">
        <f>IF(DB$8=1,N(Reales!DB16),IF(DB$171=1,IF(AND(AND(101&gt;Corte,101&lt;=Corte+n_Ventana),ISNUMBER(Detalle_24m!DB$18)),Detalle_24m!DB$18,INDEX(Vol_V,5,DB$170)/12)*(1+V_dVol),0))</f>
        <v>0</v>
      </c>
      <c r="DC181" s="48">
        <f>IF(DC$8=1,N(Reales!DC16),IF(DC$171=1,IF(AND(AND(102&gt;Corte,102&lt;=Corte+n_Ventana),ISNUMBER(Detalle_24m!DC$18)),Detalle_24m!DC$18,INDEX(Vol_V,5,DC$170)/12)*(1+V_dVol),0))</f>
        <v>0</v>
      </c>
      <c r="DD181" s="48">
        <f>IF(DD$8=1,N(Reales!DD16),IF(DD$171=1,IF(AND(AND(103&gt;Corte,103&lt;=Corte+n_Ventana),ISNUMBER(Detalle_24m!DD$18)),Detalle_24m!DD$18,INDEX(Vol_V,5,DD$170)/12)*(1+V_dVol),0))</f>
        <v>0</v>
      </c>
      <c r="DE181" s="48">
        <f>IF(DE$8=1,N(Reales!DE16),IF(DE$171=1,IF(AND(AND(104&gt;Corte,104&lt;=Corte+n_Ventana),ISNUMBER(Detalle_24m!DE$18)),Detalle_24m!DE$18,INDEX(Vol_V,5,DE$170)/12)*(1+V_dVol),0))</f>
        <v>0</v>
      </c>
      <c r="DF181" s="48">
        <f>IF(DF$8=1,N(Reales!DF16),IF(DF$171=1,IF(AND(AND(105&gt;Corte,105&lt;=Corte+n_Ventana),ISNUMBER(Detalle_24m!DF$18)),Detalle_24m!DF$18,INDEX(Vol_V,5,DF$170)/12)*(1+V_dVol),0))</f>
        <v>0</v>
      </c>
      <c r="DG181" s="48">
        <f>IF(DG$8=1,N(Reales!DG16),IF(DG$171=1,IF(AND(AND(106&gt;Corte,106&lt;=Corte+n_Ventana),ISNUMBER(Detalle_24m!DG$18)),Detalle_24m!DG$18,INDEX(Vol_V,5,DG$170)/12)*(1+V_dVol),0))</f>
        <v>0</v>
      </c>
      <c r="DH181" s="48">
        <f>IF(DH$8=1,N(Reales!DH16),IF(DH$171=1,IF(AND(AND(107&gt;Corte,107&lt;=Corte+n_Ventana),ISNUMBER(Detalle_24m!DH$18)),Detalle_24m!DH$18,INDEX(Vol_V,5,DH$170)/12)*(1+V_dVol),0))</f>
        <v>0</v>
      </c>
      <c r="DI181" s="48">
        <f>IF(DI$8=1,N(Reales!DI16),IF(DI$171=1,IF(AND(AND(108&gt;Corte,108&lt;=Corte+n_Ventana),ISNUMBER(Detalle_24m!DI$18)),Detalle_24m!DI$18,INDEX(Vol_V,5,DI$170)/12)*(1+V_dVol),0))</f>
        <v>0</v>
      </c>
      <c r="DJ181" s="48">
        <f>IF(DJ$8=1,N(Reales!DJ16),IF(DJ$171=1,IF(AND(AND(109&gt;Corte,109&lt;=Corte+n_Ventana),ISNUMBER(Detalle_24m!DJ$18)),Detalle_24m!DJ$18,INDEX(Vol_V,5,DJ$170)/12)*(1+V_dVol),0))</f>
        <v>0</v>
      </c>
      <c r="DK181" s="48">
        <f>IF(DK$8=1,N(Reales!DK16),IF(DK$171=1,IF(AND(AND(110&gt;Corte,110&lt;=Corte+n_Ventana),ISNUMBER(Detalle_24m!DK$18)),Detalle_24m!DK$18,INDEX(Vol_V,5,DK$170)/12)*(1+V_dVol),0))</f>
        <v>0</v>
      </c>
      <c r="DL181" s="48">
        <f>IF(DL$8=1,N(Reales!DL16),IF(DL$171=1,IF(AND(AND(111&gt;Corte,111&lt;=Corte+n_Ventana),ISNUMBER(Detalle_24m!DL$18)),Detalle_24m!DL$18,INDEX(Vol_V,5,DL$170)/12)*(1+V_dVol),0))</f>
        <v>0</v>
      </c>
      <c r="DM181" s="48">
        <f>IF(DM$8=1,N(Reales!DM16),IF(DM$171=1,IF(AND(AND(112&gt;Corte,112&lt;=Corte+n_Ventana),ISNUMBER(Detalle_24m!DM$18)),Detalle_24m!DM$18,INDEX(Vol_V,5,DM$170)/12)*(1+V_dVol),0))</f>
        <v>0</v>
      </c>
      <c r="DN181" s="48">
        <f>IF(DN$8=1,N(Reales!DN16),IF(DN$171=1,IF(AND(AND(113&gt;Corte,113&lt;=Corte+n_Ventana),ISNUMBER(Detalle_24m!DN$18)),Detalle_24m!DN$18,INDEX(Vol_V,5,DN$170)/12)*(1+V_dVol),0))</f>
        <v>0</v>
      </c>
      <c r="DO181" s="48">
        <f>IF(DO$8=1,N(Reales!DO16),IF(DO$171=1,IF(AND(AND(114&gt;Corte,114&lt;=Corte+n_Ventana),ISNUMBER(Detalle_24m!DO$18)),Detalle_24m!DO$18,INDEX(Vol_V,5,DO$170)/12)*(1+V_dVol),0))</f>
        <v>0</v>
      </c>
      <c r="DP181" s="48">
        <f>IF(DP$8=1,N(Reales!DP16),IF(DP$171=1,IF(AND(AND(115&gt;Corte,115&lt;=Corte+n_Ventana),ISNUMBER(Detalle_24m!DP$18)),Detalle_24m!DP$18,INDEX(Vol_V,5,DP$170)/12)*(1+V_dVol),0))</f>
        <v>0</v>
      </c>
      <c r="DQ181" s="48">
        <f>IF(DQ$8=1,N(Reales!DQ16),IF(DQ$171=1,IF(AND(AND(116&gt;Corte,116&lt;=Corte+n_Ventana),ISNUMBER(Detalle_24m!DQ$18)),Detalle_24m!DQ$18,INDEX(Vol_V,5,DQ$170)/12)*(1+V_dVol),0))</f>
        <v>0</v>
      </c>
      <c r="DR181" s="48">
        <f>IF(DR$8=1,N(Reales!DR16),IF(DR$171=1,IF(AND(AND(117&gt;Corte,117&lt;=Corte+n_Ventana),ISNUMBER(Detalle_24m!DR$18)),Detalle_24m!DR$18,INDEX(Vol_V,5,DR$170)/12)*(1+V_dVol),0))</f>
        <v>0</v>
      </c>
      <c r="DS181" s="48">
        <f>IF(DS$8=1,N(Reales!DS16),IF(DS$171=1,IF(AND(AND(118&gt;Corte,118&lt;=Corte+n_Ventana),ISNUMBER(Detalle_24m!DS$18)),Detalle_24m!DS$18,INDEX(Vol_V,5,DS$170)/12)*(1+V_dVol),0))</f>
        <v>0</v>
      </c>
      <c r="DT181" s="48">
        <f>IF(DT$8=1,N(Reales!DT16),IF(DT$171=1,IF(AND(AND(119&gt;Corte,119&lt;=Corte+n_Ventana),ISNUMBER(Detalle_24m!DT$18)),Detalle_24m!DT$18,INDEX(Vol_V,5,DT$170)/12)*(1+V_dVol),0))</f>
        <v>0</v>
      </c>
      <c r="DU181" s="48">
        <f>IF(DU$8=1,N(Reales!DU16),IF(DU$171=1,IF(AND(AND(120&gt;Corte,120&lt;=Corte+n_Ventana),ISNUMBER(Detalle_24m!DU$18)),Detalle_24m!DU$18,INDEX(Vol_V,5,DU$170)/12)*(1+V_dVol),0))</f>
        <v>0</v>
      </c>
      <c r="DV181" s="48">
        <f>IF(DV$8=1,N(Reales!DV16),IF(DV$171=1,IF(AND(AND(121&gt;Corte,121&lt;=Corte+n_Ventana),ISNUMBER(Detalle_24m!DV$18)),Detalle_24m!DV$18,INDEX(Vol_V,5,DV$170)/12)*(1+V_dVol),0))</f>
        <v>0</v>
      </c>
      <c r="DW181" s="48">
        <f>IF(DW$8=1,N(Reales!DW16),IF(DW$171=1,IF(AND(AND(122&gt;Corte,122&lt;=Corte+n_Ventana),ISNUMBER(Detalle_24m!DW$18)),Detalle_24m!DW$18,INDEX(Vol_V,5,DW$170)/12)*(1+V_dVol),0))</f>
        <v>0</v>
      </c>
      <c r="DX181" s="48">
        <f>IF(DX$8=1,N(Reales!DX16),IF(DX$171=1,IF(AND(AND(123&gt;Corte,123&lt;=Corte+n_Ventana),ISNUMBER(Detalle_24m!DX$18)),Detalle_24m!DX$18,INDEX(Vol_V,5,DX$170)/12)*(1+V_dVol),0))</f>
        <v>0</v>
      </c>
      <c r="DY181" s="48">
        <f>IF(DY$8=1,N(Reales!DY16),IF(DY$171=1,IF(AND(AND(124&gt;Corte,124&lt;=Corte+n_Ventana),ISNUMBER(Detalle_24m!DY$18)),Detalle_24m!DY$18,INDEX(Vol_V,5,DY$170)/12)*(1+V_dVol),0))</f>
        <v>0</v>
      </c>
      <c r="DZ181" s="48">
        <f>IF(DZ$8=1,N(Reales!DZ16),IF(DZ$171=1,IF(AND(AND(125&gt;Corte,125&lt;=Corte+n_Ventana),ISNUMBER(Detalle_24m!DZ$18)),Detalle_24m!DZ$18,INDEX(Vol_V,5,DZ$170)/12)*(1+V_dVol),0))</f>
        <v>0</v>
      </c>
      <c r="EA181" s="48">
        <f>IF(EA$8=1,N(Reales!EA16),IF(EA$171=1,IF(AND(AND(126&gt;Corte,126&lt;=Corte+n_Ventana),ISNUMBER(Detalle_24m!EA$18)),Detalle_24m!EA$18,INDEX(Vol_V,5,EA$170)/12)*(1+V_dVol),0))</f>
        <v>0</v>
      </c>
      <c r="EB181" s="48">
        <f>IF(EB$8=1,N(Reales!EB16),IF(EB$171=1,IF(AND(AND(127&gt;Corte,127&lt;=Corte+n_Ventana),ISNUMBER(Detalle_24m!EB$18)),Detalle_24m!EB$18,INDEX(Vol_V,5,EB$170)/12)*(1+V_dVol),0))</f>
        <v>0</v>
      </c>
      <c r="EC181" s="48">
        <f>IF(EC$8=1,N(Reales!EC16),IF(EC$171=1,IF(AND(AND(128&gt;Corte,128&lt;=Corte+n_Ventana),ISNUMBER(Detalle_24m!EC$18)),Detalle_24m!EC$18,INDEX(Vol_V,5,EC$170)/12)*(1+V_dVol),0))</f>
        <v>0</v>
      </c>
      <c r="ED181" s="48">
        <f>IF(ED$8=1,N(Reales!ED16),IF(ED$171=1,IF(AND(AND(129&gt;Corte,129&lt;=Corte+n_Ventana),ISNUMBER(Detalle_24m!ED$18)),Detalle_24m!ED$18,INDEX(Vol_V,5,ED$170)/12)*(1+V_dVol),0))</f>
        <v>0</v>
      </c>
      <c r="EE181" s="48">
        <f>IF(EE$8=1,N(Reales!EE16),IF(EE$171=1,IF(AND(AND(130&gt;Corte,130&lt;=Corte+n_Ventana),ISNUMBER(Detalle_24m!EE$18)),Detalle_24m!EE$18,INDEX(Vol_V,5,EE$170)/12)*(1+V_dVol),0))</f>
        <v>0</v>
      </c>
      <c r="EF181" s="48">
        <f>IF(EF$8=1,N(Reales!EF16),IF(EF$171=1,IF(AND(AND(131&gt;Corte,131&lt;=Corte+n_Ventana),ISNUMBER(Detalle_24m!EF$18)),Detalle_24m!EF$18,INDEX(Vol_V,5,EF$170)/12)*(1+V_dVol),0))</f>
        <v>0</v>
      </c>
      <c r="EG181" s="48">
        <f>IF(EG$8=1,N(Reales!EG16),IF(EG$171=1,IF(AND(AND(132&gt;Corte,132&lt;=Corte+n_Ventana),ISNUMBER(Detalle_24m!EG$18)),Detalle_24m!EG$18,INDEX(Vol_V,5,EG$170)/12)*(1+V_dVol),0))</f>
        <v>0</v>
      </c>
      <c r="EH181" s="48">
        <f>IF(EH$8=1,N(Reales!EH16),IF(EH$171=1,IF(AND(AND(133&gt;Corte,133&lt;=Corte+n_Ventana),ISNUMBER(Detalle_24m!EH$18)),Detalle_24m!EH$18,INDEX(Vol_V,5,EH$170)/12)*(1+V_dVol),0))</f>
        <v>0</v>
      </c>
      <c r="EI181" s="48">
        <f>IF(EI$8=1,N(Reales!EI16),IF(EI$171=1,IF(AND(AND(134&gt;Corte,134&lt;=Corte+n_Ventana),ISNUMBER(Detalle_24m!EI$18)),Detalle_24m!EI$18,INDEX(Vol_V,5,EI$170)/12)*(1+V_dVol),0))</f>
        <v>0</v>
      </c>
      <c r="EJ181" s="48">
        <f>IF(EJ$8=1,N(Reales!EJ16),IF(EJ$171=1,IF(AND(AND(135&gt;Corte,135&lt;=Corte+n_Ventana),ISNUMBER(Detalle_24m!EJ$18)),Detalle_24m!EJ$18,INDEX(Vol_V,5,EJ$170)/12)*(1+V_dVol),0))</f>
        <v>0</v>
      </c>
      <c r="EK181" s="48">
        <f>IF(EK$8=1,N(Reales!EK16),IF(EK$171=1,IF(AND(AND(136&gt;Corte,136&lt;=Corte+n_Ventana),ISNUMBER(Detalle_24m!EK$18)),Detalle_24m!EK$18,INDEX(Vol_V,5,EK$170)/12)*(1+V_dVol),0))</f>
        <v>0</v>
      </c>
      <c r="EL181" s="48">
        <f>IF(EL$8=1,N(Reales!EL16),IF(EL$171=1,IF(AND(AND(137&gt;Corte,137&lt;=Corte+n_Ventana),ISNUMBER(Detalle_24m!EL$18)),Detalle_24m!EL$18,INDEX(Vol_V,5,EL$170)/12)*(1+V_dVol),0))</f>
        <v>0</v>
      </c>
      <c r="EM181" s="48">
        <f>IF(EM$8=1,N(Reales!EM16),IF(EM$171=1,IF(AND(AND(138&gt;Corte,138&lt;=Corte+n_Ventana),ISNUMBER(Detalle_24m!EM$18)),Detalle_24m!EM$18,INDEX(Vol_V,5,EM$170)/12)*(1+V_dVol),0))</f>
        <v>0</v>
      </c>
      <c r="EN181" s="48">
        <f>IF(EN$8=1,N(Reales!EN16),IF(EN$171=1,IF(AND(AND(139&gt;Corte,139&lt;=Corte+n_Ventana),ISNUMBER(Detalle_24m!EN$18)),Detalle_24m!EN$18,INDEX(Vol_V,5,EN$170)/12)*(1+V_dVol),0))</f>
        <v>0</v>
      </c>
      <c r="EO181" s="48">
        <f>IF(EO$8=1,N(Reales!EO16),IF(EO$171=1,IF(AND(AND(140&gt;Corte,140&lt;=Corte+n_Ventana),ISNUMBER(Detalle_24m!EO$18)),Detalle_24m!EO$18,INDEX(Vol_V,5,EO$170)/12)*(1+V_dVol),0))</f>
        <v>0</v>
      </c>
      <c r="EP181" s="48">
        <f>IF(EP$8=1,N(Reales!EP16),IF(EP$171=1,IF(AND(AND(141&gt;Corte,141&lt;=Corte+n_Ventana),ISNUMBER(Detalle_24m!EP$18)),Detalle_24m!EP$18,INDEX(Vol_V,5,EP$170)/12)*(1+V_dVol),0))</f>
        <v>0</v>
      </c>
      <c r="EQ181" s="48">
        <f>IF(EQ$8=1,N(Reales!EQ16),IF(EQ$171=1,IF(AND(AND(142&gt;Corte,142&lt;=Corte+n_Ventana),ISNUMBER(Detalle_24m!EQ$18)),Detalle_24m!EQ$18,INDEX(Vol_V,5,EQ$170)/12)*(1+V_dVol),0))</f>
        <v>0</v>
      </c>
      <c r="ER181" s="48">
        <f>IF(ER$8=1,N(Reales!ER16),IF(ER$171=1,IF(AND(AND(143&gt;Corte,143&lt;=Corte+n_Ventana),ISNUMBER(Detalle_24m!ER$18)),Detalle_24m!ER$18,INDEX(Vol_V,5,ER$170)/12)*(1+V_dVol),0))</f>
        <v>0</v>
      </c>
      <c r="ES181" s="48">
        <f>IF(ES$8=1,N(Reales!ES16),IF(ES$171=1,IF(AND(AND(144&gt;Corte,144&lt;=Corte+n_Ventana),ISNUMBER(Detalle_24m!ES$18)),Detalle_24m!ES$18,INDEX(Vol_V,5,ES$170)/12)*(1+V_dVol),0))</f>
        <v>0</v>
      </c>
    </row>
    <row r="182" spans="1:149" x14ac:dyDescent="0.3">
      <c r="A182" s="14" t="s">
        <v>1237</v>
      </c>
      <c r="B182" s="53" t="str">
        <f>IF(INDEX(Prod_Nombre,6)="","Producto 6",INDEX(Prod_Nombre,6))&amp;" — unidades"</f>
        <v>Producto 6 — unidades</v>
      </c>
      <c r="C182" s="18" t="s">
        <v>475</v>
      </c>
      <c r="E182" s="54">
        <f t="shared" si="604"/>
        <v>0</v>
      </c>
      <c r="F182" s="48">
        <f>IF(F$8=1,N(Reales!F17),IF(F$171=1,IF(AND(AND(1&gt;Corte,1&lt;=Corte+n_Ventana),ISNUMBER(Detalle_24m!F$19)),Detalle_24m!F$19,INDEX(Vol_V,6,F$170)/12)*(1+V_dVol),0))</f>
        <v>0</v>
      </c>
      <c r="G182" s="48">
        <f>IF(G$8=1,N(Reales!G17),IF(G$171=1,IF(AND(AND(2&gt;Corte,2&lt;=Corte+n_Ventana),ISNUMBER(Detalle_24m!G$19)),Detalle_24m!G$19,INDEX(Vol_V,6,G$170)/12)*(1+V_dVol),0))</f>
        <v>0</v>
      </c>
      <c r="H182" s="48">
        <f>IF(H$8=1,N(Reales!H17),IF(H$171=1,IF(AND(AND(3&gt;Corte,3&lt;=Corte+n_Ventana),ISNUMBER(Detalle_24m!H$19)),Detalle_24m!H$19,INDEX(Vol_V,6,H$170)/12)*(1+V_dVol),0))</f>
        <v>0</v>
      </c>
      <c r="I182" s="48">
        <f>IF(I$8=1,N(Reales!I17),IF(I$171=1,IF(AND(AND(4&gt;Corte,4&lt;=Corte+n_Ventana),ISNUMBER(Detalle_24m!I$19)),Detalle_24m!I$19,INDEX(Vol_V,6,I$170)/12)*(1+V_dVol),0))</f>
        <v>0</v>
      </c>
      <c r="J182" s="48">
        <f>IF(J$8=1,N(Reales!J17),IF(J$171=1,IF(AND(AND(5&gt;Corte,5&lt;=Corte+n_Ventana),ISNUMBER(Detalle_24m!J$19)),Detalle_24m!J$19,INDEX(Vol_V,6,J$170)/12)*(1+V_dVol),0))</f>
        <v>0</v>
      </c>
      <c r="K182" s="48">
        <f>IF(K$8=1,N(Reales!K17),IF(K$171=1,IF(AND(AND(6&gt;Corte,6&lt;=Corte+n_Ventana),ISNUMBER(Detalle_24m!K$19)),Detalle_24m!K$19,INDEX(Vol_V,6,K$170)/12)*(1+V_dVol),0))</f>
        <v>0</v>
      </c>
      <c r="L182" s="48">
        <f>IF(L$8=1,N(Reales!L17),IF(L$171=1,IF(AND(AND(7&gt;Corte,7&lt;=Corte+n_Ventana),ISNUMBER(Detalle_24m!L$19)),Detalle_24m!L$19,INDEX(Vol_V,6,L$170)/12)*(1+V_dVol),0))</f>
        <v>0</v>
      </c>
      <c r="M182" s="48">
        <f>IF(M$8=1,N(Reales!M17),IF(M$171=1,IF(AND(AND(8&gt;Corte,8&lt;=Corte+n_Ventana),ISNUMBER(Detalle_24m!M$19)),Detalle_24m!M$19,INDEX(Vol_V,6,M$170)/12)*(1+V_dVol),0))</f>
        <v>0</v>
      </c>
      <c r="N182" s="48">
        <f>IF(N$8=1,N(Reales!N17),IF(N$171=1,IF(AND(AND(9&gt;Corte,9&lt;=Corte+n_Ventana),ISNUMBER(Detalle_24m!N$19)),Detalle_24m!N$19,INDEX(Vol_V,6,N$170)/12)*(1+V_dVol),0))</f>
        <v>0</v>
      </c>
      <c r="O182" s="48">
        <f>IF(O$8=1,N(Reales!O17),IF(O$171=1,IF(AND(AND(10&gt;Corte,10&lt;=Corte+n_Ventana),ISNUMBER(Detalle_24m!O$19)),Detalle_24m!O$19,INDEX(Vol_V,6,O$170)/12)*(1+V_dVol),0))</f>
        <v>0</v>
      </c>
      <c r="P182" s="48">
        <f>IF(P$8=1,N(Reales!P17),IF(P$171=1,IF(AND(AND(11&gt;Corte,11&lt;=Corte+n_Ventana),ISNUMBER(Detalle_24m!P$19)),Detalle_24m!P$19,INDEX(Vol_V,6,P$170)/12)*(1+V_dVol),0))</f>
        <v>0</v>
      </c>
      <c r="Q182" s="48">
        <f>IF(Q$8=1,N(Reales!Q17),IF(Q$171=1,IF(AND(AND(12&gt;Corte,12&lt;=Corte+n_Ventana),ISNUMBER(Detalle_24m!Q$19)),Detalle_24m!Q$19,INDEX(Vol_V,6,Q$170)/12)*(1+V_dVol),0))</f>
        <v>0</v>
      </c>
      <c r="R182" s="48">
        <f>IF(R$8=1,N(Reales!R17),IF(R$171=1,IF(AND(AND(13&gt;Corte,13&lt;=Corte+n_Ventana),ISNUMBER(Detalle_24m!R$19)),Detalle_24m!R$19,INDEX(Vol_V,6,R$170)/12)*(1+V_dVol),0))</f>
        <v>0</v>
      </c>
      <c r="S182" s="48">
        <f>IF(S$8=1,N(Reales!S17),IF(S$171=1,IF(AND(AND(14&gt;Corte,14&lt;=Corte+n_Ventana),ISNUMBER(Detalle_24m!S$19)),Detalle_24m!S$19,INDEX(Vol_V,6,S$170)/12)*(1+V_dVol),0))</f>
        <v>0</v>
      </c>
      <c r="T182" s="48">
        <f>IF(T$8=1,N(Reales!T17),IF(T$171=1,IF(AND(AND(15&gt;Corte,15&lt;=Corte+n_Ventana),ISNUMBER(Detalle_24m!T$19)),Detalle_24m!T$19,INDEX(Vol_V,6,T$170)/12)*(1+V_dVol),0))</f>
        <v>0</v>
      </c>
      <c r="U182" s="48">
        <f>IF(U$8=1,N(Reales!U17),IF(U$171=1,IF(AND(AND(16&gt;Corte,16&lt;=Corte+n_Ventana),ISNUMBER(Detalle_24m!U$19)),Detalle_24m!U$19,INDEX(Vol_V,6,U$170)/12)*(1+V_dVol),0))</f>
        <v>0</v>
      </c>
      <c r="V182" s="48">
        <f>IF(V$8=1,N(Reales!V17),IF(V$171=1,IF(AND(AND(17&gt;Corte,17&lt;=Corte+n_Ventana),ISNUMBER(Detalle_24m!V$19)),Detalle_24m!V$19,INDEX(Vol_V,6,V$170)/12)*(1+V_dVol),0))</f>
        <v>0</v>
      </c>
      <c r="W182" s="48">
        <f>IF(W$8=1,N(Reales!W17),IF(W$171=1,IF(AND(AND(18&gt;Corte,18&lt;=Corte+n_Ventana),ISNUMBER(Detalle_24m!W$19)),Detalle_24m!W$19,INDEX(Vol_V,6,W$170)/12)*(1+V_dVol),0))</f>
        <v>0</v>
      </c>
      <c r="X182" s="48">
        <f>IF(X$8=1,N(Reales!X17),IF(X$171=1,IF(AND(AND(19&gt;Corte,19&lt;=Corte+n_Ventana),ISNUMBER(Detalle_24m!X$19)),Detalle_24m!X$19,INDEX(Vol_V,6,X$170)/12)*(1+V_dVol),0))</f>
        <v>0</v>
      </c>
      <c r="Y182" s="48">
        <f>IF(Y$8=1,N(Reales!Y17),IF(Y$171=1,IF(AND(AND(20&gt;Corte,20&lt;=Corte+n_Ventana),ISNUMBER(Detalle_24m!Y$19)),Detalle_24m!Y$19,INDEX(Vol_V,6,Y$170)/12)*(1+V_dVol),0))</f>
        <v>0</v>
      </c>
      <c r="Z182" s="48">
        <f>IF(Z$8=1,N(Reales!Z17),IF(Z$171=1,IF(AND(AND(21&gt;Corte,21&lt;=Corte+n_Ventana),ISNUMBER(Detalle_24m!Z$19)),Detalle_24m!Z$19,INDEX(Vol_V,6,Z$170)/12)*(1+V_dVol),0))</f>
        <v>0</v>
      </c>
      <c r="AA182" s="48">
        <f>IF(AA$8=1,N(Reales!AA17),IF(AA$171=1,IF(AND(AND(22&gt;Corte,22&lt;=Corte+n_Ventana),ISNUMBER(Detalle_24m!AA$19)),Detalle_24m!AA$19,INDEX(Vol_V,6,AA$170)/12)*(1+V_dVol),0))</f>
        <v>0</v>
      </c>
      <c r="AB182" s="48">
        <f>IF(AB$8=1,N(Reales!AB17),IF(AB$171=1,IF(AND(AND(23&gt;Corte,23&lt;=Corte+n_Ventana),ISNUMBER(Detalle_24m!AB$19)),Detalle_24m!AB$19,INDEX(Vol_V,6,AB$170)/12)*(1+V_dVol),0))</f>
        <v>0</v>
      </c>
      <c r="AC182" s="48">
        <f>IF(AC$8=1,N(Reales!AC17),IF(AC$171=1,IF(AND(AND(24&gt;Corte,24&lt;=Corte+n_Ventana),ISNUMBER(Detalle_24m!AC$19)),Detalle_24m!AC$19,INDEX(Vol_V,6,AC$170)/12)*(1+V_dVol),0))</f>
        <v>0</v>
      </c>
      <c r="AD182" s="48">
        <f>IF(AD$8=1,N(Reales!AD17),IF(AD$171=1,IF(AND(AND(25&gt;Corte,25&lt;=Corte+n_Ventana),ISNUMBER(Detalle_24m!AD$19)),Detalle_24m!AD$19,INDEX(Vol_V,6,AD$170)/12)*(1+V_dVol),0))</f>
        <v>0</v>
      </c>
      <c r="AE182" s="48">
        <f>IF(AE$8=1,N(Reales!AE17),IF(AE$171=1,IF(AND(AND(26&gt;Corte,26&lt;=Corte+n_Ventana),ISNUMBER(Detalle_24m!AE$19)),Detalle_24m!AE$19,INDEX(Vol_V,6,AE$170)/12)*(1+V_dVol),0))</f>
        <v>0</v>
      </c>
      <c r="AF182" s="48">
        <f>IF(AF$8=1,N(Reales!AF17),IF(AF$171=1,IF(AND(AND(27&gt;Corte,27&lt;=Corte+n_Ventana),ISNUMBER(Detalle_24m!AF$19)),Detalle_24m!AF$19,INDEX(Vol_V,6,AF$170)/12)*(1+V_dVol),0))</f>
        <v>0</v>
      </c>
      <c r="AG182" s="48">
        <f>IF(AG$8=1,N(Reales!AG17),IF(AG$171=1,IF(AND(AND(28&gt;Corte,28&lt;=Corte+n_Ventana),ISNUMBER(Detalle_24m!AG$19)),Detalle_24m!AG$19,INDEX(Vol_V,6,AG$170)/12)*(1+V_dVol),0))</f>
        <v>0</v>
      </c>
      <c r="AH182" s="48">
        <f>IF(AH$8=1,N(Reales!AH17),IF(AH$171=1,IF(AND(AND(29&gt;Corte,29&lt;=Corte+n_Ventana),ISNUMBER(Detalle_24m!AH$19)),Detalle_24m!AH$19,INDEX(Vol_V,6,AH$170)/12)*(1+V_dVol),0))</f>
        <v>0</v>
      </c>
      <c r="AI182" s="48">
        <f>IF(AI$8=1,N(Reales!AI17),IF(AI$171=1,IF(AND(AND(30&gt;Corte,30&lt;=Corte+n_Ventana),ISNUMBER(Detalle_24m!AI$19)),Detalle_24m!AI$19,INDEX(Vol_V,6,AI$170)/12)*(1+V_dVol),0))</f>
        <v>0</v>
      </c>
      <c r="AJ182" s="48">
        <f>IF(AJ$8=1,N(Reales!AJ17),IF(AJ$171=1,IF(AND(AND(31&gt;Corte,31&lt;=Corte+n_Ventana),ISNUMBER(Detalle_24m!AJ$19)),Detalle_24m!AJ$19,INDEX(Vol_V,6,AJ$170)/12)*(1+V_dVol),0))</f>
        <v>0</v>
      </c>
      <c r="AK182" s="48">
        <f>IF(AK$8=1,N(Reales!AK17),IF(AK$171=1,IF(AND(AND(32&gt;Corte,32&lt;=Corte+n_Ventana),ISNUMBER(Detalle_24m!AK$19)),Detalle_24m!AK$19,INDEX(Vol_V,6,AK$170)/12)*(1+V_dVol),0))</f>
        <v>0</v>
      </c>
      <c r="AL182" s="48">
        <f>IF(AL$8=1,N(Reales!AL17),IF(AL$171=1,IF(AND(AND(33&gt;Corte,33&lt;=Corte+n_Ventana),ISNUMBER(Detalle_24m!AL$19)),Detalle_24m!AL$19,INDEX(Vol_V,6,AL$170)/12)*(1+V_dVol),0))</f>
        <v>0</v>
      </c>
      <c r="AM182" s="48">
        <f>IF(AM$8=1,N(Reales!AM17),IF(AM$171=1,IF(AND(AND(34&gt;Corte,34&lt;=Corte+n_Ventana),ISNUMBER(Detalle_24m!AM$19)),Detalle_24m!AM$19,INDEX(Vol_V,6,AM$170)/12)*(1+V_dVol),0))</f>
        <v>0</v>
      </c>
      <c r="AN182" s="48">
        <f>IF(AN$8=1,N(Reales!AN17),IF(AN$171=1,IF(AND(AND(35&gt;Corte,35&lt;=Corte+n_Ventana),ISNUMBER(Detalle_24m!AN$19)),Detalle_24m!AN$19,INDEX(Vol_V,6,AN$170)/12)*(1+V_dVol),0))</f>
        <v>0</v>
      </c>
      <c r="AO182" s="48">
        <f>IF(AO$8=1,N(Reales!AO17),IF(AO$171=1,IF(AND(AND(36&gt;Corte,36&lt;=Corte+n_Ventana),ISNUMBER(Detalle_24m!AO$19)),Detalle_24m!AO$19,INDEX(Vol_V,6,AO$170)/12)*(1+V_dVol),0))</f>
        <v>0</v>
      </c>
      <c r="AP182" s="48">
        <f>IF(AP$8=1,N(Reales!AP17),IF(AP$171=1,IF(AND(AND(37&gt;Corte,37&lt;=Corte+n_Ventana),ISNUMBER(Detalle_24m!AP$19)),Detalle_24m!AP$19,INDEX(Vol_V,6,AP$170)/12)*(1+V_dVol),0))</f>
        <v>0</v>
      </c>
      <c r="AQ182" s="48">
        <f>IF(AQ$8=1,N(Reales!AQ17),IF(AQ$171=1,IF(AND(AND(38&gt;Corte,38&lt;=Corte+n_Ventana),ISNUMBER(Detalle_24m!AQ$19)),Detalle_24m!AQ$19,INDEX(Vol_V,6,AQ$170)/12)*(1+V_dVol),0))</f>
        <v>0</v>
      </c>
      <c r="AR182" s="48">
        <f>IF(AR$8=1,N(Reales!AR17),IF(AR$171=1,IF(AND(AND(39&gt;Corte,39&lt;=Corte+n_Ventana),ISNUMBER(Detalle_24m!AR$19)),Detalle_24m!AR$19,INDEX(Vol_V,6,AR$170)/12)*(1+V_dVol),0))</f>
        <v>0</v>
      </c>
      <c r="AS182" s="48">
        <f>IF(AS$8=1,N(Reales!AS17),IF(AS$171=1,IF(AND(AND(40&gt;Corte,40&lt;=Corte+n_Ventana),ISNUMBER(Detalle_24m!AS$19)),Detalle_24m!AS$19,INDEX(Vol_V,6,AS$170)/12)*(1+V_dVol),0))</f>
        <v>0</v>
      </c>
      <c r="AT182" s="48">
        <f>IF(AT$8=1,N(Reales!AT17),IF(AT$171=1,IF(AND(AND(41&gt;Corte,41&lt;=Corte+n_Ventana),ISNUMBER(Detalle_24m!AT$19)),Detalle_24m!AT$19,INDEX(Vol_V,6,AT$170)/12)*(1+V_dVol),0))</f>
        <v>0</v>
      </c>
      <c r="AU182" s="48">
        <f>IF(AU$8=1,N(Reales!AU17),IF(AU$171=1,IF(AND(AND(42&gt;Corte,42&lt;=Corte+n_Ventana),ISNUMBER(Detalle_24m!AU$19)),Detalle_24m!AU$19,INDEX(Vol_V,6,AU$170)/12)*(1+V_dVol),0))</f>
        <v>0</v>
      </c>
      <c r="AV182" s="48">
        <f>IF(AV$8=1,N(Reales!AV17),IF(AV$171=1,IF(AND(AND(43&gt;Corte,43&lt;=Corte+n_Ventana),ISNUMBER(Detalle_24m!AV$19)),Detalle_24m!AV$19,INDEX(Vol_V,6,AV$170)/12)*(1+V_dVol),0))</f>
        <v>0</v>
      </c>
      <c r="AW182" s="48">
        <f>IF(AW$8=1,N(Reales!AW17),IF(AW$171=1,IF(AND(AND(44&gt;Corte,44&lt;=Corte+n_Ventana),ISNUMBER(Detalle_24m!AW$19)),Detalle_24m!AW$19,INDEX(Vol_V,6,AW$170)/12)*(1+V_dVol),0))</f>
        <v>0</v>
      </c>
      <c r="AX182" s="48">
        <f>IF(AX$8=1,N(Reales!AX17),IF(AX$171=1,IF(AND(AND(45&gt;Corte,45&lt;=Corte+n_Ventana),ISNUMBER(Detalle_24m!AX$19)),Detalle_24m!AX$19,INDEX(Vol_V,6,AX$170)/12)*(1+V_dVol),0))</f>
        <v>0</v>
      </c>
      <c r="AY182" s="48">
        <f>IF(AY$8=1,N(Reales!AY17),IF(AY$171=1,IF(AND(AND(46&gt;Corte,46&lt;=Corte+n_Ventana),ISNUMBER(Detalle_24m!AY$19)),Detalle_24m!AY$19,INDEX(Vol_V,6,AY$170)/12)*(1+V_dVol),0))</f>
        <v>0</v>
      </c>
      <c r="AZ182" s="48">
        <f>IF(AZ$8=1,N(Reales!AZ17),IF(AZ$171=1,IF(AND(AND(47&gt;Corte,47&lt;=Corte+n_Ventana),ISNUMBER(Detalle_24m!AZ$19)),Detalle_24m!AZ$19,INDEX(Vol_V,6,AZ$170)/12)*(1+V_dVol),0))</f>
        <v>0</v>
      </c>
      <c r="BA182" s="48">
        <f>IF(BA$8=1,N(Reales!BA17),IF(BA$171=1,IF(AND(AND(48&gt;Corte,48&lt;=Corte+n_Ventana),ISNUMBER(Detalle_24m!BA$19)),Detalle_24m!BA$19,INDEX(Vol_V,6,BA$170)/12)*(1+V_dVol),0))</f>
        <v>0</v>
      </c>
      <c r="BB182" s="48">
        <f>IF(BB$8=1,N(Reales!BB17),IF(BB$171=1,IF(AND(AND(49&gt;Corte,49&lt;=Corte+n_Ventana),ISNUMBER(Detalle_24m!BB$19)),Detalle_24m!BB$19,INDEX(Vol_V,6,BB$170)/12)*(1+V_dVol),0))</f>
        <v>0</v>
      </c>
      <c r="BC182" s="48">
        <f>IF(BC$8=1,N(Reales!BC17),IF(BC$171=1,IF(AND(AND(50&gt;Corte,50&lt;=Corte+n_Ventana),ISNUMBER(Detalle_24m!BC$19)),Detalle_24m!BC$19,INDEX(Vol_V,6,BC$170)/12)*(1+V_dVol),0))</f>
        <v>0</v>
      </c>
      <c r="BD182" s="48">
        <f>IF(BD$8=1,N(Reales!BD17),IF(BD$171=1,IF(AND(AND(51&gt;Corte,51&lt;=Corte+n_Ventana),ISNUMBER(Detalle_24m!BD$19)),Detalle_24m!BD$19,INDEX(Vol_V,6,BD$170)/12)*(1+V_dVol),0))</f>
        <v>0</v>
      </c>
      <c r="BE182" s="48">
        <f>IF(BE$8=1,N(Reales!BE17),IF(BE$171=1,IF(AND(AND(52&gt;Corte,52&lt;=Corte+n_Ventana),ISNUMBER(Detalle_24m!BE$19)),Detalle_24m!BE$19,INDEX(Vol_V,6,BE$170)/12)*(1+V_dVol),0))</f>
        <v>0</v>
      </c>
      <c r="BF182" s="48">
        <f>IF(BF$8=1,N(Reales!BF17),IF(BF$171=1,IF(AND(AND(53&gt;Corte,53&lt;=Corte+n_Ventana),ISNUMBER(Detalle_24m!BF$19)),Detalle_24m!BF$19,INDEX(Vol_V,6,BF$170)/12)*(1+V_dVol),0))</f>
        <v>0</v>
      </c>
      <c r="BG182" s="48">
        <f>IF(BG$8=1,N(Reales!BG17),IF(BG$171=1,IF(AND(AND(54&gt;Corte,54&lt;=Corte+n_Ventana),ISNUMBER(Detalle_24m!BG$19)),Detalle_24m!BG$19,INDEX(Vol_V,6,BG$170)/12)*(1+V_dVol),0))</f>
        <v>0</v>
      </c>
      <c r="BH182" s="48">
        <f>IF(BH$8=1,N(Reales!BH17),IF(BH$171=1,IF(AND(AND(55&gt;Corte,55&lt;=Corte+n_Ventana),ISNUMBER(Detalle_24m!BH$19)),Detalle_24m!BH$19,INDEX(Vol_V,6,BH$170)/12)*(1+V_dVol),0))</f>
        <v>0</v>
      </c>
      <c r="BI182" s="48">
        <f>IF(BI$8=1,N(Reales!BI17),IF(BI$171=1,IF(AND(AND(56&gt;Corte,56&lt;=Corte+n_Ventana),ISNUMBER(Detalle_24m!BI$19)),Detalle_24m!BI$19,INDEX(Vol_V,6,BI$170)/12)*(1+V_dVol),0))</f>
        <v>0</v>
      </c>
      <c r="BJ182" s="48">
        <f>IF(BJ$8=1,N(Reales!BJ17),IF(BJ$171=1,IF(AND(AND(57&gt;Corte,57&lt;=Corte+n_Ventana),ISNUMBER(Detalle_24m!BJ$19)),Detalle_24m!BJ$19,INDEX(Vol_V,6,BJ$170)/12)*(1+V_dVol),0))</f>
        <v>0</v>
      </c>
      <c r="BK182" s="48">
        <f>IF(BK$8=1,N(Reales!BK17),IF(BK$171=1,IF(AND(AND(58&gt;Corte,58&lt;=Corte+n_Ventana),ISNUMBER(Detalle_24m!BK$19)),Detalle_24m!BK$19,INDEX(Vol_V,6,BK$170)/12)*(1+V_dVol),0))</f>
        <v>0</v>
      </c>
      <c r="BL182" s="48">
        <f>IF(BL$8=1,N(Reales!BL17),IF(BL$171=1,IF(AND(AND(59&gt;Corte,59&lt;=Corte+n_Ventana),ISNUMBER(Detalle_24m!BL$19)),Detalle_24m!BL$19,INDEX(Vol_V,6,BL$170)/12)*(1+V_dVol),0))</f>
        <v>0</v>
      </c>
      <c r="BM182" s="48">
        <f>IF(BM$8=1,N(Reales!BM17),IF(BM$171=1,IF(AND(AND(60&gt;Corte,60&lt;=Corte+n_Ventana),ISNUMBER(Detalle_24m!BM$19)),Detalle_24m!BM$19,INDEX(Vol_V,6,BM$170)/12)*(1+V_dVol),0))</f>
        <v>0</v>
      </c>
      <c r="BN182" s="48">
        <f>IF(BN$8=1,N(Reales!BN17),IF(BN$171=1,IF(AND(AND(61&gt;Corte,61&lt;=Corte+n_Ventana),ISNUMBER(Detalle_24m!BN$19)),Detalle_24m!BN$19,INDEX(Vol_V,6,BN$170)/12)*(1+V_dVol),0))</f>
        <v>0</v>
      </c>
      <c r="BO182" s="48">
        <f>IF(BO$8=1,N(Reales!BO17),IF(BO$171=1,IF(AND(AND(62&gt;Corte,62&lt;=Corte+n_Ventana),ISNUMBER(Detalle_24m!BO$19)),Detalle_24m!BO$19,INDEX(Vol_V,6,BO$170)/12)*(1+V_dVol),0))</f>
        <v>0</v>
      </c>
      <c r="BP182" s="48">
        <f>IF(BP$8=1,N(Reales!BP17),IF(BP$171=1,IF(AND(AND(63&gt;Corte,63&lt;=Corte+n_Ventana),ISNUMBER(Detalle_24m!BP$19)),Detalle_24m!BP$19,INDEX(Vol_V,6,BP$170)/12)*(1+V_dVol),0))</f>
        <v>0</v>
      </c>
      <c r="BQ182" s="48">
        <f>IF(BQ$8=1,N(Reales!BQ17),IF(BQ$171=1,IF(AND(AND(64&gt;Corte,64&lt;=Corte+n_Ventana),ISNUMBER(Detalle_24m!BQ$19)),Detalle_24m!BQ$19,INDEX(Vol_V,6,BQ$170)/12)*(1+V_dVol),0))</f>
        <v>0</v>
      </c>
      <c r="BR182" s="48">
        <f>IF(BR$8=1,N(Reales!BR17),IF(BR$171=1,IF(AND(AND(65&gt;Corte,65&lt;=Corte+n_Ventana),ISNUMBER(Detalle_24m!BR$19)),Detalle_24m!BR$19,INDEX(Vol_V,6,BR$170)/12)*(1+V_dVol),0))</f>
        <v>0</v>
      </c>
      <c r="BS182" s="48">
        <f>IF(BS$8=1,N(Reales!BS17),IF(BS$171=1,IF(AND(AND(66&gt;Corte,66&lt;=Corte+n_Ventana),ISNUMBER(Detalle_24m!BS$19)),Detalle_24m!BS$19,INDEX(Vol_V,6,BS$170)/12)*(1+V_dVol),0))</f>
        <v>0</v>
      </c>
      <c r="BT182" s="48">
        <f>IF(BT$8=1,N(Reales!BT17),IF(BT$171=1,IF(AND(AND(67&gt;Corte,67&lt;=Corte+n_Ventana),ISNUMBER(Detalle_24m!BT$19)),Detalle_24m!BT$19,INDEX(Vol_V,6,BT$170)/12)*(1+V_dVol),0))</f>
        <v>0</v>
      </c>
      <c r="BU182" s="48">
        <f>IF(BU$8=1,N(Reales!BU17),IF(BU$171=1,IF(AND(AND(68&gt;Corte,68&lt;=Corte+n_Ventana),ISNUMBER(Detalle_24m!BU$19)),Detalle_24m!BU$19,INDEX(Vol_V,6,BU$170)/12)*(1+V_dVol),0))</f>
        <v>0</v>
      </c>
      <c r="BV182" s="48">
        <f>IF(BV$8=1,N(Reales!BV17),IF(BV$171=1,IF(AND(AND(69&gt;Corte,69&lt;=Corte+n_Ventana),ISNUMBER(Detalle_24m!BV$19)),Detalle_24m!BV$19,INDEX(Vol_V,6,BV$170)/12)*(1+V_dVol),0))</f>
        <v>0</v>
      </c>
      <c r="BW182" s="48">
        <f>IF(BW$8=1,N(Reales!BW17),IF(BW$171=1,IF(AND(AND(70&gt;Corte,70&lt;=Corte+n_Ventana),ISNUMBER(Detalle_24m!BW$19)),Detalle_24m!BW$19,INDEX(Vol_V,6,BW$170)/12)*(1+V_dVol),0))</f>
        <v>0</v>
      </c>
      <c r="BX182" s="48">
        <f>IF(BX$8=1,N(Reales!BX17),IF(BX$171=1,IF(AND(AND(71&gt;Corte,71&lt;=Corte+n_Ventana),ISNUMBER(Detalle_24m!BX$19)),Detalle_24m!BX$19,INDEX(Vol_V,6,BX$170)/12)*(1+V_dVol),0))</f>
        <v>0</v>
      </c>
      <c r="BY182" s="48">
        <f>IF(BY$8=1,N(Reales!BY17),IF(BY$171=1,IF(AND(AND(72&gt;Corte,72&lt;=Corte+n_Ventana),ISNUMBER(Detalle_24m!BY$19)),Detalle_24m!BY$19,INDEX(Vol_V,6,BY$170)/12)*(1+V_dVol),0))</f>
        <v>0</v>
      </c>
      <c r="BZ182" s="48">
        <f>IF(BZ$8=1,N(Reales!BZ17),IF(BZ$171=1,IF(AND(AND(73&gt;Corte,73&lt;=Corte+n_Ventana),ISNUMBER(Detalle_24m!BZ$19)),Detalle_24m!BZ$19,INDEX(Vol_V,6,BZ$170)/12)*(1+V_dVol),0))</f>
        <v>0</v>
      </c>
      <c r="CA182" s="48">
        <f>IF(CA$8=1,N(Reales!CA17),IF(CA$171=1,IF(AND(AND(74&gt;Corte,74&lt;=Corte+n_Ventana),ISNUMBER(Detalle_24m!CA$19)),Detalle_24m!CA$19,INDEX(Vol_V,6,CA$170)/12)*(1+V_dVol),0))</f>
        <v>0</v>
      </c>
      <c r="CB182" s="48">
        <f>IF(CB$8=1,N(Reales!CB17),IF(CB$171=1,IF(AND(AND(75&gt;Corte,75&lt;=Corte+n_Ventana),ISNUMBER(Detalle_24m!CB$19)),Detalle_24m!CB$19,INDEX(Vol_V,6,CB$170)/12)*(1+V_dVol),0))</f>
        <v>0</v>
      </c>
      <c r="CC182" s="48">
        <f>IF(CC$8=1,N(Reales!CC17),IF(CC$171=1,IF(AND(AND(76&gt;Corte,76&lt;=Corte+n_Ventana),ISNUMBER(Detalle_24m!CC$19)),Detalle_24m!CC$19,INDEX(Vol_V,6,CC$170)/12)*(1+V_dVol),0))</f>
        <v>0</v>
      </c>
      <c r="CD182" s="48">
        <f>IF(CD$8=1,N(Reales!CD17),IF(CD$171=1,IF(AND(AND(77&gt;Corte,77&lt;=Corte+n_Ventana),ISNUMBER(Detalle_24m!CD$19)),Detalle_24m!CD$19,INDEX(Vol_V,6,CD$170)/12)*(1+V_dVol),0))</f>
        <v>0</v>
      </c>
      <c r="CE182" s="48">
        <f>IF(CE$8=1,N(Reales!CE17),IF(CE$171=1,IF(AND(AND(78&gt;Corte,78&lt;=Corte+n_Ventana),ISNUMBER(Detalle_24m!CE$19)),Detalle_24m!CE$19,INDEX(Vol_V,6,CE$170)/12)*(1+V_dVol),0))</f>
        <v>0</v>
      </c>
      <c r="CF182" s="48">
        <f>IF(CF$8=1,N(Reales!CF17),IF(CF$171=1,IF(AND(AND(79&gt;Corte,79&lt;=Corte+n_Ventana),ISNUMBER(Detalle_24m!CF$19)),Detalle_24m!CF$19,INDEX(Vol_V,6,CF$170)/12)*(1+V_dVol),0))</f>
        <v>0</v>
      </c>
      <c r="CG182" s="48">
        <f>IF(CG$8=1,N(Reales!CG17),IF(CG$171=1,IF(AND(AND(80&gt;Corte,80&lt;=Corte+n_Ventana),ISNUMBER(Detalle_24m!CG$19)),Detalle_24m!CG$19,INDEX(Vol_V,6,CG$170)/12)*(1+V_dVol),0))</f>
        <v>0</v>
      </c>
      <c r="CH182" s="48">
        <f>IF(CH$8=1,N(Reales!CH17),IF(CH$171=1,IF(AND(AND(81&gt;Corte,81&lt;=Corte+n_Ventana),ISNUMBER(Detalle_24m!CH$19)),Detalle_24m!CH$19,INDEX(Vol_V,6,CH$170)/12)*(1+V_dVol),0))</f>
        <v>0</v>
      </c>
      <c r="CI182" s="48">
        <f>IF(CI$8=1,N(Reales!CI17),IF(CI$171=1,IF(AND(AND(82&gt;Corte,82&lt;=Corte+n_Ventana),ISNUMBER(Detalle_24m!CI$19)),Detalle_24m!CI$19,INDEX(Vol_V,6,CI$170)/12)*(1+V_dVol),0))</f>
        <v>0</v>
      </c>
      <c r="CJ182" s="48">
        <f>IF(CJ$8=1,N(Reales!CJ17),IF(CJ$171=1,IF(AND(AND(83&gt;Corte,83&lt;=Corte+n_Ventana),ISNUMBER(Detalle_24m!CJ$19)),Detalle_24m!CJ$19,INDEX(Vol_V,6,CJ$170)/12)*(1+V_dVol),0))</f>
        <v>0</v>
      </c>
      <c r="CK182" s="48">
        <f>IF(CK$8=1,N(Reales!CK17),IF(CK$171=1,IF(AND(AND(84&gt;Corte,84&lt;=Corte+n_Ventana),ISNUMBER(Detalle_24m!CK$19)),Detalle_24m!CK$19,INDEX(Vol_V,6,CK$170)/12)*(1+V_dVol),0))</f>
        <v>0</v>
      </c>
      <c r="CL182" s="48">
        <f>IF(CL$8=1,N(Reales!CL17),IF(CL$171=1,IF(AND(AND(85&gt;Corte,85&lt;=Corte+n_Ventana),ISNUMBER(Detalle_24m!CL$19)),Detalle_24m!CL$19,INDEX(Vol_V,6,CL$170)/12)*(1+V_dVol),0))</f>
        <v>0</v>
      </c>
      <c r="CM182" s="48">
        <f>IF(CM$8=1,N(Reales!CM17),IF(CM$171=1,IF(AND(AND(86&gt;Corte,86&lt;=Corte+n_Ventana),ISNUMBER(Detalle_24m!CM$19)),Detalle_24m!CM$19,INDEX(Vol_V,6,CM$170)/12)*(1+V_dVol),0))</f>
        <v>0</v>
      </c>
      <c r="CN182" s="48">
        <f>IF(CN$8=1,N(Reales!CN17),IF(CN$171=1,IF(AND(AND(87&gt;Corte,87&lt;=Corte+n_Ventana),ISNUMBER(Detalle_24m!CN$19)),Detalle_24m!CN$19,INDEX(Vol_V,6,CN$170)/12)*(1+V_dVol),0))</f>
        <v>0</v>
      </c>
      <c r="CO182" s="48">
        <f>IF(CO$8=1,N(Reales!CO17),IF(CO$171=1,IF(AND(AND(88&gt;Corte,88&lt;=Corte+n_Ventana),ISNUMBER(Detalle_24m!CO$19)),Detalle_24m!CO$19,INDEX(Vol_V,6,CO$170)/12)*(1+V_dVol),0))</f>
        <v>0</v>
      </c>
      <c r="CP182" s="48">
        <f>IF(CP$8=1,N(Reales!CP17),IF(CP$171=1,IF(AND(AND(89&gt;Corte,89&lt;=Corte+n_Ventana),ISNUMBER(Detalle_24m!CP$19)),Detalle_24m!CP$19,INDEX(Vol_V,6,CP$170)/12)*(1+V_dVol),0))</f>
        <v>0</v>
      </c>
      <c r="CQ182" s="48">
        <f>IF(CQ$8=1,N(Reales!CQ17),IF(CQ$171=1,IF(AND(AND(90&gt;Corte,90&lt;=Corte+n_Ventana),ISNUMBER(Detalle_24m!CQ$19)),Detalle_24m!CQ$19,INDEX(Vol_V,6,CQ$170)/12)*(1+V_dVol),0))</f>
        <v>0</v>
      </c>
      <c r="CR182" s="48">
        <f>IF(CR$8=1,N(Reales!CR17),IF(CR$171=1,IF(AND(AND(91&gt;Corte,91&lt;=Corte+n_Ventana),ISNUMBER(Detalle_24m!CR$19)),Detalle_24m!CR$19,INDEX(Vol_V,6,CR$170)/12)*(1+V_dVol),0))</f>
        <v>0</v>
      </c>
      <c r="CS182" s="48">
        <f>IF(CS$8=1,N(Reales!CS17),IF(CS$171=1,IF(AND(AND(92&gt;Corte,92&lt;=Corte+n_Ventana),ISNUMBER(Detalle_24m!CS$19)),Detalle_24m!CS$19,INDEX(Vol_V,6,CS$170)/12)*(1+V_dVol),0))</f>
        <v>0</v>
      </c>
      <c r="CT182" s="48">
        <f>IF(CT$8=1,N(Reales!CT17),IF(CT$171=1,IF(AND(AND(93&gt;Corte,93&lt;=Corte+n_Ventana),ISNUMBER(Detalle_24m!CT$19)),Detalle_24m!CT$19,INDEX(Vol_V,6,CT$170)/12)*(1+V_dVol),0))</f>
        <v>0</v>
      </c>
      <c r="CU182" s="48">
        <f>IF(CU$8=1,N(Reales!CU17),IF(CU$171=1,IF(AND(AND(94&gt;Corte,94&lt;=Corte+n_Ventana),ISNUMBER(Detalle_24m!CU$19)),Detalle_24m!CU$19,INDEX(Vol_V,6,CU$170)/12)*(1+V_dVol),0))</f>
        <v>0</v>
      </c>
      <c r="CV182" s="48">
        <f>IF(CV$8=1,N(Reales!CV17),IF(CV$171=1,IF(AND(AND(95&gt;Corte,95&lt;=Corte+n_Ventana),ISNUMBER(Detalle_24m!CV$19)),Detalle_24m!CV$19,INDEX(Vol_V,6,CV$170)/12)*(1+V_dVol),0))</f>
        <v>0</v>
      </c>
      <c r="CW182" s="48">
        <f>IF(CW$8=1,N(Reales!CW17),IF(CW$171=1,IF(AND(AND(96&gt;Corte,96&lt;=Corte+n_Ventana),ISNUMBER(Detalle_24m!CW$19)),Detalle_24m!CW$19,INDEX(Vol_V,6,CW$170)/12)*(1+V_dVol),0))</f>
        <v>0</v>
      </c>
      <c r="CX182" s="48">
        <f>IF(CX$8=1,N(Reales!CX17),IF(CX$171=1,IF(AND(AND(97&gt;Corte,97&lt;=Corte+n_Ventana),ISNUMBER(Detalle_24m!CX$19)),Detalle_24m!CX$19,INDEX(Vol_V,6,CX$170)/12)*(1+V_dVol),0))</f>
        <v>0</v>
      </c>
      <c r="CY182" s="48">
        <f>IF(CY$8=1,N(Reales!CY17),IF(CY$171=1,IF(AND(AND(98&gt;Corte,98&lt;=Corte+n_Ventana),ISNUMBER(Detalle_24m!CY$19)),Detalle_24m!CY$19,INDEX(Vol_V,6,CY$170)/12)*(1+V_dVol),0))</f>
        <v>0</v>
      </c>
      <c r="CZ182" s="48">
        <f>IF(CZ$8=1,N(Reales!CZ17),IF(CZ$171=1,IF(AND(AND(99&gt;Corte,99&lt;=Corte+n_Ventana),ISNUMBER(Detalle_24m!CZ$19)),Detalle_24m!CZ$19,INDEX(Vol_V,6,CZ$170)/12)*(1+V_dVol),0))</f>
        <v>0</v>
      </c>
      <c r="DA182" s="48">
        <f>IF(DA$8=1,N(Reales!DA17),IF(DA$171=1,IF(AND(AND(100&gt;Corte,100&lt;=Corte+n_Ventana),ISNUMBER(Detalle_24m!DA$19)),Detalle_24m!DA$19,INDEX(Vol_V,6,DA$170)/12)*(1+V_dVol),0))</f>
        <v>0</v>
      </c>
      <c r="DB182" s="48">
        <f>IF(DB$8=1,N(Reales!DB17),IF(DB$171=1,IF(AND(AND(101&gt;Corte,101&lt;=Corte+n_Ventana),ISNUMBER(Detalle_24m!DB$19)),Detalle_24m!DB$19,INDEX(Vol_V,6,DB$170)/12)*(1+V_dVol),0))</f>
        <v>0</v>
      </c>
      <c r="DC182" s="48">
        <f>IF(DC$8=1,N(Reales!DC17),IF(DC$171=1,IF(AND(AND(102&gt;Corte,102&lt;=Corte+n_Ventana),ISNUMBER(Detalle_24m!DC$19)),Detalle_24m!DC$19,INDEX(Vol_V,6,DC$170)/12)*(1+V_dVol),0))</f>
        <v>0</v>
      </c>
      <c r="DD182" s="48">
        <f>IF(DD$8=1,N(Reales!DD17),IF(DD$171=1,IF(AND(AND(103&gt;Corte,103&lt;=Corte+n_Ventana),ISNUMBER(Detalle_24m!DD$19)),Detalle_24m!DD$19,INDEX(Vol_V,6,DD$170)/12)*(1+V_dVol),0))</f>
        <v>0</v>
      </c>
      <c r="DE182" s="48">
        <f>IF(DE$8=1,N(Reales!DE17),IF(DE$171=1,IF(AND(AND(104&gt;Corte,104&lt;=Corte+n_Ventana),ISNUMBER(Detalle_24m!DE$19)),Detalle_24m!DE$19,INDEX(Vol_V,6,DE$170)/12)*(1+V_dVol),0))</f>
        <v>0</v>
      </c>
      <c r="DF182" s="48">
        <f>IF(DF$8=1,N(Reales!DF17),IF(DF$171=1,IF(AND(AND(105&gt;Corte,105&lt;=Corte+n_Ventana),ISNUMBER(Detalle_24m!DF$19)),Detalle_24m!DF$19,INDEX(Vol_V,6,DF$170)/12)*(1+V_dVol),0))</f>
        <v>0</v>
      </c>
      <c r="DG182" s="48">
        <f>IF(DG$8=1,N(Reales!DG17),IF(DG$171=1,IF(AND(AND(106&gt;Corte,106&lt;=Corte+n_Ventana),ISNUMBER(Detalle_24m!DG$19)),Detalle_24m!DG$19,INDEX(Vol_V,6,DG$170)/12)*(1+V_dVol),0))</f>
        <v>0</v>
      </c>
      <c r="DH182" s="48">
        <f>IF(DH$8=1,N(Reales!DH17),IF(DH$171=1,IF(AND(AND(107&gt;Corte,107&lt;=Corte+n_Ventana),ISNUMBER(Detalle_24m!DH$19)),Detalle_24m!DH$19,INDEX(Vol_V,6,DH$170)/12)*(1+V_dVol),0))</f>
        <v>0</v>
      </c>
      <c r="DI182" s="48">
        <f>IF(DI$8=1,N(Reales!DI17),IF(DI$171=1,IF(AND(AND(108&gt;Corte,108&lt;=Corte+n_Ventana),ISNUMBER(Detalle_24m!DI$19)),Detalle_24m!DI$19,INDEX(Vol_V,6,DI$170)/12)*(1+V_dVol),0))</f>
        <v>0</v>
      </c>
      <c r="DJ182" s="48">
        <f>IF(DJ$8=1,N(Reales!DJ17),IF(DJ$171=1,IF(AND(AND(109&gt;Corte,109&lt;=Corte+n_Ventana),ISNUMBER(Detalle_24m!DJ$19)),Detalle_24m!DJ$19,INDEX(Vol_V,6,DJ$170)/12)*(1+V_dVol),0))</f>
        <v>0</v>
      </c>
      <c r="DK182" s="48">
        <f>IF(DK$8=1,N(Reales!DK17),IF(DK$171=1,IF(AND(AND(110&gt;Corte,110&lt;=Corte+n_Ventana),ISNUMBER(Detalle_24m!DK$19)),Detalle_24m!DK$19,INDEX(Vol_V,6,DK$170)/12)*(1+V_dVol),0))</f>
        <v>0</v>
      </c>
      <c r="DL182" s="48">
        <f>IF(DL$8=1,N(Reales!DL17),IF(DL$171=1,IF(AND(AND(111&gt;Corte,111&lt;=Corte+n_Ventana),ISNUMBER(Detalle_24m!DL$19)),Detalle_24m!DL$19,INDEX(Vol_V,6,DL$170)/12)*(1+V_dVol),0))</f>
        <v>0</v>
      </c>
      <c r="DM182" s="48">
        <f>IF(DM$8=1,N(Reales!DM17),IF(DM$171=1,IF(AND(AND(112&gt;Corte,112&lt;=Corte+n_Ventana),ISNUMBER(Detalle_24m!DM$19)),Detalle_24m!DM$19,INDEX(Vol_V,6,DM$170)/12)*(1+V_dVol),0))</f>
        <v>0</v>
      </c>
      <c r="DN182" s="48">
        <f>IF(DN$8=1,N(Reales!DN17),IF(DN$171=1,IF(AND(AND(113&gt;Corte,113&lt;=Corte+n_Ventana),ISNUMBER(Detalle_24m!DN$19)),Detalle_24m!DN$19,INDEX(Vol_V,6,DN$170)/12)*(1+V_dVol),0))</f>
        <v>0</v>
      </c>
      <c r="DO182" s="48">
        <f>IF(DO$8=1,N(Reales!DO17),IF(DO$171=1,IF(AND(AND(114&gt;Corte,114&lt;=Corte+n_Ventana),ISNUMBER(Detalle_24m!DO$19)),Detalle_24m!DO$19,INDEX(Vol_V,6,DO$170)/12)*(1+V_dVol),0))</f>
        <v>0</v>
      </c>
      <c r="DP182" s="48">
        <f>IF(DP$8=1,N(Reales!DP17),IF(DP$171=1,IF(AND(AND(115&gt;Corte,115&lt;=Corte+n_Ventana),ISNUMBER(Detalle_24m!DP$19)),Detalle_24m!DP$19,INDEX(Vol_V,6,DP$170)/12)*(1+V_dVol),0))</f>
        <v>0</v>
      </c>
      <c r="DQ182" s="48">
        <f>IF(DQ$8=1,N(Reales!DQ17),IF(DQ$171=1,IF(AND(AND(116&gt;Corte,116&lt;=Corte+n_Ventana),ISNUMBER(Detalle_24m!DQ$19)),Detalle_24m!DQ$19,INDEX(Vol_V,6,DQ$170)/12)*(1+V_dVol),0))</f>
        <v>0</v>
      </c>
      <c r="DR182" s="48">
        <f>IF(DR$8=1,N(Reales!DR17),IF(DR$171=1,IF(AND(AND(117&gt;Corte,117&lt;=Corte+n_Ventana),ISNUMBER(Detalle_24m!DR$19)),Detalle_24m!DR$19,INDEX(Vol_V,6,DR$170)/12)*(1+V_dVol),0))</f>
        <v>0</v>
      </c>
      <c r="DS182" s="48">
        <f>IF(DS$8=1,N(Reales!DS17),IF(DS$171=1,IF(AND(AND(118&gt;Corte,118&lt;=Corte+n_Ventana),ISNUMBER(Detalle_24m!DS$19)),Detalle_24m!DS$19,INDEX(Vol_V,6,DS$170)/12)*(1+V_dVol),0))</f>
        <v>0</v>
      </c>
      <c r="DT182" s="48">
        <f>IF(DT$8=1,N(Reales!DT17),IF(DT$171=1,IF(AND(AND(119&gt;Corte,119&lt;=Corte+n_Ventana),ISNUMBER(Detalle_24m!DT$19)),Detalle_24m!DT$19,INDEX(Vol_V,6,DT$170)/12)*(1+V_dVol),0))</f>
        <v>0</v>
      </c>
      <c r="DU182" s="48">
        <f>IF(DU$8=1,N(Reales!DU17),IF(DU$171=1,IF(AND(AND(120&gt;Corte,120&lt;=Corte+n_Ventana),ISNUMBER(Detalle_24m!DU$19)),Detalle_24m!DU$19,INDEX(Vol_V,6,DU$170)/12)*(1+V_dVol),0))</f>
        <v>0</v>
      </c>
      <c r="DV182" s="48">
        <f>IF(DV$8=1,N(Reales!DV17),IF(DV$171=1,IF(AND(AND(121&gt;Corte,121&lt;=Corte+n_Ventana),ISNUMBER(Detalle_24m!DV$19)),Detalle_24m!DV$19,INDEX(Vol_V,6,DV$170)/12)*(1+V_dVol),0))</f>
        <v>0</v>
      </c>
      <c r="DW182" s="48">
        <f>IF(DW$8=1,N(Reales!DW17),IF(DW$171=1,IF(AND(AND(122&gt;Corte,122&lt;=Corte+n_Ventana),ISNUMBER(Detalle_24m!DW$19)),Detalle_24m!DW$19,INDEX(Vol_V,6,DW$170)/12)*(1+V_dVol),0))</f>
        <v>0</v>
      </c>
      <c r="DX182" s="48">
        <f>IF(DX$8=1,N(Reales!DX17),IF(DX$171=1,IF(AND(AND(123&gt;Corte,123&lt;=Corte+n_Ventana),ISNUMBER(Detalle_24m!DX$19)),Detalle_24m!DX$19,INDEX(Vol_V,6,DX$170)/12)*(1+V_dVol),0))</f>
        <v>0</v>
      </c>
      <c r="DY182" s="48">
        <f>IF(DY$8=1,N(Reales!DY17),IF(DY$171=1,IF(AND(AND(124&gt;Corte,124&lt;=Corte+n_Ventana),ISNUMBER(Detalle_24m!DY$19)),Detalle_24m!DY$19,INDEX(Vol_V,6,DY$170)/12)*(1+V_dVol),0))</f>
        <v>0</v>
      </c>
      <c r="DZ182" s="48">
        <f>IF(DZ$8=1,N(Reales!DZ17),IF(DZ$171=1,IF(AND(AND(125&gt;Corte,125&lt;=Corte+n_Ventana),ISNUMBER(Detalle_24m!DZ$19)),Detalle_24m!DZ$19,INDEX(Vol_V,6,DZ$170)/12)*(1+V_dVol),0))</f>
        <v>0</v>
      </c>
      <c r="EA182" s="48">
        <f>IF(EA$8=1,N(Reales!EA17),IF(EA$171=1,IF(AND(AND(126&gt;Corte,126&lt;=Corte+n_Ventana),ISNUMBER(Detalle_24m!EA$19)),Detalle_24m!EA$19,INDEX(Vol_V,6,EA$170)/12)*(1+V_dVol),0))</f>
        <v>0</v>
      </c>
      <c r="EB182" s="48">
        <f>IF(EB$8=1,N(Reales!EB17),IF(EB$171=1,IF(AND(AND(127&gt;Corte,127&lt;=Corte+n_Ventana),ISNUMBER(Detalle_24m!EB$19)),Detalle_24m!EB$19,INDEX(Vol_V,6,EB$170)/12)*(1+V_dVol),0))</f>
        <v>0</v>
      </c>
      <c r="EC182" s="48">
        <f>IF(EC$8=1,N(Reales!EC17),IF(EC$171=1,IF(AND(AND(128&gt;Corte,128&lt;=Corte+n_Ventana),ISNUMBER(Detalle_24m!EC$19)),Detalle_24m!EC$19,INDEX(Vol_V,6,EC$170)/12)*(1+V_dVol),0))</f>
        <v>0</v>
      </c>
      <c r="ED182" s="48">
        <f>IF(ED$8=1,N(Reales!ED17),IF(ED$171=1,IF(AND(AND(129&gt;Corte,129&lt;=Corte+n_Ventana),ISNUMBER(Detalle_24m!ED$19)),Detalle_24m!ED$19,INDEX(Vol_V,6,ED$170)/12)*(1+V_dVol),0))</f>
        <v>0</v>
      </c>
      <c r="EE182" s="48">
        <f>IF(EE$8=1,N(Reales!EE17),IF(EE$171=1,IF(AND(AND(130&gt;Corte,130&lt;=Corte+n_Ventana),ISNUMBER(Detalle_24m!EE$19)),Detalle_24m!EE$19,INDEX(Vol_V,6,EE$170)/12)*(1+V_dVol),0))</f>
        <v>0</v>
      </c>
      <c r="EF182" s="48">
        <f>IF(EF$8=1,N(Reales!EF17),IF(EF$171=1,IF(AND(AND(131&gt;Corte,131&lt;=Corte+n_Ventana),ISNUMBER(Detalle_24m!EF$19)),Detalle_24m!EF$19,INDEX(Vol_V,6,EF$170)/12)*(1+V_dVol),0))</f>
        <v>0</v>
      </c>
      <c r="EG182" s="48">
        <f>IF(EG$8=1,N(Reales!EG17),IF(EG$171=1,IF(AND(AND(132&gt;Corte,132&lt;=Corte+n_Ventana),ISNUMBER(Detalle_24m!EG$19)),Detalle_24m!EG$19,INDEX(Vol_V,6,EG$170)/12)*(1+V_dVol),0))</f>
        <v>0</v>
      </c>
      <c r="EH182" s="48">
        <f>IF(EH$8=1,N(Reales!EH17),IF(EH$171=1,IF(AND(AND(133&gt;Corte,133&lt;=Corte+n_Ventana),ISNUMBER(Detalle_24m!EH$19)),Detalle_24m!EH$19,INDEX(Vol_V,6,EH$170)/12)*(1+V_dVol),0))</f>
        <v>0</v>
      </c>
      <c r="EI182" s="48">
        <f>IF(EI$8=1,N(Reales!EI17),IF(EI$171=1,IF(AND(AND(134&gt;Corte,134&lt;=Corte+n_Ventana),ISNUMBER(Detalle_24m!EI$19)),Detalle_24m!EI$19,INDEX(Vol_V,6,EI$170)/12)*(1+V_dVol),0))</f>
        <v>0</v>
      </c>
      <c r="EJ182" s="48">
        <f>IF(EJ$8=1,N(Reales!EJ17),IF(EJ$171=1,IF(AND(AND(135&gt;Corte,135&lt;=Corte+n_Ventana),ISNUMBER(Detalle_24m!EJ$19)),Detalle_24m!EJ$19,INDEX(Vol_V,6,EJ$170)/12)*(1+V_dVol),0))</f>
        <v>0</v>
      </c>
      <c r="EK182" s="48">
        <f>IF(EK$8=1,N(Reales!EK17),IF(EK$171=1,IF(AND(AND(136&gt;Corte,136&lt;=Corte+n_Ventana),ISNUMBER(Detalle_24m!EK$19)),Detalle_24m!EK$19,INDEX(Vol_V,6,EK$170)/12)*(1+V_dVol),0))</f>
        <v>0</v>
      </c>
      <c r="EL182" s="48">
        <f>IF(EL$8=1,N(Reales!EL17),IF(EL$171=1,IF(AND(AND(137&gt;Corte,137&lt;=Corte+n_Ventana),ISNUMBER(Detalle_24m!EL$19)),Detalle_24m!EL$19,INDEX(Vol_V,6,EL$170)/12)*(1+V_dVol),0))</f>
        <v>0</v>
      </c>
      <c r="EM182" s="48">
        <f>IF(EM$8=1,N(Reales!EM17),IF(EM$171=1,IF(AND(AND(138&gt;Corte,138&lt;=Corte+n_Ventana),ISNUMBER(Detalle_24m!EM$19)),Detalle_24m!EM$19,INDEX(Vol_V,6,EM$170)/12)*(1+V_dVol),0))</f>
        <v>0</v>
      </c>
      <c r="EN182" s="48">
        <f>IF(EN$8=1,N(Reales!EN17),IF(EN$171=1,IF(AND(AND(139&gt;Corte,139&lt;=Corte+n_Ventana),ISNUMBER(Detalle_24m!EN$19)),Detalle_24m!EN$19,INDEX(Vol_V,6,EN$170)/12)*(1+V_dVol),0))</f>
        <v>0</v>
      </c>
      <c r="EO182" s="48">
        <f>IF(EO$8=1,N(Reales!EO17),IF(EO$171=1,IF(AND(AND(140&gt;Corte,140&lt;=Corte+n_Ventana),ISNUMBER(Detalle_24m!EO$19)),Detalle_24m!EO$19,INDEX(Vol_V,6,EO$170)/12)*(1+V_dVol),0))</f>
        <v>0</v>
      </c>
      <c r="EP182" s="48">
        <f>IF(EP$8=1,N(Reales!EP17),IF(EP$171=1,IF(AND(AND(141&gt;Corte,141&lt;=Corte+n_Ventana),ISNUMBER(Detalle_24m!EP$19)),Detalle_24m!EP$19,INDEX(Vol_V,6,EP$170)/12)*(1+V_dVol),0))</f>
        <v>0</v>
      </c>
      <c r="EQ182" s="48">
        <f>IF(EQ$8=1,N(Reales!EQ17),IF(EQ$171=1,IF(AND(AND(142&gt;Corte,142&lt;=Corte+n_Ventana),ISNUMBER(Detalle_24m!EQ$19)),Detalle_24m!EQ$19,INDEX(Vol_V,6,EQ$170)/12)*(1+V_dVol),0))</f>
        <v>0</v>
      </c>
      <c r="ER182" s="48">
        <f>IF(ER$8=1,N(Reales!ER17),IF(ER$171=1,IF(AND(AND(143&gt;Corte,143&lt;=Corte+n_Ventana),ISNUMBER(Detalle_24m!ER$19)),Detalle_24m!ER$19,INDEX(Vol_V,6,ER$170)/12)*(1+V_dVol),0))</f>
        <v>0</v>
      </c>
      <c r="ES182" s="48">
        <f>IF(ES$8=1,N(Reales!ES17),IF(ES$171=1,IF(AND(AND(144&gt;Corte,144&lt;=Corte+n_Ventana),ISNUMBER(Detalle_24m!ES$19)),Detalle_24m!ES$19,INDEX(Vol_V,6,ES$170)/12)*(1+V_dVol),0))</f>
        <v>0</v>
      </c>
    </row>
    <row r="183" spans="1:149" x14ac:dyDescent="0.3">
      <c r="A183" s="14" t="s">
        <v>1238</v>
      </c>
      <c r="B183" s="53" t="str">
        <f>IF(INDEX(Prod_Nombre,7)="","Producto 7",INDEX(Prod_Nombre,7))&amp;" — unidades"</f>
        <v>Producto 7 — unidades</v>
      </c>
      <c r="C183" s="18" t="s">
        <v>475</v>
      </c>
      <c r="E183" s="54">
        <f t="shared" si="604"/>
        <v>0</v>
      </c>
      <c r="F183" s="48">
        <f>IF(F$8=1,N(Reales!F18),IF(F$171=1,IF(AND(AND(1&gt;Corte,1&lt;=Corte+n_Ventana),ISNUMBER(Detalle_24m!F$20)),Detalle_24m!F$20,INDEX(Vol_V,7,F$170)/12)*(1+V_dVol),0))</f>
        <v>0</v>
      </c>
      <c r="G183" s="48">
        <f>IF(G$8=1,N(Reales!G18),IF(G$171=1,IF(AND(AND(2&gt;Corte,2&lt;=Corte+n_Ventana),ISNUMBER(Detalle_24m!G$20)),Detalle_24m!G$20,INDEX(Vol_V,7,G$170)/12)*(1+V_dVol),0))</f>
        <v>0</v>
      </c>
      <c r="H183" s="48">
        <f>IF(H$8=1,N(Reales!H18),IF(H$171=1,IF(AND(AND(3&gt;Corte,3&lt;=Corte+n_Ventana),ISNUMBER(Detalle_24m!H$20)),Detalle_24m!H$20,INDEX(Vol_V,7,H$170)/12)*(1+V_dVol),0))</f>
        <v>0</v>
      </c>
      <c r="I183" s="48">
        <f>IF(I$8=1,N(Reales!I18),IF(I$171=1,IF(AND(AND(4&gt;Corte,4&lt;=Corte+n_Ventana),ISNUMBER(Detalle_24m!I$20)),Detalle_24m!I$20,INDEX(Vol_V,7,I$170)/12)*(1+V_dVol),0))</f>
        <v>0</v>
      </c>
      <c r="J183" s="48">
        <f>IF(J$8=1,N(Reales!J18),IF(J$171=1,IF(AND(AND(5&gt;Corte,5&lt;=Corte+n_Ventana),ISNUMBER(Detalle_24m!J$20)),Detalle_24m!J$20,INDEX(Vol_V,7,J$170)/12)*(1+V_dVol),0))</f>
        <v>0</v>
      </c>
      <c r="K183" s="48">
        <f>IF(K$8=1,N(Reales!K18),IF(K$171=1,IF(AND(AND(6&gt;Corte,6&lt;=Corte+n_Ventana),ISNUMBER(Detalle_24m!K$20)),Detalle_24m!K$20,INDEX(Vol_V,7,K$170)/12)*(1+V_dVol),0))</f>
        <v>0</v>
      </c>
      <c r="L183" s="48">
        <f>IF(L$8=1,N(Reales!L18),IF(L$171=1,IF(AND(AND(7&gt;Corte,7&lt;=Corte+n_Ventana),ISNUMBER(Detalle_24m!L$20)),Detalle_24m!L$20,INDEX(Vol_V,7,L$170)/12)*(1+V_dVol),0))</f>
        <v>0</v>
      </c>
      <c r="M183" s="48">
        <f>IF(M$8=1,N(Reales!M18),IF(M$171=1,IF(AND(AND(8&gt;Corte,8&lt;=Corte+n_Ventana),ISNUMBER(Detalle_24m!M$20)),Detalle_24m!M$20,INDEX(Vol_V,7,M$170)/12)*(1+V_dVol),0))</f>
        <v>0</v>
      </c>
      <c r="N183" s="48">
        <f>IF(N$8=1,N(Reales!N18),IF(N$171=1,IF(AND(AND(9&gt;Corte,9&lt;=Corte+n_Ventana),ISNUMBER(Detalle_24m!N$20)),Detalle_24m!N$20,INDEX(Vol_V,7,N$170)/12)*(1+V_dVol),0))</f>
        <v>0</v>
      </c>
      <c r="O183" s="48">
        <f>IF(O$8=1,N(Reales!O18),IF(O$171=1,IF(AND(AND(10&gt;Corte,10&lt;=Corte+n_Ventana),ISNUMBER(Detalle_24m!O$20)),Detalle_24m!O$20,INDEX(Vol_V,7,O$170)/12)*(1+V_dVol),0))</f>
        <v>0</v>
      </c>
      <c r="P183" s="48">
        <f>IF(P$8=1,N(Reales!P18),IF(P$171=1,IF(AND(AND(11&gt;Corte,11&lt;=Corte+n_Ventana),ISNUMBER(Detalle_24m!P$20)),Detalle_24m!P$20,INDEX(Vol_V,7,P$170)/12)*(1+V_dVol),0))</f>
        <v>0</v>
      </c>
      <c r="Q183" s="48">
        <f>IF(Q$8=1,N(Reales!Q18),IF(Q$171=1,IF(AND(AND(12&gt;Corte,12&lt;=Corte+n_Ventana),ISNUMBER(Detalle_24m!Q$20)),Detalle_24m!Q$20,INDEX(Vol_V,7,Q$170)/12)*(1+V_dVol),0))</f>
        <v>0</v>
      </c>
      <c r="R183" s="48">
        <f>IF(R$8=1,N(Reales!R18),IF(R$171=1,IF(AND(AND(13&gt;Corte,13&lt;=Corte+n_Ventana),ISNUMBER(Detalle_24m!R$20)),Detalle_24m!R$20,INDEX(Vol_V,7,R$170)/12)*(1+V_dVol),0))</f>
        <v>0</v>
      </c>
      <c r="S183" s="48">
        <f>IF(S$8=1,N(Reales!S18),IF(S$171=1,IF(AND(AND(14&gt;Corte,14&lt;=Corte+n_Ventana),ISNUMBER(Detalle_24m!S$20)),Detalle_24m!S$20,INDEX(Vol_V,7,S$170)/12)*(1+V_dVol),0))</f>
        <v>0</v>
      </c>
      <c r="T183" s="48">
        <f>IF(T$8=1,N(Reales!T18),IF(T$171=1,IF(AND(AND(15&gt;Corte,15&lt;=Corte+n_Ventana),ISNUMBER(Detalle_24m!T$20)),Detalle_24m!T$20,INDEX(Vol_V,7,T$170)/12)*(1+V_dVol),0))</f>
        <v>0</v>
      </c>
      <c r="U183" s="48">
        <f>IF(U$8=1,N(Reales!U18),IF(U$171=1,IF(AND(AND(16&gt;Corte,16&lt;=Corte+n_Ventana),ISNUMBER(Detalle_24m!U$20)),Detalle_24m!U$20,INDEX(Vol_V,7,U$170)/12)*(1+V_dVol),0))</f>
        <v>0</v>
      </c>
      <c r="V183" s="48">
        <f>IF(V$8=1,N(Reales!V18),IF(V$171=1,IF(AND(AND(17&gt;Corte,17&lt;=Corte+n_Ventana),ISNUMBER(Detalle_24m!V$20)),Detalle_24m!V$20,INDEX(Vol_V,7,V$170)/12)*(1+V_dVol),0))</f>
        <v>0</v>
      </c>
      <c r="W183" s="48">
        <f>IF(W$8=1,N(Reales!W18),IF(W$171=1,IF(AND(AND(18&gt;Corte,18&lt;=Corte+n_Ventana),ISNUMBER(Detalle_24m!W$20)),Detalle_24m!W$20,INDEX(Vol_V,7,W$170)/12)*(1+V_dVol),0))</f>
        <v>0</v>
      </c>
      <c r="X183" s="48">
        <f>IF(X$8=1,N(Reales!X18),IF(X$171=1,IF(AND(AND(19&gt;Corte,19&lt;=Corte+n_Ventana),ISNUMBER(Detalle_24m!X$20)),Detalle_24m!X$20,INDEX(Vol_V,7,X$170)/12)*(1+V_dVol),0))</f>
        <v>0</v>
      </c>
      <c r="Y183" s="48">
        <f>IF(Y$8=1,N(Reales!Y18),IF(Y$171=1,IF(AND(AND(20&gt;Corte,20&lt;=Corte+n_Ventana),ISNUMBER(Detalle_24m!Y$20)),Detalle_24m!Y$20,INDEX(Vol_V,7,Y$170)/12)*(1+V_dVol),0))</f>
        <v>0</v>
      </c>
      <c r="Z183" s="48">
        <f>IF(Z$8=1,N(Reales!Z18),IF(Z$171=1,IF(AND(AND(21&gt;Corte,21&lt;=Corte+n_Ventana),ISNUMBER(Detalle_24m!Z$20)),Detalle_24m!Z$20,INDEX(Vol_V,7,Z$170)/12)*(1+V_dVol),0))</f>
        <v>0</v>
      </c>
      <c r="AA183" s="48">
        <f>IF(AA$8=1,N(Reales!AA18),IF(AA$171=1,IF(AND(AND(22&gt;Corte,22&lt;=Corte+n_Ventana),ISNUMBER(Detalle_24m!AA$20)),Detalle_24m!AA$20,INDEX(Vol_V,7,AA$170)/12)*(1+V_dVol),0))</f>
        <v>0</v>
      </c>
      <c r="AB183" s="48">
        <f>IF(AB$8=1,N(Reales!AB18),IF(AB$171=1,IF(AND(AND(23&gt;Corte,23&lt;=Corte+n_Ventana),ISNUMBER(Detalle_24m!AB$20)),Detalle_24m!AB$20,INDEX(Vol_V,7,AB$170)/12)*(1+V_dVol),0))</f>
        <v>0</v>
      </c>
      <c r="AC183" s="48">
        <f>IF(AC$8=1,N(Reales!AC18),IF(AC$171=1,IF(AND(AND(24&gt;Corte,24&lt;=Corte+n_Ventana),ISNUMBER(Detalle_24m!AC$20)),Detalle_24m!AC$20,INDEX(Vol_V,7,AC$170)/12)*(1+V_dVol),0))</f>
        <v>0</v>
      </c>
      <c r="AD183" s="48">
        <f>IF(AD$8=1,N(Reales!AD18),IF(AD$171=1,IF(AND(AND(25&gt;Corte,25&lt;=Corte+n_Ventana),ISNUMBER(Detalle_24m!AD$20)),Detalle_24m!AD$20,INDEX(Vol_V,7,AD$170)/12)*(1+V_dVol),0))</f>
        <v>0</v>
      </c>
      <c r="AE183" s="48">
        <f>IF(AE$8=1,N(Reales!AE18),IF(AE$171=1,IF(AND(AND(26&gt;Corte,26&lt;=Corte+n_Ventana),ISNUMBER(Detalle_24m!AE$20)),Detalle_24m!AE$20,INDEX(Vol_V,7,AE$170)/12)*(1+V_dVol),0))</f>
        <v>0</v>
      </c>
      <c r="AF183" s="48">
        <f>IF(AF$8=1,N(Reales!AF18),IF(AF$171=1,IF(AND(AND(27&gt;Corte,27&lt;=Corte+n_Ventana),ISNUMBER(Detalle_24m!AF$20)),Detalle_24m!AF$20,INDEX(Vol_V,7,AF$170)/12)*(1+V_dVol),0))</f>
        <v>0</v>
      </c>
      <c r="AG183" s="48">
        <f>IF(AG$8=1,N(Reales!AG18),IF(AG$171=1,IF(AND(AND(28&gt;Corte,28&lt;=Corte+n_Ventana),ISNUMBER(Detalle_24m!AG$20)),Detalle_24m!AG$20,INDEX(Vol_V,7,AG$170)/12)*(1+V_dVol),0))</f>
        <v>0</v>
      </c>
      <c r="AH183" s="48">
        <f>IF(AH$8=1,N(Reales!AH18),IF(AH$171=1,IF(AND(AND(29&gt;Corte,29&lt;=Corte+n_Ventana),ISNUMBER(Detalle_24m!AH$20)),Detalle_24m!AH$20,INDEX(Vol_V,7,AH$170)/12)*(1+V_dVol),0))</f>
        <v>0</v>
      </c>
      <c r="AI183" s="48">
        <f>IF(AI$8=1,N(Reales!AI18),IF(AI$171=1,IF(AND(AND(30&gt;Corte,30&lt;=Corte+n_Ventana),ISNUMBER(Detalle_24m!AI$20)),Detalle_24m!AI$20,INDEX(Vol_V,7,AI$170)/12)*(1+V_dVol),0))</f>
        <v>0</v>
      </c>
      <c r="AJ183" s="48">
        <f>IF(AJ$8=1,N(Reales!AJ18),IF(AJ$171=1,IF(AND(AND(31&gt;Corte,31&lt;=Corte+n_Ventana),ISNUMBER(Detalle_24m!AJ$20)),Detalle_24m!AJ$20,INDEX(Vol_V,7,AJ$170)/12)*(1+V_dVol),0))</f>
        <v>0</v>
      </c>
      <c r="AK183" s="48">
        <f>IF(AK$8=1,N(Reales!AK18),IF(AK$171=1,IF(AND(AND(32&gt;Corte,32&lt;=Corte+n_Ventana),ISNUMBER(Detalle_24m!AK$20)),Detalle_24m!AK$20,INDEX(Vol_V,7,AK$170)/12)*(1+V_dVol),0))</f>
        <v>0</v>
      </c>
      <c r="AL183" s="48">
        <f>IF(AL$8=1,N(Reales!AL18),IF(AL$171=1,IF(AND(AND(33&gt;Corte,33&lt;=Corte+n_Ventana),ISNUMBER(Detalle_24m!AL$20)),Detalle_24m!AL$20,INDEX(Vol_V,7,AL$170)/12)*(1+V_dVol),0))</f>
        <v>0</v>
      </c>
      <c r="AM183" s="48">
        <f>IF(AM$8=1,N(Reales!AM18),IF(AM$171=1,IF(AND(AND(34&gt;Corte,34&lt;=Corte+n_Ventana),ISNUMBER(Detalle_24m!AM$20)),Detalle_24m!AM$20,INDEX(Vol_V,7,AM$170)/12)*(1+V_dVol),0))</f>
        <v>0</v>
      </c>
      <c r="AN183" s="48">
        <f>IF(AN$8=1,N(Reales!AN18),IF(AN$171=1,IF(AND(AND(35&gt;Corte,35&lt;=Corte+n_Ventana),ISNUMBER(Detalle_24m!AN$20)),Detalle_24m!AN$20,INDEX(Vol_V,7,AN$170)/12)*(1+V_dVol),0))</f>
        <v>0</v>
      </c>
      <c r="AO183" s="48">
        <f>IF(AO$8=1,N(Reales!AO18),IF(AO$171=1,IF(AND(AND(36&gt;Corte,36&lt;=Corte+n_Ventana),ISNUMBER(Detalle_24m!AO$20)),Detalle_24m!AO$20,INDEX(Vol_V,7,AO$170)/12)*(1+V_dVol),0))</f>
        <v>0</v>
      </c>
      <c r="AP183" s="48">
        <f>IF(AP$8=1,N(Reales!AP18),IF(AP$171=1,IF(AND(AND(37&gt;Corte,37&lt;=Corte+n_Ventana),ISNUMBER(Detalle_24m!AP$20)),Detalle_24m!AP$20,INDEX(Vol_V,7,AP$170)/12)*(1+V_dVol),0))</f>
        <v>0</v>
      </c>
      <c r="AQ183" s="48">
        <f>IF(AQ$8=1,N(Reales!AQ18),IF(AQ$171=1,IF(AND(AND(38&gt;Corte,38&lt;=Corte+n_Ventana),ISNUMBER(Detalle_24m!AQ$20)),Detalle_24m!AQ$20,INDEX(Vol_V,7,AQ$170)/12)*(1+V_dVol),0))</f>
        <v>0</v>
      </c>
      <c r="AR183" s="48">
        <f>IF(AR$8=1,N(Reales!AR18),IF(AR$171=1,IF(AND(AND(39&gt;Corte,39&lt;=Corte+n_Ventana),ISNUMBER(Detalle_24m!AR$20)),Detalle_24m!AR$20,INDEX(Vol_V,7,AR$170)/12)*(1+V_dVol),0))</f>
        <v>0</v>
      </c>
      <c r="AS183" s="48">
        <f>IF(AS$8=1,N(Reales!AS18),IF(AS$171=1,IF(AND(AND(40&gt;Corte,40&lt;=Corte+n_Ventana),ISNUMBER(Detalle_24m!AS$20)),Detalle_24m!AS$20,INDEX(Vol_V,7,AS$170)/12)*(1+V_dVol),0))</f>
        <v>0</v>
      </c>
      <c r="AT183" s="48">
        <f>IF(AT$8=1,N(Reales!AT18),IF(AT$171=1,IF(AND(AND(41&gt;Corte,41&lt;=Corte+n_Ventana),ISNUMBER(Detalle_24m!AT$20)),Detalle_24m!AT$20,INDEX(Vol_V,7,AT$170)/12)*(1+V_dVol),0))</f>
        <v>0</v>
      </c>
      <c r="AU183" s="48">
        <f>IF(AU$8=1,N(Reales!AU18),IF(AU$171=1,IF(AND(AND(42&gt;Corte,42&lt;=Corte+n_Ventana),ISNUMBER(Detalle_24m!AU$20)),Detalle_24m!AU$20,INDEX(Vol_V,7,AU$170)/12)*(1+V_dVol),0))</f>
        <v>0</v>
      </c>
      <c r="AV183" s="48">
        <f>IF(AV$8=1,N(Reales!AV18),IF(AV$171=1,IF(AND(AND(43&gt;Corte,43&lt;=Corte+n_Ventana),ISNUMBER(Detalle_24m!AV$20)),Detalle_24m!AV$20,INDEX(Vol_V,7,AV$170)/12)*(1+V_dVol),0))</f>
        <v>0</v>
      </c>
      <c r="AW183" s="48">
        <f>IF(AW$8=1,N(Reales!AW18),IF(AW$171=1,IF(AND(AND(44&gt;Corte,44&lt;=Corte+n_Ventana),ISNUMBER(Detalle_24m!AW$20)),Detalle_24m!AW$20,INDEX(Vol_V,7,AW$170)/12)*(1+V_dVol),0))</f>
        <v>0</v>
      </c>
      <c r="AX183" s="48">
        <f>IF(AX$8=1,N(Reales!AX18),IF(AX$171=1,IF(AND(AND(45&gt;Corte,45&lt;=Corte+n_Ventana),ISNUMBER(Detalle_24m!AX$20)),Detalle_24m!AX$20,INDEX(Vol_V,7,AX$170)/12)*(1+V_dVol),0))</f>
        <v>0</v>
      </c>
      <c r="AY183" s="48">
        <f>IF(AY$8=1,N(Reales!AY18),IF(AY$171=1,IF(AND(AND(46&gt;Corte,46&lt;=Corte+n_Ventana),ISNUMBER(Detalle_24m!AY$20)),Detalle_24m!AY$20,INDEX(Vol_V,7,AY$170)/12)*(1+V_dVol),0))</f>
        <v>0</v>
      </c>
      <c r="AZ183" s="48">
        <f>IF(AZ$8=1,N(Reales!AZ18),IF(AZ$171=1,IF(AND(AND(47&gt;Corte,47&lt;=Corte+n_Ventana),ISNUMBER(Detalle_24m!AZ$20)),Detalle_24m!AZ$20,INDEX(Vol_V,7,AZ$170)/12)*(1+V_dVol),0))</f>
        <v>0</v>
      </c>
      <c r="BA183" s="48">
        <f>IF(BA$8=1,N(Reales!BA18),IF(BA$171=1,IF(AND(AND(48&gt;Corte,48&lt;=Corte+n_Ventana),ISNUMBER(Detalle_24m!BA$20)),Detalle_24m!BA$20,INDEX(Vol_V,7,BA$170)/12)*(1+V_dVol),0))</f>
        <v>0</v>
      </c>
      <c r="BB183" s="48">
        <f>IF(BB$8=1,N(Reales!BB18),IF(BB$171=1,IF(AND(AND(49&gt;Corte,49&lt;=Corte+n_Ventana),ISNUMBER(Detalle_24m!BB$20)),Detalle_24m!BB$20,INDEX(Vol_V,7,BB$170)/12)*(1+V_dVol),0))</f>
        <v>0</v>
      </c>
      <c r="BC183" s="48">
        <f>IF(BC$8=1,N(Reales!BC18),IF(BC$171=1,IF(AND(AND(50&gt;Corte,50&lt;=Corte+n_Ventana),ISNUMBER(Detalle_24m!BC$20)),Detalle_24m!BC$20,INDEX(Vol_V,7,BC$170)/12)*(1+V_dVol),0))</f>
        <v>0</v>
      </c>
      <c r="BD183" s="48">
        <f>IF(BD$8=1,N(Reales!BD18),IF(BD$171=1,IF(AND(AND(51&gt;Corte,51&lt;=Corte+n_Ventana),ISNUMBER(Detalle_24m!BD$20)),Detalle_24m!BD$20,INDEX(Vol_V,7,BD$170)/12)*(1+V_dVol),0))</f>
        <v>0</v>
      </c>
      <c r="BE183" s="48">
        <f>IF(BE$8=1,N(Reales!BE18),IF(BE$171=1,IF(AND(AND(52&gt;Corte,52&lt;=Corte+n_Ventana),ISNUMBER(Detalle_24m!BE$20)),Detalle_24m!BE$20,INDEX(Vol_V,7,BE$170)/12)*(1+V_dVol),0))</f>
        <v>0</v>
      </c>
      <c r="BF183" s="48">
        <f>IF(BF$8=1,N(Reales!BF18),IF(BF$171=1,IF(AND(AND(53&gt;Corte,53&lt;=Corte+n_Ventana),ISNUMBER(Detalle_24m!BF$20)),Detalle_24m!BF$20,INDEX(Vol_V,7,BF$170)/12)*(1+V_dVol),0))</f>
        <v>0</v>
      </c>
      <c r="BG183" s="48">
        <f>IF(BG$8=1,N(Reales!BG18),IF(BG$171=1,IF(AND(AND(54&gt;Corte,54&lt;=Corte+n_Ventana),ISNUMBER(Detalle_24m!BG$20)),Detalle_24m!BG$20,INDEX(Vol_V,7,BG$170)/12)*(1+V_dVol),0))</f>
        <v>0</v>
      </c>
      <c r="BH183" s="48">
        <f>IF(BH$8=1,N(Reales!BH18),IF(BH$171=1,IF(AND(AND(55&gt;Corte,55&lt;=Corte+n_Ventana),ISNUMBER(Detalle_24m!BH$20)),Detalle_24m!BH$20,INDEX(Vol_V,7,BH$170)/12)*(1+V_dVol),0))</f>
        <v>0</v>
      </c>
      <c r="BI183" s="48">
        <f>IF(BI$8=1,N(Reales!BI18),IF(BI$171=1,IF(AND(AND(56&gt;Corte,56&lt;=Corte+n_Ventana),ISNUMBER(Detalle_24m!BI$20)),Detalle_24m!BI$20,INDEX(Vol_V,7,BI$170)/12)*(1+V_dVol),0))</f>
        <v>0</v>
      </c>
      <c r="BJ183" s="48">
        <f>IF(BJ$8=1,N(Reales!BJ18),IF(BJ$171=1,IF(AND(AND(57&gt;Corte,57&lt;=Corte+n_Ventana),ISNUMBER(Detalle_24m!BJ$20)),Detalle_24m!BJ$20,INDEX(Vol_V,7,BJ$170)/12)*(1+V_dVol),0))</f>
        <v>0</v>
      </c>
      <c r="BK183" s="48">
        <f>IF(BK$8=1,N(Reales!BK18),IF(BK$171=1,IF(AND(AND(58&gt;Corte,58&lt;=Corte+n_Ventana),ISNUMBER(Detalle_24m!BK$20)),Detalle_24m!BK$20,INDEX(Vol_V,7,BK$170)/12)*(1+V_dVol),0))</f>
        <v>0</v>
      </c>
      <c r="BL183" s="48">
        <f>IF(BL$8=1,N(Reales!BL18),IF(BL$171=1,IF(AND(AND(59&gt;Corte,59&lt;=Corte+n_Ventana),ISNUMBER(Detalle_24m!BL$20)),Detalle_24m!BL$20,INDEX(Vol_V,7,BL$170)/12)*(1+V_dVol),0))</f>
        <v>0</v>
      </c>
      <c r="BM183" s="48">
        <f>IF(BM$8=1,N(Reales!BM18),IF(BM$171=1,IF(AND(AND(60&gt;Corte,60&lt;=Corte+n_Ventana),ISNUMBER(Detalle_24m!BM$20)),Detalle_24m!BM$20,INDEX(Vol_V,7,BM$170)/12)*(1+V_dVol),0))</f>
        <v>0</v>
      </c>
      <c r="BN183" s="48">
        <f>IF(BN$8=1,N(Reales!BN18),IF(BN$171=1,IF(AND(AND(61&gt;Corte,61&lt;=Corte+n_Ventana),ISNUMBER(Detalle_24m!BN$20)),Detalle_24m!BN$20,INDEX(Vol_V,7,BN$170)/12)*(1+V_dVol),0))</f>
        <v>0</v>
      </c>
      <c r="BO183" s="48">
        <f>IF(BO$8=1,N(Reales!BO18),IF(BO$171=1,IF(AND(AND(62&gt;Corte,62&lt;=Corte+n_Ventana),ISNUMBER(Detalle_24m!BO$20)),Detalle_24m!BO$20,INDEX(Vol_V,7,BO$170)/12)*(1+V_dVol),0))</f>
        <v>0</v>
      </c>
      <c r="BP183" s="48">
        <f>IF(BP$8=1,N(Reales!BP18),IF(BP$171=1,IF(AND(AND(63&gt;Corte,63&lt;=Corte+n_Ventana),ISNUMBER(Detalle_24m!BP$20)),Detalle_24m!BP$20,INDEX(Vol_V,7,BP$170)/12)*(1+V_dVol),0))</f>
        <v>0</v>
      </c>
      <c r="BQ183" s="48">
        <f>IF(BQ$8=1,N(Reales!BQ18),IF(BQ$171=1,IF(AND(AND(64&gt;Corte,64&lt;=Corte+n_Ventana),ISNUMBER(Detalle_24m!BQ$20)),Detalle_24m!BQ$20,INDEX(Vol_V,7,BQ$170)/12)*(1+V_dVol),0))</f>
        <v>0</v>
      </c>
      <c r="BR183" s="48">
        <f>IF(BR$8=1,N(Reales!BR18),IF(BR$171=1,IF(AND(AND(65&gt;Corte,65&lt;=Corte+n_Ventana),ISNUMBER(Detalle_24m!BR$20)),Detalle_24m!BR$20,INDEX(Vol_V,7,BR$170)/12)*(1+V_dVol),0))</f>
        <v>0</v>
      </c>
      <c r="BS183" s="48">
        <f>IF(BS$8=1,N(Reales!BS18),IF(BS$171=1,IF(AND(AND(66&gt;Corte,66&lt;=Corte+n_Ventana),ISNUMBER(Detalle_24m!BS$20)),Detalle_24m!BS$20,INDEX(Vol_V,7,BS$170)/12)*(1+V_dVol),0))</f>
        <v>0</v>
      </c>
      <c r="BT183" s="48">
        <f>IF(BT$8=1,N(Reales!BT18),IF(BT$171=1,IF(AND(AND(67&gt;Corte,67&lt;=Corte+n_Ventana),ISNUMBER(Detalle_24m!BT$20)),Detalle_24m!BT$20,INDEX(Vol_V,7,BT$170)/12)*(1+V_dVol),0))</f>
        <v>0</v>
      </c>
      <c r="BU183" s="48">
        <f>IF(BU$8=1,N(Reales!BU18),IF(BU$171=1,IF(AND(AND(68&gt;Corte,68&lt;=Corte+n_Ventana),ISNUMBER(Detalle_24m!BU$20)),Detalle_24m!BU$20,INDEX(Vol_V,7,BU$170)/12)*(1+V_dVol),0))</f>
        <v>0</v>
      </c>
      <c r="BV183" s="48">
        <f>IF(BV$8=1,N(Reales!BV18),IF(BV$171=1,IF(AND(AND(69&gt;Corte,69&lt;=Corte+n_Ventana),ISNUMBER(Detalle_24m!BV$20)),Detalle_24m!BV$20,INDEX(Vol_V,7,BV$170)/12)*(1+V_dVol),0))</f>
        <v>0</v>
      </c>
      <c r="BW183" s="48">
        <f>IF(BW$8=1,N(Reales!BW18),IF(BW$171=1,IF(AND(AND(70&gt;Corte,70&lt;=Corte+n_Ventana),ISNUMBER(Detalle_24m!BW$20)),Detalle_24m!BW$20,INDEX(Vol_V,7,BW$170)/12)*(1+V_dVol),0))</f>
        <v>0</v>
      </c>
      <c r="BX183" s="48">
        <f>IF(BX$8=1,N(Reales!BX18),IF(BX$171=1,IF(AND(AND(71&gt;Corte,71&lt;=Corte+n_Ventana),ISNUMBER(Detalle_24m!BX$20)),Detalle_24m!BX$20,INDEX(Vol_V,7,BX$170)/12)*(1+V_dVol),0))</f>
        <v>0</v>
      </c>
      <c r="BY183" s="48">
        <f>IF(BY$8=1,N(Reales!BY18),IF(BY$171=1,IF(AND(AND(72&gt;Corte,72&lt;=Corte+n_Ventana),ISNUMBER(Detalle_24m!BY$20)),Detalle_24m!BY$20,INDEX(Vol_V,7,BY$170)/12)*(1+V_dVol),0))</f>
        <v>0</v>
      </c>
      <c r="BZ183" s="48">
        <f>IF(BZ$8=1,N(Reales!BZ18),IF(BZ$171=1,IF(AND(AND(73&gt;Corte,73&lt;=Corte+n_Ventana),ISNUMBER(Detalle_24m!BZ$20)),Detalle_24m!BZ$20,INDEX(Vol_V,7,BZ$170)/12)*(1+V_dVol),0))</f>
        <v>0</v>
      </c>
      <c r="CA183" s="48">
        <f>IF(CA$8=1,N(Reales!CA18),IF(CA$171=1,IF(AND(AND(74&gt;Corte,74&lt;=Corte+n_Ventana),ISNUMBER(Detalle_24m!CA$20)),Detalle_24m!CA$20,INDEX(Vol_V,7,CA$170)/12)*(1+V_dVol),0))</f>
        <v>0</v>
      </c>
      <c r="CB183" s="48">
        <f>IF(CB$8=1,N(Reales!CB18),IF(CB$171=1,IF(AND(AND(75&gt;Corte,75&lt;=Corte+n_Ventana),ISNUMBER(Detalle_24m!CB$20)),Detalle_24m!CB$20,INDEX(Vol_V,7,CB$170)/12)*(1+V_dVol),0))</f>
        <v>0</v>
      </c>
      <c r="CC183" s="48">
        <f>IF(CC$8=1,N(Reales!CC18),IF(CC$171=1,IF(AND(AND(76&gt;Corte,76&lt;=Corte+n_Ventana),ISNUMBER(Detalle_24m!CC$20)),Detalle_24m!CC$20,INDEX(Vol_V,7,CC$170)/12)*(1+V_dVol),0))</f>
        <v>0</v>
      </c>
      <c r="CD183" s="48">
        <f>IF(CD$8=1,N(Reales!CD18),IF(CD$171=1,IF(AND(AND(77&gt;Corte,77&lt;=Corte+n_Ventana),ISNUMBER(Detalle_24m!CD$20)),Detalle_24m!CD$20,INDEX(Vol_V,7,CD$170)/12)*(1+V_dVol),0))</f>
        <v>0</v>
      </c>
      <c r="CE183" s="48">
        <f>IF(CE$8=1,N(Reales!CE18),IF(CE$171=1,IF(AND(AND(78&gt;Corte,78&lt;=Corte+n_Ventana),ISNUMBER(Detalle_24m!CE$20)),Detalle_24m!CE$20,INDEX(Vol_V,7,CE$170)/12)*(1+V_dVol),0))</f>
        <v>0</v>
      </c>
      <c r="CF183" s="48">
        <f>IF(CF$8=1,N(Reales!CF18),IF(CF$171=1,IF(AND(AND(79&gt;Corte,79&lt;=Corte+n_Ventana),ISNUMBER(Detalle_24m!CF$20)),Detalle_24m!CF$20,INDEX(Vol_V,7,CF$170)/12)*(1+V_dVol),0))</f>
        <v>0</v>
      </c>
      <c r="CG183" s="48">
        <f>IF(CG$8=1,N(Reales!CG18),IF(CG$171=1,IF(AND(AND(80&gt;Corte,80&lt;=Corte+n_Ventana),ISNUMBER(Detalle_24m!CG$20)),Detalle_24m!CG$20,INDEX(Vol_V,7,CG$170)/12)*(1+V_dVol),0))</f>
        <v>0</v>
      </c>
      <c r="CH183" s="48">
        <f>IF(CH$8=1,N(Reales!CH18),IF(CH$171=1,IF(AND(AND(81&gt;Corte,81&lt;=Corte+n_Ventana),ISNUMBER(Detalle_24m!CH$20)),Detalle_24m!CH$20,INDEX(Vol_V,7,CH$170)/12)*(1+V_dVol),0))</f>
        <v>0</v>
      </c>
      <c r="CI183" s="48">
        <f>IF(CI$8=1,N(Reales!CI18),IF(CI$171=1,IF(AND(AND(82&gt;Corte,82&lt;=Corte+n_Ventana),ISNUMBER(Detalle_24m!CI$20)),Detalle_24m!CI$20,INDEX(Vol_V,7,CI$170)/12)*(1+V_dVol),0))</f>
        <v>0</v>
      </c>
      <c r="CJ183" s="48">
        <f>IF(CJ$8=1,N(Reales!CJ18),IF(CJ$171=1,IF(AND(AND(83&gt;Corte,83&lt;=Corte+n_Ventana),ISNUMBER(Detalle_24m!CJ$20)),Detalle_24m!CJ$20,INDEX(Vol_V,7,CJ$170)/12)*(1+V_dVol),0))</f>
        <v>0</v>
      </c>
      <c r="CK183" s="48">
        <f>IF(CK$8=1,N(Reales!CK18),IF(CK$171=1,IF(AND(AND(84&gt;Corte,84&lt;=Corte+n_Ventana),ISNUMBER(Detalle_24m!CK$20)),Detalle_24m!CK$20,INDEX(Vol_V,7,CK$170)/12)*(1+V_dVol),0))</f>
        <v>0</v>
      </c>
      <c r="CL183" s="48">
        <f>IF(CL$8=1,N(Reales!CL18),IF(CL$171=1,IF(AND(AND(85&gt;Corte,85&lt;=Corte+n_Ventana),ISNUMBER(Detalle_24m!CL$20)),Detalle_24m!CL$20,INDEX(Vol_V,7,CL$170)/12)*(1+V_dVol),0))</f>
        <v>0</v>
      </c>
      <c r="CM183" s="48">
        <f>IF(CM$8=1,N(Reales!CM18),IF(CM$171=1,IF(AND(AND(86&gt;Corte,86&lt;=Corte+n_Ventana),ISNUMBER(Detalle_24m!CM$20)),Detalle_24m!CM$20,INDEX(Vol_V,7,CM$170)/12)*(1+V_dVol),0))</f>
        <v>0</v>
      </c>
      <c r="CN183" s="48">
        <f>IF(CN$8=1,N(Reales!CN18),IF(CN$171=1,IF(AND(AND(87&gt;Corte,87&lt;=Corte+n_Ventana),ISNUMBER(Detalle_24m!CN$20)),Detalle_24m!CN$20,INDEX(Vol_V,7,CN$170)/12)*(1+V_dVol),0))</f>
        <v>0</v>
      </c>
      <c r="CO183" s="48">
        <f>IF(CO$8=1,N(Reales!CO18),IF(CO$171=1,IF(AND(AND(88&gt;Corte,88&lt;=Corte+n_Ventana),ISNUMBER(Detalle_24m!CO$20)),Detalle_24m!CO$20,INDEX(Vol_V,7,CO$170)/12)*(1+V_dVol),0))</f>
        <v>0</v>
      </c>
      <c r="CP183" s="48">
        <f>IF(CP$8=1,N(Reales!CP18),IF(CP$171=1,IF(AND(AND(89&gt;Corte,89&lt;=Corte+n_Ventana),ISNUMBER(Detalle_24m!CP$20)),Detalle_24m!CP$20,INDEX(Vol_V,7,CP$170)/12)*(1+V_dVol),0))</f>
        <v>0</v>
      </c>
      <c r="CQ183" s="48">
        <f>IF(CQ$8=1,N(Reales!CQ18),IF(CQ$171=1,IF(AND(AND(90&gt;Corte,90&lt;=Corte+n_Ventana),ISNUMBER(Detalle_24m!CQ$20)),Detalle_24m!CQ$20,INDEX(Vol_V,7,CQ$170)/12)*(1+V_dVol),0))</f>
        <v>0</v>
      </c>
      <c r="CR183" s="48">
        <f>IF(CR$8=1,N(Reales!CR18),IF(CR$171=1,IF(AND(AND(91&gt;Corte,91&lt;=Corte+n_Ventana),ISNUMBER(Detalle_24m!CR$20)),Detalle_24m!CR$20,INDEX(Vol_V,7,CR$170)/12)*(1+V_dVol),0))</f>
        <v>0</v>
      </c>
      <c r="CS183" s="48">
        <f>IF(CS$8=1,N(Reales!CS18),IF(CS$171=1,IF(AND(AND(92&gt;Corte,92&lt;=Corte+n_Ventana),ISNUMBER(Detalle_24m!CS$20)),Detalle_24m!CS$20,INDEX(Vol_V,7,CS$170)/12)*(1+V_dVol),0))</f>
        <v>0</v>
      </c>
      <c r="CT183" s="48">
        <f>IF(CT$8=1,N(Reales!CT18),IF(CT$171=1,IF(AND(AND(93&gt;Corte,93&lt;=Corte+n_Ventana),ISNUMBER(Detalle_24m!CT$20)),Detalle_24m!CT$20,INDEX(Vol_V,7,CT$170)/12)*(1+V_dVol),0))</f>
        <v>0</v>
      </c>
      <c r="CU183" s="48">
        <f>IF(CU$8=1,N(Reales!CU18),IF(CU$171=1,IF(AND(AND(94&gt;Corte,94&lt;=Corte+n_Ventana),ISNUMBER(Detalle_24m!CU$20)),Detalle_24m!CU$20,INDEX(Vol_V,7,CU$170)/12)*(1+V_dVol),0))</f>
        <v>0</v>
      </c>
      <c r="CV183" s="48">
        <f>IF(CV$8=1,N(Reales!CV18),IF(CV$171=1,IF(AND(AND(95&gt;Corte,95&lt;=Corte+n_Ventana),ISNUMBER(Detalle_24m!CV$20)),Detalle_24m!CV$20,INDEX(Vol_V,7,CV$170)/12)*(1+V_dVol),0))</f>
        <v>0</v>
      </c>
      <c r="CW183" s="48">
        <f>IF(CW$8=1,N(Reales!CW18),IF(CW$171=1,IF(AND(AND(96&gt;Corte,96&lt;=Corte+n_Ventana),ISNUMBER(Detalle_24m!CW$20)),Detalle_24m!CW$20,INDEX(Vol_V,7,CW$170)/12)*(1+V_dVol),0))</f>
        <v>0</v>
      </c>
      <c r="CX183" s="48">
        <f>IF(CX$8=1,N(Reales!CX18),IF(CX$171=1,IF(AND(AND(97&gt;Corte,97&lt;=Corte+n_Ventana),ISNUMBER(Detalle_24m!CX$20)),Detalle_24m!CX$20,INDEX(Vol_V,7,CX$170)/12)*(1+V_dVol),0))</f>
        <v>0</v>
      </c>
      <c r="CY183" s="48">
        <f>IF(CY$8=1,N(Reales!CY18),IF(CY$171=1,IF(AND(AND(98&gt;Corte,98&lt;=Corte+n_Ventana),ISNUMBER(Detalle_24m!CY$20)),Detalle_24m!CY$20,INDEX(Vol_V,7,CY$170)/12)*(1+V_dVol),0))</f>
        <v>0</v>
      </c>
      <c r="CZ183" s="48">
        <f>IF(CZ$8=1,N(Reales!CZ18),IF(CZ$171=1,IF(AND(AND(99&gt;Corte,99&lt;=Corte+n_Ventana),ISNUMBER(Detalle_24m!CZ$20)),Detalle_24m!CZ$20,INDEX(Vol_V,7,CZ$170)/12)*(1+V_dVol),0))</f>
        <v>0</v>
      </c>
      <c r="DA183" s="48">
        <f>IF(DA$8=1,N(Reales!DA18),IF(DA$171=1,IF(AND(AND(100&gt;Corte,100&lt;=Corte+n_Ventana),ISNUMBER(Detalle_24m!DA$20)),Detalle_24m!DA$20,INDEX(Vol_V,7,DA$170)/12)*(1+V_dVol),0))</f>
        <v>0</v>
      </c>
      <c r="DB183" s="48">
        <f>IF(DB$8=1,N(Reales!DB18),IF(DB$171=1,IF(AND(AND(101&gt;Corte,101&lt;=Corte+n_Ventana),ISNUMBER(Detalle_24m!DB$20)),Detalle_24m!DB$20,INDEX(Vol_V,7,DB$170)/12)*(1+V_dVol),0))</f>
        <v>0</v>
      </c>
      <c r="DC183" s="48">
        <f>IF(DC$8=1,N(Reales!DC18),IF(DC$171=1,IF(AND(AND(102&gt;Corte,102&lt;=Corte+n_Ventana),ISNUMBER(Detalle_24m!DC$20)),Detalle_24m!DC$20,INDEX(Vol_V,7,DC$170)/12)*(1+V_dVol),0))</f>
        <v>0</v>
      </c>
      <c r="DD183" s="48">
        <f>IF(DD$8=1,N(Reales!DD18),IF(DD$171=1,IF(AND(AND(103&gt;Corte,103&lt;=Corte+n_Ventana),ISNUMBER(Detalle_24m!DD$20)),Detalle_24m!DD$20,INDEX(Vol_V,7,DD$170)/12)*(1+V_dVol),0))</f>
        <v>0</v>
      </c>
      <c r="DE183" s="48">
        <f>IF(DE$8=1,N(Reales!DE18),IF(DE$171=1,IF(AND(AND(104&gt;Corte,104&lt;=Corte+n_Ventana),ISNUMBER(Detalle_24m!DE$20)),Detalle_24m!DE$20,INDEX(Vol_V,7,DE$170)/12)*(1+V_dVol),0))</f>
        <v>0</v>
      </c>
      <c r="DF183" s="48">
        <f>IF(DF$8=1,N(Reales!DF18),IF(DF$171=1,IF(AND(AND(105&gt;Corte,105&lt;=Corte+n_Ventana),ISNUMBER(Detalle_24m!DF$20)),Detalle_24m!DF$20,INDEX(Vol_V,7,DF$170)/12)*(1+V_dVol),0))</f>
        <v>0</v>
      </c>
      <c r="DG183" s="48">
        <f>IF(DG$8=1,N(Reales!DG18),IF(DG$171=1,IF(AND(AND(106&gt;Corte,106&lt;=Corte+n_Ventana),ISNUMBER(Detalle_24m!DG$20)),Detalle_24m!DG$20,INDEX(Vol_V,7,DG$170)/12)*(1+V_dVol),0))</f>
        <v>0</v>
      </c>
      <c r="DH183" s="48">
        <f>IF(DH$8=1,N(Reales!DH18),IF(DH$171=1,IF(AND(AND(107&gt;Corte,107&lt;=Corte+n_Ventana),ISNUMBER(Detalle_24m!DH$20)),Detalle_24m!DH$20,INDEX(Vol_V,7,DH$170)/12)*(1+V_dVol),0))</f>
        <v>0</v>
      </c>
      <c r="DI183" s="48">
        <f>IF(DI$8=1,N(Reales!DI18),IF(DI$171=1,IF(AND(AND(108&gt;Corte,108&lt;=Corte+n_Ventana),ISNUMBER(Detalle_24m!DI$20)),Detalle_24m!DI$20,INDEX(Vol_V,7,DI$170)/12)*(1+V_dVol),0))</f>
        <v>0</v>
      </c>
      <c r="DJ183" s="48">
        <f>IF(DJ$8=1,N(Reales!DJ18),IF(DJ$171=1,IF(AND(AND(109&gt;Corte,109&lt;=Corte+n_Ventana),ISNUMBER(Detalle_24m!DJ$20)),Detalle_24m!DJ$20,INDEX(Vol_V,7,DJ$170)/12)*(1+V_dVol),0))</f>
        <v>0</v>
      </c>
      <c r="DK183" s="48">
        <f>IF(DK$8=1,N(Reales!DK18),IF(DK$171=1,IF(AND(AND(110&gt;Corte,110&lt;=Corte+n_Ventana),ISNUMBER(Detalle_24m!DK$20)),Detalle_24m!DK$20,INDEX(Vol_V,7,DK$170)/12)*(1+V_dVol),0))</f>
        <v>0</v>
      </c>
      <c r="DL183" s="48">
        <f>IF(DL$8=1,N(Reales!DL18),IF(DL$171=1,IF(AND(AND(111&gt;Corte,111&lt;=Corte+n_Ventana),ISNUMBER(Detalle_24m!DL$20)),Detalle_24m!DL$20,INDEX(Vol_V,7,DL$170)/12)*(1+V_dVol),0))</f>
        <v>0</v>
      </c>
      <c r="DM183" s="48">
        <f>IF(DM$8=1,N(Reales!DM18),IF(DM$171=1,IF(AND(AND(112&gt;Corte,112&lt;=Corte+n_Ventana),ISNUMBER(Detalle_24m!DM$20)),Detalle_24m!DM$20,INDEX(Vol_V,7,DM$170)/12)*(1+V_dVol),0))</f>
        <v>0</v>
      </c>
      <c r="DN183" s="48">
        <f>IF(DN$8=1,N(Reales!DN18),IF(DN$171=1,IF(AND(AND(113&gt;Corte,113&lt;=Corte+n_Ventana),ISNUMBER(Detalle_24m!DN$20)),Detalle_24m!DN$20,INDEX(Vol_V,7,DN$170)/12)*(1+V_dVol),0))</f>
        <v>0</v>
      </c>
      <c r="DO183" s="48">
        <f>IF(DO$8=1,N(Reales!DO18),IF(DO$171=1,IF(AND(AND(114&gt;Corte,114&lt;=Corte+n_Ventana),ISNUMBER(Detalle_24m!DO$20)),Detalle_24m!DO$20,INDEX(Vol_V,7,DO$170)/12)*(1+V_dVol),0))</f>
        <v>0</v>
      </c>
      <c r="DP183" s="48">
        <f>IF(DP$8=1,N(Reales!DP18),IF(DP$171=1,IF(AND(AND(115&gt;Corte,115&lt;=Corte+n_Ventana),ISNUMBER(Detalle_24m!DP$20)),Detalle_24m!DP$20,INDEX(Vol_V,7,DP$170)/12)*(1+V_dVol),0))</f>
        <v>0</v>
      </c>
      <c r="DQ183" s="48">
        <f>IF(DQ$8=1,N(Reales!DQ18),IF(DQ$171=1,IF(AND(AND(116&gt;Corte,116&lt;=Corte+n_Ventana),ISNUMBER(Detalle_24m!DQ$20)),Detalle_24m!DQ$20,INDEX(Vol_V,7,DQ$170)/12)*(1+V_dVol),0))</f>
        <v>0</v>
      </c>
      <c r="DR183" s="48">
        <f>IF(DR$8=1,N(Reales!DR18),IF(DR$171=1,IF(AND(AND(117&gt;Corte,117&lt;=Corte+n_Ventana),ISNUMBER(Detalle_24m!DR$20)),Detalle_24m!DR$20,INDEX(Vol_V,7,DR$170)/12)*(1+V_dVol),0))</f>
        <v>0</v>
      </c>
      <c r="DS183" s="48">
        <f>IF(DS$8=1,N(Reales!DS18),IF(DS$171=1,IF(AND(AND(118&gt;Corte,118&lt;=Corte+n_Ventana),ISNUMBER(Detalle_24m!DS$20)),Detalle_24m!DS$20,INDEX(Vol_V,7,DS$170)/12)*(1+V_dVol),0))</f>
        <v>0</v>
      </c>
      <c r="DT183" s="48">
        <f>IF(DT$8=1,N(Reales!DT18),IF(DT$171=1,IF(AND(AND(119&gt;Corte,119&lt;=Corte+n_Ventana),ISNUMBER(Detalle_24m!DT$20)),Detalle_24m!DT$20,INDEX(Vol_V,7,DT$170)/12)*(1+V_dVol),0))</f>
        <v>0</v>
      </c>
      <c r="DU183" s="48">
        <f>IF(DU$8=1,N(Reales!DU18),IF(DU$171=1,IF(AND(AND(120&gt;Corte,120&lt;=Corte+n_Ventana),ISNUMBER(Detalle_24m!DU$20)),Detalle_24m!DU$20,INDEX(Vol_V,7,DU$170)/12)*(1+V_dVol),0))</f>
        <v>0</v>
      </c>
      <c r="DV183" s="48">
        <f>IF(DV$8=1,N(Reales!DV18),IF(DV$171=1,IF(AND(AND(121&gt;Corte,121&lt;=Corte+n_Ventana),ISNUMBER(Detalle_24m!DV$20)),Detalle_24m!DV$20,INDEX(Vol_V,7,DV$170)/12)*(1+V_dVol),0))</f>
        <v>0</v>
      </c>
      <c r="DW183" s="48">
        <f>IF(DW$8=1,N(Reales!DW18),IF(DW$171=1,IF(AND(AND(122&gt;Corte,122&lt;=Corte+n_Ventana),ISNUMBER(Detalle_24m!DW$20)),Detalle_24m!DW$20,INDEX(Vol_V,7,DW$170)/12)*(1+V_dVol),0))</f>
        <v>0</v>
      </c>
      <c r="DX183" s="48">
        <f>IF(DX$8=1,N(Reales!DX18),IF(DX$171=1,IF(AND(AND(123&gt;Corte,123&lt;=Corte+n_Ventana),ISNUMBER(Detalle_24m!DX$20)),Detalle_24m!DX$20,INDEX(Vol_V,7,DX$170)/12)*(1+V_dVol),0))</f>
        <v>0</v>
      </c>
      <c r="DY183" s="48">
        <f>IF(DY$8=1,N(Reales!DY18),IF(DY$171=1,IF(AND(AND(124&gt;Corte,124&lt;=Corte+n_Ventana),ISNUMBER(Detalle_24m!DY$20)),Detalle_24m!DY$20,INDEX(Vol_V,7,DY$170)/12)*(1+V_dVol),0))</f>
        <v>0</v>
      </c>
      <c r="DZ183" s="48">
        <f>IF(DZ$8=1,N(Reales!DZ18),IF(DZ$171=1,IF(AND(AND(125&gt;Corte,125&lt;=Corte+n_Ventana),ISNUMBER(Detalle_24m!DZ$20)),Detalle_24m!DZ$20,INDEX(Vol_V,7,DZ$170)/12)*(1+V_dVol),0))</f>
        <v>0</v>
      </c>
      <c r="EA183" s="48">
        <f>IF(EA$8=1,N(Reales!EA18),IF(EA$171=1,IF(AND(AND(126&gt;Corte,126&lt;=Corte+n_Ventana),ISNUMBER(Detalle_24m!EA$20)),Detalle_24m!EA$20,INDEX(Vol_V,7,EA$170)/12)*(1+V_dVol),0))</f>
        <v>0</v>
      </c>
      <c r="EB183" s="48">
        <f>IF(EB$8=1,N(Reales!EB18),IF(EB$171=1,IF(AND(AND(127&gt;Corte,127&lt;=Corte+n_Ventana),ISNUMBER(Detalle_24m!EB$20)),Detalle_24m!EB$20,INDEX(Vol_V,7,EB$170)/12)*(1+V_dVol),0))</f>
        <v>0</v>
      </c>
      <c r="EC183" s="48">
        <f>IF(EC$8=1,N(Reales!EC18),IF(EC$171=1,IF(AND(AND(128&gt;Corte,128&lt;=Corte+n_Ventana),ISNUMBER(Detalle_24m!EC$20)),Detalle_24m!EC$20,INDEX(Vol_V,7,EC$170)/12)*(1+V_dVol),0))</f>
        <v>0</v>
      </c>
      <c r="ED183" s="48">
        <f>IF(ED$8=1,N(Reales!ED18),IF(ED$171=1,IF(AND(AND(129&gt;Corte,129&lt;=Corte+n_Ventana),ISNUMBER(Detalle_24m!ED$20)),Detalle_24m!ED$20,INDEX(Vol_V,7,ED$170)/12)*(1+V_dVol),0))</f>
        <v>0</v>
      </c>
      <c r="EE183" s="48">
        <f>IF(EE$8=1,N(Reales!EE18),IF(EE$171=1,IF(AND(AND(130&gt;Corte,130&lt;=Corte+n_Ventana),ISNUMBER(Detalle_24m!EE$20)),Detalle_24m!EE$20,INDEX(Vol_V,7,EE$170)/12)*(1+V_dVol),0))</f>
        <v>0</v>
      </c>
      <c r="EF183" s="48">
        <f>IF(EF$8=1,N(Reales!EF18),IF(EF$171=1,IF(AND(AND(131&gt;Corte,131&lt;=Corte+n_Ventana),ISNUMBER(Detalle_24m!EF$20)),Detalle_24m!EF$20,INDEX(Vol_V,7,EF$170)/12)*(1+V_dVol),0))</f>
        <v>0</v>
      </c>
      <c r="EG183" s="48">
        <f>IF(EG$8=1,N(Reales!EG18),IF(EG$171=1,IF(AND(AND(132&gt;Corte,132&lt;=Corte+n_Ventana),ISNUMBER(Detalle_24m!EG$20)),Detalle_24m!EG$20,INDEX(Vol_V,7,EG$170)/12)*(1+V_dVol),0))</f>
        <v>0</v>
      </c>
      <c r="EH183" s="48">
        <f>IF(EH$8=1,N(Reales!EH18),IF(EH$171=1,IF(AND(AND(133&gt;Corte,133&lt;=Corte+n_Ventana),ISNUMBER(Detalle_24m!EH$20)),Detalle_24m!EH$20,INDEX(Vol_V,7,EH$170)/12)*(1+V_dVol),0))</f>
        <v>0</v>
      </c>
      <c r="EI183" s="48">
        <f>IF(EI$8=1,N(Reales!EI18),IF(EI$171=1,IF(AND(AND(134&gt;Corte,134&lt;=Corte+n_Ventana),ISNUMBER(Detalle_24m!EI$20)),Detalle_24m!EI$20,INDEX(Vol_V,7,EI$170)/12)*(1+V_dVol),0))</f>
        <v>0</v>
      </c>
      <c r="EJ183" s="48">
        <f>IF(EJ$8=1,N(Reales!EJ18),IF(EJ$171=1,IF(AND(AND(135&gt;Corte,135&lt;=Corte+n_Ventana),ISNUMBER(Detalle_24m!EJ$20)),Detalle_24m!EJ$20,INDEX(Vol_V,7,EJ$170)/12)*(1+V_dVol),0))</f>
        <v>0</v>
      </c>
      <c r="EK183" s="48">
        <f>IF(EK$8=1,N(Reales!EK18),IF(EK$171=1,IF(AND(AND(136&gt;Corte,136&lt;=Corte+n_Ventana),ISNUMBER(Detalle_24m!EK$20)),Detalle_24m!EK$20,INDEX(Vol_V,7,EK$170)/12)*(1+V_dVol),0))</f>
        <v>0</v>
      </c>
      <c r="EL183" s="48">
        <f>IF(EL$8=1,N(Reales!EL18),IF(EL$171=1,IF(AND(AND(137&gt;Corte,137&lt;=Corte+n_Ventana),ISNUMBER(Detalle_24m!EL$20)),Detalle_24m!EL$20,INDEX(Vol_V,7,EL$170)/12)*(1+V_dVol),0))</f>
        <v>0</v>
      </c>
      <c r="EM183" s="48">
        <f>IF(EM$8=1,N(Reales!EM18),IF(EM$171=1,IF(AND(AND(138&gt;Corte,138&lt;=Corte+n_Ventana),ISNUMBER(Detalle_24m!EM$20)),Detalle_24m!EM$20,INDEX(Vol_V,7,EM$170)/12)*(1+V_dVol),0))</f>
        <v>0</v>
      </c>
      <c r="EN183" s="48">
        <f>IF(EN$8=1,N(Reales!EN18),IF(EN$171=1,IF(AND(AND(139&gt;Corte,139&lt;=Corte+n_Ventana),ISNUMBER(Detalle_24m!EN$20)),Detalle_24m!EN$20,INDEX(Vol_V,7,EN$170)/12)*(1+V_dVol),0))</f>
        <v>0</v>
      </c>
      <c r="EO183" s="48">
        <f>IF(EO$8=1,N(Reales!EO18),IF(EO$171=1,IF(AND(AND(140&gt;Corte,140&lt;=Corte+n_Ventana),ISNUMBER(Detalle_24m!EO$20)),Detalle_24m!EO$20,INDEX(Vol_V,7,EO$170)/12)*(1+V_dVol),0))</f>
        <v>0</v>
      </c>
      <c r="EP183" s="48">
        <f>IF(EP$8=1,N(Reales!EP18),IF(EP$171=1,IF(AND(AND(141&gt;Corte,141&lt;=Corte+n_Ventana),ISNUMBER(Detalle_24m!EP$20)),Detalle_24m!EP$20,INDEX(Vol_V,7,EP$170)/12)*(1+V_dVol),0))</f>
        <v>0</v>
      </c>
      <c r="EQ183" s="48">
        <f>IF(EQ$8=1,N(Reales!EQ18),IF(EQ$171=1,IF(AND(AND(142&gt;Corte,142&lt;=Corte+n_Ventana),ISNUMBER(Detalle_24m!EQ$20)),Detalle_24m!EQ$20,INDEX(Vol_V,7,EQ$170)/12)*(1+V_dVol),0))</f>
        <v>0</v>
      </c>
      <c r="ER183" s="48">
        <f>IF(ER$8=1,N(Reales!ER18),IF(ER$171=1,IF(AND(AND(143&gt;Corte,143&lt;=Corte+n_Ventana),ISNUMBER(Detalle_24m!ER$20)),Detalle_24m!ER$20,INDEX(Vol_V,7,ER$170)/12)*(1+V_dVol),0))</f>
        <v>0</v>
      </c>
      <c r="ES183" s="48">
        <f>IF(ES$8=1,N(Reales!ES18),IF(ES$171=1,IF(AND(AND(144&gt;Corte,144&lt;=Corte+n_Ventana),ISNUMBER(Detalle_24m!ES$20)),Detalle_24m!ES$20,INDEX(Vol_V,7,ES$170)/12)*(1+V_dVol),0))</f>
        <v>0</v>
      </c>
    </row>
    <row r="184" spans="1:149" x14ac:dyDescent="0.3">
      <c r="A184" s="14" t="s">
        <v>1239</v>
      </c>
      <c r="B184" s="53" t="str">
        <f>IF(INDEX(Prod_Nombre,8)="","Producto 8",INDEX(Prod_Nombre,8))&amp;" — unidades"</f>
        <v>Producto 8 — unidades</v>
      </c>
      <c r="C184" s="18" t="s">
        <v>475</v>
      </c>
      <c r="E184" s="54">
        <f t="shared" si="604"/>
        <v>0</v>
      </c>
      <c r="F184" s="48">
        <f>IF(F$8=1,N(Reales!F19),IF(F$171=1,IF(AND(AND(1&gt;Corte,1&lt;=Corte+n_Ventana),ISNUMBER(Detalle_24m!F$21)),Detalle_24m!F$21,INDEX(Vol_V,8,F$170)/12)*(1+V_dVol),0))</f>
        <v>0</v>
      </c>
      <c r="G184" s="48">
        <f>IF(G$8=1,N(Reales!G19),IF(G$171=1,IF(AND(AND(2&gt;Corte,2&lt;=Corte+n_Ventana),ISNUMBER(Detalle_24m!G$21)),Detalle_24m!G$21,INDEX(Vol_V,8,G$170)/12)*(1+V_dVol),0))</f>
        <v>0</v>
      </c>
      <c r="H184" s="48">
        <f>IF(H$8=1,N(Reales!H19),IF(H$171=1,IF(AND(AND(3&gt;Corte,3&lt;=Corte+n_Ventana),ISNUMBER(Detalle_24m!H$21)),Detalle_24m!H$21,INDEX(Vol_V,8,H$170)/12)*(1+V_dVol),0))</f>
        <v>0</v>
      </c>
      <c r="I184" s="48">
        <f>IF(I$8=1,N(Reales!I19),IF(I$171=1,IF(AND(AND(4&gt;Corte,4&lt;=Corte+n_Ventana),ISNUMBER(Detalle_24m!I$21)),Detalle_24m!I$21,INDEX(Vol_V,8,I$170)/12)*(1+V_dVol),0))</f>
        <v>0</v>
      </c>
      <c r="J184" s="48">
        <f>IF(J$8=1,N(Reales!J19),IF(J$171=1,IF(AND(AND(5&gt;Corte,5&lt;=Corte+n_Ventana),ISNUMBER(Detalle_24m!J$21)),Detalle_24m!J$21,INDEX(Vol_V,8,J$170)/12)*(1+V_dVol),0))</f>
        <v>0</v>
      </c>
      <c r="K184" s="48">
        <f>IF(K$8=1,N(Reales!K19),IF(K$171=1,IF(AND(AND(6&gt;Corte,6&lt;=Corte+n_Ventana),ISNUMBER(Detalle_24m!K$21)),Detalle_24m!K$21,INDEX(Vol_V,8,K$170)/12)*(1+V_dVol),0))</f>
        <v>0</v>
      </c>
      <c r="L184" s="48">
        <f>IF(L$8=1,N(Reales!L19),IF(L$171=1,IF(AND(AND(7&gt;Corte,7&lt;=Corte+n_Ventana),ISNUMBER(Detalle_24m!L$21)),Detalle_24m!L$21,INDEX(Vol_V,8,L$170)/12)*(1+V_dVol),0))</f>
        <v>0</v>
      </c>
      <c r="M184" s="48">
        <f>IF(M$8=1,N(Reales!M19),IF(M$171=1,IF(AND(AND(8&gt;Corte,8&lt;=Corte+n_Ventana),ISNUMBER(Detalle_24m!M$21)),Detalle_24m!M$21,INDEX(Vol_V,8,M$170)/12)*(1+V_dVol),0))</f>
        <v>0</v>
      </c>
      <c r="N184" s="48">
        <f>IF(N$8=1,N(Reales!N19),IF(N$171=1,IF(AND(AND(9&gt;Corte,9&lt;=Corte+n_Ventana),ISNUMBER(Detalle_24m!N$21)),Detalle_24m!N$21,INDEX(Vol_V,8,N$170)/12)*(1+V_dVol),0))</f>
        <v>0</v>
      </c>
      <c r="O184" s="48">
        <f>IF(O$8=1,N(Reales!O19),IF(O$171=1,IF(AND(AND(10&gt;Corte,10&lt;=Corte+n_Ventana),ISNUMBER(Detalle_24m!O$21)),Detalle_24m!O$21,INDEX(Vol_V,8,O$170)/12)*(1+V_dVol),0))</f>
        <v>0</v>
      </c>
      <c r="P184" s="48">
        <f>IF(P$8=1,N(Reales!P19),IF(P$171=1,IF(AND(AND(11&gt;Corte,11&lt;=Corte+n_Ventana),ISNUMBER(Detalle_24m!P$21)),Detalle_24m!P$21,INDEX(Vol_V,8,P$170)/12)*(1+V_dVol),0))</f>
        <v>0</v>
      </c>
      <c r="Q184" s="48">
        <f>IF(Q$8=1,N(Reales!Q19),IF(Q$171=1,IF(AND(AND(12&gt;Corte,12&lt;=Corte+n_Ventana),ISNUMBER(Detalle_24m!Q$21)),Detalle_24m!Q$21,INDEX(Vol_V,8,Q$170)/12)*(1+V_dVol),0))</f>
        <v>0</v>
      </c>
      <c r="R184" s="48">
        <f>IF(R$8=1,N(Reales!R19),IF(R$171=1,IF(AND(AND(13&gt;Corte,13&lt;=Corte+n_Ventana),ISNUMBER(Detalle_24m!R$21)),Detalle_24m!R$21,INDEX(Vol_V,8,R$170)/12)*(1+V_dVol),0))</f>
        <v>0</v>
      </c>
      <c r="S184" s="48">
        <f>IF(S$8=1,N(Reales!S19),IF(S$171=1,IF(AND(AND(14&gt;Corte,14&lt;=Corte+n_Ventana),ISNUMBER(Detalle_24m!S$21)),Detalle_24m!S$21,INDEX(Vol_V,8,S$170)/12)*(1+V_dVol),0))</f>
        <v>0</v>
      </c>
      <c r="T184" s="48">
        <f>IF(T$8=1,N(Reales!T19),IF(T$171=1,IF(AND(AND(15&gt;Corte,15&lt;=Corte+n_Ventana),ISNUMBER(Detalle_24m!T$21)),Detalle_24m!T$21,INDEX(Vol_V,8,T$170)/12)*(1+V_dVol),0))</f>
        <v>0</v>
      </c>
      <c r="U184" s="48">
        <f>IF(U$8=1,N(Reales!U19),IF(U$171=1,IF(AND(AND(16&gt;Corte,16&lt;=Corte+n_Ventana),ISNUMBER(Detalle_24m!U$21)),Detalle_24m!U$21,INDEX(Vol_V,8,U$170)/12)*(1+V_dVol),0))</f>
        <v>0</v>
      </c>
      <c r="V184" s="48">
        <f>IF(V$8=1,N(Reales!V19),IF(V$171=1,IF(AND(AND(17&gt;Corte,17&lt;=Corte+n_Ventana),ISNUMBER(Detalle_24m!V$21)),Detalle_24m!V$21,INDEX(Vol_V,8,V$170)/12)*(1+V_dVol),0))</f>
        <v>0</v>
      </c>
      <c r="W184" s="48">
        <f>IF(W$8=1,N(Reales!W19),IF(W$171=1,IF(AND(AND(18&gt;Corte,18&lt;=Corte+n_Ventana),ISNUMBER(Detalle_24m!W$21)),Detalle_24m!W$21,INDEX(Vol_V,8,W$170)/12)*(1+V_dVol),0))</f>
        <v>0</v>
      </c>
      <c r="X184" s="48">
        <f>IF(X$8=1,N(Reales!X19),IF(X$171=1,IF(AND(AND(19&gt;Corte,19&lt;=Corte+n_Ventana),ISNUMBER(Detalle_24m!X$21)),Detalle_24m!X$21,INDEX(Vol_V,8,X$170)/12)*(1+V_dVol),0))</f>
        <v>0</v>
      </c>
      <c r="Y184" s="48">
        <f>IF(Y$8=1,N(Reales!Y19),IF(Y$171=1,IF(AND(AND(20&gt;Corte,20&lt;=Corte+n_Ventana),ISNUMBER(Detalle_24m!Y$21)),Detalle_24m!Y$21,INDEX(Vol_V,8,Y$170)/12)*(1+V_dVol),0))</f>
        <v>0</v>
      </c>
      <c r="Z184" s="48">
        <f>IF(Z$8=1,N(Reales!Z19),IF(Z$171=1,IF(AND(AND(21&gt;Corte,21&lt;=Corte+n_Ventana),ISNUMBER(Detalle_24m!Z$21)),Detalle_24m!Z$21,INDEX(Vol_V,8,Z$170)/12)*(1+V_dVol),0))</f>
        <v>0</v>
      </c>
      <c r="AA184" s="48">
        <f>IF(AA$8=1,N(Reales!AA19),IF(AA$171=1,IF(AND(AND(22&gt;Corte,22&lt;=Corte+n_Ventana),ISNUMBER(Detalle_24m!AA$21)),Detalle_24m!AA$21,INDEX(Vol_V,8,AA$170)/12)*(1+V_dVol),0))</f>
        <v>0</v>
      </c>
      <c r="AB184" s="48">
        <f>IF(AB$8=1,N(Reales!AB19),IF(AB$171=1,IF(AND(AND(23&gt;Corte,23&lt;=Corte+n_Ventana),ISNUMBER(Detalle_24m!AB$21)),Detalle_24m!AB$21,INDEX(Vol_V,8,AB$170)/12)*(1+V_dVol),0))</f>
        <v>0</v>
      </c>
      <c r="AC184" s="48">
        <f>IF(AC$8=1,N(Reales!AC19),IF(AC$171=1,IF(AND(AND(24&gt;Corte,24&lt;=Corte+n_Ventana),ISNUMBER(Detalle_24m!AC$21)),Detalle_24m!AC$21,INDEX(Vol_V,8,AC$170)/12)*(1+V_dVol),0))</f>
        <v>0</v>
      </c>
      <c r="AD184" s="48">
        <f>IF(AD$8=1,N(Reales!AD19),IF(AD$171=1,IF(AND(AND(25&gt;Corte,25&lt;=Corte+n_Ventana),ISNUMBER(Detalle_24m!AD$21)),Detalle_24m!AD$21,INDEX(Vol_V,8,AD$170)/12)*(1+V_dVol),0))</f>
        <v>0</v>
      </c>
      <c r="AE184" s="48">
        <f>IF(AE$8=1,N(Reales!AE19),IF(AE$171=1,IF(AND(AND(26&gt;Corte,26&lt;=Corte+n_Ventana),ISNUMBER(Detalle_24m!AE$21)),Detalle_24m!AE$21,INDEX(Vol_V,8,AE$170)/12)*(1+V_dVol),0))</f>
        <v>0</v>
      </c>
      <c r="AF184" s="48">
        <f>IF(AF$8=1,N(Reales!AF19),IF(AF$171=1,IF(AND(AND(27&gt;Corte,27&lt;=Corte+n_Ventana),ISNUMBER(Detalle_24m!AF$21)),Detalle_24m!AF$21,INDEX(Vol_V,8,AF$170)/12)*(1+V_dVol),0))</f>
        <v>0</v>
      </c>
      <c r="AG184" s="48">
        <f>IF(AG$8=1,N(Reales!AG19),IF(AG$171=1,IF(AND(AND(28&gt;Corte,28&lt;=Corte+n_Ventana),ISNUMBER(Detalle_24m!AG$21)),Detalle_24m!AG$21,INDEX(Vol_V,8,AG$170)/12)*(1+V_dVol),0))</f>
        <v>0</v>
      </c>
      <c r="AH184" s="48">
        <f>IF(AH$8=1,N(Reales!AH19),IF(AH$171=1,IF(AND(AND(29&gt;Corte,29&lt;=Corte+n_Ventana),ISNUMBER(Detalle_24m!AH$21)),Detalle_24m!AH$21,INDEX(Vol_V,8,AH$170)/12)*(1+V_dVol),0))</f>
        <v>0</v>
      </c>
      <c r="AI184" s="48">
        <f>IF(AI$8=1,N(Reales!AI19),IF(AI$171=1,IF(AND(AND(30&gt;Corte,30&lt;=Corte+n_Ventana),ISNUMBER(Detalle_24m!AI$21)),Detalle_24m!AI$21,INDEX(Vol_V,8,AI$170)/12)*(1+V_dVol),0))</f>
        <v>0</v>
      </c>
      <c r="AJ184" s="48">
        <f>IF(AJ$8=1,N(Reales!AJ19),IF(AJ$171=1,IF(AND(AND(31&gt;Corte,31&lt;=Corte+n_Ventana),ISNUMBER(Detalle_24m!AJ$21)),Detalle_24m!AJ$21,INDEX(Vol_V,8,AJ$170)/12)*(1+V_dVol),0))</f>
        <v>0</v>
      </c>
      <c r="AK184" s="48">
        <f>IF(AK$8=1,N(Reales!AK19),IF(AK$171=1,IF(AND(AND(32&gt;Corte,32&lt;=Corte+n_Ventana),ISNUMBER(Detalle_24m!AK$21)),Detalle_24m!AK$21,INDEX(Vol_V,8,AK$170)/12)*(1+V_dVol),0))</f>
        <v>0</v>
      </c>
      <c r="AL184" s="48">
        <f>IF(AL$8=1,N(Reales!AL19),IF(AL$171=1,IF(AND(AND(33&gt;Corte,33&lt;=Corte+n_Ventana),ISNUMBER(Detalle_24m!AL$21)),Detalle_24m!AL$21,INDEX(Vol_V,8,AL$170)/12)*(1+V_dVol),0))</f>
        <v>0</v>
      </c>
      <c r="AM184" s="48">
        <f>IF(AM$8=1,N(Reales!AM19),IF(AM$171=1,IF(AND(AND(34&gt;Corte,34&lt;=Corte+n_Ventana),ISNUMBER(Detalle_24m!AM$21)),Detalle_24m!AM$21,INDEX(Vol_V,8,AM$170)/12)*(1+V_dVol),0))</f>
        <v>0</v>
      </c>
      <c r="AN184" s="48">
        <f>IF(AN$8=1,N(Reales!AN19),IF(AN$171=1,IF(AND(AND(35&gt;Corte,35&lt;=Corte+n_Ventana),ISNUMBER(Detalle_24m!AN$21)),Detalle_24m!AN$21,INDEX(Vol_V,8,AN$170)/12)*(1+V_dVol),0))</f>
        <v>0</v>
      </c>
      <c r="AO184" s="48">
        <f>IF(AO$8=1,N(Reales!AO19),IF(AO$171=1,IF(AND(AND(36&gt;Corte,36&lt;=Corte+n_Ventana),ISNUMBER(Detalle_24m!AO$21)),Detalle_24m!AO$21,INDEX(Vol_V,8,AO$170)/12)*(1+V_dVol),0))</f>
        <v>0</v>
      </c>
      <c r="AP184" s="48">
        <f>IF(AP$8=1,N(Reales!AP19),IF(AP$171=1,IF(AND(AND(37&gt;Corte,37&lt;=Corte+n_Ventana),ISNUMBER(Detalle_24m!AP$21)),Detalle_24m!AP$21,INDEX(Vol_V,8,AP$170)/12)*(1+V_dVol),0))</f>
        <v>0</v>
      </c>
      <c r="AQ184" s="48">
        <f>IF(AQ$8=1,N(Reales!AQ19),IF(AQ$171=1,IF(AND(AND(38&gt;Corte,38&lt;=Corte+n_Ventana),ISNUMBER(Detalle_24m!AQ$21)),Detalle_24m!AQ$21,INDEX(Vol_V,8,AQ$170)/12)*(1+V_dVol),0))</f>
        <v>0</v>
      </c>
      <c r="AR184" s="48">
        <f>IF(AR$8=1,N(Reales!AR19),IF(AR$171=1,IF(AND(AND(39&gt;Corte,39&lt;=Corte+n_Ventana),ISNUMBER(Detalle_24m!AR$21)),Detalle_24m!AR$21,INDEX(Vol_V,8,AR$170)/12)*(1+V_dVol),0))</f>
        <v>0</v>
      </c>
      <c r="AS184" s="48">
        <f>IF(AS$8=1,N(Reales!AS19),IF(AS$171=1,IF(AND(AND(40&gt;Corte,40&lt;=Corte+n_Ventana),ISNUMBER(Detalle_24m!AS$21)),Detalle_24m!AS$21,INDEX(Vol_V,8,AS$170)/12)*(1+V_dVol),0))</f>
        <v>0</v>
      </c>
      <c r="AT184" s="48">
        <f>IF(AT$8=1,N(Reales!AT19),IF(AT$171=1,IF(AND(AND(41&gt;Corte,41&lt;=Corte+n_Ventana),ISNUMBER(Detalle_24m!AT$21)),Detalle_24m!AT$21,INDEX(Vol_V,8,AT$170)/12)*(1+V_dVol),0))</f>
        <v>0</v>
      </c>
      <c r="AU184" s="48">
        <f>IF(AU$8=1,N(Reales!AU19),IF(AU$171=1,IF(AND(AND(42&gt;Corte,42&lt;=Corte+n_Ventana),ISNUMBER(Detalle_24m!AU$21)),Detalle_24m!AU$21,INDEX(Vol_V,8,AU$170)/12)*(1+V_dVol),0))</f>
        <v>0</v>
      </c>
      <c r="AV184" s="48">
        <f>IF(AV$8=1,N(Reales!AV19),IF(AV$171=1,IF(AND(AND(43&gt;Corte,43&lt;=Corte+n_Ventana),ISNUMBER(Detalle_24m!AV$21)),Detalle_24m!AV$21,INDEX(Vol_V,8,AV$170)/12)*(1+V_dVol),0))</f>
        <v>0</v>
      </c>
      <c r="AW184" s="48">
        <f>IF(AW$8=1,N(Reales!AW19),IF(AW$171=1,IF(AND(AND(44&gt;Corte,44&lt;=Corte+n_Ventana),ISNUMBER(Detalle_24m!AW$21)),Detalle_24m!AW$21,INDEX(Vol_V,8,AW$170)/12)*(1+V_dVol),0))</f>
        <v>0</v>
      </c>
      <c r="AX184" s="48">
        <f>IF(AX$8=1,N(Reales!AX19),IF(AX$171=1,IF(AND(AND(45&gt;Corte,45&lt;=Corte+n_Ventana),ISNUMBER(Detalle_24m!AX$21)),Detalle_24m!AX$21,INDEX(Vol_V,8,AX$170)/12)*(1+V_dVol),0))</f>
        <v>0</v>
      </c>
      <c r="AY184" s="48">
        <f>IF(AY$8=1,N(Reales!AY19),IF(AY$171=1,IF(AND(AND(46&gt;Corte,46&lt;=Corte+n_Ventana),ISNUMBER(Detalle_24m!AY$21)),Detalle_24m!AY$21,INDEX(Vol_V,8,AY$170)/12)*(1+V_dVol),0))</f>
        <v>0</v>
      </c>
      <c r="AZ184" s="48">
        <f>IF(AZ$8=1,N(Reales!AZ19),IF(AZ$171=1,IF(AND(AND(47&gt;Corte,47&lt;=Corte+n_Ventana),ISNUMBER(Detalle_24m!AZ$21)),Detalle_24m!AZ$21,INDEX(Vol_V,8,AZ$170)/12)*(1+V_dVol),0))</f>
        <v>0</v>
      </c>
      <c r="BA184" s="48">
        <f>IF(BA$8=1,N(Reales!BA19),IF(BA$171=1,IF(AND(AND(48&gt;Corte,48&lt;=Corte+n_Ventana),ISNUMBER(Detalle_24m!BA$21)),Detalle_24m!BA$21,INDEX(Vol_V,8,BA$170)/12)*(1+V_dVol),0))</f>
        <v>0</v>
      </c>
      <c r="BB184" s="48">
        <f>IF(BB$8=1,N(Reales!BB19),IF(BB$171=1,IF(AND(AND(49&gt;Corte,49&lt;=Corte+n_Ventana),ISNUMBER(Detalle_24m!BB$21)),Detalle_24m!BB$21,INDEX(Vol_V,8,BB$170)/12)*(1+V_dVol),0))</f>
        <v>0</v>
      </c>
      <c r="BC184" s="48">
        <f>IF(BC$8=1,N(Reales!BC19),IF(BC$171=1,IF(AND(AND(50&gt;Corte,50&lt;=Corte+n_Ventana),ISNUMBER(Detalle_24m!BC$21)),Detalle_24m!BC$21,INDEX(Vol_V,8,BC$170)/12)*(1+V_dVol),0))</f>
        <v>0</v>
      </c>
      <c r="BD184" s="48">
        <f>IF(BD$8=1,N(Reales!BD19),IF(BD$171=1,IF(AND(AND(51&gt;Corte,51&lt;=Corte+n_Ventana),ISNUMBER(Detalle_24m!BD$21)),Detalle_24m!BD$21,INDEX(Vol_V,8,BD$170)/12)*(1+V_dVol),0))</f>
        <v>0</v>
      </c>
      <c r="BE184" s="48">
        <f>IF(BE$8=1,N(Reales!BE19),IF(BE$171=1,IF(AND(AND(52&gt;Corte,52&lt;=Corte+n_Ventana),ISNUMBER(Detalle_24m!BE$21)),Detalle_24m!BE$21,INDEX(Vol_V,8,BE$170)/12)*(1+V_dVol),0))</f>
        <v>0</v>
      </c>
      <c r="BF184" s="48">
        <f>IF(BF$8=1,N(Reales!BF19),IF(BF$171=1,IF(AND(AND(53&gt;Corte,53&lt;=Corte+n_Ventana),ISNUMBER(Detalle_24m!BF$21)),Detalle_24m!BF$21,INDEX(Vol_V,8,BF$170)/12)*(1+V_dVol),0))</f>
        <v>0</v>
      </c>
      <c r="BG184" s="48">
        <f>IF(BG$8=1,N(Reales!BG19),IF(BG$171=1,IF(AND(AND(54&gt;Corte,54&lt;=Corte+n_Ventana),ISNUMBER(Detalle_24m!BG$21)),Detalle_24m!BG$21,INDEX(Vol_V,8,BG$170)/12)*(1+V_dVol),0))</f>
        <v>0</v>
      </c>
      <c r="BH184" s="48">
        <f>IF(BH$8=1,N(Reales!BH19),IF(BH$171=1,IF(AND(AND(55&gt;Corte,55&lt;=Corte+n_Ventana),ISNUMBER(Detalle_24m!BH$21)),Detalle_24m!BH$21,INDEX(Vol_V,8,BH$170)/12)*(1+V_dVol),0))</f>
        <v>0</v>
      </c>
      <c r="BI184" s="48">
        <f>IF(BI$8=1,N(Reales!BI19),IF(BI$171=1,IF(AND(AND(56&gt;Corte,56&lt;=Corte+n_Ventana),ISNUMBER(Detalle_24m!BI$21)),Detalle_24m!BI$21,INDEX(Vol_V,8,BI$170)/12)*(1+V_dVol),0))</f>
        <v>0</v>
      </c>
      <c r="BJ184" s="48">
        <f>IF(BJ$8=1,N(Reales!BJ19),IF(BJ$171=1,IF(AND(AND(57&gt;Corte,57&lt;=Corte+n_Ventana),ISNUMBER(Detalle_24m!BJ$21)),Detalle_24m!BJ$21,INDEX(Vol_V,8,BJ$170)/12)*(1+V_dVol),0))</f>
        <v>0</v>
      </c>
      <c r="BK184" s="48">
        <f>IF(BK$8=1,N(Reales!BK19),IF(BK$171=1,IF(AND(AND(58&gt;Corte,58&lt;=Corte+n_Ventana),ISNUMBER(Detalle_24m!BK$21)),Detalle_24m!BK$21,INDEX(Vol_V,8,BK$170)/12)*(1+V_dVol),0))</f>
        <v>0</v>
      </c>
      <c r="BL184" s="48">
        <f>IF(BL$8=1,N(Reales!BL19),IF(BL$171=1,IF(AND(AND(59&gt;Corte,59&lt;=Corte+n_Ventana),ISNUMBER(Detalle_24m!BL$21)),Detalle_24m!BL$21,INDEX(Vol_V,8,BL$170)/12)*(1+V_dVol),0))</f>
        <v>0</v>
      </c>
      <c r="BM184" s="48">
        <f>IF(BM$8=1,N(Reales!BM19),IF(BM$171=1,IF(AND(AND(60&gt;Corte,60&lt;=Corte+n_Ventana),ISNUMBER(Detalle_24m!BM$21)),Detalle_24m!BM$21,INDEX(Vol_V,8,BM$170)/12)*(1+V_dVol),0))</f>
        <v>0</v>
      </c>
      <c r="BN184" s="48">
        <f>IF(BN$8=1,N(Reales!BN19),IF(BN$171=1,IF(AND(AND(61&gt;Corte,61&lt;=Corte+n_Ventana),ISNUMBER(Detalle_24m!BN$21)),Detalle_24m!BN$21,INDEX(Vol_V,8,BN$170)/12)*(1+V_dVol),0))</f>
        <v>0</v>
      </c>
      <c r="BO184" s="48">
        <f>IF(BO$8=1,N(Reales!BO19),IF(BO$171=1,IF(AND(AND(62&gt;Corte,62&lt;=Corte+n_Ventana),ISNUMBER(Detalle_24m!BO$21)),Detalle_24m!BO$21,INDEX(Vol_V,8,BO$170)/12)*(1+V_dVol),0))</f>
        <v>0</v>
      </c>
      <c r="BP184" s="48">
        <f>IF(BP$8=1,N(Reales!BP19),IF(BP$171=1,IF(AND(AND(63&gt;Corte,63&lt;=Corte+n_Ventana),ISNUMBER(Detalle_24m!BP$21)),Detalle_24m!BP$21,INDEX(Vol_V,8,BP$170)/12)*(1+V_dVol),0))</f>
        <v>0</v>
      </c>
      <c r="BQ184" s="48">
        <f>IF(BQ$8=1,N(Reales!BQ19),IF(BQ$171=1,IF(AND(AND(64&gt;Corte,64&lt;=Corte+n_Ventana),ISNUMBER(Detalle_24m!BQ$21)),Detalle_24m!BQ$21,INDEX(Vol_V,8,BQ$170)/12)*(1+V_dVol),0))</f>
        <v>0</v>
      </c>
      <c r="BR184" s="48">
        <f>IF(BR$8=1,N(Reales!BR19),IF(BR$171=1,IF(AND(AND(65&gt;Corte,65&lt;=Corte+n_Ventana),ISNUMBER(Detalle_24m!BR$21)),Detalle_24m!BR$21,INDEX(Vol_V,8,BR$170)/12)*(1+V_dVol),0))</f>
        <v>0</v>
      </c>
      <c r="BS184" s="48">
        <f>IF(BS$8=1,N(Reales!BS19),IF(BS$171=1,IF(AND(AND(66&gt;Corte,66&lt;=Corte+n_Ventana),ISNUMBER(Detalle_24m!BS$21)),Detalle_24m!BS$21,INDEX(Vol_V,8,BS$170)/12)*(1+V_dVol),0))</f>
        <v>0</v>
      </c>
      <c r="BT184" s="48">
        <f>IF(BT$8=1,N(Reales!BT19),IF(BT$171=1,IF(AND(AND(67&gt;Corte,67&lt;=Corte+n_Ventana),ISNUMBER(Detalle_24m!BT$21)),Detalle_24m!BT$21,INDEX(Vol_V,8,BT$170)/12)*(1+V_dVol),0))</f>
        <v>0</v>
      </c>
      <c r="BU184" s="48">
        <f>IF(BU$8=1,N(Reales!BU19),IF(BU$171=1,IF(AND(AND(68&gt;Corte,68&lt;=Corte+n_Ventana),ISNUMBER(Detalle_24m!BU$21)),Detalle_24m!BU$21,INDEX(Vol_V,8,BU$170)/12)*(1+V_dVol),0))</f>
        <v>0</v>
      </c>
      <c r="BV184" s="48">
        <f>IF(BV$8=1,N(Reales!BV19),IF(BV$171=1,IF(AND(AND(69&gt;Corte,69&lt;=Corte+n_Ventana),ISNUMBER(Detalle_24m!BV$21)),Detalle_24m!BV$21,INDEX(Vol_V,8,BV$170)/12)*(1+V_dVol),0))</f>
        <v>0</v>
      </c>
      <c r="BW184" s="48">
        <f>IF(BW$8=1,N(Reales!BW19),IF(BW$171=1,IF(AND(AND(70&gt;Corte,70&lt;=Corte+n_Ventana),ISNUMBER(Detalle_24m!BW$21)),Detalle_24m!BW$21,INDEX(Vol_V,8,BW$170)/12)*(1+V_dVol),0))</f>
        <v>0</v>
      </c>
      <c r="BX184" s="48">
        <f>IF(BX$8=1,N(Reales!BX19),IF(BX$171=1,IF(AND(AND(71&gt;Corte,71&lt;=Corte+n_Ventana),ISNUMBER(Detalle_24m!BX$21)),Detalle_24m!BX$21,INDEX(Vol_V,8,BX$170)/12)*(1+V_dVol),0))</f>
        <v>0</v>
      </c>
      <c r="BY184" s="48">
        <f>IF(BY$8=1,N(Reales!BY19),IF(BY$171=1,IF(AND(AND(72&gt;Corte,72&lt;=Corte+n_Ventana),ISNUMBER(Detalle_24m!BY$21)),Detalle_24m!BY$21,INDEX(Vol_V,8,BY$170)/12)*(1+V_dVol),0))</f>
        <v>0</v>
      </c>
      <c r="BZ184" s="48">
        <f>IF(BZ$8=1,N(Reales!BZ19),IF(BZ$171=1,IF(AND(AND(73&gt;Corte,73&lt;=Corte+n_Ventana),ISNUMBER(Detalle_24m!BZ$21)),Detalle_24m!BZ$21,INDEX(Vol_V,8,BZ$170)/12)*(1+V_dVol),0))</f>
        <v>0</v>
      </c>
      <c r="CA184" s="48">
        <f>IF(CA$8=1,N(Reales!CA19),IF(CA$171=1,IF(AND(AND(74&gt;Corte,74&lt;=Corte+n_Ventana),ISNUMBER(Detalle_24m!CA$21)),Detalle_24m!CA$21,INDEX(Vol_V,8,CA$170)/12)*(1+V_dVol),0))</f>
        <v>0</v>
      </c>
      <c r="CB184" s="48">
        <f>IF(CB$8=1,N(Reales!CB19),IF(CB$171=1,IF(AND(AND(75&gt;Corte,75&lt;=Corte+n_Ventana),ISNUMBER(Detalle_24m!CB$21)),Detalle_24m!CB$21,INDEX(Vol_V,8,CB$170)/12)*(1+V_dVol),0))</f>
        <v>0</v>
      </c>
      <c r="CC184" s="48">
        <f>IF(CC$8=1,N(Reales!CC19),IF(CC$171=1,IF(AND(AND(76&gt;Corte,76&lt;=Corte+n_Ventana),ISNUMBER(Detalle_24m!CC$21)),Detalle_24m!CC$21,INDEX(Vol_V,8,CC$170)/12)*(1+V_dVol),0))</f>
        <v>0</v>
      </c>
      <c r="CD184" s="48">
        <f>IF(CD$8=1,N(Reales!CD19),IF(CD$171=1,IF(AND(AND(77&gt;Corte,77&lt;=Corte+n_Ventana),ISNUMBER(Detalle_24m!CD$21)),Detalle_24m!CD$21,INDEX(Vol_V,8,CD$170)/12)*(1+V_dVol),0))</f>
        <v>0</v>
      </c>
      <c r="CE184" s="48">
        <f>IF(CE$8=1,N(Reales!CE19),IF(CE$171=1,IF(AND(AND(78&gt;Corte,78&lt;=Corte+n_Ventana),ISNUMBER(Detalle_24m!CE$21)),Detalle_24m!CE$21,INDEX(Vol_V,8,CE$170)/12)*(1+V_dVol),0))</f>
        <v>0</v>
      </c>
      <c r="CF184" s="48">
        <f>IF(CF$8=1,N(Reales!CF19),IF(CF$171=1,IF(AND(AND(79&gt;Corte,79&lt;=Corte+n_Ventana),ISNUMBER(Detalle_24m!CF$21)),Detalle_24m!CF$21,INDEX(Vol_V,8,CF$170)/12)*(1+V_dVol),0))</f>
        <v>0</v>
      </c>
      <c r="CG184" s="48">
        <f>IF(CG$8=1,N(Reales!CG19),IF(CG$171=1,IF(AND(AND(80&gt;Corte,80&lt;=Corte+n_Ventana),ISNUMBER(Detalle_24m!CG$21)),Detalle_24m!CG$21,INDEX(Vol_V,8,CG$170)/12)*(1+V_dVol),0))</f>
        <v>0</v>
      </c>
      <c r="CH184" s="48">
        <f>IF(CH$8=1,N(Reales!CH19),IF(CH$171=1,IF(AND(AND(81&gt;Corte,81&lt;=Corte+n_Ventana),ISNUMBER(Detalle_24m!CH$21)),Detalle_24m!CH$21,INDEX(Vol_V,8,CH$170)/12)*(1+V_dVol),0))</f>
        <v>0</v>
      </c>
      <c r="CI184" s="48">
        <f>IF(CI$8=1,N(Reales!CI19),IF(CI$171=1,IF(AND(AND(82&gt;Corte,82&lt;=Corte+n_Ventana),ISNUMBER(Detalle_24m!CI$21)),Detalle_24m!CI$21,INDEX(Vol_V,8,CI$170)/12)*(1+V_dVol),0))</f>
        <v>0</v>
      </c>
      <c r="CJ184" s="48">
        <f>IF(CJ$8=1,N(Reales!CJ19),IF(CJ$171=1,IF(AND(AND(83&gt;Corte,83&lt;=Corte+n_Ventana),ISNUMBER(Detalle_24m!CJ$21)),Detalle_24m!CJ$21,INDEX(Vol_V,8,CJ$170)/12)*(1+V_dVol),0))</f>
        <v>0</v>
      </c>
      <c r="CK184" s="48">
        <f>IF(CK$8=1,N(Reales!CK19),IF(CK$171=1,IF(AND(AND(84&gt;Corte,84&lt;=Corte+n_Ventana),ISNUMBER(Detalle_24m!CK$21)),Detalle_24m!CK$21,INDEX(Vol_V,8,CK$170)/12)*(1+V_dVol),0))</f>
        <v>0</v>
      </c>
      <c r="CL184" s="48">
        <f>IF(CL$8=1,N(Reales!CL19),IF(CL$171=1,IF(AND(AND(85&gt;Corte,85&lt;=Corte+n_Ventana),ISNUMBER(Detalle_24m!CL$21)),Detalle_24m!CL$21,INDEX(Vol_V,8,CL$170)/12)*(1+V_dVol),0))</f>
        <v>0</v>
      </c>
      <c r="CM184" s="48">
        <f>IF(CM$8=1,N(Reales!CM19),IF(CM$171=1,IF(AND(AND(86&gt;Corte,86&lt;=Corte+n_Ventana),ISNUMBER(Detalle_24m!CM$21)),Detalle_24m!CM$21,INDEX(Vol_V,8,CM$170)/12)*(1+V_dVol),0))</f>
        <v>0</v>
      </c>
      <c r="CN184" s="48">
        <f>IF(CN$8=1,N(Reales!CN19),IF(CN$171=1,IF(AND(AND(87&gt;Corte,87&lt;=Corte+n_Ventana),ISNUMBER(Detalle_24m!CN$21)),Detalle_24m!CN$21,INDEX(Vol_V,8,CN$170)/12)*(1+V_dVol),0))</f>
        <v>0</v>
      </c>
      <c r="CO184" s="48">
        <f>IF(CO$8=1,N(Reales!CO19),IF(CO$171=1,IF(AND(AND(88&gt;Corte,88&lt;=Corte+n_Ventana),ISNUMBER(Detalle_24m!CO$21)),Detalle_24m!CO$21,INDEX(Vol_V,8,CO$170)/12)*(1+V_dVol),0))</f>
        <v>0</v>
      </c>
      <c r="CP184" s="48">
        <f>IF(CP$8=1,N(Reales!CP19),IF(CP$171=1,IF(AND(AND(89&gt;Corte,89&lt;=Corte+n_Ventana),ISNUMBER(Detalle_24m!CP$21)),Detalle_24m!CP$21,INDEX(Vol_V,8,CP$170)/12)*(1+V_dVol),0))</f>
        <v>0</v>
      </c>
      <c r="CQ184" s="48">
        <f>IF(CQ$8=1,N(Reales!CQ19),IF(CQ$171=1,IF(AND(AND(90&gt;Corte,90&lt;=Corte+n_Ventana),ISNUMBER(Detalle_24m!CQ$21)),Detalle_24m!CQ$21,INDEX(Vol_V,8,CQ$170)/12)*(1+V_dVol),0))</f>
        <v>0</v>
      </c>
      <c r="CR184" s="48">
        <f>IF(CR$8=1,N(Reales!CR19),IF(CR$171=1,IF(AND(AND(91&gt;Corte,91&lt;=Corte+n_Ventana),ISNUMBER(Detalle_24m!CR$21)),Detalle_24m!CR$21,INDEX(Vol_V,8,CR$170)/12)*(1+V_dVol),0))</f>
        <v>0</v>
      </c>
      <c r="CS184" s="48">
        <f>IF(CS$8=1,N(Reales!CS19),IF(CS$171=1,IF(AND(AND(92&gt;Corte,92&lt;=Corte+n_Ventana),ISNUMBER(Detalle_24m!CS$21)),Detalle_24m!CS$21,INDEX(Vol_V,8,CS$170)/12)*(1+V_dVol),0))</f>
        <v>0</v>
      </c>
      <c r="CT184" s="48">
        <f>IF(CT$8=1,N(Reales!CT19),IF(CT$171=1,IF(AND(AND(93&gt;Corte,93&lt;=Corte+n_Ventana),ISNUMBER(Detalle_24m!CT$21)),Detalle_24m!CT$21,INDEX(Vol_V,8,CT$170)/12)*(1+V_dVol),0))</f>
        <v>0</v>
      </c>
      <c r="CU184" s="48">
        <f>IF(CU$8=1,N(Reales!CU19),IF(CU$171=1,IF(AND(AND(94&gt;Corte,94&lt;=Corte+n_Ventana),ISNUMBER(Detalle_24m!CU$21)),Detalle_24m!CU$21,INDEX(Vol_V,8,CU$170)/12)*(1+V_dVol),0))</f>
        <v>0</v>
      </c>
      <c r="CV184" s="48">
        <f>IF(CV$8=1,N(Reales!CV19),IF(CV$171=1,IF(AND(AND(95&gt;Corte,95&lt;=Corte+n_Ventana),ISNUMBER(Detalle_24m!CV$21)),Detalle_24m!CV$21,INDEX(Vol_V,8,CV$170)/12)*(1+V_dVol),0))</f>
        <v>0</v>
      </c>
      <c r="CW184" s="48">
        <f>IF(CW$8=1,N(Reales!CW19),IF(CW$171=1,IF(AND(AND(96&gt;Corte,96&lt;=Corte+n_Ventana),ISNUMBER(Detalle_24m!CW$21)),Detalle_24m!CW$21,INDEX(Vol_V,8,CW$170)/12)*(1+V_dVol),0))</f>
        <v>0</v>
      </c>
      <c r="CX184" s="48">
        <f>IF(CX$8=1,N(Reales!CX19),IF(CX$171=1,IF(AND(AND(97&gt;Corte,97&lt;=Corte+n_Ventana),ISNUMBER(Detalle_24m!CX$21)),Detalle_24m!CX$21,INDEX(Vol_V,8,CX$170)/12)*(1+V_dVol),0))</f>
        <v>0</v>
      </c>
      <c r="CY184" s="48">
        <f>IF(CY$8=1,N(Reales!CY19),IF(CY$171=1,IF(AND(AND(98&gt;Corte,98&lt;=Corte+n_Ventana),ISNUMBER(Detalle_24m!CY$21)),Detalle_24m!CY$21,INDEX(Vol_V,8,CY$170)/12)*(1+V_dVol),0))</f>
        <v>0</v>
      </c>
      <c r="CZ184" s="48">
        <f>IF(CZ$8=1,N(Reales!CZ19),IF(CZ$171=1,IF(AND(AND(99&gt;Corte,99&lt;=Corte+n_Ventana),ISNUMBER(Detalle_24m!CZ$21)),Detalle_24m!CZ$21,INDEX(Vol_V,8,CZ$170)/12)*(1+V_dVol),0))</f>
        <v>0</v>
      </c>
      <c r="DA184" s="48">
        <f>IF(DA$8=1,N(Reales!DA19),IF(DA$171=1,IF(AND(AND(100&gt;Corte,100&lt;=Corte+n_Ventana),ISNUMBER(Detalle_24m!DA$21)),Detalle_24m!DA$21,INDEX(Vol_V,8,DA$170)/12)*(1+V_dVol),0))</f>
        <v>0</v>
      </c>
      <c r="DB184" s="48">
        <f>IF(DB$8=1,N(Reales!DB19),IF(DB$171=1,IF(AND(AND(101&gt;Corte,101&lt;=Corte+n_Ventana),ISNUMBER(Detalle_24m!DB$21)),Detalle_24m!DB$21,INDEX(Vol_V,8,DB$170)/12)*(1+V_dVol),0))</f>
        <v>0</v>
      </c>
      <c r="DC184" s="48">
        <f>IF(DC$8=1,N(Reales!DC19),IF(DC$171=1,IF(AND(AND(102&gt;Corte,102&lt;=Corte+n_Ventana),ISNUMBER(Detalle_24m!DC$21)),Detalle_24m!DC$21,INDEX(Vol_V,8,DC$170)/12)*(1+V_dVol),0))</f>
        <v>0</v>
      </c>
      <c r="DD184" s="48">
        <f>IF(DD$8=1,N(Reales!DD19),IF(DD$171=1,IF(AND(AND(103&gt;Corte,103&lt;=Corte+n_Ventana),ISNUMBER(Detalle_24m!DD$21)),Detalle_24m!DD$21,INDEX(Vol_V,8,DD$170)/12)*(1+V_dVol),0))</f>
        <v>0</v>
      </c>
      <c r="DE184" s="48">
        <f>IF(DE$8=1,N(Reales!DE19),IF(DE$171=1,IF(AND(AND(104&gt;Corte,104&lt;=Corte+n_Ventana),ISNUMBER(Detalle_24m!DE$21)),Detalle_24m!DE$21,INDEX(Vol_V,8,DE$170)/12)*(1+V_dVol),0))</f>
        <v>0</v>
      </c>
      <c r="DF184" s="48">
        <f>IF(DF$8=1,N(Reales!DF19),IF(DF$171=1,IF(AND(AND(105&gt;Corte,105&lt;=Corte+n_Ventana),ISNUMBER(Detalle_24m!DF$21)),Detalle_24m!DF$21,INDEX(Vol_V,8,DF$170)/12)*(1+V_dVol),0))</f>
        <v>0</v>
      </c>
      <c r="DG184" s="48">
        <f>IF(DG$8=1,N(Reales!DG19),IF(DG$171=1,IF(AND(AND(106&gt;Corte,106&lt;=Corte+n_Ventana),ISNUMBER(Detalle_24m!DG$21)),Detalle_24m!DG$21,INDEX(Vol_V,8,DG$170)/12)*(1+V_dVol),0))</f>
        <v>0</v>
      </c>
      <c r="DH184" s="48">
        <f>IF(DH$8=1,N(Reales!DH19),IF(DH$171=1,IF(AND(AND(107&gt;Corte,107&lt;=Corte+n_Ventana),ISNUMBER(Detalle_24m!DH$21)),Detalle_24m!DH$21,INDEX(Vol_V,8,DH$170)/12)*(1+V_dVol),0))</f>
        <v>0</v>
      </c>
      <c r="DI184" s="48">
        <f>IF(DI$8=1,N(Reales!DI19),IF(DI$171=1,IF(AND(AND(108&gt;Corte,108&lt;=Corte+n_Ventana),ISNUMBER(Detalle_24m!DI$21)),Detalle_24m!DI$21,INDEX(Vol_V,8,DI$170)/12)*(1+V_dVol),0))</f>
        <v>0</v>
      </c>
      <c r="DJ184" s="48">
        <f>IF(DJ$8=1,N(Reales!DJ19),IF(DJ$171=1,IF(AND(AND(109&gt;Corte,109&lt;=Corte+n_Ventana),ISNUMBER(Detalle_24m!DJ$21)),Detalle_24m!DJ$21,INDEX(Vol_V,8,DJ$170)/12)*(1+V_dVol),0))</f>
        <v>0</v>
      </c>
      <c r="DK184" s="48">
        <f>IF(DK$8=1,N(Reales!DK19),IF(DK$171=1,IF(AND(AND(110&gt;Corte,110&lt;=Corte+n_Ventana),ISNUMBER(Detalle_24m!DK$21)),Detalle_24m!DK$21,INDEX(Vol_V,8,DK$170)/12)*(1+V_dVol),0))</f>
        <v>0</v>
      </c>
      <c r="DL184" s="48">
        <f>IF(DL$8=1,N(Reales!DL19),IF(DL$171=1,IF(AND(AND(111&gt;Corte,111&lt;=Corte+n_Ventana),ISNUMBER(Detalle_24m!DL$21)),Detalle_24m!DL$21,INDEX(Vol_V,8,DL$170)/12)*(1+V_dVol),0))</f>
        <v>0</v>
      </c>
      <c r="DM184" s="48">
        <f>IF(DM$8=1,N(Reales!DM19),IF(DM$171=1,IF(AND(AND(112&gt;Corte,112&lt;=Corte+n_Ventana),ISNUMBER(Detalle_24m!DM$21)),Detalle_24m!DM$21,INDEX(Vol_V,8,DM$170)/12)*(1+V_dVol),0))</f>
        <v>0</v>
      </c>
      <c r="DN184" s="48">
        <f>IF(DN$8=1,N(Reales!DN19),IF(DN$171=1,IF(AND(AND(113&gt;Corte,113&lt;=Corte+n_Ventana),ISNUMBER(Detalle_24m!DN$21)),Detalle_24m!DN$21,INDEX(Vol_V,8,DN$170)/12)*(1+V_dVol),0))</f>
        <v>0</v>
      </c>
      <c r="DO184" s="48">
        <f>IF(DO$8=1,N(Reales!DO19),IF(DO$171=1,IF(AND(AND(114&gt;Corte,114&lt;=Corte+n_Ventana),ISNUMBER(Detalle_24m!DO$21)),Detalle_24m!DO$21,INDEX(Vol_V,8,DO$170)/12)*(1+V_dVol),0))</f>
        <v>0</v>
      </c>
      <c r="DP184" s="48">
        <f>IF(DP$8=1,N(Reales!DP19),IF(DP$171=1,IF(AND(AND(115&gt;Corte,115&lt;=Corte+n_Ventana),ISNUMBER(Detalle_24m!DP$21)),Detalle_24m!DP$21,INDEX(Vol_V,8,DP$170)/12)*(1+V_dVol),0))</f>
        <v>0</v>
      </c>
      <c r="DQ184" s="48">
        <f>IF(DQ$8=1,N(Reales!DQ19),IF(DQ$171=1,IF(AND(AND(116&gt;Corte,116&lt;=Corte+n_Ventana),ISNUMBER(Detalle_24m!DQ$21)),Detalle_24m!DQ$21,INDEX(Vol_V,8,DQ$170)/12)*(1+V_dVol),0))</f>
        <v>0</v>
      </c>
      <c r="DR184" s="48">
        <f>IF(DR$8=1,N(Reales!DR19),IF(DR$171=1,IF(AND(AND(117&gt;Corte,117&lt;=Corte+n_Ventana),ISNUMBER(Detalle_24m!DR$21)),Detalle_24m!DR$21,INDEX(Vol_V,8,DR$170)/12)*(1+V_dVol),0))</f>
        <v>0</v>
      </c>
      <c r="DS184" s="48">
        <f>IF(DS$8=1,N(Reales!DS19),IF(DS$171=1,IF(AND(AND(118&gt;Corte,118&lt;=Corte+n_Ventana),ISNUMBER(Detalle_24m!DS$21)),Detalle_24m!DS$21,INDEX(Vol_V,8,DS$170)/12)*(1+V_dVol),0))</f>
        <v>0</v>
      </c>
      <c r="DT184" s="48">
        <f>IF(DT$8=1,N(Reales!DT19),IF(DT$171=1,IF(AND(AND(119&gt;Corte,119&lt;=Corte+n_Ventana),ISNUMBER(Detalle_24m!DT$21)),Detalle_24m!DT$21,INDEX(Vol_V,8,DT$170)/12)*(1+V_dVol),0))</f>
        <v>0</v>
      </c>
      <c r="DU184" s="48">
        <f>IF(DU$8=1,N(Reales!DU19),IF(DU$171=1,IF(AND(AND(120&gt;Corte,120&lt;=Corte+n_Ventana),ISNUMBER(Detalle_24m!DU$21)),Detalle_24m!DU$21,INDEX(Vol_V,8,DU$170)/12)*(1+V_dVol),0))</f>
        <v>0</v>
      </c>
      <c r="DV184" s="48">
        <f>IF(DV$8=1,N(Reales!DV19),IF(DV$171=1,IF(AND(AND(121&gt;Corte,121&lt;=Corte+n_Ventana),ISNUMBER(Detalle_24m!DV$21)),Detalle_24m!DV$21,INDEX(Vol_V,8,DV$170)/12)*(1+V_dVol),0))</f>
        <v>0</v>
      </c>
      <c r="DW184" s="48">
        <f>IF(DW$8=1,N(Reales!DW19),IF(DW$171=1,IF(AND(AND(122&gt;Corte,122&lt;=Corte+n_Ventana),ISNUMBER(Detalle_24m!DW$21)),Detalle_24m!DW$21,INDEX(Vol_V,8,DW$170)/12)*(1+V_dVol),0))</f>
        <v>0</v>
      </c>
      <c r="DX184" s="48">
        <f>IF(DX$8=1,N(Reales!DX19),IF(DX$171=1,IF(AND(AND(123&gt;Corte,123&lt;=Corte+n_Ventana),ISNUMBER(Detalle_24m!DX$21)),Detalle_24m!DX$21,INDEX(Vol_V,8,DX$170)/12)*(1+V_dVol),0))</f>
        <v>0</v>
      </c>
      <c r="DY184" s="48">
        <f>IF(DY$8=1,N(Reales!DY19),IF(DY$171=1,IF(AND(AND(124&gt;Corte,124&lt;=Corte+n_Ventana),ISNUMBER(Detalle_24m!DY$21)),Detalle_24m!DY$21,INDEX(Vol_V,8,DY$170)/12)*(1+V_dVol),0))</f>
        <v>0</v>
      </c>
      <c r="DZ184" s="48">
        <f>IF(DZ$8=1,N(Reales!DZ19),IF(DZ$171=1,IF(AND(AND(125&gt;Corte,125&lt;=Corte+n_Ventana),ISNUMBER(Detalle_24m!DZ$21)),Detalle_24m!DZ$21,INDEX(Vol_V,8,DZ$170)/12)*(1+V_dVol),0))</f>
        <v>0</v>
      </c>
      <c r="EA184" s="48">
        <f>IF(EA$8=1,N(Reales!EA19),IF(EA$171=1,IF(AND(AND(126&gt;Corte,126&lt;=Corte+n_Ventana),ISNUMBER(Detalle_24m!EA$21)),Detalle_24m!EA$21,INDEX(Vol_V,8,EA$170)/12)*(1+V_dVol),0))</f>
        <v>0</v>
      </c>
      <c r="EB184" s="48">
        <f>IF(EB$8=1,N(Reales!EB19),IF(EB$171=1,IF(AND(AND(127&gt;Corte,127&lt;=Corte+n_Ventana),ISNUMBER(Detalle_24m!EB$21)),Detalle_24m!EB$21,INDEX(Vol_V,8,EB$170)/12)*(1+V_dVol),0))</f>
        <v>0</v>
      </c>
      <c r="EC184" s="48">
        <f>IF(EC$8=1,N(Reales!EC19),IF(EC$171=1,IF(AND(AND(128&gt;Corte,128&lt;=Corte+n_Ventana),ISNUMBER(Detalle_24m!EC$21)),Detalle_24m!EC$21,INDEX(Vol_V,8,EC$170)/12)*(1+V_dVol),0))</f>
        <v>0</v>
      </c>
      <c r="ED184" s="48">
        <f>IF(ED$8=1,N(Reales!ED19),IF(ED$171=1,IF(AND(AND(129&gt;Corte,129&lt;=Corte+n_Ventana),ISNUMBER(Detalle_24m!ED$21)),Detalle_24m!ED$21,INDEX(Vol_V,8,ED$170)/12)*(1+V_dVol),0))</f>
        <v>0</v>
      </c>
      <c r="EE184" s="48">
        <f>IF(EE$8=1,N(Reales!EE19),IF(EE$171=1,IF(AND(AND(130&gt;Corte,130&lt;=Corte+n_Ventana),ISNUMBER(Detalle_24m!EE$21)),Detalle_24m!EE$21,INDEX(Vol_V,8,EE$170)/12)*(1+V_dVol),0))</f>
        <v>0</v>
      </c>
      <c r="EF184" s="48">
        <f>IF(EF$8=1,N(Reales!EF19),IF(EF$171=1,IF(AND(AND(131&gt;Corte,131&lt;=Corte+n_Ventana),ISNUMBER(Detalle_24m!EF$21)),Detalle_24m!EF$21,INDEX(Vol_V,8,EF$170)/12)*(1+V_dVol),0))</f>
        <v>0</v>
      </c>
      <c r="EG184" s="48">
        <f>IF(EG$8=1,N(Reales!EG19),IF(EG$171=1,IF(AND(AND(132&gt;Corte,132&lt;=Corte+n_Ventana),ISNUMBER(Detalle_24m!EG$21)),Detalle_24m!EG$21,INDEX(Vol_V,8,EG$170)/12)*(1+V_dVol),0))</f>
        <v>0</v>
      </c>
      <c r="EH184" s="48">
        <f>IF(EH$8=1,N(Reales!EH19),IF(EH$171=1,IF(AND(AND(133&gt;Corte,133&lt;=Corte+n_Ventana),ISNUMBER(Detalle_24m!EH$21)),Detalle_24m!EH$21,INDEX(Vol_V,8,EH$170)/12)*(1+V_dVol),0))</f>
        <v>0</v>
      </c>
      <c r="EI184" s="48">
        <f>IF(EI$8=1,N(Reales!EI19),IF(EI$171=1,IF(AND(AND(134&gt;Corte,134&lt;=Corte+n_Ventana),ISNUMBER(Detalle_24m!EI$21)),Detalle_24m!EI$21,INDEX(Vol_V,8,EI$170)/12)*(1+V_dVol),0))</f>
        <v>0</v>
      </c>
      <c r="EJ184" s="48">
        <f>IF(EJ$8=1,N(Reales!EJ19),IF(EJ$171=1,IF(AND(AND(135&gt;Corte,135&lt;=Corte+n_Ventana),ISNUMBER(Detalle_24m!EJ$21)),Detalle_24m!EJ$21,INDEX(Vol_V,8,EJ$170)/12)*(1+V_dVol),0))</f>
        <v>0</v>
      </c>
      <c r="EK184" s="48">
        <f>IF(EK$8=1,N(Reales!EK19),IF(EK$171=1,IF(AND(AND(136&gt;Corte,136&lt;=Corte+n_Ventana),ISNUMBER(Detalle_24m!EK$21)),Detalle_24m!EK$21,INDEX(Vol_V,8,EK$170)/12)*(1+V_dVol),0))</f>
        <v>0</v>
      </c>
      <c r="EL184" s="48">
        <f>IF(EL$8=1,N(Reales!EL19),IF(EL$171=1,IF(AND(AND(137&gt;Corte,137&lt;=Corte+n_Ventana),ISNUMBER(Detalle_24m!EL$21)),Detalle_24m!EL$21,INDEX(Vol_V,8,EL$170)/12)*(1+V_dVol),0))</f>
        <v>0</v>
      </c>
      <c r="EM184" s="48">
        <f>IF(EM$8=1,N(Reales!EM19),IF(EM$171=1,IF(AND(AND(138&gt;Corte,138&lt;=Corte+n_Ventana),ISNUMBER(Detalle_24m!EM$21)),Detalle_24m!EM$21,INDEX(Vol_V,8,EM$170)/12)*(1+V_dVol),0))</f>
        <v>0</v>
      </c>
      <c r="EN184" s="48">
        <f>IF(EN$8=1,N(Reales!EN19),IF(EN$171=1,IF(AND(AND(139&gt;Corte,139&lt;=Corte+n_Ventana),ISNUMBER(Detalle_24m!EN$21)),Detalle_24m!EN$21,INDEX(Vol_V,8,EN$170)/12)*(1+V_dVol),0))</f>
        <v>0</v>
      </c>
      <c r="EO184" s="48">
        <f>IF(EO$8=1,N(Reales!EO19),IF(EO$171=1,IF(AND(AND(140&gt;Corte,140&lt;=Corte+n_Ventana),ISNUMBER(Detalle_24m!EO$21)),Detalle_24m!EO$21,INDEX(Vol_V,8,EO$170)/12)*(1+V_dVol),0))</f>
        <v>0</v>
      </c>
      <c r="EP184" s="48">
        <f>IF(EP$8=1,N(Reales!EP19),IF(EP$171=1,IF(AND(AND(141&gt;Corte,141&lt;=Corte+n_Ventana),ISNUMBER(Detalle_24m!EP$21)),Detalle_24m!EP$21,INDEX(Vol_V,8,EP$170)/12)*(1+V_dVol),0))</f>
        <v>0</v>
      </c>
      <c r="EQ184" s="48">
        <f>IF(EQ$8=1,N(Reales!EQ19),IF(EQ$171=1,IF(AND(AND(142&gt;Corte,142&lt;=Corte+n_Ventana),ISNUMBER(Detalle_24m!EQ$21)),Detalle_24m!EQ$21,INDEX(Vol_V,8,EQ$170)/12)*(1+V_dVol),0))</f>
        <v>0</v>
      </c>
      <c r="ER184" s="48">
        <f>IF(ER$8=1,N(Reales!ER19),IF(ER$171=1,IF(AND(AND(143&gt;Corte,143&lt;=Corte+n_Ventana),ISNUMBER(Detalle_24m!ER$21)),Detalle_24m!ER$21,INDEX(Vol_V,8,ER$170)/12)*(1+V_dVol),0))</f>
        <v>0</v>
      </c>
      <c r="ES184" s="48">
        <f>IF(ES$8=1,N(Reales!ES19),IF(ES$171=1,IF(AND(AND(144&gt;Corte,144&lt;=Corte+n_Ventana),ISNUMBER(Detalle_24m!ES$21)),Detalle_24m!ES$21,INDEX(Vol_V,8,ES$170)/12)*(1+V_dVol),0))</f>
        <v>0</v>
      </c>
    </row>
    <row r="185" spans="1:149" x14ac:dyDescent="0.3">
      <c r="A185" s="14" t="s">
        <v>1240</v>
      </c>
      <c r="B185" s="53" t="str">
        <f>IF(INDEX(Prod_Nombre,9)="","Producto 9",INDEX(Prod_Nombre,9))&amp;" — unidades"</f>
        <v>Producto 9 — unidades</v>
      </c>
      <c r="C185" s="18" t="s">
        <v>475</v>
      </c>
      <c r="E185" s="54">
        <f t="shared" si="604"/>
        <v>0</v>
      </c>
      <c r="F185" s="48">
        <f>IF(F$8=1,N(Reales!F20),IF(F$171=1,IF(AND(AND(1&gt;Corte,1&lt;=Corte+n_Ventana),ISNUMBER(Detalle_24m!F$22)),Detalle_24m!F$22,INDEX(Vol_V,9,F$170)/12)*(1+V_dVol),0))</f>
        <v>0</v>
      </c>
      <c r="G185" s="48">
        <f>IF(G$8=1,N(Reales!G20),IF(G$171=1,IF(AND(AND(2&gt;Corte,2&lt;=Corte+n_Ventana),ISNUMBER(Detalle_24m!G$22)),Detalle_24m!G$22,INDEX(Vol_V,9,G$170)/12)*(1+V_dVol),0))</f>
        <v>0</v>
      </c>
      <c r="H185" s="48">
        <f>IF(H$8=1,N(Reales!H20),IF(H$171=1,IF(AND(AND(3&gt;Corte,3&lt;=Corte+n_Ventana),ISNUMBER(Detalle_24m!H$22)),Detalle_24m!H$22,INDEX(Vol_V,9,H$170)/12)*(1+V_dVol),0))</f>
        <v>0</v>
      </c>
      <c r="I185" s="48">
        <f>IF(I$8=1,N(Reales!I20),IF(I$171=1,IF(AND(AND(4&gt;Corte,4&lt;=Corte+n_Ventana),ISNUMBER(Detalle_24m!I$22)),Detalle_24m!I$22,INDEX(Vol_V,9,I$170)/12)*(1+V_dVol),0))</f>
        <v>0</v>
      </c>
      <c r="J185" s="48">
        <f>IF(J$8=1,N(Reales!J20),IF(J$171=1,IF(AND(AND(5&gt;Corte,5&lt;=Corte+n_Ventana),ISNUMBER(Detalle_24m!J$22)),Detalle_24m!J$22,INDEX(Vol_V,9,J$170)/12)*(1+V_dVol),0))</f>
        <v>0</v>
      </c>
      <c r="K185" s="48">
        <f>IF(K$8=1,N(Reales!K20),IF(K$171=1,IF(AND(AND(6&gt;Corte,6&lt;=Corte+n_Ventana),ISNUMBER(Detalle_24m!K$22)),Detalle_24m!K$22,INDEX(Vol_V,9,K$170)/12)*(1+V_dVol),0))</f>
        <v>0</v>
      </c>
      <c r="L185" s="48">
        <f>IF(L$8=1,N(Reales!L20),IF(L$171=1,IF(AND(AND(7&gt;Corte,7&lt;=Corte+n_Ventana),ISNUMBER(Detalle_24m!L$22)),Detalle_24m!L$22,INDEX(Vol_V,9,L$170)/12)*(1+V_dVol),0))</f>
        <v>0</v>
      </c>
      <c r="M185" s="48">
        <f>IF(M$8=1,N(Reales!M20),IF(M$171=1,IF(AND(AND(8&gt;Corte,8&lt;=Corte+n_Ventana),ISNUMBER(Detalle_24m!M$22)),Detalle_24m!M$22,INDEX(Vol_V,9,M$170)/12)*(1+V_dVol),0))</f>
        <v>0</v>
      </c>
      <c r="N185" s="48">
        <f>IF(N$8=1,N(Reales!N20),IF(N$171=1,IF(AND(AND(9&gt;Corte,9&lt;=Corte+n_Ventana),ISNUMBER(Detalle_24m!N$22)),Detalle_24m!N$22,INDEX(Vol_V,9,N$170)/12)*(1+V_dVol),0))</f>
        <v>0</v>
      </c>
      <c r="O185" s="48">
        <f>IF(O$8=1,N(Reales!O20),IF(O$171=1,IF(AND(AND(10&gt;Corte,10&lt;=Corte+n_Ventana),ISNUMBER(Detalle_24m!O$22)),Detalle_24m!O$22,INDEX(Vol_V,9,O$170)/12)*(1+V_dVol),0))</f>
        <v>0</v>
      </c>
      <c r="P185" s="48">
        <f>IF(P$8=1,N(Reales!P20),IF(P$171=1,IF(AND(AND(11&gt;Corte,11&lt;=Corte+n_Ventana),ISNUMBER(Detalle_24m!P$22)),Detalle_24m!P$22,INDEX(Vol_V,9,P$170)/12)*(1+V_dVol),0))</f>
        <v>0</v>
      </c>
      <c r="Q185" s="48">
        <f>IF(Q$8=1,N(Reales!Q20),IF(Q$171=1,IF(AND(AND(12&gt;Corte,12&lt;=Corte+n_Ventana),ISNUMBER(Detalle_24m!Q$22)),Detalle_24m!Q$22,INDEX(Vol_V,9,Q$170)/12)*(1+V_dVol),0))</f>
        <v>0</v>
      </c>
      <c r="R185" s="48">
        <f>IF(R$8=1,N(Reales!R20),IF(R$171=1,IF(AND(AND(13&gt;Corte,13&lt;=Corte+n_Ventana),ISNUMBER(Detalle_24m!R$22)),Detalle_24m!R$22,INDEX(Vol_V,9,R$170)/12)*(1+V_dVol),0))</f>
        <v>0</v>
      </c>
      <c r="S185" s="48">
        <f>IF(S$8=1,N(Reales!S20),IF(S$171=1,IF(AND(AND(14&gt;Corte,14&lt;=Corte+n_Ventana),ISNUMBER(Detalle_24m!S$22)),Detalle_24m!S$22,INDEX(Vol_V,9,S$170)/12)*(1+V_dVol),0))</f>
        <v>0</v>
      </c>
      <c r="T185" s="48">
        <f>IF(T$8=1,N(Reales!T20),IF(T$171=1,IF(AND(AND(15&gt;Corte,15&lt;=Corte+n_Ventana),ISNUMBER(Detalle_24m!T$22)),Detalle_24m!T$22,INDEX(Vol_V,9,T$170)/12)*(1+V_dVol),0))</f>
        <v>0</v>
      </c>
      <c r="U185" s="48">
        <f>IF(U$8=1,N(Reales!U20),IF(U$171=1,IF(AND(AND(16&gt;Corte,16&lt;=Corte+n_Ventana),ISNUMBER(Detalle_24m!U$22)),Detalle_24m!U$22,INDEX(Vol_V,9,U$170)/12)*(1+V_dVol),0))</f>
        <v>0</v>
      </c>
      <c r="V185" s="48">
        <f>IF(V$8=1,N(Reales!V20),IF(V$171=1,IF(AND(AND(17&gt;Corte,17&lt;=Corte+n_Ventana),ISNUMBER(Detalle_24m!V$22)),Detalle_24m!V$22,INDEX(Vol_V,9,V$170)/12)*(1+V_dVol),0))</f>
        <v>0</v>
      </c>
      <c r="W185" s="48">
        <f>IF(W$8=1,N(Reales!W20),IF(W$171=1,IF(AND(AND(18&gt;Corte,18&lt;=Corte+n_Ventana),ISNUMBER(Detalle_24m!W$22)),Detalle_24m!W$22,INDEX(Vol_V,9,W$170)/12)*(1+V_dVol),0))</f>
        <v>0</v>
      </c>
      <c r="X185" s="48">
        <f>IF(X$8=1,N(Reales!X20),IF(X$171=1,IF(AND(AND(19&gt;Corte,19&lt;=Corte+n_Ventana),ISNUMBER(Detalle_24m!X$22)),Detalle_24m!X$22,INDEX(Vol_V,9,X$170)/12)*(1+V_dVol),0))</f>
        <v>0</v>
      </c>
      <c r="Y185" s="48">
        <f>IF(Y$8=1,N(Reales!Y20),IF(Y$171=1,IF(AND(AND(20&gt;Corte,20&lt;=Corte+n_Ventana),ISNUMBER(Detalle_24m!Y$22)),Detalle_24m!Y$22,INDEX(Vol_V,9,Y$170)/12)*(1+V_dVol),0))</f>
        <v>0</v>
      </c>
      <c r="Z185" s="48">
        <f>IF(Z$8=1,N(Reales!Z20),IF(Z$171=1,IF(AND(AND(21&gt;Corte,21&lt;=Corte+n_Ventana),ISNUMBER(Detalle_24m!Z$22)),Detalle_24m!Z$22,INDEX(Vol_V,9,Z$170)/12)*(1+V_dVol),0))</f>
        <v>0</v>
      </c>
      <c r="AA185" s="48">
        <f>IF(AA$8=1,N(Reales!AA20),IF(AA$171=1,IF(AND(AND(22&gt;Corte,22&lt;=Corte+n_Ventana),ISNUMBER(Detalle_24m!AA$22)),Detalle_24m!AA$22,INDEX(Vol_V,9,AA$170)/12)*(1+V_dVol),0))</f>
        <v>0</v>
      </c>
      <c r="AB185" s="48">
        <f>IF(AB$8=1,N(Reales!AB20),IF(AB$171=1,IF(AND(AND(23&gt;Corte,23&lt;=Corte+n_Ventana),ISNUMBER(Detalle_24m!AB$22)),Detalle_24m!AB$22,INDEX(Vol_V,9,AB$170)/12)*(1+V_dVol),0))</f>
        <v>0</v>
      </c>
      <c r="AC185" s="48">
        <f>IF(AC$8=1,N(Reales!AC20),IF(AC$171=1,IF(AND(AND(24&gt;Corte,24&lt;=Corte+n_Ventana),ISNUMBER(Detalle_24m!AC$22)),Detalle_24m!AC$22,INDEX(Vol_V,9,AC$170)/12)*(1+V_dVol),0))</f>
        <v>0</v>
      </c>
      <c r="AD185" s="48">
        <f>IF(AD$8=1,N(Reales!AD20),IF(AD$171=1,IF(AND(AND(25&gt;Corte,25&lt;=Corte+n_Ventana),ISNUMBER(Detalle_24m!AD$22)),Detalle_24m!AD$22,INDEX(Vol_V,9,AD$170)/12)*(1+V_dVol),0))</f>
        <v>0</v>
      </c>
      <c r="AE185" s="48">
        <f>IF(AE$8=1,N(Reales!AE20),IF(AE$171=1,IF(AND(AND(26&gt;Corte,26&lt;=Corte+n_Ventana),ISNUMBER(Detalle_24m!AE$22)),Detalle_24m!AE$22,INDEX(Vol_V,9,AE$170)/12)*(1+V_dVol),0))</f>
        <v>0</v>
      </c>
      <c r="AF185" s="48">
        <f>IF(AF$8=1,N(Reales!AF20),IF(AF$171=1,IF(AND(AND(27&gt;Corte,27&lt;=Corte+n_Ventana),ISNUMBER(Detalle_24m!AF$22)),Detalle_24m!AF$22,INDEX(Vol_V,9,AF$170)/12)*(1+V_dVol),0))</f>
        <v>0</v>
      </c>
      <c r="AG185" s="48">
        <f>IF(AG$8=1,N(Reales!AG20),IF(AG$171=1,IF(AND(AND(28&gt;Corte,28&lt;=Corte+n_Ventana),ISNUMBER(Detalle_24m!AG$22)),Detalle_24m!AG$22,INDEX(Vol_V,9,AG$170)/12)*(1+V_dVol),0))</f>
        <v>0</v>
      </c>
      <c r="AH185" s="48">
        <f>IF(AH$8=1,N(Reales!AH20),IF(AH$171=1,IF(AND(AND(29&gt;Corte,29&lt;=Corte+n_Ventana),ISNUMBER(Detalle_24m!AH$22)),Detalle_24m!AH$22,INDEX(Vol_V,9,AH$170)/12)*(1+V_dVol),0))</f>
        <v>0</v>
      </c>
      <c r="AI185" s="48">
        <f>IF(AI$8=1,N(Reales!AI20),IF(AI$171=1,IF(AND(AND(30&gt;Corte,30&lt;=Corte+n_Ventana),ISNUMBER(Detalle_24m!AI$22)),Detalle_24m!AI$22,INDEX(Vol_V,9,AI$170)/12)*(1+V_dVol),0))</f>
        <v>0</v>
      </c>
      <c r="AJ185" s="48">
        <f>IF(AJ$8=1,N(Reales!AJ20),IF(AJ$171=1,IF(AND(AND(31&gt;Corte,31&lt;=Corte+n_Ventana),ISNUMBER(Detalle_24m!AJ$22)),Detalle_24m!AJ$22,INDEX(Vol_V,9,AJ$170)/12)*(1+V_dVol),0))</f>
        <v>0</v>
      </c>
      <c r="AK185" s="48">
        <f>IF(AK$8=1,N(Reales!AK20),IF(AK$171=1,IF(AND(AND(32&gt;Corte,32&lt;=Corte+n_Ventana),ISNUMBER(Detalle_24m!AK$22)),Detalle_24m!AK$22,INDEX(Vol_V,9,AK$170)/12)*(1+V_dVol),0))</f>
        <v>0</v>
      </c>
      <c r="AL185" s="48">
        <f>IF(AL$8=1,N(Reales!AL20),IF(AL$171=1,IF(AND(AND(33&gt;Corte,33&lt;=Corte+n_Ventana),ISNUMBER(Detalle_24m!AL$22)),Detalle_24m!AL$22,INDEX(Vol_V,9,AL$170)/12)*(1+V_dVol),0))</f>
        <v>0</v>
      </c>
      <c r="AM185" s="48">
        <f>IF(AM$8=1,N(Reales!AM20),IF(AM$171=1,IF(AND(AND(34&gt;Corte,34&lt;=Corte+n_Ventana),ISNUMBER(Detalle_24m!AM$22)),Detalle_24m!AM$22,INDEX(Vol_V,9,AM$170)/12)*(1+V_dVol),0))</f>
        <v>0</v>
      </c>
      <c r="AN185" s="48">
        <f>IF(AN$8=1,N(Reales!AN20),IF(AN$171=1,IF(AND(AND(35&gt;Corte,35&lt;=Corte+n_Ventana),ISNUMBER(Detalle_24m!AN$22)),Detalle_24m!AN$22,INDEX(Vol_V,9,AN$170)/12)*(1+V_dVol),0))</f>
        <v>0</v>
      </c>
      <c r="AO185" s="48">
        <f>IF(AO$8=1,N(Reales!AO20),IF(AO$171=1,IF(AND(AND(36&gt;Corte,36&lt;=Corte+n_Ventana),ISNUMBER(Detalle_24m!AO$22)),Detalle_24m!AO$22,INDEX(Vol_V,9,AO$170)/12)*(1+V_dVol),0))</f>
        <v>0</v>
      </c>
      <c r="AP185" s="48">
        <f>IF(AP$8=1,N(Reales!AP20),IF(AP$171=1,IF(AND(AND(37&gt;Corte,37&lt;=Corte+n_Ventana),ISNUMBER(Detalle_24m!AP$22)),Detalle_24m!AP$22,INDEX(Vol_V,9,AP$170)/12)*(1+V_dVol),0))</f>
        <v>0</v>
      </c>
      <c r="AQ185" s="48">
        <f>IF(AQ$8=1,N(Reales!AQ20),IF(AQ$171=1,IF(AND(AND(38&gt;Corte,38&lt;=Corte+n_Ventana),ISNUMBER(Detalle_24m!AQ$22)),Detalle_24m!AQ$22,INDEX(Vol_V,9,AQ$170)/12)*(1+V_dVol),0))</f>
        <v>0</v>
      </c>
      <c r="AR185" s="48">
        <f>IF(AR$8=1,N(Reales!AR20),IF(AR$171=1,IF(AND(AND(39&gt;Corte,39&lt;=Corte+n_Ventana),ISNUMBER(Detalle_24m!AR$22)),Detalle_24m!AR$22,INDEX(Vol_V,9,AR$170)/12)*(1+V_dVol),0))</f>
        <v>0</v>
      </c>
      <c r="AS185" s="48">
        <f>IF(AS$8=1,N(Reales!AS20),IF(AS$171=1,IF(AND(AND(40&gt;Corte,40&lt;=Corte+n_Ventana),ISNUMBER(Detalle_24m!AS$22)),Detalle_24m!AS$22,INDEX(Vol_V,9,AS$170)/12)*(1+V_dVol),0))</f>
        <v>0</v>
      </c>
      <c r="AT185" s="48">
        <f>IF(AT$8=1,N(Reales!AT20),IF(AT$171=1,IF(AND(AND(41&gt;Corte,41&lt;=Corte+n_Ventana),ISNUMBER(Detalle_24m!AT$22)),Detalle_24m!AT$22,INDEX(Vol_V,9,AT$170)/12)*(1+V_dVol),0))</f>
        <v>0</v>
      </c>
      <c r="AU185" s="48">
        <f>IF(AU$8=1,N(Reales!AU20),IF(AU$171=1,IF(AND(AND(42&gt;Corte,42&lt;=Corte+n_Ventana),ISNUMBER(Detalle_24m!AU$22)),Detalle_24m!AU$22,INDEX(Vol_V,9,AU$170)/12)*(1+V_dVol),0))</f>
        <v>0</v>
      </c>
      <c r="AV185" s="48">
        <f>IF(AV$8=1,N(Reales!AV20),IF(AV$171=1,IF(AND(AND(43&gt;Corte,43&lt;=Corte+n_Ventana),ISNUMBER(Detalle_24m!AV$22)),Detalle_24m!AV$22,INDEX(Vol_V,9,AV$170)/12)*(1+V_dVol),0))</f>
        <v>0</v>
      </c>
      <c r="AW185" s="48">
        <f>IF(AW$8=1,N(Reales!AW20),IF(AW$171=1,IF(AND(AND(44&gt;Corte,44&lt;=Corte+n_Ventana),ISNUMBER(Detalle_24m!AW$22)),Detalle_24m!AW$22,INDEX(Vol_V,9,AW$170)/12)*(1+V_dVol),0))</f>
        <v>0</v>
      </c>
      <c r="AX185" s="48">
        <f>IF(AX$8=1,N(Reales!AX20),IF(AX$171=1,IF(AND(AND(45&gt;Corte,45&lt;=Corte+n_Ventana),ISNUMBER(Detalle_24m!AX$22)),Detalle_24m!AX$22,INDEX(Vol_V,9,AX$170)/12)*(1+V_dVol),0))</f>
        <v>0</v>
      </c>
      <c r="AY185" s="48">
        <f>IF(AY$8=1,N(Reales!AY20),IF(AY$171=1,IF(AND(AND(46&gt;Corte,46&lt;=Corte+n_Ventana),ISNUMBER(Detalle_24m!AY$22)),Detalle_24m!AY$22,INDEX(Vol_V,9,AY$170)/12)*(1+V_dVol),0))</f>
        <v>0</v>
      </c>
      <c r="AZ185" s="48">
        <f>IF(AZ$8=1,N(Reales!AZ20),IF(AZ$171=1,IF(AND(AND(47&gt;Corte,47&lt;=Corte+n_Ventana),ISNUMBER(Detalle_24m!AZ$22)),Detalle_24m!AZ$22,INDEX(Vol_V,9,AZ$170)/12)*(1+V_dVol),0))</f>
        <v>0</v>
      </c>
      <c r="BA185" s="48">
        <f>IF(BA$8=1,N(Reales!BA20),IF(BA$171=1,IF(AND(AND(48&gt;Corte,48&lt;=Corte+n_Ventana),ISNUMBER(Detalle_24m!BA$22)),Detalle_24m!BA$22,INDEX(Vol_V,9,BA$170)/12)*(1+V_dVol),0))</f>
        <v>0</v>
      </c>
      <c r="BB185" s="48">
        <f>IF(BB$8=1,N(Reales!BB20),IF(BB$171=1,IF(AND(AND(49&gt;Corte,49&lt;=Corte+n_Ventana),ISNUMBER(Detalle_24m!BB$22)),Detalle_24m!BB$22,INDEX(Vol_V,9,BB$170)/12)*(1+V_dVol),0))</f>
        <v>0</v>
      </c>
      <c r="BC185" s="48">
        <f>IF(BC$8=1,N(Reales!BC20),IF(BC$171=1,IF(AND(AND(50&gt;Corte,50&lt;=Corte+n_Ventana),ISNUMBER(Detalle_24m!BC$22)),Detalle_24m!BC$22,INDEX(Vol_V,9,BC$170)/12)*(1+V_dVol),0))</f>
        <v>0</v>
      </c>
      <c r="BD185" s="48">
        <f>IF(BD$8=1,N(Reales!BD20),IF(BD$171=1,IF(AND(AND(51&gt;Corte,51&lt;=Corte+n_Ventana),ISNUMBER(Detalle_24m!BD$22)),Detalle_24m!BD$22,INDEX(Vol_V,9,BD$170)/12)*(1+V_dVol),0))</f>
        <v>0</v>
      </c>
      <c r="BE185" s="48">
        <f>IF(BE$8=1,N(Reales!BE20),IF(BE$171=1,IF(AND(AND(52&gt;Corte,52&lt;=Corte+n_Ventana),ISNUMBER(Detalle_24m!BE$22)),Detalle_24m!BE$22,INDEX(Vol_V,9,BE$170)/12)*(1+V_dVol),0))</f>
        <v>0</v>
      </c>
      <c r="BF185" s="48">
        <f>IF(BF$8=1,N(Reales!BF20),IF(BF$171=1,IF(AND(AND(53&gt;Corte,53&lt;=Corte+n_Ventana),ISNUMBER(Detalle_24m!BF$22)),Detalle_24m!BF$22,INDEX(Vol_V,9,BF$170)/12)*(1+V_dVol),0))</f>
        <v>0</v>
      </c>
      <c r="BG185" s="48">
        <f>IF(BG$8=1,N(Reales!BG20),IF(BG$171=1,IF(AND(AND(54&gt;Corte,54&lt;=Corte+n_Ventana),ISNUMBER(Detalle_24m!BG$22)),Detalle_24m!BG$22,INDEX(Vol_V,9,BG$170)/12)*(1+V_dVol),0))</f>
        <v>0</v>
      </c>
      <c r="BH185" s="48">
        <f>IF(BH$8=1,N(Reales!BH20),IF(BH$171=1,IF(AND(AND(55&gt;Corte,55&lt;=Corte+n_Ventana),ISNUMBER(Detalle_24m!BH$22)),Detalle_24m!BH$22,INDEX(Vol_V,9,BH$170)/12)*(1+V_dVol),0))</f>
        <v>0</v>
      </c>
      <c r="BI185" s="48">
        <f>IF(BI$8=1,N(Reales!BI20),IF(BI$171=1,IF(AND(AND(56&gt;Corte,56&lt;=Corte+n_Ventana),ISNUMBER(Detalle_24m!BI$22)),Detalle_24m!BI$22,INDEX(Vol_V,9,BI$170)/12)*(1+V_dVol),0))</f>
        <v>0</v>
      </c>
      <c r="BJ185" s="48">
        <f>IF(BJ$8=1,N(Reales!BJ20),IF(BJ$171=1,IF(AND(AND(57&gt;Corte,57&lt;=Corte+n_Ventana),ISNUMBER(Detalle_24m!BJ$22)),Detalle_24m!BJ$22,INDEX(Vol_V,9,BJ$170)/12)*(1+V_dVol),0))</f>
        <v>0</v>
      </c>
      <c r="BK185" s="48">
        <f>IF(BK$8=1,N(Reales!BK20),IF(BK$171=1,IF(AND(AND(58&gt;Corte,58&lt;=Corte+n_Ventana),ISNUMBER(Detalle_24m!BK$22)),Detalle_24m!BK$22,INDEX(Vol_V,9,BK$170)/12)*(1+V_dVol),0))</f>
        <v>0</v>
      </c>
      <c r="BL185" s="48">
        <f>IF(BL$8=1,N(Reales!BL20),IF(BL$171=1,IF(AND(AND(59&gt;Corte,59&lt;=Corte+n_Ventana),ISNUMBER(Detalle_24m!BL$22)),Detalle_24m!BL$22,INDEX(Vol_V,9,BL$170)/12)*(1+V_dVol),0))</f>
        <v>0</v>
      </c>
      <c r="BM185" s="48">
        <f>IF(BM$8=1,N(Reales!BM20),IF(BM$171=1,IF(AND(AND(60&gt;Corte,60&lt;=Corte+n_Ventana),ISNUMBER(Detalle_24m!BM$22)),Detalle_24m!BM$22,INDEX(Vol_V,9,BM$170)/12)*(1+V_dVol),0))</f>
        <v>0</v>
      </c>
      <c r="BN185" s="48">
        <f>IF(BN$8=1,N(Reales!BN20),IF(BN$171=1,IF(AND(AND(61&gt;Corte,61&lt;=Corte+n_Ventana),ISNUMBER(Detalle_24m!BN$22)),Detalle_24m!BN$22,INDEX(Vol_V,9,BN$170)/12)*(1+V_dVol),0))</f>
        <v>0</v>
      </c>
      <c r="BO185" s="48">
        <f>IF(BO$8=1,N(Reales!BO20),IF(BO$171=1,IF(AND(AND(62&gt;Corte,62&lt;=Corte+n_Ventana),ISNUMBER(Detalle_24m!BO$22)),Detalle_24m!BO$22,INDEX(Vol_V,9,BO$170)/12)*(1+V_dVol),0))</f>
        <v>0</v>
      </c>
      <c r="BP185" s="48">
        <f>IF(BP$8=1,N(Reales!BP20),IF(BP$171=1,IF(AND(AND(63&gt;Corte,63&lt;=Corte+n_Ventana),ISNUMBER(Detalle_24m!BP$22)),Detalle_24m!BP$22,INDEX(Vol_V,9,BP$170)/12)*(1+V_dVol),0))</f>
        <v>0</v>
      </c>
      <c r="BQ185" s="48">
        <f>IF(BQ$8=1,N(Reales!BQ20),IF(BQ$171=1,IF(AND(AND(64&gt;Corte,64&lt;=Corte+n_Ventana),ISNUMBER(Detalle_24m!BQ$22)),Detalle_24m!BQ$22,INDEX(Vol_V,9,BQ$170)/12)*(1+V_dVol),0))</f>
        <v>0</v>
      </c>
      <c r="BR185" s="48">
        <f>IF(BR$8=1,N(Reales!BR20),IF(BR$171=1,IF(AND(AND(65&gt;Corte,65&lt;=Corte+n_Ventana),ISNUMBER(Detalle_24m!BR$22)),Detalle_24m!BR$22,INDEX(Vol_V,9,BR$170)/12)*(1+V_dVol),0))</f>
        <v>0</v>
      </c>
      <c r="BS185" s="48">
        <f>IF(BS$8=1,N(Reales!BS20),IF(BS$171=1,IF(AND(AND(66&gt;Corte,66&lt;=Corte+n_Ventana),ISNUMBER(Detalle_24m!BS$22)),Detalle_24m!BS$22,INDEX(Vol_V,9,BS$170)/12)*(1+V_dVol),0))</f>
        <v>0</v>
      </c>
      <c r="BT185" s="48">
        <f>IF(BT$8=1,N(Reales!BT20),IF(BT$171=1,IF(AND(AND(67&gt;Corte,67&lt;=Corte+n_Ventana),ISNUMBER(Detalle_24m!BT$22)),Detalle_24m!BT$22,INDEX(Vol_V,9,BT$170)/12)*(1+V_dVol),0))</f>
        <v>0</v>
      </c>
      <c r="BU185" s="48">
        <f>IF(BU$8=1,N(Reales!BU20),IF(BU$171=1,IF(AND(AND(68&gt;Corte,68&lt;=Corte+n_Ventana),ISNUMBER(Detalle_24m!BU$22)),Detalle_24m!BU$22,INDEX(Vol_V,9,BU$170)/12)*(1+V_dVol),0))</f>
        <v>0</v>
      </c>
      <c r="BV185" s="48">
        <f>IF(BV$8=1,N(Reales!BV20),IF(BV$171=1,IF(AND(AND(69&gt;Corte,69&lt;=Corte+n_Ventana),ISNUMBER(Detalle_24m!BV$22)),Detalle_24m!BV$22,INDEX(Vol_V,9,BV$170)/12)*(1+V_dVol),0))</f>
        <v>0</v>
      </c>
      <c r="BW185" s="48">
        <f>IF(BW$8=1,N(Reales!BW20),IF(BW$171=1,IF(AND(AND(70&gt;Corte,70&lt;=Corte+n_Ventana),ISNUMBER(Detalle_24m!BW$22)),Detalle_24m!BW$22,INDEX(Vol_V,9,BW$170)/12)*(1+V_dVol),0))</f>
        <v>0</v>
      </c>
      <c r="BX185" s="48">
        <f>IF(BX$8=1,N(Reales!BX20),IF(BX$171=1,IF(AND(AND(71&gt;Corte,71&lt;=Corte+n_Ventana),ISNUMBER(Detalle_24m!BX$22)),Detalle_24m!BX$22,INDEX(Vol_V,9,BX$170)/12)*(1+V_dVol),0))</f>
        <v>0</v>
      </c>
      <c r="BY185" s="48">
        <f>IF(BY$8=1,N(Reales!BY20),IF(BY$171=1,IF(AND(AND(72&gt;Corte,72&lt;=Corte+n_Ventana),ISNUMBER(Detalle_24m!BY$22)),Detalle_24m!BY$22,INDEX(Vol_V,9,BY$170)/12)*(1+V_dVol),0))</f>
        <v>0</v>
      </c>
      <c r="BZ185" s="48">
        <f>IF(BZ$8=1,N(Reales!BZ20),IF(BZ$171=1,IF(AND(AND(73&gt;Corte,73&lt;=Corte+n_Ventana),ISNUMBER(Detalle_24m!BZ$22)),Detalle_24m!BZ$22,INDEX(Vol_V,9,BZ$170)/12)*(1+V_dVol),0))</f>
        <v>0</v>
      </c>
      <c r="CA185" s="48">
        <f>IF(CA$8=1,N(Reales!CA20),IF(CA$171=1,IF(AND(AND(74&gt;Corte,74&lt;=Corte+n_Ventana),ISNUMBER(Detalle_24m!CA$22)),Detalle_24m!CA$22,INDEX(Vol_V,9,CA$170)/12)*(1+V_dVol),0))</f>
        <v>0</v>
      </c>
      <c r="CB185" s="48">
        <f>IF(CB$8=1,N(Reales!CB20),IF(CB$171=1,IF(AND(AND(75&gt;Corte,75&lt;=Corte+n_Ventana),ISNUMBER(Detalle_24m!CB$22)),Detalle_24m!CB$22,INDEX(Vol_V,9,CB$170)/12)*(1+V_dVol),0))</f>
        <v>0</v>
      </c>
      <c r="CC185" s="48">
        <f>IF(CC$8=1,N(Reales!CC20),IF(CC$171=1,IF(AND(AND(76&gt;Corte,76&lt;=Corte+n_Ventana),ISNUMBER(Detalle_24m!CC$22)),Detalle_24m!CC$22,INDEX(Vol_V,9,CC$170)/12)*(1+V_dVol),0))</f>
        <v>0</v>
      </c>
      <c r="CD185" s="48">
        <f>IF(CD$8=1,N(Reales!CD20),IF(CD$171=1,IF(AND(AND(77&gt;Corte,77&lt;=Corte+n_Ventana),ISNUMBER(Detalle_24m!CD$22)),Detalle_24m!CD$22,INDEX(Vol_V,9,CD$170)/12)*(1+V_dVol),0))</f>
        <v>0</v>
      </c>
      <c r="CE185" s="48">
        <f>IF(CE$8=1,N(Reales!CE20),IF(CE$171=1,IF(AND(AND(78&gt;Corte,78&lt;=Corte+n_Ventana),ISNUMBER(Detalle_24m!CE$22)),Detalle_24m!CE$22,INDEX(Vol_V,9,CE$170)/12)*(1+V_dVol),0))</f>
        <v>0</v>
      </c>
      <c r="CF185" s="48">
        <f>IF(CF$8=1,N(Reales!CF20),IF(CF$171=1,IF(AND(AND(79&gt;Corte,79&lt;=Corte+n_Ventana),ISNUMBER(Detalle_24m!CF$22)),Detalle_24m!CF$22,INDEX(Vol_V,9,CF$170)/12)*(1+V_dVol),0))</f>
        <v>0</v>
      </c>
      <c r="CG185" s="48">
        <f>IF(CG$8=1,N(Reales!CG20),IF(CG$171=1,IF(AND(AND(80&gt;Corte,80&lt;=Corte+n_Ventana),ISNUMBER(Detalle_24m!CG$22)),Detalle_24m!CG$22,INDEX(Vol_V,9,CG$170)/12)*(1+V_dVol),0))</f>
        <v>0</v>
      </c>
      <c r="CH185" s="48">
        <f>IF(CH$8=1,N(Reales!CH20),IF(CH$171=1,IF(AND(AND(81&gt;Corte,81&lt;=Corte+n_Ventana),ISNUMBER(Detalle_24m!CH$22)),Detalle_24m!CH$22,INDEX(Vol_V,9,CH$170)/12)*(1+V_dVol),0))</f>
        <v>0</v>
      </c>
      <c r="CI185" s="48">
        <f>IF(CI$8=1,N(Reales!CI20),IF(CI$171=1,IF(AND(AND(82&gt;Corte,82&lt;=Corte+n_Ventana),ISNUMBER(Detalle_24m!CI$22)),Detalle_24m!CI$22,INDEX(Vol_V,9,CI$170)/12)*(1+V_dVol),0))</f>
        <v>0</v>
      </c>
      <c r="CJ185" s="48">
        <f>IF(CJ$8=1,N(Reales!CJ20),IF(CJ$171=1,IF(AND(AND(83&gt;Corte,83&lt;=Corte+n_Ventana),ISNUMBER(Detalle_24m!CJ$22)),Detalle_24m!CJ$22,INDEX(Vol_V,9,CJ$170)/12)*(1+V_dVol),0))</f>
        <v>0</v>
      </c>
      <c r="CK185" s="48">
        <f>IF(CK$8=1,N(Reales!CK20),IF(CK$171=1,IF(AND(AND(84&gt;Corte,84&lt;=Corte+n_Ventana),ISNUMBER(Detalle_24m!CK$22)),Detalle_24m!CK$22,INDEX(Vol_V,9,CK$170)/12)*(1+V_dVol),0))</f>
        <v>0</v>
      </c>
      <c r="CL185" s="48">
        <f>IF(CL$8=1,N(Reales!CL20),IF(CL$171=1,IF(AND(AND(85&gt;Corte,85&lt;=Corte+n_Ventana),ISNUMBER(Detalle_24m!CL$22)),Detalle_24m!CL$22,INDEX(Vol_V,9,CL$170)/12)*(1+V_dVol),0))</f>
        <v>0</v>
      </c>
      <c r="CM185" s="48">
        <f>IF(CM$8=1,N(Reales!CM20),IF(CM$171=1,IF(AND(AND(86&gt;Corte,86&lt;=Corte+n_Ventana),ISNUMBER(Detalle_24m!CM$22)),Detalle_24m!CM$22,INDEX(Vol_V,9,CM$170)/12)*(1+V_dVol),0))</f>
        <v>0</v>
      </c>
      <c r="CN185" s="48">
        <f>IF(CN$8=1,N(Reales!CN20),IF(CN$171=1,IF(AND(AND(87&gt;Corte,87&lt;=Corte+n_Ventana),ISNUMBER(Detalle_24m!CN$22)),Detalle_24m!CN$22,INDEX(Vol_V,9,CN$170)/12)*(1+V_dVol),0))</f>
        <v>0</v>
      </c>
      <c r="CO185" s="48">
        <f>IF(CO$8=1,N(Reales!CO20),IF(CO$171=1,IF(AND(AND(88&gt;Corte,88&lt;=Corte+n_Ventana),ISNUMBER(Detalle_24m!CO$22)),Detalle_24m!CO$22,INDEX(Vol_V,9,CO$170)/12)*(1+V_dVol),0))</f>
        <v>0</v>
      </c>
      <c r="CP185" s="48">
        <f>IF(CP$8=1,N(Reales!CP20),IF(CP$171=1,IF(AND(AND(89&gt;Corte,89&lt;=Corte+n_Ventana),ISNUMBER(Detalle_24m!CP$22)),Detalle_24m!CP$22,INDEX(Vol_V,9,CP$170)/12)*(1+V_dVol),0))</f>
        <v>0</v>
      </c>
      <c r="CQ185" s="48">
        <f>IF(CQ$8=1,N(Reales!CQ20),IF(CQ$171=1,IF(AND(AND(90&gt;Corte,90&lt;=Corte+n_Ventana),ISNUMBER(Detalle_24m!CQ$22)),Detalle_24m!CQ$22,INDEX(Vol_V,9,CQ$170)/12)*(1+V_dVol),0))</f>
        <v>0</v>
      </c>
      <c r="CR185" s="48">
        <f>IF(CR$8=1,N(Reales!CR20),IF(CR$171=1,IF(AND(AND(91&gt;Corte,91&lt;=Corte+n_Ventana),ISNUMBER(Detalle_24m!CR$22)),Detalle_24m!CR$22,INDEX(Vol_V,9,CR$170)/12)*(1+V_dVol),0))</f>
        <v>0</v>
      </c>
      <c r="CS185" s="48">
        <f>IF(CS$8=1,N(Reales!CS20),IF(CS$171=1,IF(AND(AND(92&gt;Corte,92&lt;=Corte+n_Ventana),ISNUMBER(Detalle_24m!CS$22)),Detalle_24m!CS$22,INDEX(Vol_V,9,CS$170)/12)*(1+V_dVol),0))</f>
        <v>0</v>
      </c>
      <c r="CT185" s="48">
        <f>IF(CT$8=1,N(Reales!CT20),IF(CT$171=1,IF(AND(AND(93&gt;Corte,93&lt;=Corte+n_Ventana),ISNUMBER(Detalle_24m!CT$22)),Detalle_24m!CT$22,INDEX(Vol_V,9,CT$170)/12)*(1+V_dVol),0))</f>
        <v>0</v>
      </c>
      <c r="CU185" s="48">
        <f>IF(CU$8=1,N(Reales!CU20),IF(CU$171=1,IF(AND(AND(94&gt;Corte,94&lt;=Corte+n_Ventana),ISNUMBER(Detalle_24m!CU$22)),Detalle_24m!CU$22,INDEX(Vol_V,9,CU$170)/12)*(1+V_dVol),0))</f>
        <v>0</v>
      </c>
      <c r="CV185" s="48">
        <f>IF(CV$8=1,N(Reales!CV20),IF(CV$171=1,IF(AND(AND(95&gt;Corte,95&lt;=Corte+n_Ventana),ISNUMBER(Detalle_24m!CV$22)),Detalle_24m!CV$22,INDEX(Vol_V,9,CV$170)/12)*(1+V_dVol),0))</f>
        <v>0</v>
      </c>
      <c r="CW185" s="48">
        <f>IF(CW$8=1,N(Reales!CW20),IF(CW$171=1,IF(AND(AND(96&gt;Corte,96&lt;=Corte+n_Ventana),ISNUMBER(Detalle_24m!CW$22)),Detalle_24m!CW$22,INDEX(Vol_V,9,CW$170)/12)*(1+V_dVol),0))</f>
        <v>0</v>
      </c>
      <c r="CX185" s="48">
        <f>IF(CX$8=1,N(Reales!CX20),IF(CX$171=1,IF(AND(AND(97&gt;Corte,97&lt;=Corte+n_Ventana),ISNUMBER(Detalle_24m!CX$22)),Detalle_24m!CX$22,INDEX(Vol_V,9,CX$170)/12)*(1+V_dVol),0))</f>
        <v>0</v>
      </c>
      <c r="CY185" s="48">
        <f>IF(CY$8=1,N(Reales!CY20),IF(CY$171=1,IF(AND(AND(98&gt;Corte,98&lt;=Corte+n_Ventana),ISNUMBER(Detalle_24m!CY$22)),Detalle_24m!CY$22,INDEX(Vol_V,9,CY$170)/12)*(1+V_dVol),0))</f>
        <v>0</v>
      </c>
      <c r="CZ185" s="48">
        <f>IF(CZ$8=1,N(Reales!CZ20),IF(CZ$171=1,IF(AND(AND(99&gt;Corte,99&lt;=Corte+n_Ventana),ISNUMBER(Detalle_24m!CZ$22)),Detalle_24m!CZ$22,INDEX(Vol_V,9,CZ$170)/12)*(1+V_dVol),0))</f>
        <v>0</v>
      </c>
      <c r="DA185" s="48">
        <f>IF(DA$8=1,N(Reales!DA20),IF(DA$171=1,IF(AND(AND(100&gt;Corte,100&lt;=Corte+n_Ventana),ISNUMBER(Detalle_24m!DA$22)),Detalle_24m!DA$22,INDEX(Vol_V,9,DA$170)/12)*(1+V_dVol),0))</f>
        <v>0</v>
      </c>
      <c r="DB185" s="48">
        <f>IF(DB$8=1,N(Reales!DB20),IF(DB$171=1,IF(AND(AND(101&gt;Corte,101&lt;=Corte+n_Ventana),ISNUMBER(Detalle_24m!DB$22)),Detalle_24m!DB$22,INDEX(Vol_V,9,DB$170)/12)*(1+V_dVol),0))</f>
        <v>0</v>
      </c>
      <c r="DC185" s="48">
        <f>IF(DC$8=1,N(Reales!DC20),IF(DC$171=1,IF(AND(AND(102&gt;Corte,102&lt;=Corte+n_Ventana),ISNUMBER(Detalle_24m!DC$22)),Detalle_24m!DC$22,INDEX(Vol_V,9,DC$170)/12)*(1+V_dVol),0))</f>
        <v>0</v>
      </c>
      <c r="DD185" s="48">
        <f>IF(DD$8=1,N(Reales!DD20),IF(DD$171=1,IF(AND(AND(103&gt;Corte,103&lt;=Corte+n_Ventana),ISNUMBER(Detalle_24m!DD$22)),Detalle_24m!DD$22,INDEX(Vol_V,9,DD$170)/12)*(1+V_dVol),0))</f>
        <v>0</v>
      </c>
      <c r="DE185" s="48">
        <f>IF(DE$8=1,N(Reales!DE20),IF(DE$171=1,IF(AND(AND(104&gt;Corte,104&lt;=Corte+n_Ventana),ISNUMBER(Detalle_24m!DE$22)),Detalle_24m!DE$22,INDEX(Vol_V,9,DE$170)/12)*(1+V_dVol),0))</f>
        <v>0</v>
      </c>
      <c r="DF185" s="48">
        <f>IF(DF$8=1,N(Reales!DF20),IF(DF$171=1,IF(AND(AND(105&gt;Corte,105&lt;=Corte+n_Ventana),ISNUMBER(Detalle_24m!DF$22)),Detalle_24m!DF$22,INDEX(Vol_V,9,DF$170)/12)*(1+V_dVol),0))</f>
        <v>0</v>
      </c>
      <c r="DG185" s="48">
        <f>IF(DG$8=1,N(Reales!DG20),IF(DG$171=1,IF(AND(AND(106&gt;Corte,106&lt;=Corte+n_Ventana),ISNUMBER(Detalle_24m!DG$22)),Detalle_24m!DG$22,INDEX(Vol_V,9,DG$170)/12)*(1+V_dVol),0))</f>
        <v>0</v>
      </c>
      <c r="DH185" s="48">
        <f>IF(DH$8=1,N(Reales!DH20),IF(DH$171=1,IF(AND(AND(107&gt;Corte,107&lt;=Corte+n_Ventana),ISNUMBER(Detalle_24m!DH$22)),Detalle_24m!DH$22,INDEX(Vol_V,9,DH$170)/12)*(1+V_dVol),0))</f>
        <v>0</v>
      </c>
      <c r="DI185" s="48">
        <f>IF(DI$8=1,N(Reales!DI20),IF(DI$171=1,IF(AND(AND(108&gt;Corte,108&lt;=Corte+n_Ventana),ISNUMBER(Detalle_24m!DI$22)),Detalle_24m!DI$22,INDEX(Vol_V,9,DI$170)/12)*(1+V_dVol),0))</f>
        <v>0</v>
      </c>
      <c r="DJ185" s="48">
        <f>IF(DJ$8=1,N(Reales!DJ20),IF(DJ$171=1,IF(AND(AND(109&gt;Corte,109&lt;=Corte+n_Ventana),ISNUMBER(Detalle_24m!DJ$22)),Detalle_24m!DJ$22,INDEX(Vol_V,9,DJ$170)/12)*(1+V_dVol),0))</f>
        <v>0</v>
      </c>
      <c r="DK185" s="48">
        <f>IF(DK$8=1,N(Reales!DK20),IF(DK$171=1,IF(AND(AND(110&gt;Corte,110&lt;=Corte+n_Ventana),ISNUMBER(Detalle_24m!DK$22)),Detalle_24m!DK$22,INDEX(Vol_V,9,DK$170)/12)*(1+V_dVol),0))</f>
        <v>0</v>
      </c>
      <c r="DL185" s="48">
        <f>IF(DL$8=1,N(Reales!DL20),IF(DL$171=1,IF(AND(AND(111&gt;Corte,111&lt;=Corte+n_Ventana),ISNUMBER(Detalle_24m!DL$22)),Detalle_24m!DL$22,INDEX(Vol_V,9,DL$170)/12)*(1+V_dVol),0))</f>
        <v>0</v>
      </c>
      <c r="DM185" s="48">
        <f>IF(DM$8=1,N(Reales!DM20),IF(DM$171=1,IF(AND(AND(112&gt;Corte,112&lt;=Corte+n_Ventana),ISNUMBER(Detalle_24m!DM$22)),Detalle_24m!DM$22,INDEX(Vol_V,9,DM$170)/12)*(1+V_dVol),0))</f>
        <v>0</v>
      </c>
      <c r="DN185" s="48">
        <f>IF(DN$8=1,N(Reales!DN20),IF(DN$171=1,IF(AND(AND(113&gt;Corte,113&lt;=Corte+n_Ventana),ISNUMBER(Detalle_24m!DN$22)),Detalle_24m!DN$22,INDEX(Vol_V,9,DN$170)/12)*(1+V_dVol),0))</f>
        <v>0</v>
      </c>
      <c r="DO185" s="48">
        <f>IF(DO$8=1,N(Reales!DO20),IF(DO$171=1,IF(AND(AND(114&gt;Corte,114&lt;=Corte+n_Ventana),ISNUMBER(Detalle_24m!DO$22)),Detalle_24m!DO$22,INDEX(Vol_V,9,DO$170)/12)*(1+V_dVol),0))</f>
        <v>0</v>
      </c>
      <c r="DP185" s="48">
        <f>IF(DP$8=1,N(Reales!DP20),IF(DP$171=1,IF(AND(AND(115&gt;Corte,115&lt;=Corte+n_Ventana),ISNUMBER(Detalle_24m!DP$22)),Detalle_24m!DP$22,INDEX(Vol_V,9,DP$170)/12)*(1+V_dVol),0))</f>
        <v>0</v>
      </c>
      <c r="DQ185" s="48">
        <f>IF(DQ$8=1,N(Reales!DQ20),IF(DQ$171=1,IF(AND(AND(116&gt;Corte,116&lt;=Corte+n_Ventana),ISNUMBER(Detalle_24m!DQ$22)),Detalle_24m!DQ$22,INDEX(Vol_V,9,DQ$170)/12)*(1+V_dVol),0))</f>
        <v>0</v>
      </c>
      <c r="DR185" s="48">
        <f>IF(DR$8=1,N(Reales!DR20),IF(DR$171=1,IF(AND(AND(117&gt;Corte,117&lt;=Corte+n_Ventana),ISNUMBER(Detalle_24m!DR$22)),Detalle_24m!DR$22,INDEX(Vol_V,9,DR$170)/12)*(1+V_dVol),0))</f>
        <v>0</v>
      </c>
      <c r="DS185" s="48">
        <f>IF(DS$8=1,N(Reales!DS20),IF(DS$171=1,IF(AND(AND(118&gt;Corte,118&lt;=Corte+n_Ventana),ISNUMBER(Detalle_24m!DS$22)),Detalle_24m!DS$22,INDEX(Vol_V,9,DS$170)/12)*(1+V_dVol),0))</f>
        <v>0</v>
      </c>
      <c r="DT185" s="48">
        <f>IF(DT$8=1,N(Reales!DT20),IF(DT$171=1,IF(AND(AND(119&gt;Corte,119&lt;=Corte+n_Ventana),ISNUMBER(Detalle_24m!DT$22)),Detalle_24m!DT$22,INDEX(Vol_V,9,DT$170)/12)*(1+V_dVol),0))</f>
        <v>0</v>
      </c>
      <c r="DU185" s="48">
        <f>IF(DU$8=1,N(Reales!DU20),IF(DU$171=1,IF(AND(AND(120&gt;Corte,120&lt;=Corte+n_Ventana),ISNUMBER(Detalle_24m!DU$22)),Detalle_24m!DU$22,INDEX(Vol_V,9,DU$170)/12)*(1+V_dVol),0))</f>
        <v>0</v>
      </c>
      <c r="DV185" s="48">
        <f>IF(DV$8=1,N(Reales!DV20),IF(DV$171=1,IF(AND(AND(121&gt;Corte,121&lt;=Corte+n_Ventana),ISNUMBER(Detalle_24m!DV$22)),Detalle_24m!DV$22,INDEX(Vol_V,9,DV$170)/12)*(1+V_dVol),0))</f>
        <v>0</v>
      </c>
      <c r="DW185" s="48">
        <f>IF(DW$8=1,N(Reales!DW20),IF(DW$171=1,IF(AND(AND(122&gt;Corte,122&lt;=Corte+n_Ventana),ISNUMBER(Detalle_24m!DW$22)),Detalle_24m!DW$22,INDEX(Vol_V,9,DW$170)/12)*(1+V_dVol),0))</f>
        <v>0</v>
      </c>
      <c r="DX185" s="48">
        <f>IF(DX$8=1,N(Reales!DX20),IF(DX$171=1,IF(AND(AND(123&gt;Corte,123&lt;=Corte+n_Ventana),ISNUMBER(Detalle_24m!DX$22)),Detalle_24m!DX$22,INDEX(Vol_V,9,DX$170)/12)*(1+V_dVol),0))</f>
        <v>0</v>
      </c>
      <c r="DY185" s="48">
        <f>IF(DY$8=1,N(Reales!DY20),IF(DY$171=1,IF(AND(AND(124&gt;Corte,124&lt;=Corte+n_Ventana),ISNUMBER(Detalle_24m!DY$22)),Detalle_24m!DY$22,INDEX(Vol_V,9,DY$170)/12)*(1+V_dVol),0))</f>
        <v>0</v>
      </c>
      <c r="DZ185" s="48">
        <f>IF(DZ$8=1,N(Reales!DZ20),IF(DZ$171=1,IF(AND(AND(125&gt;Corte,125&lt;=Corte+n_Ventana),ISNUMBER(Detalle_24m!DZ$22)),Detalle_24m!DZ$22,INDEX(Vol_V,9,DZ$170)/12)*(1+V_dVol),0))</f>
        <v>0</v>
      </c>
      <c r="EA185" s="48">
        <f>IF(EA$8=1,N(Reales!EA20),IF(EA$171=1,IF(AND(AND(126&gt;Corte,126&lt;=Corte+n_Ventana),ISNUMBER(Detalle_24m!EA$22)),Detalle_24m!EA$22,INDEX(Vol_V,9,EA$170)/12)*(1+V_dVol),0))</f>
        <v>0</v>
      </c>
      <c r="EB185" s="48">
        <f>IF(EB$8=1,N(Reales!EB20),IF(EB$171=1,IF(AND(AND(127&gt;Corte,127&lt;=Corte+n_Ventana),ISNUMBER(Detalle_24m!EB$22)),Detalle_24m!EB$22,INDEX(Vol_V,9,EB$170)/12)*(1+V_dVol),0))</f>
        <v>0</v>
      </c>
      <c r="EC185" s="48">
        <f>IF(EC$8=1,N(Reales!EC20),IF(EC$171=1,IF(AND(AND(128&gt;Corte,128&lt;=Corte+n_Ventana),ISNUMBER(Detalle_24m!EC$22)),Detalle_24m!EC$22,INDEX(Vol_V,9,EC$170)/12)*(1+V_dVol),0))</f>
        <v>0</v>
      </c>
      <c r="ED185" s="48">
        <f>IF(ED$8=1,N(Reales!ED20),IF(ED$171=1,IF(AND(AND(129&gt;Corte,129&lt;=Corte+n_Ventana),ISNUMBER(Detalle_24m!ED$22)),Detalle_24m!ED$22,INDEX(Vol_V,9,ED$170)/12)*(1+V_dVol),0))</f>
        <v>0</v>
      </c>
      <c r="EE185" s="48">
        <f>IF(EE$8=1,N(Reales!EE20),IF(EE$171=1,IF(AND(AND(130&gt;Corte,130&lt;=Corte+n_Ventana),ISNUMBER(Detalle_24m!EE$22)),Detalle_24m!EE$22,INDEX(Vol_V,9,EE$170)/12)*(1+V_dVol),0))</f>
        <v>0</v>
      </c>
      <c r="EF185" s="48">
        <f>IF(EF$8=1,N(Reales!EF20),IF(EF$171=1,IF(AND(AND(131&gt;Corte,131&lt;=Corte+n_Ventana),ISNUMBER(Detalle_24m!EF$22)),Detalle_24m!EF$22,INDEX(Vol_V,9,EF$170)/12)*(1+V_dVol),0))</f>
        <v>0</v>
      </c>
      <c r="EG185" s="48">
        <f>IF(EG$8=1,N(Reales!EG20),IF(EG$171=1,IF(AND(AND(132&gt;Corte,132&lt;=Corte+n_Ventana),ISNUMBER(Detalle_24m!EG$22)),Detalle_24m!EG$22,INDEX(Vol_V,9,EG$170)/12)*(1+V_dVol),0))</f>
        <v>0</v>
      </c>
      <c r="EH185" s="48">
        <f>IF(EH$8=1,N(Reales!EH20),IF(EH$171=1,IF(AND(AND(133&gt;Corte,133&lt;=Corte+n_Ventana),ISNUMBER(Detalle_24m!EH$22)),Detalle_24m!EH$22,INDEX(Vol_V,9,EH$170)/12)*(1+V_dVol),0))</f>
        <v>0</v>
      </c>
      <c r="EI185" s="48">
        <f>IF(EI$8=1,N(Reales!EI20),IF(EI$171=1,IF(AND(AND(134&gt;Corte,134&lt;=Corte+n_Ventana),ISNUMBER(Detalle_24m!EI$22)),Detalle_24m!EI$22,INDEX(Vol_V,9,EI$170)/12)*(1+V_dVol),0))</f>
        <v>0</v>
      </c>
      <c r="EJ185" s="48">
        <f>IF(EJ$8=1,N(Reales!EJ20),IF(EJ$171=1,IF(AND(AND(135&gt;Corte,135&lt;=Corte+n_Ventana),ISNUMBER(Detalle_24m!EJ$22)),Detalle_24m!EJ$22,INDEX(Vol_V,9,EJ$170)/12)*(1+V_dVol),0))</f>
        <v>0</v>
      </c>
      <c r="EK185" s="48">
        <f>IF(EK$8=1,N(Reales!EK20),IF(EK$171=1,IF(AND(AND(136&gt;Corte,136&lt;=Corte+n_Ventana),ISNUMBER(Detalle_24m!EK$22)),Detalle_24m!EK$22,INDEX(Vol_V,9,EK$170)/12)*(1+V_dVol),0))</f>
        <v>0</v>
      </c>
      <c r="EL185" s="48">
        <f>IF(EL$8=1,N(Reales!EL20),IF(EL$171=1,IF(AND(AND(137&gt;Corte,137&lt;=Corte+n_Ventana),ISNUMBER(Detalle_24m!EL$22)),Detalle_24m!EL$22,INDEX(Vol_V,9,EL$170)/12)*(1+V_dVol),0))</f>
        <v>0</v>
      </c>
      <c r="EM185" s="48">
        <f>IF(EM$8=1,N(Reales!EM20),IF(EM$171=1,IF(AND(AND(138&gt;Corte,138&lt;=Corte+n_Ventana),ISNUMBER(Detalle_24m!EM$22)),Detalle_24m!EM$22,INDEX(Vol_V,9,EM$170)/12)*(1+V_dVol),0))</f>
        <v>0</v>
      </c>
      <c r="EN185" s="48">
        <f>IF(EN$8=1,N(Reales!EN20),IF(EN$171=1,IF(AND(AND(139&gt;Corte,139&lt;=Corte+n_Ventana),ISNUMBER(Detalle_24m!EN$22)),Detalle_24m!EN$22,INDEX(Vol_V,9,EN$170)/12)*(1+V_dVol),0))</f>
        <v>0</v>
      </c>
      <c r="EO185" s="48">
        <f>IF(EO$8=1,N(Reales!EO20),IF(EO$171=1,IF(AND(AND(140&gt;Corte,140&lt;=Corte+n_Ventana),ISNUMBER(Detalle_24m!EO$22)),Detalle_24m!EO$22,INDEX(Vol_V,9,EO$170)/12)*(1+V_dVol),0))</f>
        <v>0</v>
      </c>
      <c r="EP185" s="48">
        <f>IF(EP$8=1,N(Reales!EP20),IF(EP$171=1,IF(AND(AND(141&gt;Corte,141&lt;=Corte+n_Ventana),ISNUMBER(Detalle_24m!EP$22)),Detalle_24m!EP$22,INDEX(Vol_V,9,EP$170)/12)*(1+V_dVol),0))</f>
        <v>0</v>
      </c>
      <c r="EQ185" s="48">
        <f>IF(EQ$8=1,N(Reales!EQ20),IF(EQ$171=1,IF(AND(AND(142&gt;Corte,142&lt;=Corte+n_Ventana),ISNUMBER(Detalle_24m!EQ$22)),Detalle_24m!EQ$22,INDEX(Vol_V,9,EQ$170)/12)*(1+V_dVol),0))</f>
        <v>0</v>
      </c>
      <c r="ER185" s="48">
        <f>IF(ER$8=1,N(Reales!ER20),IF(ER$171=1,IF(AND(AND(143&gt;Corte,143&lt;=Corte+n_Ventana),ISNUMBER(Detalle_24m!ER$22)),Detalle_24m!ER$22,INDEX(Vol_V,9,ER$170)/12)*(1+V_dVol),0))</f>
        <v>0</v>
      </c>
      <c r="ES185" s="48">
        <f>IF(ES$8=1,N(Reales!ES20),IF(ES$171=1,IF(AND(AND(144&gt;Corte,144&lt;=Corte+n_Ventana),ISNUMBER(Detalle_24m!ES$22)),Detalle_24m!ES$22,INDEX(Vol_V,9,ES$170)/12)*(1+V_dVol),0))</f>
        <v>0</v>
      </c>
    </row>
    <row r="186" spans="1:149" x14ac:dyDescent="0.3">
      <c r="A186" s="14" t="s">
        <v>1241</v>
      </c>
      <c r="B186" s="53" t="str">
        <f>IF(INDEX(Prod_Nombre,10)="","Producto 10",INDEX(Prod_Nombre,10))&amp;" — unidades"</f>
        <v>Producto 10 — unidades</v>
      </c>
      <c r="C186" s="18" t="s">
        <v>475</v>
      </c>
      <c r="E186" s="54">
        <f t="shared" si="604"/>
        <v>0</v>
      </c>
      <c r="F186" s="48">
        <f>IF(F$8=1,N(Reales!F21),IF(F$171=1,IF(AND(AND(1&gt;Corte,1&lt;=Corte+n_Ventana),ISNUMBER(Detalle_24m!F$23)),Detalle_24m!F$23,INDEX(Vol_V,10,F$170)/12)*(1+V_dVol),0))</f>
        <v>0</v>
      </c>
      <c r="G186" s="48">
        <f>IF(G$8=1,N(Reales!G21),IF(G$171=1,IF(AND(AND(2&gt;Corte,2&lt;=Corte+n_Ventana),ISNUMBER(Detalle_24m!G$23)),Detalle_24m!G$23,INDEX(Vol_V,10,G$170)/12)*(1+V_dVol),0))</f>
        <v>0</v>
      </c>
      <c r="H186" s="48">
        <f>IF(H$8=1,N(Reales!H21),IF(H$171=1,IF(AND(AND(3&gt;Corte,3&lt;=Corte+n_Ventana),ISNUMBER(Detalle_24m!H$23)),Detalle_24m!H$23,INDEX(Vol_V,10,H$170)/12)*(1+V_dVol),0))</f>
        <v>0</v>
      </c>
      <c r="I186" s="48">
        <f>IF(I$8=1,N(Reales!I21),IF(I$171=1,IF(AND(AND(4&gt;Corte,4&lt;=Corte+n_Ventana),ISNUMBER(Detalle_24m!I$23)),Detalle_24m!I$23,INDEX(Vol_V,10,I$170)/12)*(1+V_dVol),0))</f>
        <v>0</v>
      </c>
      <c r="J186" s="48">
        <f>IF(J$8=1,N(Reales!J21),IF(J$171=1,IF(AND(AND(5&gt;Corte,5&lt;=Corte+n_Ventana),ISNUMBER(Detalle_24m!J$23)),Detalle_24m!J$23,INDEX(Vol_V,10,J$170)/12)*(1+V_dVol),0))</f>
        <v>0</v>
      </c>
      <c r="K186" s="48">
        <f>IF(K$8=1,N(Reales!K21),IF(K$171=1,IF(AND(AND(6&gt;Corte,6&lt;=Corte+n_Ventana),ISNUMBER(Detalle_24m!K$23)),Detalle_24m!K$23,INDEX(Vol_V,10,K$170)/12)*(1+V_dVol),0))</f>
        <v>0</v>
      </c>
      <c r="L186" s="48">
        <f>IF(L$8=1,N(Reales!L21),IF(L$171=1,IF(AND(AND(7&gt;Corte,7&lt;=Corte+n_Ventana),ISNUMBER(Detalle_24m!L$23)),Detalle_24m!L$23,INDEX(Vol_V,10,L$170)/12)*(1+V_dVol),0))</f>
        <v>0</v>
      </c>
      <c r="M186" s="48">
        <f>IF(M$8=1,N(Reales!M21),IF(M$171=1,IF(AND(AND(8&gt;Corte,8&lt;=Corte+n_Ventana),ISNUMBER(Detalle_24m!M$23)),Detalle_24m!M$23,INDEX(Vol_V,10,M$170)/12)*(1+V_dVol),0))</f>
        <v>0</v>
      </c>
      <c r="N186" s="48">
        <f>IF(N$8=1,N(Reales!N21),IF(N$171=1,IF(AND(AND(9&gt;Corte,9&lt;=Corte+n_Ventana),ISNUMBER(Detalle_24m!N$23)),Detalle_24m!N$23,INDEX(Vol_V,10,N$170)/12)*(1+V_dVol),0))</f>
        <v>0</v>
      </c>
      <c r="O186" s="48">
        <f>IF(O$8=1,N(Reales!O21),IF(O$171=1,IF(AND(AND(10&gt;Corte,10&lt;=Corte+n_Ventana),ISNUMBER(Detalle_24m!O$23)),Detalle_24m!O$23,INDEX(Vol_V,10,O$170)/12)*(1+V_dVol),0))</f>
        <v>0</v>
      </c>
      <c r="P186" s="48">
        <f>IF(P$8=1,N(Reales!P21),IF(P$171=1,IF(AND(AND(11&gt;Corte,11&lt;=Corte+n_Ventana),ISNUMBER(Detalle_24m!P$23)),Detalle_24m!P$23,INDEX(Vol_V,10,P$170)/12)*(1+V_dVol),0))</f>
        <v>0</v>
      </c>
      <c r="Q186" s="48">
        <f>IF(Q$8=1,N(Reales!Q21),IF(Q$171=1,IF(AND(AND(12&gt;Corte,12&lt;=Corte+n_Ventana),ISNUMBER(Detalle_24m!Q$23)),Detalle_24m!Q$23,INDEX(Vol_V,10,Q$170)/12)*(1+V_dVol),0))</f>
        <v>0</v>
      </c>
      <c r="R186" s="48">
        <f>IF(R$8=1,N(Reales!R21),IF(R$171=1,IF(AND(AND(13&gt;Corte,13&lt;=Corte+n_Ventana),ISNUMBER(Detalle_24m!R$23)),Detalle_24m!R$23,INDEX(Vol_V,10,R$170)/12)*(1+V_dVol),0))</f>
        <v>0</v>
      </c>
      <c r="S186" s="48">
        <f>IF(S$8=1,N(Reales!S21),IF(S$171=1,IF(AND(AND(14&gt;Corte,14&lt;=Corte+n_Ventana),ISNUMBER(Detalle_24m!S$23)),Detalle_24m!S$23,INDEX(Vol_V,10,S$170)/12)*(1+V_dVol),0))</f>
        <v>0</v>
      </c>
      <c r="T186" s="48">
        <f>IF(T$8=1,N(Reales!T21),IF(T$171=1,IF(AND(AND(15&gt;Corte,15&lt;=Corte+n_Ventana),ISNUMBER(Detalle_24m!T$23)),Detalle_24m!T$23,INDEX(Vol_V,10,T$170)/12)*(1+V_dVol),0))</f>
        <v>0</v>
      </c>
      <c r="U186" s="48">
        <f>IF(U$8=1,N(Reales!U21),IF(U$171=1,IF(AND(AND(16&gt;Corte,16&lt;=Corte+n_Ventana),ISNUMBER(Detalle_24m!U$23)),Detalle_24m!U$23,INDEX(Vol_V,10,U$170)/12)*(1+V_dVol),0))</f>
        <v>0</v>
      </c>
      <c r="V186" s="48">
        <f>IF(V$8=1,N(Reales!V21),IF(V$171=1,IF(AND(AND(17&gt;Corte,17&lt;=Corte+n_Ventana),ISNUMBER(Detalle_24m!V$23)),Detalle_24m!V$23,INDEX(Vol_V,10,V$170)/12)*(1+V_dVol),0))</f>
        <v>0</v>
      </c>
      <c r="W186" s="48">
        <f>IF(W$8=1,N(Reales!W21),IF(W$171=1,IF(AND(AND(18&gt;Corte,18&lt;=Corte+n_Ventana),ISNUMBER(Detalle_24m!W$23)),Detalle_24m!W$23,INDEX(Vol_V,10,W$170)/12)*(1+V_dVol),0))</f>
        <v>0</v>
      </c>
      <c r="X186" s="48">
        <f>IF(X$8=1,N(Reales!X21),IF(X$171=1,IF(AND(AND(19&gt;Corte,19&lt;=Corte+n_Ventana),ISNUMBER(Detalle_24m!X$23)),Detalle_24m!X$23,INDEX(Vol_V,10,X$170)/12)*(1+V_dVol),0))</f>
        <v>0</v>
      </c>
      <c r="Y186" s="48">
        <f>IF(Y$8=1,N(Reales!Y21),IF(Y$171=1,IF(AND(AND(20&gt;Corte,20&lt;=Corte+n_Ventana),ISNUMBER(Detalle_24m!Y$23)),Detalle_24m!Y$23,INDEX(Vol_V,10,Y$170)/12)*(1+V_dVol),0))</f>
        <v>0</v>
      </c>
      <c r="Z186" s="48">
        <f>IF(Z$8=1,N(Reales!Z21),IF(Z$171=1,IF(AND(AND(21&gt;Corte,21&lt;=Corte+n_Ventana),ISNUMBER(Detalle_24m!Z$23)),Detalle_24m!Z$23,INDEX(Vol_V,10,Z$170)/12)*(1+V_dVol),0))</f>
        <v>0</v>
      </c>
      <c r="AA186" s="48">
        <f>IF(AA$8=1,N(Reales!AA21),IF(AA$171=1,IF(AND(AND(22&gt;Corte,22&lt;=Corte+n_Ventana),ISNUMBER(Detalle_24m!AA$23)),Detalle_24m!AA$23,INDEX(Vol_V,10,AA$170)/12)*(1+V_dVol),0))</f>
        <v>0</v>
      </c>
      <c r="AB186" s="48">
        <f>IF(AB$8=1,N(Reales!AB21),IF(AB$171=1,IF(AND(AND(23&gt;Corte,23&lt;=Corte+n_Ventana),ISNUMBER(Detalle_24m!AB$23)),Detalle_24m!AB$23,INDEX(Vol_V,10,AB$170)/12)*(1+V_dVol),0))</f>
        <v>0</v>
      </c>
      <c r="AC186" s="48">
        <f>IF(AC$8=1,N(Reales!AC21),IF(AC$171=1,IF(AND(AND(24&gt;Corte,24&lt;=Corte+n_Ventana),ISNUMBER(Detalle_24m!AC$23)),Detalle_24m!AC$23,INDEX(Vol_V,10,AC$170)/12)*(1+V_dVol),0))</f>
        <v>0</v>
      </c>
      <c r="AD186" s="48">
        <f>IF(AD$8=1,N(Reales!AD21),IF(AD$171=1,IF(AND(AND(25&gt;Corte,25&lt;=Corte+n_Ventana),ISNUMBER(Detalle_24m!AD$23)),Detalle_24m!AD$23,INDEX(Vol_V,10,AD$170)/12)*(1+V_dVol),0))</f>
        <v>0</v>
      </c>
      <c r="AE186" s="48">
        <f>IF(AE$8=1,N(Reales!AE21),IF(AE$171=1,IF(AND(AND(26&gt;Corte,26&lt;=Corte+n_Ventana),ISNUMBER(Detalle_24m!AE$23)),Detalle_24m!AE$23,INDEX(Vol_V,10,AE$170)/12)*(1+V_dVol),0))</f>
        <v>0</v>
      </c>
      <c r="AF186" s="48">
        <f>IF(AF$8=1,N(Reales!AF21),IF(AF$171=1,IF(AND(AND(27&gt;Corte,27&lt;=Corte+n_Ventana),ISNUMBER(Detalle_24m!AF$23)),Detalle_24m!AF$23,INDEX(Vol_V,10,AF$170)/12)*(1+V_dVol),0))</f>
        <v>0</v>
      </c>
      <c r="AG186" s="48">
        <f>IF(AG$8=1,N(Reales!AG21),IF(AG$171=1,IF(AND(AND(28&gt;Corte,28&lt;=Corte+n_Ventana),ISNUMBER(Detalle_24m!AG$23)),Detalle_24m!AG$23,INDEX(Vol_V,10,AG$170)/12)*(1+V_dVol),0))</f>
        <v>0</v>
      </c>
      <c r="AH186" s="48">
        <f>IF(AH$8=1,N(Reales!AH21),IF(AH$171=1,IF(AND(AND(29&gt;Corte,29&lt;=Corte+n_Ventana),ISNUMBER(Detalle_24m!AH$23)),Detalle_24m!AH$23,INDEX(Vol_V,10,AH$170)/12)*(1+V_dVol),0))</f>
        <v>0</v>
      </c>
      <c r="AI186" s="48">
        <f>IF(AI$8=1,N(Reales!AI21),IF(AI$171=1,IF(AND(AND(30&gt;Corte,30&lt;=Corte+n_Ventana),ISNUMBER(Detalle_24m!AI$23)),Detalle_24m!AI$23,INDEX(Vol_V,10,AI$170)/12)*(1+V_dVol),0))</f>
        <v>0</v>
      </c>
      <c r="AJ186" s="48">
        <f>IF(AJ$8=1,N(Reales!AJ21),IF(AJ$171=1,IF(AND(AND(31&gt;Corte,31&lt;=Corte+n_Ventana),ISNUMBER(Detalle_24m!AJ$23)),Detalle_24m!AJ$23,INDEX(Vol_V,10,AJ$170)/12)*(1+V_dVol),0))</f>
        <v>0</v>
      </c>
      <c r="AK186" s="48">
        <f>IF(AK$8=1,N(Reales!AK21),IF(AK$171=1,IF(AND(AND(32&gt;Corte,32&lt;=Corte+n_Ventana),ISNUMBER(Detalle_24m!AK$23)),Detalle_24m!AK$23,INDEX(Vol_V,10,AK$170)/12)*(1+V_dVol),0))</f>
        <v>0</v>
      </c>
      <c r="AL186" s="48">
        <f>IF(AL$8=1,N(Reales!AL21),IF(AL$171=1,IF(AND(AND(33&gt;Corte,33&lt;=Corte+n_Ventana),ISNUMBER(Detalle_24m!AL$23)),Detalle_24m!AL$23,INDEX(Vol_V,10,AL$170)/12)*(1+V_dVol),0))</f>
        <v>0</v>
      </c>
      <c r="AM186" s="48">
        <f>IF(AM$8=1,N(Reales!AM21),IF(AM$171=1,IF(AND(AND(34&gt;Corte,34&lt;=Corte+n_Ventana),ISNUMBER(Detalle_24m!AM$23)),Detalle_24m!AM$23,INDEX(Vol_V,10,AM$170)/12)*(1+V_dVol),0))</f>
        <v>0</v>
      </c>
      <c r="AN186" s="48">
        <f>IF(AN$8=1,N(Reales!AN21),IF(AN$171=1,IF(AND(AND(35&gt;Corte,35&lt;=Corte+n_Ventana),ISNUMBER(Detalle_24m!AN$23)),Detalle_24m!AN$23,INDEX(Vol_V,10,AN$170)/12)*(1+V_dVol),0))</f>
        <v>0</v>
      </c>
      <c r="AO186" s="48">
        <f>IF(AO$8=1,N(Reales!AO21),IF(AO$171=1,IF(AND(AND(36&gt;Corte,36&lt;=Corte+n_Ventana),ISNUMBER(Detalle_24m!AO$23)),Detalle_24m!AO$23,INDEX(Vol_V,10,AO$170)/12)*(1+V_dVol),0))</f>
        <v>0</v>
      </c>
      <c r="AP186" s="48">
        <f>IF(AP$8=1,N(Reales!AP21),IF(AP$171=1,IF(AND(AND(37&gt;Corte,37&lt;=Corte+n_Ventana),ISNUMBER(Detalle_24m!AP$23)),Detalle_24m!AP$23,INDEX(Vol_V,10,AP$170)/12)*(1+V_dVol),0))</f>
        <v>0</v>
      </c>
      <c r="AQ186" s="48">
        <f>IF(AQ$8=1,N(Reales!AQ21),IF(AQ$171=1,IF(AND(AND(38&gt;Corte,38&lt;=Corte+n_Ventana),ISNUMBER(Detalle_24m!AQ$23)),Detalle_24m!AQ$23,INDEX(Vol_V,10,AQ$170)/12)*(1+V_dVol),0))</f>
        <v>0</v>
      </c>
      <c r="AR186" s="48">
        <f>IF(AR$8=1,N(Reales!AR21),IF(AR$171=1,IF(AND(AND(39&gt;Corte,39&lt;=Corte+n_Ventana),ISNUMBER(Detalle_24m!AR$23)),Detalle_24m!AR$23,INDEX(Vol_V,10,AR$170)/12)*(1+V_dVol),0))</f>
        <v>0</v>
      </c>
      <c r="AS186" s="48">
        <f>IF(AS$8=1,N(Reales!AS21),IF(AS$171=1,IF(AND(AND(40&gt;Corte,40&lt;=Corte+n_Ventana),ISNUMBER(Detalle_24m!AS$23)),Detalle_24m!AS$23,INDEX(Vol_V,10,AS$170)/12)*(1+V_dVol),0))</f>
        <v>0</v>
      </c>
      <c r="AT186" s="48">
        <f>IF(AT$8=1,N(Reales!AT21),IF(AT$171=1,IF(AND(AND(41&gt;Corte,41&lt;=Corte+n_Ventana),ISNUMBER(Detalle_24m!AT$23)),Detalle_24m!AT$23,INDEX(Vol_V,10,AT$170)/12)*(1+V_dVol),0))</f>
        <v>0</v>
      </c>
      <c r="AU186" s="48">
        <f>IF(AU$8=1,N(Reales!AU21),IF(AU$171=1,IF(AND(AND(42&gt;Corte,42&lt;=Corte+n_Ventana),ISNUMBER(Detalle_24m!AU$23)),Detalle_24m!AU$23,INDEX(Vol_V,10,AU$170)/12)*(1+V_dVol),0))</f>
        <v>0</v>
      </c>
      <c r="AV186" s="48">
        <f>IF(AV$8=1,N(Reales!AV21),IF(AV$171=1,IF(AND(AND(43&gt;Corte,43&lt;=Corte+n_Ventana),ISNUMBER(Detalle_24m!AV$23)),Detalle_24m!AV$23,INDEX(Vol_V,10,AV$170)/12)*(1+V_dVol),0))</f>
        <v>0</v>
      </c>
      <c r="AW186" s="48">
        <f>IF(AW$8=1,N(Reales!AW21),IF(AW$171=1,IF(AND(AND(44&gt;Corte,44&lt;=Corte+n_Ventana),ISNUMBER(Detalle_24m!AW$23)),Detalle_24m!AW$23,INDEX(Vol_V,10,AW$170)/12)*(1+V_dVol),0))</f>
        <v>0</v>
      </c>
      <c r="AX186" s="48">
        <f>IF(AX$8=1,N(Reales!AX21),IF(AX$171=1,IF(AND(AND(45&gt;Corte,45&lt;=Corte+n_Ventana),ISNUMBER(Detalle_24m!AX$23)),Detalle_24m!AX$23,INDEX(Vol_V,10,AX$170)/12)*(1+V_dVol),0))</f>
        <v>0</v>
      </c>
      <c r="AY186" s="48">
        <f>IF(AY$8=1,N(Reales!AY21),IF(AY$171=1,IF(AND(AND(46&gt;Corte,46&lt;=Corte+n_Ventana),ISNUMBER(Detalle_24m!AY$23)),Detalle_24m!AY$23,INDEX(Vol_V,10,AY$170)/12)*(1+V_dVol),0))</f>
        <v>0</v>
      </c>
      <c r="AZ186" s="48">
        <f>IF(AZ$8=1,N(Reales!AZ21),IF(AZ$171=1,IF(AND(AND(47&gt;Corte,47&lt;=Corte+n_Ventana),ISNUMBER(Detalle_24m!AZ$23)),Detalle_24m!AZ$23,INDEX(Vol_V,10,AZ$170)/12)*(1+V_dVol),0))</f>
        <v>0</v>
      </c>
      <c r="BA186" s="48">
        <f>IF(BA$8=1,N(Reales!BA21),IF(BA$171=1,IF(AND(AND(48&gt;Corte,48&lt;=Corte+n_Ventana),ISNUMBER(Detalle_24m!BA$23)),Detalle_24m!BA$23,INDEX(Vol_V,10,BA$170)/12)*(1+V_dVol),0))</f>
        <v>0</v>
      </c>
      <c r="BB186" s="48">
        <f>IF(BB$8=1,N(Reales!BB21),IF(BB$171=1,IF(AND(AND(49&gt;Corte,49&lt;=Corte+n_Ventana),ISNUMBER(Detalle_24m!BB$23)),Detalle_24m!BB$23,INDEX(Vol_V,10,BB$170)/12)*(1+V_dVol),0))</f>
        <v>0</v>
      </c>
      <c r="BC186" s="48">
        <f>IF(BC$8=1,N(Reales!BC21),IF(BC$171=1,IF(AND(AND(50&gt;Corte,50&lt;=Corte+n_Ventana),ISNUMBER(Detalle_24m!BC$23)),Detalle_24m!BC$23,INDEX(Vol_V,10,BC$170)/12)*(1+V_dVol),0))</f>
        <v>0</v>
      </c>
      <c r="BD186" s="48">
        <f>IF(BD$8=1,N(Reales!BD21),IF(BD$171=1,IF(AND(AND(51&gt;Corte,51&lt;=Corte+n_Ventana),ISNUMBER(Detalle_24m!BD$23)),Detalle_24m!BD$23,INDEX(Vol_V,10,BD$170)/12)*(1+V_dVol),0))</f>
        <v>0</v>
      </c>
      <c r="BE186" s="48">
        <f>IF(BE$8=1,N(Reales!BE21),IF(BE$171=1,IF(AND(AND(52&gt;Corte,52&lt;=Corte+n_Ventana),ISNUMBER(Detalle_24m!BE$23)),Detalle_24m!BE$23,INDEX(Vol_V,10,BE$170)/12)*(1+V_dVol),0))</f>
        <v>0</v>
      </c>
      <c r="BF186" s="48">
        <f>IF(BF$8=1,N(Reales!BF21),IF(BF$171=1,IF(AND(AND(53&gt;Corte,53&lt;=Corte+n_Ventana),ISNUMBER(Detalle_24m!BF$23)),Detalle_24m!BF$23,INDEX(Vol_V,10,BF$170)/12)*(1+V_dVol),0))</f>
        <v>0</v>
      </c>
      <c r="BG186" s="48">
        <f>IF(BG$8=1,N(Reales!BG21),IF(BG$171=1,IF(AND(AND(54&gt;Corte,54&lt;=Corte+n_Ventana),ISNUMBER(Detalle_24m!BG$23)),Detalle_24m!BG$23,INDEX(Vol_V,10,BG$170)/12)*(1+V_dVol),0))</f>
        <v>0</v>
      </c>
      <c r="BH186" s="48">
        <f>IF(BH$8=1,N(Reales!BH21),IF(BH$171=1,IF(AND(AND(55&gt;Corte,55&lt;=Corte+n_Ventana),ISNUMBER(Detalle_24m!BH$23)),Detalle_24m!BH$23,INDEX(Vol_V,10,BH$170)/12)*(1+V_dVol),0))</f>
        <v>0</v>
      </c>
      <c r="BI186" s="48">
        <f>IF(BI$8=1,N(Reales!BI21),IF(BI$171=1,IF(AND(AND(56&gt;Corte,56&lt;=Corte+n_Ventana),ISNUMBER(Detalle_24m!BI$23)),Detalle_24m!BI$23,INDEX(Vol_V,10,BI$170)/12)*(1+V_dVol),0))</f>
        <v>0</v>
      </c>
      <c r="BJ186" s="48">
        <f>IF(BJ$8=1,N(Reales!BJ21),IF(BJ$171=1,IF(AND(AND(57&gt;Corte,57&lt;=Corte+n_Ventana),ISNUMBER(Detalle_24m!BJ$23)),Detalle_24m!BJ$23,INDEX(Vol_V,10,BJ$170)/12)*(1+V_dVol),0))</f>
        <v>0</v>
      </c>
      <c r="BK186" s="48">
        <f>IF(BK$8=1,N(Reales!BK21),IF(BK$171=1,IF(AND(AND(58&gt;Corte,58&lt;=Corte+n_Ventana),ISNUMBER(Detalle_24m!BK$23)),Detalle_24m!BK$23,INDEX(Vol_V,10,BK$170)/12)*(1+V_dVol),0))</f>
        <v>0</v>
      </c>
      <c r="BL186" s="48">
        <f>IF(BL$8=1,N(Reales!BL21),IF(BL$171=1,IF(AND(AND(59&gt;Corte,59&lt;=Corte+n_Ventana),ISNUMBER(Detalle_24m!BL$23)),Detalle_24m!BL$23,INDEX(Vol_V,10,BL$170)/12)*(1+V_dVol),0))</f>
        <v>0</v>
      </c>
      <c r="BM186" s="48">
        <f>IF(BM$8=1,N(Reales!BM21),IF(BM$171=1,IF(AND(AND(60&gt;Corte,60&lt;=Corte+n_Ventana),ISNUMBER(Detalle_24m!BM$23)),Detalle_24m!BM$23,INDEX(Vol_V,10,BM$170)/12)*(1+V_dVol),0))</f>
        <v>0</v>
      </c>
      <c r="BN186" s="48">
        <f>IF(BN$8=1,N(Reales!BN21),IF(BN$171=1,IF(AND(AND(61&gt;Corte,61&lt;=Corte+n_Ventana),ISNUMBER(Detalle_24m!BN$23)),Detalle_24m!BN$23,INDEX(Vol_V,10,BN$170)/12)*(1+V_dVol),0))</f>
        <v>0</v>
      </c>
      <c r="BO186" s="48">
        <f>IF(BO$8=1,N(Reales!BO21),IF(BO$171=1,IF(AND(AND(62&gt;Corte,62&lt;=Corte+n_Ventana),ISNUMBER(Detalle_24m!BO$23)),Detalle_24m!BO$23,INDEX(Vol_V,10,BO$170)/12)*(1+V_dVol),0))</f>
        <v>0</v>
      </c>
      <c r="BP186" s="48">
        <f>IF(BP$8=1,N(Reales!BP21),IF(BP$171=1,IF(AND(AND(63&gt;Corte,63&lt;=Corte+n_Ventana),ISNUMBER(Detalle_24m!BP$23)),Detalle_24m!BP$23,INDEX(Vol_V,10,BP$170)/12)*(1+V_dVol),0))</f>
        <v>0</v>
      </c>
      <c r="BQ186" s="48">
        <f>IF(BQ$8=1,N(Reales!BQ21),IF(BQ$171=1,IF(AND(AND(64&gt;Corte,64&lt;=Corte+n_Ventana),ISNUMBER(Detalle_24m!BQ$23)),Detalle_24m!BQ$23,INDEX(Vol_V,10,BQ$170)/12)*(1+V_dVol),0))</f>
        <v>0</v>
      </c>
      <c r="BR186" s="48">
        <f>IF(BR$8=1,N(Reales!BR21),IF(BR$171=1,IF(AND(AND(65&gt;Corte,65&lt;=Corte+n_Ventana),ISNUMBER(Detalle_24m!BR$23)),Detalle_24m!BR$23,INDEX(Vol_V,10,BR$170)/12)*(1+V_dVol),0))</f>
        <v>0</v>
      </c>
      <c r="BS186" s="48">
        <f>IF(BS$8=1,N(Reales!BS21),IF(BS$171=1,IF(AND(AND(66&gt;Corte,66&lt;=Corte+n_Ventana),ISNUMBER(Detalle_24m!BS$23)),Detalle_24m!BS$23,INDEX(Vol_V,10,BS$170)/12)*(1+V_dVol),0))</f>
        <v>0</v>
      </c>
      <c r="BT186" s="48">
        <f>IF(BT$8=1,N(Reales!BT21),IF(BT$171=1,IF(AND(AND(67&gt;Corte,67&lt;=Corte+n_Ventana),ISNUMBER(Detalle_24m!BT$23)),Detalle_24m!BT$23,INDEX(Vol_V,10,BT$170)/12)*(1+V_dVol),0))</f>
        <v>0</v>
      </c>
      <c r="BU186" s="48">
        <f>IF(BU$8=1,N(Reales!BU21),IF(BU$171=1,IF(AND(AND(68&gt;Corte,68&lt;=Corte+n_Ventana),ISNUMBER(Detalle_24m!BU$23)),Detalle_24m!BU$23,INDEX(Vol_V,10,BU$170)/12)*(1+V_dVol),0))</f>
        <v>0</v>
      </c>
      <c r="BV186" s="48">
        <f>IF(BV$8=1,N(Reales!BV21),IF(BV$171=1,IF(AND(AND(69&gt;Corte,69&lt;=Corte+n_Ventana),ISNUMBER(Detalle_24m!BV$23)),Detalle_24m!BV$23,INDEX(Vol_V,10,BV$170)/12)*(1+V_dVol),0))</f>
        <v>0</v>
      </c>
      <c r="BW186" s="48">
        <f>IF(BW$8=1,N(Reales!BW21),IF(BW$171=1,IF(AND(AND(70&gt;Corte,70&lt;=Corte+n_Ventana),ISNUMBER(Detalle_24m!BW$23)),Detalle_24m!BW$23,INDEX(Vol_V,10,BW$170)/12)*(1+V_dVol),0))</f>
        <v>0</v>
      </c>
      <c r="BX186" s="48">
        <f>IF(BX$8=1,N(Reales!BX21),IF(BX$171=1,IF(AND(AND(71&gt;Corte,71&lt;=Corte+n_Ventana),ISNUMBER(Detalle_24m!BX$23)),Detalle_24m!BX$23,INDEX(Vol_V,10,BX$170)/12)*(1+V_dVol),0))</f>
        <v>0</v>
      </c>
      <c r="BY186" s="48">
        <f>IF(BY$8=1,N(Reales!BY21),IF(BY$171=1,IF(AND(AND(72&gt;Corte,72&lt;=Corte+n_Ventana),ISNUMBER(Detalle_24m!BY$23)),Detalle_24m!BY$23,INDEX(Vol_V,10,BY$170)/12)*(1+V_dVol),0))</f>
        <v>0</v>
      </c>
      <c r="BZ186" s="48">
        <f>IF(BZ$8=1,N(Reales!BZ21),IF(BZ$171=1,IF(AND(AND(73&gt;Corte,73&lt;=Corte+n_Ventana),ISNUMBER(Detalle_24m!BZ$23)),Detalle_24m!BZ$23,INDEX(Vol_V,10,BZ$170)/12)*(1+V_dVol),0))</f>
        <v>0</v>
      </c>
      <c r="CA186" s="48">
        <f>IF(CA$8=1,N(Reales!CA21),IF(CA$171=1,IF(AND(AND(74&gt;Corte,74&lt;=Corte+n_Ventana),ISNUMBER(Detalle_24m!CA$23)),Detalle_24m!CA$23,INDEX(Vol_V,10,CA$170)/12)*(1+V_dVol),0))</f>
        <v>0</v>
      </c>
      <c r="CB186" s="48">
        <f>IF(CB$8=1,N(Reales!CB21),IF(CB$171=1,IF(AND(AND(75&gt;Corte,75&lt;=Corte+n_Ventana),ISNUMBER(Detalle_24m!CB$23)),Detalle_24m!CB$23,INDEX(Vol_V,10,CB$170)/12)*(1+V_dVol),0))</f>
        <v>0</v>
      </c>
      <c r="CC186" s="48">
        <f>IF(CC$8=1,N(Reales!CC21),IF(CC$171=1,IF(AND(AND(76&gt;Corte,76&lt;=Corte+n_Ventana),ISNUMBER(Detalle_24m!CC$23)),Detalle_24m!CC$23,INDEX(Vol_V,10,CC$170)/12)*(1+V_dVol),0))</f>
        <v>0</v>
      </c>
      <c r="CD186" s="48">
        <f>IF(CD$8=1,N(Reales!CD21),IF(CD$171=1,IF(AND(AND(77&gt;Corte,77&lt;=Corte+n_Ventana),ISNUMBER(Detalle_24m!CD$23)),Detalle_24m!CD$23,INDEX(Vol_V,10,CD$170)/12)*(1+V_dVol),0))</f>
        <v>0</v>
      </c>
      <c r="CE186" s="48">
        <f>IF(CE$8=1,N(Reales!CE21),IF(CE$171=1,IF(AND(AND(78&gt;Corte,78&lt;=Corte+n_Ventana),ISNUMBER(Detalle_24m!CE$23)),Detalle_24m!CE$23,INDEX(Vol_V,10,CE$170)/12)*(1+V_dVol),0))</f>
        <v>0</v>
      </c>
      <c r="CF186" s="48">
        <f>IF(CF$8=1,N(Reales!CF21),IF(CF$171=1,IF(AND(AND(79&gt;Corte,79&lt;=Corte+n_Ventana),ISNUMBER(Detalle_24m!CF$23)),Detalle_24m!CF$23,INDEX(Vol_V,10,CF$170)/12)*(1+V_dVol),0))</f>
        <v>0</v>
      </c>
      <c r="CG186" s="48">
        <f>IF(CG$8=1,N(Reales!CG21),IF(CG$171=1,IF(AND(AND(80&gt;Corte,80&lt;=Corte+n_Ventana),ISNUMBER(Detalle_24m!CG$23)),Detalle_24m!CG$23,INDEX(Vol_V,10,CG$170)/12)*(1+V_dVol),0))</f>
        <v>0</v>
      </c>
      <c r="CH186" s="48">
        <f>IF(CH$8=1,N(Reales!CH21),IF(CH$171=1,IF(AND(AND(81&gt;Corte,81&lt;=Corte+n_Ventana),ISNUMBER(Detalle_24m!CH$23)),Detalle_24m!CH$23,INDEX(Vol_V,10,CH$170)/12)*(1+V_dVol),0))</f>
        <v>0</v>
      </c>
      <c r="CI186" s="48">
        <f>IF(CI$8=1,N(Reales!CI21),IF(CI$171=1,IF(AND(AND(82&gt;Corte,82&lt;=Corte+n_Ventana),ISNUMBER(Detalle_24m!CI$23)),Detalle_24m!CI$23,INDEX(Vol_V,10,CI$170)/12)*(1+V_dVol),0))</f>
        <v>0</v>
      </c>
      <c r="CJ186" s="48">
        <f>IF(CJ$8=1,N(Reales!CJ21),IF(CJ$171=1,IF(AND(AND(83&gt;Corte,83&lt;=Corte+n_Ventana),ISNUMBER(Detalle_24m!CJ$23)),Detalle_24m!CJ$23,INDEX(Vol_V,10,CJ$170)/12)*(1+V_dVol),0))</f>
        <v>0</v>
      </c>
      <c r="CK186" s="48">
        <f>IF(CK$8=1,N(Reales!CK21),IF(CK$171=1,IF(AND(AND(84&gt;Corte,84&lt;=Corte+n_Ventana),ISNUMBER(Detalle_24m!CK$23)),Detalle_24m!CK$23,INDEX(Vol_V,10,CK$170)/12)*(1+V_dVol),0))</f>
        <v>0</v>
      </c>
      <c r="CL186" s="48">
        <f>IF(CL$8=1,N(Reales!CL21),IF(CL$171=1,IF(AND(AND(85&gt;Corte,85&lt;=Corte+n_Ventana),ISNUMBER(Detalle_24m!CL$23)),Detalle_24m!CL$23,INDEX(Vol_V,10,CL$170)/12)*(1+V_dVol),0))</f>
        <v>0</v>
      </c>
      <c r="CM186" s="48">
        <f>IF(CM$8=1,N(Reales!CM21),IF(CM$171=1,IF(AND(AND(86&gt;Corte,86&lt;=Corte+n_Ventana),ISNUMBER(Detalle_24m!CM$23)),Detalle_24m!CM$23,INDEX(Vol_V,10,CM$170)/12)*(1+V_dVol),0))</f>
        <v>0</v>
      </c>
      <c r="CN186" s="48">
        <f>IF(CN$8=1,N(Reales!CN21),IF(CN$171=1,IF(AND(AND(87&gt;Corte,87&lt;=Corte+n_Ventana),ISNUMBER(Detalle_24m!CN$23)),Detalle_24m!CN$23,INDEX(Vol_V,10,CN$170)/12)*(1+V_dVol),0))</f>
        <v>0</v>
      </c>
      <c r="CO186" s="48">
        <f>IF(CO$8=1,N(Reales!CO21),IF(CO$171=1,IF(AND(AND(88&gt;Corte,88&lt;=Corte+n_Ventana),ISNUMBER(Detalle_24m!CO$23)),Detalle_24m!CO$23,INDEX(Vol_V,10,CO$170)/12)*(1+V_dVol),0))</f>
        <v>0</v>
      </c>
      <c r="CP186" s="48">
        <f>IF(CP$8=1,N(Reales!CP21),IF(CP$171=1,IF(AND(AND(89&gt;Corte,89&lt;=Corte+n_Ventana),ISNUMBER(Detalle_24m!CP$23)),Detalle_24m!CP$23,INDEX(Vol_V,10,CP$170)/12)*(1+V_dVol),0))</f>
        <v>0</v>
      </c>
      <c r="CQ186" s="48">
        <f>IF(CQ$8=1,N(Reales!CQ21),IF(CQ$171=1,IF(AND(AND(90&gt;Corte,90&lt;=Corte+n_Ventana),ISNUMBER(Detalle_24m!CQ$23)),Detalle_24m!CQ$23,INDEX(Vol_V,10,CQ$170)/12)*(1+V_dVol),0))</f>
        <v>0</v>
      </c>
      <c r="CR186" s="48">
        <f>IF(CR$8=1,N(Reales!CR21),IF(CR$171=1,IF(AND(AND(91&gt;Corte,91&lt;=Corte+n_Ventana),ISNUMBER(Detalle_24m!CR$23)),Detalle_24m!CR$23,INDEX(Vol_V,10,CR$170)/12)*(1+V_dVol),0))</f>
        <v>0</v>
      </c>
      <c r="CS186" s="48">
        <f>IF(CS$8=1,N(Reales!CS21),IF(CS$171=1,IF(AND(AND(92&gt;Corte,92&lt;=Corte+n_Ventana),ISNUMBER(Detalle_24m!CS$23)),Detalle_24m!CS$23,INDEX(Vol_V,10,CS$170)/12)*(1+V_dVol),0))</f>
        <v>0</v>
      </c>
      <c r="CT186" s="48">
        <f>IF(CT$8=1,N(Reales!CT21),IF(CT$171=1,IF(AND(AND(93&gt;Corte,93&lt;=Corte+n_Ventana),ISNUMBER(Detalle_24m!CT$23)),Detalle_24m!CT$23,INDEX(Vol_V,10,CT$170)/12)*(1+V_dVol),0))</f>
        <v>0</v>
      </c>
      <c r="CU186" s="48">
        <f>IF(CU$8=1,N(Reales!CU21),IF(CU$171=1,IF(AND(AND(94&gt;Corte,94&lt;=Corte+n_Ventana),ISNUMBER(Detalle_24m!CU$23)),Detalle_24m!CU$23,INDEX(Vol_V,10,CU$170)/12)*(1+V_dVol),0))</f>
        <v>0</v>
      </c>
      <c r="CV186" s="48">
        <f>IF(CV$8=1,N(Reales!CV21),IF(CV$171=1,IF(AND(AND(95&gt;Corte,95&lt;=Corte+n_Ventana),ISNUMBER(Detalle_24m!CV$23)),Detalle_24m!CV$23,INDEX(Vol_V,10,CV$170)/12)*(1+V_dVol),0))</f>
        <v>0</v>
      </c>
      <c r="CW186" s="48">
        <f>IF(CW$8=1,N(Reales!CW21),IF(CW$171=1,IF(AND(AND(96&gt;Corte,96&lt;=Corte+n_Ventana),ISNUMBER(Detalle_24m!CW$23)),Detalle_24m!CW$23,INDEX(Vol_V,10,CW$170)/12)*(1+V_dVol),0))</f>
        <v>0</v>
      </c>
      <c r="CX186" s="48">
        <f>IF(CX$8=1,N(Reales!CX21),IF(CX$171=1,IF(AND(AND(97&gt;Corte,97&lt;=Corte+n_Ventana),ISNUMBER(Detalle_24m!CX$23)),Detalle_24m!CX$23,INDEX(Vol_V,10,CX$170)/12)*(1+V_dVol),0))</f>
        <v>0</v>
      </c>
      <c r="CY186" s="48">
        <f>IF(CY$8=1,N(Reales!CY21),IF(CY$171=1,IF(AND(AND(98&gt;Corte,98&lt;=Corte+n_Ventana),ISNUMBER(Detalle_24m!CY$23)),Detalle_24m!CY$23,INDEX(Vol_V,10,CY$170)/12)*(1+V_dVol),0))</f>
        <v>0</v>
      </c>
      <c r="CZ186" s="48">
        <f>IF(CZ$8=1,N(Reales!CZ21),IF(CZ$171=1,IF(AND(AND(99&gt;Corte,99&lt;=Corte+n_Ventana),ISNUMBER(Detalle_24m!CZ$23)),Detalle_24m!CZ$23,INDEX(Vol_V,10,CZ$170)/12)*(1+V_dVol),0))</f>
        <v>0</v>
      </c>
      <c r="DA186" s="48">
        <f>IF(DA$8=1,N(Reales!DA21),IF(DA$171=1,IF(AND(AND(100&gt;Corte,100&lt;=Corte+n_Ventana),ISNUMBER(Detalle_24m!DA$23)),Detalle_24m!DA$23,INDEX(Vol_V,10,DA$170)/12)*(1+V_dVol),0))</f>
        <v>0</v>
      </c>
      <c r="DB186" s="48">
        <f>IF(DB$8=1,N(Reales!DB21),IF(DB$171=1,IF(AND(AND(101&gt;Corte,101&lt;=Corte+n_Ventana),ISNUMBER(Detalle_24m!DB$23)),Detalle_24m!DB$23,INDEX(Vol_V,10,DB$170)/12)*(1+V_dVol),0))</f>
        <v>0</v>
      </c>
      <c r="DC186" s="48">
        <f>IF(DC$8=1,N(Reales!DC21),IF(DC$171=1,IF(AND(AND(102&gt;Corte,102&lt;=Corte+n_Ventana),ISNUMBER(Detalle_24m!DC$23)),Detalle_24m!DC$23,INDEX(Vol_V,10,DC$170)/12)*(1+V_dVol),0))</f>
        <v>0</v>
      </c>
      <c r="DD186" s="48">
        <f>IF(DD$8=1,N(Reales!DD21),IF(DD$171=1,IF(AND(AND(103&gt;Corte,103&lt;=Corte+n_Ventana),ISNUMBER(Detalle_24m!DD$23)),Detalle_24m!DD$23,INDEX(Vol_V,10,DD$170)/12)*(1+V_dVol),0))</f>
        <v>0</v>
      </c>
      <c r="DE186" s="48">
        <f>IF(DE$8=1,N(Reales!DE21),IF(DE$171=1,IF(AND(AND(104&gt;Corte,104&lt;=Corte+n_Ventana),ISNUMBER(Detalle_24m!DE$23)),Detalle_24m!DE$23,INDEX(Vol_V,10,DE$170)/12)*(1+V_dVol),0))</f>
        <v>0</v>
      </c>
      <c r="DF186" s="48">
        <f>IF(DF$8=1,N(Reales!DF21),IF(DF$171=1,IF(AND(AND(105&gt;Corte,105&lt;=Corte+n_Ventana),ISNUMBER(Detalle_24m!DF$23)),Detalle_24m!DF$23,INDEX(Vol_V,10,DF$170)/12)*(1+V_dVol),0))</f>
        <v>0</v>
      </c>
      <c r="DG186" s="48">
        <f>IF(DG$8=1,N(Reales!DG21),IF(DG$171=1,IF(AND(AND(106&gt;Corte,106&lt;=Corte+n_Ventana),ISNUMBER(Detalle_24m!DG$23)),Detalle_24m!DG$23,INDEX(Vol_V,10,DG$170)/12)*(1+V_dVol),0))</f>
        <v>0</v>
      </c>
      <c r="DH186" s="48">
        <f>IF(DH$8=1,N(Reales!DH21),IF(DH$171=1,IF(AND(AND(107&gt;Corte,107&lt;=Corte+n_Ventana),ISNUMBER(Detalle_24m!DH$23)),Detalle_24m!DH$23,INDEX(Vol_V,10,DH$170)/12)*(1+V_dVol),0))</f>
        <v>0</v>
      </c>
      <c r="DI186" s="48">
        <f>IF(DI$8=1,N(Reales!DI21),IF(DI$171=1,IF(AND(AND(108&gt;Corte,108&lt;=Corte+n_Ventana),ISNUMBER(Detalle_24m!DI$23)),Detalle_24m!DI$23,INDEX(Vol_V,10,DI$170)/12)*(1+V_dVol),0))</f>
        <v>0</v>
      </c>
      <c r="DJ186" s="48">
        <f>IF(DJ$8=1,N(Reales!DJ21),IF(DJ$171=1,IF(AND(AND(109&gt;Corte,109&lt;=Corte+n_Ventana),ISNUMBER(Detalle_24m!DJ$23)),Detalle_24m!DJ$23,INDEX(Vol_V,10,DJ$170)/12)*(1+V_dVol),0))</f>
        <v>0</v>
      </c>
      <c r="DK186" s="48">
        <f>IF(DK$8=1,N(Reales!DK21),IF(DK$171=1,IF(AND(AND(110&gt;Corte,110&lt;=Corte+n_Ventana),ISNUMBER(Detalle_24m!DK$23)),Detalle_24m!DK$23,INDEX(Vol_V,10,DK$170)/12)*(1+V_dVol),0))</f>
        <v>0</v>
      </c>
      <c r="DL186" s="48">
        <f>IF(DL$8=1,N(Reales!DL21),IF(DL$171=1,IF(AND(AND(111&gt;Corte,111&lt;=Corte+n_Ventana),ISNUMBER(Detalle_24m!DL$23)),Detalle_24m!DL$23,INDEX(Vol_V,10,DL$170)/12)*(1+V_dVol),0))</f>
        <v>0</v>
      </c>
      <c r="DM186" s="48">
        <f>IF(DM$8=1,N(Reales!DM21),IF(DM$171=1,IF(AND(AND(112&gt;Corte,112&lt;=Corte+n_Ventana),ISNUMBER(Detalle_24m!DM$23)),Detalle_24m!DM$23,INDEX(Vol_V,10,DM$170)/12)*(1+V_dVol),0))</f>
        <v>0</v>
      </c>
      <c r="DN186" s="48">
        <f>IF(DN$8=1,N(Reales!DN21),IF(DN$171=1,IF(AND(AND(113&gt;Corte,113&lt;=Corte+n_Ventana),ISNUMBER(Detalle_24m!DN$23)),Detalle_24m!DN$23,INDEX(Vol_V,10,DN$170)/12)*(1+V_dVol),0))</f>
        <v>0</v>
      </c>
      <c r="DO186" s="48">
        <f>IF(DO$8=1,N(Reales!DO21),IF(DO$171=1,IF(AND(AND(114&gt;Corte,114&lt;=Corte+n_Ventana),ISNUMBER(Detalle_24m!DO$23)),Detalle_24m!DO$23,INDEX(Vol_V,10,DO$170)/12)*(1+V_dVol),0))</f>
        <v>0</v>
      </c>
      <c r="DP186" s="48">
        <f>IF(DP$8=1,N(Reales!DP21),IF(DP$171=1,IF(AND(AND(115&gt;Corte,115&lt;=Corte+n_Ventana),ISNUMBER(Detalle_24m!DP$23)),Detalle_24m!DP$23,INDEX(Vol_V,10,DP$170)/12)*(1+V_dVol),0))</f>
        <v>0</v>
      </c>
      <c r="DQ186" s="48">
        <f>IF(DQ$8=1,N(Reales!DQ21),IF(DQ$171=1,IF(AND(AND(116&gt;Corte,116&lt;=Corte+n_Ventana),ISNUMBER(Detalle_24m!DQ$23)),Detalle_24m!DQ$23,INDEX(Vol_V,10,DQ$170)/12)*(1+V_dVol),0))</f>
        <v>0</v>
      </c>
      <c r="DR186" s="48">
        <f>IF(DR$8=1,N(Reales!DR21),IF(DR$171=1,IF(AND(AND(117&gt;Corte,117&lt;=Corte+n_Ventana),ISNUMBER(Detalle_24m!DR$23)),Detalle_24m!DR$23,INDEX(Vol_V,10,DR$170)/12)*(1+V_dVol),0))</f>
        <v>0</v>
      </c>
      <c r="DS186" s="48">
        <f>IF(DS$8=1,N(Reales!DS21),IF(DS$171=1,IF(AND(AND(118&gt;Corte,118&lt;=Corte+n_Ventana),ISNUMBER(Detalle_24m!DS$23)),Detalle_24m!DS$23,INDEX(Vol_V,10,DS$170)/12)*(1+V_dVol),0))</f>
        <v>0</v>
      </c>
      <c r="DT186" s="48">
        <f>IF(DT$8=1,N(Reales!DT21),IF(DT$171=1,IF(AND(AND(119&gt;Corte,119&lt;=Corte+n_Ventana),ISNUMBER(Detalle_24m!DT$23)),Detalle_24m!DT$23,INDEX(Vol_V,10,DT$170)/12)*(1+V_dVol),0))</f>
        <v>0</v>
      </c>
      <c r="DU186" s="48">
        <f>IF(DU$8=1,N(Reales!DU21),IF(DU$171=1,IF(AND(AND(120&gt;Corte,120&lt;=Corte+n_Ventana),ISNUMBER(Detalle_24m!DU$23)),Detalle_24m!DU$23,INDEX(Vol_V,10,DU$170)/12)*(1+V_dVol),0))</f>
        <v>0</v>
      </c>
      <c r="DV186" s="48">
        <f>IF(DV$8=1,N(Reales!DV21),IF(DV$171=1,IF(AND(AND(121&gt;Corte,121&lt;=Corte+n_Ventana),ISNUMBER(Detalle_24m!DV$23)),Detalle_24m!DV$23,INDEX(Vol_V,10,DV$170)/12)*(1+V_dVol),0))</f>
        <v>0</v>
      </c>
      <c r="DW186" s="48">
        <f>IF(DW$8=1,N(Reales!DW21),IF(DW$171=1,IF(AND(AND(122&gt;Corte,122&lt;=Corte+n_Ventana),ISNUMBER(Detalle_24m!DW$23)),Detalle_24m!DW$23,INDEX(Vol_V,10,DW$170)/12)*(1+V_dVol),0))</f>
        <v>0</v>
      </c>
      <c r="DX186" s="48">
        <f>IF(DX$8=1,N(Reales!DX21),IF(DX$171=1,IF(AND(AND(123&gt;Corte,123&lt;=Corte+n_Ventana),ISNUMBER(Detalle_24m!DX$23)),Detalle_24m!DX$23,INDEX(Vol_V,10,DX$170)/12)*(1+V_dVol),0))</f>
        <v>0</v>
      </c>
      <c r="DY186" s="48">
        <f>IF(DY$8=1,N(Reales!DY21),IF(DY$171=1,IF(AND(AND(124&gt;Corte,124&lt;=Corte+n_Ventana),ISNUMBER(Detalle_24m!DY$23)),Detalle_24m!DY$23,INDEX(Vol_V,10,DY$170)/12)*(1+V_dVol),0))</f>
        <v>0</v>
      </c>
      <c r="DZ186" s="48">
        <f>IF(DZ$8=1,N(Reales!DZ21),IF(DZ$171=1,IF(AND(AND(125&gt;Corte,125&lt;=Corte+n_Ventana),ISNUMBER(Detalle_24m!DZ$23)),Detalle_24m!DZ$23,INDEX(Vol_V,10,DZ$170)/12)*(1+V_dVol),0))</f>
        <v>0</v>
      </c>
      <c r="EA186" s="48">
        <f>IF(EA$8=1,N(Reales!EA21),IF(EA$171=1,IF(AND(AND(126&gt;Corte,126&lt;=Corte+n_Ventana),ISNUMBER(Detalle_24m!EA$23)),Detalle_24m!EA$23,INDEX(Vol_V,10,EA$170)/12)*(1+V_dVol),0))</f>
        <v>0</v>
      </c>
      <c r="EB186" s="48">
        <f>IF(EB$8=1,N(Reales!EB21),IF(EB$171=1,IF(AND(AND(127&gt;Corte,127&lt;=Corte+n_Ventana),ISNUMBER(Detalle_24m!EB$23)),Detalle_24m!EB$23,INDEX(Vol_V,10,EB$170)/12)*(1+V_dVol),0))</f>
        <v>0</v>
      </c>
      <c r="EC186" s="48">
        <f>IF(EC$8=1,N(Reales!EC21),IF(EC$171=1,IF(AND(AND(128&gt;Corte,128&lt;=Corte+n_Ventana),ISNUMBER(Detalle_24m!EC$23)),Detalle_24m!EC$23,INDEX(Vol_V,10,EC$170)/12)*(1+V_dVol),0))</f>
        <v>0</v>
      </c>
      <c r="ED186" s="48">
        <f>IF(ED$8=1,N(Reales!ED21),IF(ED$171=1,IF(AND(AND(129&gt;Corte,129&lt;=Corte+n_Ventana),ISNUMBER(Detalle_24m!ED$23)),Detalle_24m!ED$23,INDEX(Vol_V,10,ED$170)/12)*(1+V_dVol),0))</f>
        <v>0</v>
      </c>
      <c r="EE186" s="48">
        <f>IF(EE$8=1,N(Reales!EE21),IF(EE$171=1,IF(AND(AND(130&gt;Corte,130&lt;=Corte+n_Ventana),ISNUMBER(Detalle_24m!EE$23)),Detalle_24m!EE$23,INDEX(Vol_V,10,EE$170)/12)*(1+V_dVol),0))</f>
        <v>0</v>
      </c>
      <c r="EF186" s="48">
        <f>IF(EF$8=1,N(Reales!EF21),IF(EF$171=1,IF(AND(AND(131&gt;Corte,131&lt;=Corte+n_Ventana),ISNUMBER(Detalle_24m!EF$23)),Detalle_24m!EF$23,INDEX(Vol_V,10,EF$170)/12)*(1+V_dVol),0))</f>
        <v>0</v>
      </c>
      <c r="EG186" s="48">
        <f>IF(EG$8=1,N(Reales!EG21),IF(EG$171=1,IF(AND(AND(132&gt;Corte,132&lt;=Corte+n_Ventana),ISNUMBER(Detalle_24m!EG$23)),Detalle_24m!EG$23,INDEX(Vol_V,10,EG$170)/12)*(1+V_dVol),0))</f>
        <v>0</v>
      </c>
      <c r="EH186" s="48">
        <f>IF(EH$8=1,N(Reales!EH21),IF(EH$171=1,IF(AND(AND(133&gt;Corte,133&lt;=Corte+n_Ventana),ISNUMBER(Detalle_24m!EH$23)),Detalle_24m!EH$23,INDEX(Vol_V,10,EH$170)/12)*(1+V_dVol),0))</f>
        <v>0</v>
      </c>
      <c r="EI186" s="48">
        <f>IF(EI$8=1,N(Reales!EI21),IF(EI$171=1,IF(AND(AND(134&gt;Corte,134&lt;=Corte+n_Ventana),ISNUMBER(Detalle_24m!EI$23)),Detalle_24m!EI$23,INDEX(Vol_V,10,EI$170)/12)*(1+V_dVol),0))</f>
        <v>0</v>
      </c>
      <c r="EJ186" s="48">
        <f>IF(EJ$8=1,N(Reales!EJ21),IF(EJ$171=1,IF(AND(AND(135&gt;Corte,135&lt;=Corte+n_Ventana),ISNUMBER(Detalle_24m!EJ$23)),Detalle_24m!EJ$23,INDEX(Vol_V,10,EJ$170)/12)*(1+V_dVol),0))</f>
        <v>0</v>
      </c>
      <c r="EK186" s="48">
        <f>IF(EK$8=1,N(Reales!EK21),IF(EK$171=1,IF(AND(AND(136&gt;Corte,136&lt;=Corte+n_Ventana),ISNUMBER(Detalle_24m!EK$23)),Detalle_24m!EK$23,INDEX(Vol_V,10,EK$170)/12)*(1+V_dVol),0))</f>
        <v>0</v>
      </c>
      <c r="EL186" s="48">
        <f>IF(EL$8=1,N(Reales!EL21),IF(EL$171=1,IF(AND(AND(137&gt;Corte,137&lt;=Corte+n_Ventana),ISNUMBER(Detalle_24m!EL$23)),Detalle_24m!EL$23,INDEX(Vol_V,10,EL$170)/12)*(1+V_dVol),0))</f>
        <v>0</v>
      </c>
      <c r="EM186" s="48">
        <f>IF(EM$8=1,N(Reales!EM21),IF(EM$171=1,IF(AND(AND(138&gt;Corte,138&lt;=Corte+n_Ventana),ISNUMBER(Detalle_24m!EM$23)),Detalle_24m!EM$23,INDEX(Vol_V,10,EM$170)/12)*(1+V_dVol),0))</f>
        <v>0</v>
      </c>
      <c r="EN186" s="48">
        <f>IF(EN$8=1,N(Reales!EN21),IF(EN$171=1,IF(AND(AND(139&gt;Corte,139&lt;=Corte+n_Ventana),ISNUMBER(Detalle_24m!EN$23)),Detalle_24m!EN$23,INDEX(Vol_V,10,EN$170)/12)*(1+V_dVol),0))</f>
        <v>0</v>
      </c>
      <c r="EO186" s="48">
        <f>IF(EO$8=1,N(Reales!EO21),IF(EO$171=1,IF(AND(AND(140&gt;Corte,140&lt;=Corte+n_Ventana),ISNUMBER(Detalle_24m!EO$23)),Detalle_24m!EO$23,INDEX(Vol_V,10,EO$170)/12)*(1+V_dVol),0))</f>
        <v>0</v>
      </c>
      <c r="EP186" s="48">
        <f>IF(EP$8=1,N(Reales!EP21),IF(EP$171=1,IF(AND(AND(141&gt;Corte,141&lt;=Corte+n_Ventana),ISNUMBER(Detalle_24m!EP$23)),Detalle_24m!EP$23,INDEX(Vol_V,10,EP$170)/12)*(1+V_dVol),0))</f>
        <v>0</v>
      </c>
      <c r="EQ186" s="48">
        <f>IF(EQ$8=1,N(Reales!EQ21),IF(EQ$171=1,IF(AND(AND(142&gt;Corte,142&lt;=Corte+n_Ventana),ISNUMBER(Detalle_24m!EQ$23)),Detalle_24m!EQ$23,INDEX(Vol_V,10,EQ$170)/12)*(1+V_dVol),0))</f>
        <v>0</v>
      </c>
      <c r="ER186" s="48">
        <f>IF(ER$8=1,N(Reales!ER21),IF(ER$171=1,IF(AND(AND(143&gt;Corte,143&lt;=Corte+n_Ventana),ISNUMBER(Detalle_24m!ER$23)),Detalle_24m!ER$23,INDEX(Vol_V,10,ER$170)/12)*(1+V_dVol),0))</f>
        <v>0</v>
      </c>
      <c r="ES186" s="48">
        <f>IF(ES$8=1,N(Reales!ES21),IF(ES$171=1,IF(AND(AND(144&gt;Corte,144&lt;=Corte+n_Ventana),ISNUMBER(Detalle_24m!ES$23)),Detalle_24m!ES$23,INDEX(Vol_V,10,ES$170)/12)*(1+V_dVol),0))</f>
        <v>0</v>
      </c>
    </row>
    <row r="187" spans="1:149" x14ac:dyDescent="0.3">
      <c r="A187" s="14" t="s">
        <v>1242</v>
      </c>
      <c r="B187" s="53" t="str">
        <f>IF(INDEX(Prod_Nombre,11)="","Producto 11",INDEX(Prod_Nombre,11))&amp;" — unidades"</f>
        <v>Producto 11 — unidades</v>
      </c>
      <c r="C187" s="18" t="s">
        <v>475</v>
      </c>
      <c r="E187" s="54">
        <f t="shared" si="604"/>
        <v>0</v>
      </c>
      <c r="F187" s="48">
        <f>IF(F$8=1,N(Reales!F22),IF(F$171=1,IF(AND(AND(1&gt;Corte,1&lt;=Corte+n_Ventana),ISNUMBER(Detalle_24m!F$24)),Detalle_24m!F$24,INDEX(Vol_V,11,F$170)/12)*(1+V_dVol),0))</f>
        <v>0</v>
      </c>
      <c r="G187" s="48">
        <f>IF(G$8=1,N(Reales!G22),IF(G$171=1,IF(AND(AND(2&gt;Corte,2&lt;=Corte+n_Ventana),ISNUMBER(Detalle_24m!G$24)),Detalle_24m!G$24,INDEX(Vol_V,11,G$170)/12)*(1+V_dVol),0))</f>
        <v>0</v>
      </c>
      <c r="H187" s="48">
        <f>IF(H$8=1,N(Reales!H22),IF(H$171=1,IF(AND(AND(3&gt;Corte,3&lt;=Corte+n_Ventana),ISNUMBER(Detalle_24m!H$24)),Detalle_24m!H$24,INDEX(Vol_V,11,H$170)/12)*(1+V_dVol),0))</f>
        <v>0</v>
      </c>
      <c r="I187" s="48">
        <f>IF(I$8=1,N(Reales!I22),IF(I$171=1,IF(AND(AND(4&gt;Corte,4&lt;=Corte+n_Ventana),ISNUMBER(Detalle_24m!I$24)),Detalle_24m!I$24,INDEX(Vol_V,11,I$170)/12)*(1+V_dVol),0))</f>
        <v>0</v>
      </c>
      <c r="J187" s="48">
        <f>IF(J$8=1,N(Reales!J22),IF(J$171=1,IF(AND(AND(5&gt;Corte,5&lt;=Corte+n_Ventana),ISNUMBER(Detalle_24m!J$24)),Detalle_24m!J$24,INDEX(Vol_V,11,J$170)/12)*(1+V_dVol),0))</f>
        <v>0</v>
      </c>
      <c r="K187" s="48">
        <f>IF(K$8=1,N(Reales!K22),IF(K$171=1,IF(AND(AND(6&gt;Corte,6&lt;=Corte+n_Ventana),ISNUMBER(Detalle_24m!K$24)),Detalle_24m!K$24,INDEX(Vol_V,11,K$170)/12)*(1+V_dVol),0))</f>
        <v>0</v>
      </c>
      <c r="L187" s="48">
        <f>IF(L$8=1,N(Reales!L22),IF(L$171=1,IF(AND(AND(7&gt;Corte,7&lt;=Corte+n_Ventana),ISNUMBER(Detalle_24m!L$24)),Detalle_24m!L$24,INDEX(Vol_V,11,L$170)/12)*(1+V_dVol),0))</f>
        <v>0</v>
      </c>
      <c r="M187" s="48">
        <f>IF(M$8=1,N(Reales!M22),IF(M$171=1,IF(AND(AND(8&gt;Corte,8&lt;=Corte+n_Ventana),ISNUMBER(Detalle_24m!M$24)),Detalle_24m!M$24,INDEX(Vol_V,11,M$170)/12)*(1+V_dVol),0))</f>
        <v>0</v>
      </c>
      <c r="N187" s="48">
        <f>IF(N$8=1,N(Reales!N22),IF(N$171=1,IF(AND(AND(9&gt;Corte,9&lt;=Corte+n_Ventana),ISNUMBER(Detalle_24m!N$24)),Detalle_24m!N$24,INDEX(Vol_V,11,N$170)/12)*(1+V_dVol),0))</f>
        <v>0</v>
      </c>
      <c r="O187" s="48">
        <f>IF(O$8=1,N(Reales!O22),IF(O$171=1,IF(AND(AND(10&gt;Corte,10&lt;=Corte+n_Ventana),ISNUMBER(Detalle_24m!O$24)),Detalle_24m!O$24,INDEX(Vol_V,11,O$170)/12)*(1+V_dVol),0))</f>
        <v>0</v>
      </c>
      <c r="P187" s="48">
        <f>IF(P$8=1,N(Reales!P22),IF(P$171=1,IF(AND(AND(11&gt;Corte,11&lt;=Corte+n_Ventana),ISNUMBER(Detalle_24m!P$24)),Detalle_24m!P$24,INDEX(Vol_V,11,P$170)/12)*(1+V_dVol),0))</f>
        <v>0</v>
      </c>
      <c r="Q187" s="48">
        <f>IF(Q$8=1,N(Reales!Q22),IF(Q$171=1,IF(AND(AND(12&gt;Corte,12&lt;=Corte+n_Ventana),ISNUMBER(Detalle_24m!Q$24)),Detalle_24m!Q$24,INDEX(Vol_V,11,Q$170)/12)*(1+V_dVol),0))</f>
        <v>0</v>
      </c>
      <c r="R187" s="48">
        <f>IF(R$8=1,N(Reales!R22),IF(R$171=1,IF(AND(AND(13&gt;Corte,13&lt;=Corte+n_Ventana),ISNUMBER(Detalle_24m!R$24)),Detalle_24m!R$24,INDEX(Vol_V,11,R$170)/12)*(1+V_dVol),0))</f>
        <v>0</v>
      </c>
      <c r="S187" s="48">
        <f>IF(S$8=1,N(Reales!S22),IF(S$171=1,IF(AND(AND(14&gt;Corte,14&lt;=Corte+n_Ventana),ISNUMBER(Detalle_24m!S$24)),Detalle_24m!S$24,INDEX(Vol_V,11,S$170)/12)*(1+V_dVol),0))</f>
        <v>0</v>
      </c>
      <c r="T187" s="48">
        <f>IF(T$8=1,N(Reales!T22),IF(T$171=1,IF(AND(AND(15&gt;Corte,15&lt;=Corte+n_Ventana),ISNUMBER(Detalle_24m!T$24)),Detalle_24m!T$24,INDEX(Vol_V,11,T$170)/12)*(1+V_dVol),0))</f>
        <v>0</v>
      </c>
      <c r="U187" s="48">
        <f>IF(U$8=1,N(Reales!U22),IF(U$171=1,IF(AND(AND(16&gt;Corte,16&lt;=Corte+n_Ventana),ISNUMBER(Detalle_24m!U$24)),Detalle_24m!U$24,INDEX(Vol_V,11,U$170)/12)*(1+V_dVol),0))</f>
        <v>0</v>
      </c>
      <c r="V187" s="48">
        <f>IF(V$8=1,N(Reales!V22),IF(V$171=1,IF(AND(AND(17&gt;Corte,17&lt;=Corte+n_Ventana),ISNUMBER(Detalle_24m!V$24)),Detalle_24m!V$24,INDEX(Vol_V,11,V$170)/12)*(1+V_dVol),0))</f>
        <v>0</v>
      </c>
      <c r="W187" s="48">
        <f>IF(W$8=1,N(Reales!W22),IF(W$171=1,IF(AND(AND(18&gt;Corte,18&lt;=Corte+n_Ventana),ISNUMBER(Detalle_24m!W$24)),Detalle_24m!W$24,INDEX(Vol_V,11,W$170)/12)*(1+V_dVol),0))</f>
        <v>0</v>
      </c>
      <c r="X187" s="48">
        <f>IF(X$8=1,N(Reales!X22),IF(X$171=1,IF(AND(AND(19&gt;Corte,19&lt;=Corte+n_Ventana),ISNUMBER(Detalle_24m!X$24)),Detalle_24m!X$24,INDEX(Vol_V,11,X$170)/12)*(1+V_dVol),0))</f>
        <v>0</v>
      </c>
      <c r="Y187" s="48">
        <f>IF(Y$8=1,N(Reales!Y22),IF(Y$171=1,IF(AND(AND(20&gt;Corte,20&lt;=Corte+n_Ventana),ISNUMBER(Detalle_24m!Y$24)),Detalle_24m!Y$24,INDEX(Vol_V,11,Y$170)/12)*(1+V_dVol),0))</f>
        <v>0</v>
      </c>
      <c r="Z187" s="48">
        <f>IF(Z$8=1,N(Reales!Z22),IF(Z$171=1,IF(AND(AND(21&gt;Corte,21&lt;=Corte+n_Ventana),ISNUMBER(Detalle_24m!Z$24)),Detalle_24m!Z$24,INDEX(Vol_V,11,Z$170)/12)*(1+V_dVol),0))</f>
        <v>0</v>
      </c>
      <c r="AA187" s="48">
        <f>IF(AA$8=1,N(Reales!AA22),IF(AA$171=1,IF(AND(AND(22&gt;Corte,22&lt;=Corte+n_Ventana),ISNUMBER(Detalle_24m!AA$24)),Detalle_24m!AA$24,INDEX(Vol_V,11,AA$170)/12)*(1+V_dVol),0))</f>
        <v>0</v>
      </c>
      <c r="AB187" s="48">
        <f>IF(AB$8=1,N(Reales!AB22),IF(AB$171=1,IF(AND(AND(23&gt;Corte,23&lt;=Corte+n_Ventana),ISNUMBER(Detalle_24m!AB$24)),Detalle_24m!AB$24,INDEX(Vol_V,11,AB$170)/12)*(1+V_dVol),0))</f>
        <v>0</v>
      </c>
      <c r="AC187" s="48">
        <f>IF(AC$8=1,N(Reales!AC22),IF(AC$171=1,IF(AND(AND(24&gt;Corte,24&lt;=Corte+n_Ventana),ISNUMBER(Detalle_24m!AC$24)),Detalle_24m!AC$24,INDEX(Vol_V,11,AC$170)/12)*(1+V_dVol),0))</f>
        <v>0</v>
      </c>
      <c r="AD187" s="48">
        <f>IF(AD$8=1,N(Reales!AD22),IF(AD$171=1,IF(AND(AND(25&gt;Corte,25&lt;=Corte+n_Ventana),ISNUMBER(Detalle_24m!AD$24)),Detalle_24m!AD$24,INDEX(Vol_V,11,AD$170)/12)*(1+V_dVol),0))</f>
        <v>0</v>
      </c>
      <c r="AE187" s="48">
        <f>IF(AE$8=1,N(Reales!AE22),IF(AE$171=1,IF(AND(AND(26&gt;Corte,26&lt;=Corte+n_Ventana),ISNUMBER(Detalle_24m!AE$24)),Detalle_24m!AE$24,INDEX(Vol_V,11,AE$170)/12)*(1+V_dVol),0))</f>
        <v>0</v>
      </c>
      <c r="AF187" s="48">
        <f>IF(AF$8=1,N(Reales!AF22),IF(AF$171=1,IF(AND(AND(27&gt;Corte,27&lt;=Corte+n_Ventana),ISNUMBER(Detalle_24m!AF$24)),Detalle_24m!AF$24,INDEX(Vol_V,11,AF$170)/12)*(1+V_dVol),0))</f>
        <v>0</v>
      </c>
      <c r="AG187" s="48">
        <f>IF(AG$8=1,N(Reales!AG22),IF(AG$171=1,IF(AND(AND(28&gt;Corte,28&lt;=Corte+n_Ventana),ISNUMBER(Detalle_24m!AG$24)),Detalle_24m!AG$24,INDEX(Vol_V,11,AG$170)/12)*(1+V_dVol),0))</f>
        <v>0</v>
      </c>
      <c r="AH187" s="48">
        <f>IF(AH$8=1,N(Reales!AH22),IF(AH$171=1,IF(AND(AND(29&gt;Corte,29&lt;=Corte+n_Ventana),ISNUMBER(Detalle_24m!AH$24)),Detalle_24m!AH$24,INDEX(Vol_V,11,AH$170)/12)*(1+V_dVol),0))</f>
        <v>0</v>
      </c>
      <c r="AI187" s="48">
        <f>IF(AI$8=1,N(Reales!AI22),IF(AI$171=1,IF(AND(AND(30&gt;Corte,30&lt;=Corte+n_Ventana),ISNUMBER(Detalle_24m!AI$24)),Detalle_24m!AI$24,INDEX(Vol_V,11,AI$170)/12)*(1+V_dVol),0))</f>
        <v>0</v>
      </c>
      <c r="AJ187" s="48">
        <f>IF(AJ$8=1,N(Reales!AJ22),IF(AJ$171=1,IF(AND(AND(31&gt;Corte,31&lt;=Corte+n_Ventana),ISNUMBER(Detalle_24m!AJ$24)),Detalle_24m!AJ$24,INDEX(Vol_V,11,AJ$170)/12)*(1+V_dVol),0))</f>
        <v>0</v>
      </c>
      <c r="AK187" s="48">
        <f>IF(AK$8=1,N(Reales!AK22),IF(AK$171=1,IF(AND(AND(32&gt;Corte,32&lt;=Corte+n_Ventana),ISNUMBER(Detalle_24m!AK$24)),Detalle_24m!AK$24,INDEX(Vol_V,11,AK$170)/12)*(1+V_dVol),0))</f>
        <v>0</v>
      </c>
      <c r="AL187" s="48">
        <f>IF(AL$8=1,N(Reales!AL22),IF(AL$171=1,IF(AND(AND(33&gt;Corte,33&lt;=Corte+n_Ventana),ISNUMBER(Detalle_24m!AL$24)),Detalle_24m!AL$24,INDEX(Vol_V,11,AL$170)/12)*(1+V_dVol),0))</f>
        <v>0</v>
      </c>
      <c r="AM187" s="48">
        <f>IF(AM$8=1,N(Reales!AM22),IF(AM$171=1,IF(AND(AND(34&gt;Corte,34&lt;=Corte+n_Ventana),ISNUMBER(Detalle_24m!AM$24)),Detalle_24m!AM$24,INDEX(Vol_V,11,AM$170)/12)*(1+V_dVol),0))</f>
        <v>0</v>
      </c>
      <c r="AN187" s="48">
        <f>IF(AN$8=1,N(Reales!AN22),IF(AN$171=1,IF(AND(AND(35&gt;Corte,35&lt;=Corte+n_Ventana),ISNUMBER(Detalle_24m!AN$24)),Detalle_24m!AN$24,INDEX(Vol_V,11,AN$170)/12)*(1+V_dVol),0))</f>
        <v>0</v>
      </c>
      <c r="AO187" s="48">
        <f>IF(AO$8=1,N(Reales!AO22),IF(AO$171=1,IF(AND(AND(36&gt;Corte,36&lt;=Corte+n_Ventana),ISNUMBER(Detalle_24m!AO$24)),Detalle_24m!AO$24,INDEX(Vol_V,11,AO$170)/12)*(1+V_dVol),0))</f>
        <v>0</v>
      </c>
      <c r="AP187" s="48">
        <f>IF(AP$8=1,N(Reales!AP22),IF(AP$171=1,IF(AND(AND(37&gt;Corte,37&lt;=Corte+n_Ventana),ISNUMBER(Detalle_24m!AP$24)),Detalle_24m!AP$24,INDEX(Vol_V,11,AP$170)/12)*(1+V_dVol),0))</f>
        <v>0</v>
      </c>
      <c r="AQ187" s="48">
        <f>IF(AQ$8=1,N(Reales!AQ22),IF(AQ$171=1,IF(AND(AND(38&gt;Corte,38&lt;=Corte+n_Ventana),ISNUMBER(Detalle_24m!AQ$24)),Detalle_24m!AQ$24,INDEX(Vol_V,11,AQ$170)/12)*(1+V_dVol),0))</f>
        <v>0</v>
      </c>
      <c r="AR187" s="48">
        <f>IF(AR$8=1,N(Reales!AR22),IF(AR$171=1,IF(AND(AND(39&gt;Corte,39&lt;=Corte+n_Ventana),ISNUMBER(Detalle_24m!AR$24)),Detalle_24m!AR$24,INDEX(Vol_V,11,AR$170)/12)*(1+V_dVol),0))</f>
        <v>0</v>
      </c>
      <c r="AS187" s="48">
        <f>IF(AS$8=1,N(Reales!AS22),IF(AS$171=1,IF(AND(AND(40&gt;Corte,40&lt;=Corte+n_Ventana),ISNUMBER(Detalle_24m!AS$24)),Detalle_24m!AS$24,INDEX(Vol_V,11,AS$170)/12)*(1+V_dVol),0))</f>
        <v>0</v>
      </c>
      <c r="AT187" s="48">
        <f>IF(AT$8=1,N(Reales!AT22),IF(AT$171=1,IF(AND(AND(41&gt;Corte,41&lt;=Corte+n_Ventana),ISNUMBER(Detalle_24m!AT$24)),Detalle_24m!AT$24,INDEX(Vol_V,11,AT$170)/12)*(1+V_dVol),0))</f>
        <v>0</v>
      </c>
      <c r="AU187" s="48">
        <f>IF(AU$8=1,N(Reales!AU22),IF(AU$171=1,IF(AND(AND(42&gt;Corte,42&lt;=Corte+n_Ventana),ISNUMBER(Detalle_24m!AU$24)),Detalle_24m!AU$24,INDEX(Vol_V,11,AU$170)/12)*(1+V_dVol),0))</f>
        <v>0</v>
      </c>
      <c r="AV187" s="48">
        <f>IF(AV$8=1,N(Reales!AV22),IF(AV$171=1,IF(AND(AND(43&gt;Corte,43&lt;=Corte+n_Ventana),ISNUMBER(Detalle_24m!AV$24)),Detalle_24m!AV$24,INDEX(Vol_V,11,AV$170)/12)*(1+V_dVol),0))</f>
        <v>0</v>
      </c>
      <c r="AW187" s="48">
        <f>IF(AW$8=1,N(Reales!AW22),IF(AW$171=1,IF(AND(AND(44&gt;Corte,44&lt;=Corte+n_Ventana),ISNUMBER(Detalle_24m!AW$24)),Detalle_24m!AW$24,INDEX(Vol_V,11,AW$170)/12)*(1+V_dVol),0))</f>
        <v>0</v>
      </c>
      <c r="AX187" s="48">
        <f>IF(AX$8=1,N(Reales!AX22),IF(AX$171=1,IF(AND(AND(45&gt;Corte,45&lt;=Corte+n_Ventana),ISNUMBER(Detalle_24m!AX$24)),Detalle_24m!AX$24,INDEX(Vol_V,11,AX$170)/12)*(1+V_dVol),0))</f>
        <v>0</v>
      </c>
      <c r="AY187" s="48">
        <f>IF(AY$8=1,N(Reales!AY22),IF(AY$171=1,IF(AND(AND(46&gt;Corte,46&lt;=Corte+n_Ventana),ISNUMBER(Detalle_24m!AY$24)),Detalle_24m!AY$24,INDEX(Vol_V,11,AY$170)/12)*(1+V_dVol),0))</f>
        <v>0</v>
      </c>
      <c r="AZ187" s="48">
        <f>IF(AZ$8=1,N(Reales!AZ22),IF(AZ$171=1,IF(AND(AND(47&gt;Corte,47&lt;=Corte+n_Ventana),ISNUMBER(Detalle_24m!AZ$24)),Detalle_24m!AZ$24,INDEX(Vol_V,11,AZ$170)/12)*(1+V_dVol),0))</f>
        <v>0</v>
      </c>
      <c r="BA187" s="48">
        <f>IF(BA$8=1,N(Reales!BA22),IF(BA$171=1,IF(AND(AND(48&gt;Corte,48&lt;=Corte+n_Ventana),ISNUMBER(Detalle_24m!BA$24)),Detalle_24m!BA$24,INDEX(Vol_V,11,BA$170)/12)*(1+V_dVol),0))</f>
        <v>0</v>
      </c>
      <c r="BB187" s="48">
        <f>IF(BB$8=1,N(Reales!BB22),IF(BB$171=1,IF(AND(AND(49&gt;Corte,49&lt;=Corte+n_Ventana),ISNUMBER(Detalle_24m!BB$24)),Detalle_24m!BB$24,INDEX(Vol_V,11,BB$170)/12)*(1+V_dVol),0))</f>
        <v>0</v>
      </c>
      <c r="BC187" s="48">
        <f>IF(BC$8=1,N(Reales!BC22),IF(BC$171=1,IF(AND(AND(50&gt;Corte,50&lt;=Corte+n_Ventana),ISNUMBER(Detalle_24m!BC$24)),Detalle_24m!BC$24,INDEX(Vol_V,11,BC$170)/12)*(1+V_dVol),0))</f>
        <v>0</v>
      </c>
      <c r="BD187" s="48">
        <f>IF(BD$8=1,N(Reales!BD22),IF(BD$171=1,IF(AND(AND(51&gt;Corte,51&lt;=Corte+n_Ventana),ISNUMBER(Detalle_24m!BD$24)),Detalle_24m!BD$24,INDEX(Vol_V,11,BD$170)/12)*(1+V_dVol),0))</f>
        <v>0</v>
      </c>
      <c r="BE187" s="48">
        <f>IF(BE$8=1,N(Reales!BE22),IF(BE$171=1,IF(AND(AND(52&gt;Corte,52&lt;=Corte+n_Ventana),ISNUMBER(Detalle_24m!BE$24)),Detalle_24m!BE$24,INDEX(Vol_V,11,BE$170)/12)*(1+V_dVol),0))</f>
        <v>0</v>
      </c>
      <c r="BF187" s="48">
        <f>IF(BF$8=1,N(Reales!BF22),IF(BF$171=1,IF(AND(AND(53&gt;Corte,53&lt;=Corte+n_Ventana),ISNUMBER(Detalle_24m!BF$24)),Detalle_24m!BF$24,INDEX(Vol_V,11,BF$170)/12)*(1+V_dVol),0))</f>
        <v>0</v>
      </c>
      <c r="BG187" s="48">
        <f>IF(BG$8=1,N(Reales!BG22),IF(BG$171=1,IF(AND(AND(54&gt;Corte,54&lt;=Corte+n_Ventana),ISNUMBER(Detalle_24m!BG$24)),Detalle_24m!BG$24,INDEX(Vol_V,11,BG$170)/12)*(1+V_dVol),0))</f>
        <v>0</v>
      </c>
      <c r="BH187" s="48">
        <f>IF(BH$8=1,N(Reales!BH22),IF(BH$171=1,IF(AND(AND(55&gt;Corte,55&lt;=Corte+n_Ventana),ISNUMBER(Detalle_24m!BH$24)),Detalle_24m!BH$24,INDEX(Vol_V,11,BH$170)/12)*(1+V_dVol),0))</f>
        <v>0</v>
      </c>
      <c r="BI187" s="48">
        <f>IF(BI$8=1,N(Reales!BI22),IF(BI$171=1,IF(AND(AND(56&gt;Corte,56&lt;=Corte+n_Ventana),ISNUMBER(Detalle_24m!BI$24)),Detalle_24m!BI$24,INDEX(Vol_V,11,BI$170)/12)*(1+V_dVol),0))</f>
        <v>0</v>
      </c>
      <c r="BJ187" s="48">
        <f>IF(BJ$8=1,N(Reales!BJ22),IF(BJ$171=1,IF(AND(AND(57&gt;Corte,57&lt;=Corte+n_Ventana),ISNUMBER(Detalle_24m!BJ$24)),Detalle_24m!BJ$24,INDEX(Vol_V,11,BJ$170)/12)*(1+V_dVol),0))</f>
        <v>0</v>
      </c>
      <c r="BK187" s="48">
        <f>IF(BK$8=1,N(Reales!BK22),IF(BK$171=1,IF(AND(AND(58&gt;Corte,58&lt;=Corte+n_Ventana),ISNUMBER(Detalle_24m!BK$24)),Detalle_24m!BK$24,INDEX(Vol_V,11,BK$170)/12)*(1+V_dVol),0))</f>
        <v>0</v>
      </c>
      <c r="BL187" s="48">
        <f>IF(BL$8=1,N(Reales!BL22),IF(BL$171=1,IF(AND(AND(59&gt;Corte,59&lt;=Corte+n_Ventana),ISNUMBER(Detalle_24m!BL$24)),Detalle_24m!BL$24,INDEX(Vol_V,11,BL$170)/12)*(1+V_dVol),0))</f>
        <v>0</v>
      </c>
      <c r="BM187" s="48">
        <f>IF(BM$8=1,N(Reales!BM22),IF(BM$171=1,IF(AND(AND(60&gt;Corte,60&lt;=Corte+n_Ventana),ISNUMBER(Detalle_24m!BM$24)),Detalle_24m!BM$24,INDEX(Vol_V,11,BM$170)/12)*(1+V_dVol),0))</f>
        <v>0</v>
      </c>
      <c r="BN187" s="48">
        <f>IF(BN$8=1,N(Reales!BN22),IF(BN$171=1,IF(AND(AND(61&gt;Corte,61&lt;=Corte+n_Ventana),ISNUMBER(Detalle_24m!BN$24)),Detalle_24m!BN$24,INDEX(Vol_V,11,BN$170)/12)*(1+V_dVol),0))</f>
        <v>0</v>
      </c>
      <c r="BO187" s="48">
        <f>IF(BO$8=1,N(Reales!BO22),IF(BO$171=1,IF(AND(AND(62&gt;Corte,62&lt;=Corte+n_Ventana),ISNUMBER(Detalle_24m!BO$24)),Detalle_24m!BO$24,INDEX(Vol_V,11,BO$170)/12)*(1+V_dVol),0))</f>
        <v>0</v>
      </c>
      <c r="BP187" s="48">
        <f>IF(BP$8=1,N(Reales!BP22),IF(BP$171=1,IF(AND(AND(63&gt;Corte,63&lt;=Corte+n_Ventana),ISNUMBER(Detalle_24m!BP$24)),Detalle_24m!BP$24,INDEX(Vol_V,11,BP$170)/12)*(1+V_dVol),0))</f>
        <v>0</v>
      </c>
      <c r="BQ187" s="48">
        <f>IF(BQ$8=1,N(Reales!BQ22),IF(BQ$171=1,IF(AND(AND(64&gt;Corte,64&lt;=Corte+n_Ventana),ISNUMBER(Detalle_24m!BQ$24)),Detalle_24m!BQ$24,INDEX(Vol_V,11,BQ$170)/12)*(1+V_dVol),0))</f>
        <v>0</v>
      </c>
      <c r="BR187" s="48">
        <f>IF(BR$8=1,N(Reales!BR22),IF(BR$171=1,IF(AND(AND(65&gt;Corte,65&lt;=Corte+n_Ventana),ISNUMBER(Detalle_24m!BR$24)),Detalle_24m!BR$24,INDEX(Vol_V,11,BR$170)/12)*(1+V_dVol),0))</f>
        <v>0</v>
      </c>
      <c r="BS187" s="48">
        <f>IF(BS$8=1,N(Reales!BS22),IF(BS$171=1,IF(AND(AND(66&gt;Corte,66&lt;=Corte+n_Ventana),ISNUMBER(Detalle_24m!BS$24)),Detalle_24m!BS$24,INDEX(Vol_V,11,BS$170)/12)*(1+V_dVol),0))</f>
        <v>0</v>
      </c>
      <c r="BT187" s="48">
        <f>IF(BT$8=1,N(Reales!BT22),IF(BT$171=1,IF(AND(AND(67&gt;Corte,67&lt;=Corte+n_Ventana),ISNUMBER(Detalle_24m!BT$24)),Detalle_24m!BT$24,INDEX(Vol_V,11,BT$170)/12)*(1+V_dVol),0))</f>
        <v>0</v>
      </c>
      <c r="BU187" s="48">
        <f>IF(BU$8=1,N(Reales!BU22),IF(BU$171=1,IF(AND(AND(68&gt;Corte,68&lt;=Corte+n_Ventana),ISNUMBER(Detalle_24m!BU$24)),Detalle_24m!BU$24,INDEX(Vol_V,11,BU$170)/12)*(1+V_dVol),0))</f>
        <v>0</v>
      </c>
      <c r="BV187" s="48">
        <f>IF(BV$8=1,N(Reales!BV22),IF(BV$171=1,IF(AND(AND(69&gt;Corte,69&lt;=Corte+n_Ventana),ISNUMBER(Detalle_24m!BV$24)),Detalle_24m!BV$24,INDEX(Vol_V,11,BV$170)/12)*(1+V_dVol),0))</f>
        <v>0</v>
      </c>
      <c r="BW187" s="48">
        <f>IF(BW$8=1,N(Reales!BW22),IF(BW$171=1,IF(AND(AND(70&gt;Corte,70&lt;=Corte+n_Ventana),ISNUMBER(Detalle_24m!BW$24)),Detalle_24m!BW$24,INDEX(Vol_V,11,BW$170)/12)*(1+V_dVol),0))</f>
        <v>0</v>
      </c>
      <c r="BX187" s="48">
        <f>IF(BX$8=1,N(Reales!BX22),IF(BX$171=1,IF(AND(AND(71&gt;Corte,71&lt;=Corte+n_Ventana),ISNUMBER(Detalle_24m!BX$24)),Detalle_24m!BX$24,INDEX(Vol_V,11,BX$170)/12)*(1+V_dVol),0))</f>
        <v>0</v>
      </c>
      <c r="BY187" s="48">
        <f>IF(BY$8=1,N(Reales!BY22),IF(BY$171=1,IF(AND(AND(72&gt;Corte,72&lt;=Corte+n_Ventana),ISNUMBER(Detalle_24m!BY$24)),Detalle_24m!BY$24,INDEX(Vol_V,11,BY$170)/12)*(1+V_dVol),0))</f>
        <v>0</v>
      </c>
      <c r="BZ187" s="48">
        <f>IF(BZ$8=1,N(Reales!BZ22),IF(BZ$171=1,IF(AND(AND(73&gt;Corte,73&lt;=Corte+n_Ventana),ISNUMBER(Detalle_24m!BZ$24)),Detalle_24m!BZ$24,INDEX(Vol_V,11,BZ$170)/12)*(1+V_dVol),0))</f>
        <v>0</v>
      </c>
      <c r="CA187" s="48">
        <f>IF(CA$8=1,N(Reales!CA22),IF(CA$171=1,IF(AND(AND(74&gt;Corte,74&lt;=Corte+n_Ventana),ISNUMBER(Detalle_24m!CA$24)),Detalle_24m!CA$24,INDEX(Vol_V,11,CA$170)/12)*(1+V_dVol),0))</f>
        <v>0</v>
      </c>
      <c r="CB187" s="48">
        <f>IF(CB$8=1,N(Reales!CB22),IF(CB$171=1,IF(AND(AND(75&gt;Corte,75&lt;=Corte+n_Ventana),ISNUMBER(Detalle_24m!CB$24)),Detalle_24m!CB$24,INDEX(Vol_V,11,CB$170)/12)*(1+V_dVol),0))</f>
        <v>0</v>
      </c>
      <c r="CC187" s="48">
        <f>IF(CC$8=1,N(Reales!CC22),IF(CC$171=1,IF(AND(AND(76&gt;Corte,76&lt;=Corte+n_Ventana),ISNUMBER(Detalle_24m!CC$24)),Detalle_24m!CC$24,INDEX(Vol_V,11,CC$170)/12)*(1+V_dVol),0))</f>
        <v>0</v>
      </c>
      <c r="CD187" s="48">
        <f>IF(CD$8=1,N(Reales!CD22),IF(CD$171=1,IF(AND(AND(77&gt;Corte,77&lt;=Corte+n_Ventana),ISNUMBER(Detalle_24m!CD$24)),Detalle_24m!CD$24,INDEX(Vol_V,11,CD$170)/12)*(1+V_dVol),0))</f>
        <v>0</v>
      </c>
      <c r="CE187" s="48">
        <f>IF(CE$8=1,N(Reales!CE22),IF(CE$171=1,IF(AND(AND(78&gt;Corte,78&lt;=Corte+n_Ventana),ISNUMBER(Detalle_24m!CE$24)),Detalle_24m!CE$24,INDEX(Vol_V,11,CE$170)/12)*(1+V_dVol),0))</f>
        <v>0</v>
      </c>
      <c r="CF187" s="48">
        <f>IF(CF$8=1,N(Reales!CF22),IF(CF$171=1,IF(AND(AND(79&gt;Corte,79&lt;=Corte+n_Ventana),ISNUMBER(Detalle_24m!CF$24)),Detalle_24m!CF$24,INDEX(Vol_V,11,CF$170)/12)*(1+V_dVol),0))</f>
        <v>0</v>
      </c>
      <c r="CG187" s="48">
        <f>IF(CG$8=1,N(Reales!CG22),IF(CG$171=1,IF(AND(AND(80&gt;Corte,80&lt;=Corte+n_Ventana),ISNUMBER(Detalle_24m!CG$24)),Detalle_24m!CG$24,INDEX(Vol_V,11,CG$170)/12)*(1+V_dVol),0))</f>
        <v>0</v>
      </c>
      <c r="CH187" s="48">
        <f>IF(CH$8=1,N(Reales!CH22),IF(CH$171=1,IF(AND(AND(81&gt;Corte,81&lt;=Corte+n_Ventana),ISNUMBER(Detalle_24m!CH$24)),Detalle_24m!CH$24,INDEX(Vol_V,11,CH$170)/12)*(1+V_dVol),0))</f>
        <v>0</v>
      </c>
      <c r="CI187" s="48">
        <f>IF(CI$8=1,N(Reales!CI22),IF(CI$171=1,IF(AND(AND(82&gt;Corte,82&lt;=Corte+n_Ventana),ISNUMBER(Detalle_24m!CI$24)),Detalle_24m!CI$24,INDEX(Vol_V,11,CI$170)/12)*(1+V_dVol),0))</f>
        <v>0</v>
      </c>
      <c r="CJ187" s="48">
        <f>IF(CJ$8=1,N(Reales!CJ22),IF(CJ$171=1,IF(AND(AND(83&gt;Corte,83&lt;=Corte+n_Ventana),ISNUMBER(Detalle_24m!CJ$24)),Detalle_24m!CJ$24,INDEX(Vol_V,11,CJ$170)/12)*(1+V_dVol),0))</f>
        <v>0</v>
      </c>
      <c r="CK187" s="48">
        <f>IF(CK$8=1,N(Reales!CK22),IF(CK$171=1,IF(AND(AND(84&gt;Corte,84&lt;=Corte+n_Ventana),ISNUMBER(Detalle_24m!CK$24)),Detalle_24m!CK$24,INDEX(Vol_V,11,CK$170)/12)*(1+V_dVol),0))</f>
        <v>0</v>
      </c>
      <c r="CL187" s="48">
        <f>IF(CL$8=1,N(Reales!CL22),IF(CL$171=1,IF(AND(AND(85&gt;Corte,85&lt;=Corte+n_Ventana),ISNUMBER(Detalle_24m!CL$24)),Detalle_24m!CL$24,INDEX(Vol_V,11,CL$170)/12)*(1+V_dVol),0))</f>
        <v>0</v>
      </c>
      <c r="CM187" s="48">
        <f>IF(CM$8=1,N(Reales!CM22),IF(CM$171=1,IF(AND(AND(86&gt;Corte,86&lt;=Corte+n_Ventana),ISNUMBER(Detalle_24m!CM$24)),Detalle_24m!CM$24,INDEX(Vol_V,11,CM$170)/12)*(1+V_dVol),0))</f>
        <v>0</v>
      </c>
      <c r="CN187" s="48">
        <f>IF(CN$8=1,N(Reales!CN22),IF(CN$171=1,IF(AND(AND(87&gt;Corte,87&lt;=Corte+n_Ventana),ISNUMBER(Detalle_24m!CN$24)),Detalle_24m!CN$24,INDEX(Vol_V,11,CN$170)/12)*(1+V_dVol),0))</f>
        <v>0</v>
      </c>
      <c r="CO187" s="48">
        <f>IF(CO$8=1,N(Reales!CO22),IF(CO$171=1,IF(AND(AND(88&gt;Corte,88&lt;=Corte+n_Ventana),ISNUMBER(Detalle_24m!CO$24)),Detalle_24m!CO$24,INDEX(Vol_V,11,CO$170)/12)*(1+V_dVol),0))</f>
        <v>0</v>
      </c>
      <c r="CP187" s="48">
        <f>IF(CP$8=1,N(Reales!CP22),IF(CP$171=1,IF(AND(AND(89&gt;Corte,89&lt;=Corte+n_Ventana),ISNUMBER(Detalle_24m!CP$24)),Detalle_24m!CP$24,INDEX(Vol_V,11,CP$170)/12)*(1+V_dVol),0))</f>
        <v>0</v>
      </c>
      <c r="CQ187" s="48">
        <f>IF(CQ$8=1,N(Reales!CQ22),IF(CQ$171=1,IF(AND(AND(90&gt;Corte,90&lt;=Corte+n_Ventana),ISNUMBER(Detalle_24m!CQ$24)),Detalle_24m!CQ$24,INDEX(Vol_V,11,CQ$170)/12)*(1+V_dVol),0))</f>
        <v>0</v>
      </c>
      <c r="CR187" s="48">
        <f>IF(CR$8=1,N(Reales!CR22),IF(CR$171=1,IF(AND(AND(91&gt;Corte,91&lt;=Corte+n_Ventana),ISNUMBER(Detalle_24m!CR$24)),Detalle_24m!CR$24,INDEX(Vol_V,11,CR$170)/12)*(1+V_dVol),0))</f>
        <v>0</v>
      </c>
      <c r="CS187" s="48">
        <f>IF(CS$8=1,N(Reales!CS22),IF(CS$171=1,IF(AND(AND(92&gt;Corte,92&lt;=Corte+n_Ventana),ISNUMBER(Detalle_24m!CS$24)),Detalle_24m!CS$24,INDEX(Vol_V,11,CS$170)/12)*(1+V_dVol),0))</f>
        <v>0</v>
      </c>
      <c r="CT187" s="48">
        <f>IF(CT$8=1,N(Reales!CT22),IF(CT$171=1,IF(AND(AND(93&gt;Corte,93&lt;=Corte+n_Ventana),ISNUMBER(Detalle_24m!CT$24)),Detalle_24m!CT$24,INDEX(Vol_V,11,CT$170)/12)*(1+V_dVol),0))</f>
        <v>0</v>
      </c>
      <c r="CU187" s="48">
        <f>IF(CU$8=1,N(Reales!CU22),IF(CU$171=1,IF(AND(AND(94&gt;Corte,94&lt;=Corte+n_Ventana),ISNUMBER(Detalle_24m!CU$24)),Detalle_24m!CU$24,INDEX(Vol_V,11,CU$170)/12)*(1+V_dVol),0))</f>
        <v>0</v>
      </c>
      <c r="CV187" s="48">
        <f>IF(CV$8=1,N(Reales!CV22),IF(CV$171=1,IF(AND(AND(95&gt;Corte,95&lt;=Corte+n_Ventana),ISNUMBER(Detalle_24m!CV$24)),Detalle_24m!CV$24,INDEX(Vol_V,11,CV$170)/12)*(1+V_dVol),0))</f>
        <v>0</v>
      </c>
      <c r="CW187" s="48">
        <f>IF(CW$8=1,N(Reales!CW22),IF(CW$171=1,IF(AND(AND(96&gt;Corte,96&lt;=Corte+n_Ventana),ISNUMBER(Detalle_24m!CW$24)),Detalle_24m!CW$24,INDEX(Vol_V,11,CW$170)/12)*(1+V_dVol),0))</f>
        <v>0</v>
      </c>
      <c r="CX187" s="48">
        <f>IF(CX$8=1,N(Reales!CX22),IF(CX$171=1,IF(AND(AND(97&gt;Corte,97&lt;=Corte+n_Ventana),ISNUMBER(Detalle_24m!CX$24)),Detalle_24m!CX$24,INDEX(Vol_V,11,CX$170)/12)*(1+V_dVol),0))</f>
        <v>0</v>
      </c>
      <c r="CY187" s="48">
        <f>IF(CY$8=1,N(Reales!CY22),IF(CY$171=1,IF(AND(AND(98&gt;Corte,98&lt;=Corte+n_Ventana),ISNUMBER(Detalle_24m!CY$24)),Detalle_24m!CY$24,INDEX(Vol_V,11,CY$170)/12)*(1+V_dVol),0))</f>
        <v>0</v>
      </c>
      <c r="CZ187" s="48">
        <f>IF(CZ$8=1,N(Reales!CZ22),IF(CZ$171=1,IF(AND(AND(99&gt;Corte,99&lt;=Corte+n_Ventana),ISNUMBER(Detalle_24m!CZ$24)),Detalle_24m!CZ$24,INDEX(Vol_V,11,CZ$170)/12)*(1+V_dVol),0))</f>
        <v>0</v>
      </c>
      <c r="DA187" s="48">
        <f>IF(DA$8=1,N(Reales!DA22),IF(DA$171=1,IF(AND(AND(100&gt;Corte,100&lt;=Corte+n_Ventana),ISNUMBER(Detalle_24m!DA$24)),Detalle_24m!DA$24,INDEX(Vol_V,11,DA$170)/12)*(1+V_dVol),0))</f>
        <v>0</v>
      </c>
      <c r="DB187" s="48">
        <f>IF(DB$8=1,N(Reales!DB22),IF(DB$171=1,IF(AND(AND(101&gt;Corte,101&lt;=Corte+n_Ventana),ISNUMBER(Detalle_24m!DB$24)),Detalle_24m!DB$24,INDEX(Vol_V,11,DB$170)/12)*(1+V_dVol),0))</f>
        <v>0</v>
      </c>
      <c r="DC187" s="48">
        <f>IF(DC$8=1,N(Reales!DC22),IF(DC$171=1,IF(AND(AND(102&gt;Corte,102&lt;=Corte+n_Ventana),ISNUMBER(Detalle_24m!DC$24)),Detalle_24m!DC$24,INDEX(Vol_V,11,DC$170)/12)*(1+V_dVol),0))</f>
        <v>0</v>
      </c>
      <c r="DD187" s="48">
        <f>IF(DD$8=1,N(Reales!DD22),IF(DD$171=1,IF(AND(AND(103&gt;Corte,103&lt;=Corte+n_Ventana),ISNUMBER(Detalle_24m!DD$24)),Detalle_24m!DD$24,INDEX(Vol_V,11,DD$170)/12)*(1+V_dVol),0))</f>
        <v>0</v>
      </c>
      <c r="DE187" s="48">
        <f>IF(DE$8=1,N(Reales!DE22),IF(DE$171=1,IF(AND(AND(104&gt;Corte,104&lt;=Corte+n_Ventana),ISNUMBER(Detalle_24m!DE$24)),Detalle_24m!DE$24,INDEX(Vol_V,11,DE$170)/12)*(1+V_dVol),0))</f>
        <v>0</v>
      </c>
      <c r="DF187" s="48">
        <f>IF(DF$8=1,N(Reales!DF22),IF(DF$171=1,IF(AND(AND(105&gt;Corte,105&lt;=Corte+n_Ventana),ISNUMBER(Detalle_24m!DF$24)),Detalle_24m!DF$24,INDEX(Vol_V,11,DF$170)/12)*(1+V_dVol),0))</f>
        <v>0</v>
      </c>
      <c r="DG187" s="48">
        <f>IF(DG$8=1,N(Reales!DG22),IF(DG$171=1,IF(AND(AND(106&gt;Corte,106&lt;=Corte+n_Ventana),ISNUMBER(Detalle_24m!DG$24)),Detalle_24m!DG$24,INDEX(Vol_V,11,DG$170)/12)*(1+V_dVol),0))</f>
        <v>0</v>
      </c>
      <c r="DH187" s="48">
        <f>IF(DH$8=1,N(Reales!DH22),IF(DH$171=1,IF(AND(AND(107&gt;Corte,107&lt;=Corte+n_Ventana),ISNUMBER(Detalle_24m!DH$24)),Detalle_24m!DH$24,INDEX(Vol_V,11,DH$170)/12)*(1+V_dVol),0))</f>
        <v>0</v>
      </c>
      <c r="DI187" s="48">
        <f>IF(DI$8=1,N(Reales!DI22),IF(DI$171=1,IF(AND(AND(108&gt;Corte,108&lt;=Corte+n_Ventana),ISNUMBER(Detalle_24m!DI$24)),Detalle_24m!DI$24,INDEX(Vol_V,11,DI$170)/12)*(1+V_dVol),0))</f>
        <v>0</v>
      </c>
      <c r="DJ187" s="48">
        <f>IF(DJ$8=1,N(Reales!DJ22),IF(DJ$171=1,IF(AND(AND(109&gt;Corte,109&lt;=Corte+n_Ventana),ISNUMBER(Detalle_24m!DJ$24)),Detalle_24m!DJ$24,INDEX(Vol_V,11,DJ$170)/12)*(1+V_dVol),0))</f>
        <v>0</v>
      </c>
      <c r="DK187" s="48">
        <f>IF(DK$8=1,N(Reales!DK22),IF(DK$171=1,IF(AND(AND(110&gt;Corte,110&lt;=Corte+n_Ventana),ISNUMBER(Detalle_24m!DK$24)),Detalle_24m!DK$24,INDEX(Vol_V,11,DK$170)/12)*(1+V_dVol),0))</f>
        <v>0</v>
      </c>
      <c r="DL187" s="48">
        <f>IF(DL$8=1,N(Reales!DL22),IF(DL$171=1,IF(AND(AND(111&gt;Corte,111&lt;=Corte+n_Ventana),ISNUMBER(Detalle_24m!DL$24)),Detalle_24m!DL$24,INDEX(Vol_V,11,DL$170)/12)*(1+V_dVol),0))</f>
        <v>0</v>
      </c>
      <c r="DM187" s="48">
        <f>IF(DM$8=1,N(Reales!DM22),IF(DM$171=1,IF(AND(AND(112&gt;Corte,112&lt;=Corte+n_Ventana),ISNUMBER(Detalle_24m!DM$24)),Detalle_24m!DM$24,INDEX(Vol_V,11,DM$170)/12)*(1+V_dVol),0))</f>
        <v>0</v>
      </c>
      <c r="DN187" s="48">
        <f>IF(DN$8=1,N(Reales!DN22),IF(DN$171=1,IF(AND(AND(113&gt;Corte,113&lt;=Corte+n_Ventana),ISNUMBER(Detalle_24m!DN$24)),Detalle_24m!DN$24,INDEX(Vol_V,11,DN$170)/12)*(1+V_dVol),0))</f>
        <v>0</v>
      </c>
      <c r="DO187" s="48">
        <f>IF(DO$8=1,N(Reales!DO22),IF(DO$171=1,IF(AND(AND(114&gt;Corte,114&lt;=Corte+n_Ventana),ISNUMBER(Detalle_24m!DO$24)),Detalle_24m!DO$24,INDEX(Vol_V,11,DO$170)/12)*(1+V_dVol),0))</f>
        <v>0</v>
      </c>
      <c r="DP187" s="48">
        <f>IF(DP$8=1,N(Reales!DP22),IF(DP$171=1,IF(AND(AND(115&gt;Corte,115&lt;=Corte+n_Ventana),ISNUMBER(Detalle_24m!DP$24)),Detalle_24m!DP$24,INDEX(Vol_V,11,DP$170)/12)*(1+V_dVol),0))</f>
        <v>0</v>
      </c>
      <c r="DQ187" s="48">
        <f>IF(DQ$8=1,N(Reales!DQ22),IF(DQ$171=1,IF(AND(AND(116&gt;Corte,116&lt;=Corte+n_Ventana),ISNUMBER(Detalle_24m!DQ$24)),Detalle_24m!DQ$24,INDEX(Vol_V,11,DQ$170)/12)*(1+V_dVol),0))</f>
        <v>0</v>
      </c>
      <c r="DR187" s="48">
        <f>IF(DR$8=1,N(Reales!DR22),IF(DR$171=1,IF(AND(AND(117&gt;Corte,117&lt;=Corte+n_Ventana),ISNUMBER(Detalle_24m!DR$24)),Detalle_24m!DR$24,INDEX(Vol_V,11,DR$170)/12)*(1+V_dVol),0))</f>
        <v>0</v>
      </c>
      <c r="DS187" s="48">
        <f>IF(DS$8=1,N(Reales!DS22),IF(DS$171=1,IF(AND(AND(118&gt;Corte,118&lt;=Corte+n_Ventana),ISNUMBER(Detalle_24m!DS$24)),Detalle_24m!DS$24,INDEX(Vol_V,11,DS$170)/12)*(1+V_dVol),0))</f>
        <v>0</v>
      </c>
      <c r="DT187" s="48">
        <f>IF(DT$8=1,N(Reales!DT22),IF(DT$171=1,IF(AND(AND(119&gt;Corte,119&lt;=Corte+n_Ventana),ISNUMBER(Detalle_24m!DT$24)),Detalle_24m!DT$24,INDEX(Vol_V,11,DT$170)/12)*(1+V_dVol),0))</f>
        <v>0</v>
      </c>
      <c r="DU187" s="48">
        <f>IF(DU$8=1,N(Reales!DU22),IF(DU$171=1,IF(AND(AND(120&gt;Corte,120&lt;=Corte+n_Ventana),ISNUMBER(Detalle_24m!DU$24)),Detalle_24m!DU$24,INDEX(Vol_V,11,DU$170)/12)*(1+V_dVol),0))</f>
        <v>0</v>
      </c>
      <c r="DV187" s="48">
        <f>IF(DV$8=1,N(Reales!DV22),IF(DV$171=1,IF(AND(AND(121&gt;Corte,121&lt;=Corte+n_Ventana),ISNUMBER(Detalle_24m!DV$24)),Detalle_24m!DV$24,INDEX(Vol_V,11,DV$170)/12)*(1+V_dVol),0))</f>
        <v>0</v>
      </c>
      <c r="DW187" s="48">
        <f>IF(DW$8=1,N(Reales!DW22),IF(DW$171=1,IF(AND(AND(122&gt;Corte,122&lt;=Corte+n_Ventana),ISNUMBER(Detalle_24m!DW$24)),Detalle_24m!DW$24,INDEX(Vol_V,11,DW$170)/12)*(1+V_dVol),0))</f>
        <v>0</v>
      </c>
      <c r="DX187" s="48">
        <f>IF(DX$8=1,N(Reales!DX22),IF(DX$171=1,IF(AND(AND(123&gt;Corte,123&lt;=Corte+n_Ventana),ISNUMBER(Detalle_24m!DX$24)),Detalle_24m!DX$24,INDEX(Vol_V,11,DX$170)/12)*(1+V_dVol),0))</f>
        <v>0</v>
      </c>
      <c r="DY187" s="48">
        <f>IF(DY$8=1,N(Reales!DY22),IF(DY$171=1,IF(AND(AND(124&gt;Corte,124&lt;=Corte+n_Ventana),ISNUMBER(Detalle_24m!DY$24)),Detalle_24m!DY$24,INDEX(Vol_V,11,DY$170)/12)*(1+V_dVol),0))</f>
        <v>0</v>
      </c>
      <c r="DZ187" s="48">
        <f>IF(DZ$8=1,N(Reales!DZ22),IF(DZ$171=1,IF(AND(AND(125&gt;Corte,125&lt;=Corte+n_Ventana),ISNUMBER(Detalle_24m!DZ$24)),Detalle_24m!DZ$24,INDEX(Vol_V,11,DZ$170)/12)*(1+V_dVol),0))</f>
        <v>0</v>
      </c>
      <c r="EA187" s="48">
        <f>IF(EA$8=1,N(Reales!EA22),IF(EA$171=1,IF(AND(AND(126&gt;Corte,126&lt;=Corte+n_Ventana),ISNUMBER(Detalle_24m!EA$24)),Detalle_24m!EA$24,INDEX(Vol_V,11,EA$170)/12)*(1+V_dVol),0))</f>
        <v>0</v>
      </c>
      <c r="EB187" s="48">
        <f>IF(EB$8=1,N(Reales!EB22),IF(EB$171=1,IF(AND(AND(127&gt;Corte,127&lt;=Corte+n_Ventana),ISNUMBER(Detalle_24m!EB$24)),Detalle_24m!EB$24,INDEX(Vol_V,11,EB$170)/12)*(1+V_dVol),0))</f>
        <v>0</v>
      </c>
      <c r="EC187" s="48">
        <f>IF(EC$8=1,N(Reales!EC22),IF(EC$171=1,IF(AND(AND(128&gt;Corte,128&lt;=Corte+n_Ventana),ISNUMBER(Detalle_24m!EC$24)),Detalle_24m!EC$24,INDEX(Vol_V,11,EC$170)/12)*(1+V_dVol),0))</f>
        <v>0</v>
      </c>
      <c r="ED187" s="48">
        <f>IF(ED$8=1,N(Reales!ED22),IF(ED$171=1,IF(AND(AND(129&gt;Corte,129&lt;=Corte+n_Ventana),ISNUMBER(Detalle_24m!ED$24)),Detalle_24m!ED$24,INDEX(Vol_V,11,ED$170)/12)*(1+V_dVol),0))</f>
        <v>0</v>
      </c>
      <c r="EE187" s="48">
        <f>IF(EE$8=1,N(Reales!EE22),IF(EE$171=1,IF(AND(AND(130&gt;Corte,130&lt;=Corte+n_Ventana),ISNUMBER(Detalle_24m!EE$24)),Detalle_24m!EE$24,INDEX(Vol_V,11,EE$170)/12)*(1+V_dVol),0))</f>
        <v>0</v>
      </c>
      <c r="EF187" s="48">
        <f>IF(EF$8=1,N(Reales!EF22),IF(EF$171=1,IF(AND(AND(131&gt;Corte,131&lt;=Corte+n_Ventana),ISNUMBER(Detalle_24m!EF$24)),Detalle_24m!EF$24,INDEX(Vol_V,11,EF$170)/12)*(1+V_dVol),0))</f>
        <v>0</v>
      </c>
      <c r="EG187" s="48">
        <f>IF(EG$8=1,N(Reales!EG22),IF(EG$171=1,IF(AND(AND(132&gt;Corte,132&lt;=Corte+n_Ventana),ISNUMBER(Detalle_24m!EG$24)),Detalle_24m!EG$24,INDEX(Vol_V,11,EG$170)/12)*(1+V_dVol),0))</f>
        <v>0</v>
      </c>
      <c r="EH187" s="48">
        <f>IF(EH$8=1,N(Reales!EH22),IF(EH$171=1,IF(AND(AND(133&gt;Corte,133&lt;=Corte+n_Ventana),ISNUMBER(Detalle_24m!EH$24)),Detalle_24m!EH$24,INDEX(Vol_V,11,EH$170)/12)*(1+V_dVol),0))</f>
        <v>0</v>
      </c>
      <c r="EI187" s="48">
        <f>IF(EI$8=1,N(Reales!EI22),IF(EI$171=1,IF(AND(AND(134&gt;Corte,134&lt;=Corte+n_Ventana),ISNUMBER(Detalle_24m!EI$24)),Detalle_24m!EI$24,INDEX(Vol_V,11,EI$170)/12)*(1+V_dVol),0))</f>
        <v>0</v>
      </c>
      <c r="EJ187" s="48">
        <f>IF(EJ$8=1,N(Reales!EJ22),IF(EJ$171=1,IF(AND(AND(135&gt;Corte,135&lt;=Corte+n_Ventana),ISNUMBER(Detalle_24m!EJ$24)),Detalle_24m!EJ$24,INDEX(Vol_V,11,EJ$170)/12)*(1+V_dVol),0))</f>
        <v>0</v>
      </c>
      <c r="EK187" s="48">
        <f>IF(EK$8=1,N(Reales!EK22),IF(EK$171=1,IF(AND(AND(136&gt;Corte,136&lt;=Corte+n_Ventana),ISNUMBER(Detalle_24m!EK$24)),Detalle_24m!EK$24,INDEX(Vol_V,11,EK$170)/12)*(1+V_dVol),0))</f>
        <v>0</v>
      </c>
      <c r="EL187" s="48">
        <f>IF(EL$8=1,N(Reales!EL22),IF(EL$171=1,IF(AND(AND(137&gt;Corte,137&lt;=Corte+n_Ventana),ISNUMBER(Detalle_24m!EL$24)),Detalle_24m!EL$24,INDEX(Vol_V,11,EL$170)/12)*(1+V_dVol),0))</f>
        <v>0</v>
      </c>
      <c r="EM187" s="48">
        <f>IF(EM$8=1,N(Reales!EM22),IF(EM$171=1,IF(AND(AND(138&gt;Corte,138&lt;=Corte+n_Ventana),ISNUMBER(Detalle_24m!EM$24)),Detalle_24m!EM$24,INDEX(Vol_V,11,EM$170)/12)*(1+V_dVol),0))</f>
        <v>0</v>
      </c>
      <c r="EN187" s="48">
        <f>IF(EN$8=1,N(Reales!EN22),IF(EN$171=1,IF(AND(AND(139&gt;Corte,139&lt;=Corte+n_Ventana),ISNUMBER(Detalle_24m!EN$24)),Detalle_24m!EN$24,INDEX(Vol_V,11,EN$170)/12)*(1+V_dVol),0))</f>
        <v>0</v>
      </c>
      <c r="EO187" s="48">
        <f>IF(EO$8=1,N(Reales!EO22),IF(EO$171=1,IF(AND(AND(140&gt;Corte,140&lt;=Corte+n_Ventana),ISNUMBER(Detalle_24m!EO$24)),Detalle_24m!EO$24,INDEX(Vol_V,11,EO$170)/12)*(1+V_dVol),0))</f>
        <v>0</v>
      </c>
      <c r="EP187" s="48">
        <f>IF(EP$8=1,N(Reales!EP22),IF(EP$171=1,IF(AND(AND(141&gt;Corte,141&lt;=Corte+n_Ventana),ISNUMBER(Detalle_24m!EP$24)),Detalle_24m!EP$24,INDEX(Vol_V,11,EP$170)/12)*(1+V_dVol),0))</f>
        <v>0</v>
      </c>
      <c r="EQ187" s="48">
        <f>IF(EQ$8=1,N(Reales!EQ22),IF(EQ$171=1,IF(AND(AND(142&gt;Corte,142&lt;=Corte+n_Ventana),ISNUMBER(Detalle_24m!EQ$24)),Detalle_24m!EQ$24,INDEX(Vol_V,11,EQ$170)/12)*(1+V_dVol),0))</f>
        <v>0</v>
      </c>
      <c r="ER187" s="48">
        <f>IF(ER$8=1,N(Reales!ER22),IF(ER$171=1,IF(AND(AND(143&gt;Corte,143&lt;=Corte+n_Ventana),ISNUMBER(Detalle_24m!ER$24)),Detalle_24m!ER$24,INDEX(Vol_V,11,ER$170)/12)*(1+V_dVol),0))</f>
        <v>0</v>
      </c>
      <c r="ES187" s="48">
        <f>IF(ES$8=1,N(Reales!ES22),IF(ES$171=1,IF(AND(AND(144&gt;Corte,144&lt;=Corte+n_Ventana),ISNUMBER(Detalle_24m!ES$24)),Detalle_24m!ES$24,INDEX(Vol_V,11,ES$170)/12)*(1+V_dVol),0))</f>
        <v>0</v>
      </c>
    </row>
    <row r="188" spans="1:149" x14ac:dyDescent="0.3">
      <c r="A188" s="14" t="s">
        <v>1243</v>
      </c>
      <c r="B188" s="53" t="str">
        <f>IF(INDEX(Prod_Nombre,12)="","Producto 12",INDEX(Prod_Nombre,12))&amp;" — unidades"</f>
        <v>Producto 12 — unidades</v>
      </c>
      <c r="C188" s="18" t="s">
        <v>475</v>
      </c>
      <c r="E188" s="54">
        <f t="shared" si="604"/>
        <v>0</v>
      </c>
      <c r="F188" s="48">
        <f>IF(F$8=1,N(Reales!F23),IF(F$171=1,IF(AND(AND(1&gt;Corte,1&lt;=Corte+n_Ventana),ISNUMBER(Detalle_24m!F$25)),Detalle_24m!F$25,INDEX(Vol_V,12,F$170)/12)*(1+V_dVol),0))</f>
        <v>0</v>
      </c>
      <c r="G188" s="48">
        <f>IF(G$8=1,N(Reales!G23),IF(G$171=1,IF(AND(AND(2&gt;Corte,2&lt;=Corte+n_Ventana),ISNUMBER(Detalle_24m!G$25)),Detalle_24m!G$25,INDEX(Vol_V,12,G$170)/12)*(1+V_dVol),0))</f>
        <v>0</v>
      </c>
      <c r="H188" s="48">
        <f>IF(H$8=1,N(Reales!H23),IF(H$171=1,IF(AND(AND(3&gt;Corte,3&lt;=Corte+n_Ventana),ISNUMBER(Detalle_24m!H$25)),Detalle_24m!H$25,INDEX(Vol_V,12,H$170)/12)*(1+V_dVol),0))</f>
        <v>0</v>
      </c>
      <c r="I188" s="48">
        <f>IF(I$8=1,N(Reales!I23),IF(I$171=1,IF(AND(AND(4&gt;Corte,4&lt;=Corte+n_Ventana),ISNUMBER(Detalle_24m!I$25)),Detalle_24m!I$25,INDEX(Vol_V,12,I$170)/12)*(1+V_dVol),0))</f>
        <v>0</v>
      </c>
      <c r="J188" s="48">
        <f>IF(J$8=1,N(Reales!J23),IF(J$171=1,IF(AND(AND(5&gt;Corte,5&lt;=Corte+n_Ventana),ISNUMBER(Detalle_24m!J$25)),Detalle_24m!J$25,INDEX(Vol_V,12,J$170)/12)*(1+V_dVol),0))</f>
        <v>0</v>
      </c>
      <c r="K188" s="48">
        <f>IF(K$8=1,N(Reales!K23),IF(K$171=1,IF(AND(AND(6&gt;Corte,6&lt;=Corte+n_Ventana),ISNUMBER(Detalle_24m!K$25)),Detalle_24m!K$25,INDEX(Vol_V,12,K$170)/12)*(1+V_dVol),0))</f>
        <v>0</v>
      </c>
      <c r="L188" s="48">
        <f>IF(L$8=1,N(Reales!L23),IF(L$171=1,IF(AND(AND(7&gt;Corte,7&lt;=Corte+n_Ventana),ISNUMBER(Detalle_24m!L$25)),Detalle_24m!L$25,INDEX(Vol_V,12,L$170)/12)*(1+V_dVol),0))</f>
        <v>0</v>
      </c>
      <c r="M188" s="48">
        <f>IF(M$8=1,N(Reales!M23),IF(M$171=1,IF(AND(AND(8&gt;Corte,8&lt;=Corte+n_Ventana),ISNUMBER(Detalle_24m!M$25)),Detalle_24m!M$25,INDEX(Vol_V,12,M$170)/12)*(1+V_dVol),0))</f>
        <v>0</v>
      </c>
      <c r="N188" s="48">
        <f>IF(N$8=1,N(Reales!N23),IF(N$171=1,IF(AND(AND(9&gt;Corte,9&lt;=Corte+n_Ventana),ISNUMBER(Detalle_24m!N$25)),Detalle_24m!N$25,INDEX(Vol_V,12,N$170)/12)*(1+V_dVol),0))</f>
        <v>0</v>
      </c>
      <c r="O188" s="48">
        <f>IF(O$8=1,N(Reales!O23),IF(O$171=1,IF(AND(AND(10&gt;Corte,10&lt;=Corte+n_Ventana),ISNUMBER(Detalle_24m!O$25)),Detalle_24m!O$25,INDEX(Vol_V,12,O$170)/12)*(1+V_dVol),0))</f>
        <v>0</v>
      </c>
      <c r="P188" s="48">
        <f>IF(P$8=1,N(Reales!P23),IF(P$171=1,IF(AND(AND(11&gt;Corte,11&lt;=Corte+n_Ventana),ISNUMBER(Detalle_24m!P$25)),Detalle_24m!P$25,INDEX(Vol_V,12,P$170)/12)*(1+V_dVol),0))</f>
        <v>0</v>
      </c>
      <c r="Q188" s="48">
        <f>IF(Q$8=1,N(Reales!Q23),IF(Q$171=1,IF(AND(AND(12&gt;Corte,12&lt;=Corte+n_Ventana),ISNUMBER(Detalle_24m!Q$25)),Detalle_24m!Q$25,INDEX(Vol_V,12,Q$170)/12)*(1+V_dVol),0))</f>
        <v>0</v>
      </c>
      <c r="R188" s="48">
        <f>IF(R$8=1,N(Reales!R23),IF(R$171=1,IF(AND(AND(13&gt;Corte,13&lt;=Corte+n_Ventana),ISNUMBER(Detalle_24m!R$25)),Detalle_24m!R$25,INDEX(Vol_V,12,R$170)/12)*(1+V_dVol),0))</f>
        <v>0</v>
      </c>
      <c r="S188" s="48">
        <f>IF(S$8=1,N(Reales!S23),IF(S$171=1,IF(AND(AND(14&gt;Corte,14&lt;=Corte+n_Ventana),ISNUMBER(Detalle_24m!S$25)),Detalle_24m!S$25,INDEX(Vol_V,12,S$170)/12)*(1+V_dVol),0))</f>
        <v>0</v>
      </c>
      <c r="T188" s="48">
        <f>IF(T$8=1,N(Reales!T23),IF(T$171=1,IF(AND(AND(15&gt;Corte,15&lt;=Corte+n_Ventana),ISNUMBER(Detalle_24m!T$25)),Detalle_24m!T$25,INDEX(Vol_V,12,T$170)/12)*(1+V_dVol),0))</f>
        <v>0</v>
      </c>
      <c r="U188" s="48">
        <f>IF(U$8=1,N(Reales!U23),IF(U$171=1,IF(AND(AND(16&gt;Corte,16&lt;=Corte+n_Ventana),ISNUMBER(Detalle_24m!U$25)),Detalle_24m!U$25,INDEX(Vol_V,12,U$170)/12)*(1+V_dVol),0))</f>
        <v>0</v>
      </c>
      <c r="V188" s="48">
        <f>IF(V$8=1,N(Reales!V23),IF(V$171=1,IF(AND(AND(17&gt;Corte,17&lt;=Corte+n_Ventana),ISNUMBER(Detalle_24m!V$25)),Detalle_24m!V$25,INDEX(Vol_V,12,V$170)/12)*(1+V_dVol),0))</f>
        <v>0</v>
      </c>
      <c r="W188" s="48">
        <f>IF(W$8=1,N(Reales!W23),IF(W$171=1,IF(AND(AND(18&gt;Corte,18&lt;=Corte+n_Ventana),ISNUMBER(Detalle_24m!W$25)),Detalle_24m!W$25,INDEX(Vol_V,12,W$170)/12)*(1+V_dVol),0))</f>
        <v>0</v>
      </c>
      <c r="X188" s="48">
        <f>IF(X$8=1,N(Reales!X23),IF(X$171=1,IF(AND(AND(19&gt;Corte,19&lt;=Corte+n_Ventana),ISNUMBER(Detalle_24m!X$25)),Detalle_24m!X$25,INDEX(Vol_V,12,X$170)/12)*(1+V_dVol),0))</f>
        <v>0</v>
      </c>
      <c r="Y188" s="48">
        <f>IF(Y$8=1,N(Reales!Y23),IF(Y$171=1,IF(AND(AND(20&gt;Corte,20&lt;=Corte+n_Ventana),ISNUMBER(Detalle_24m!Y$25)),Detalle_24m!Y$25,INDEX(Vol_V,12,Y$170)/12)*(1+V_dVol),0))</f>
        <v>0</v>
      </c>
      <c r="Z188" s="48">
        <f>IF(Z$8=1,N(Reales!Z23),IF(Z$171=1,IF(AND(AND(21&gt;Corte,21&lt;=Corte+n_Ventana),ISNUMBER(Detalle_24m!Z$25)),Detalle_24m!Z$25,INDEX(Vol_V,12,Z$170)/12)*(1+V_dVol),0))</f>
        <v>0</v>
      </c>
      <c r="AA188" s="48">
        <f>IF(AA$8=1,N(Reales!AA23),IF(AA$171=1,IF(AND(AND(22&gt;Corte,22&lt;=Corte+n_Ventana),ISNUMBER(Detalle_24m!AA$25)),Detalle_24m!AA$25,INDEX(Vol_V,12,AA$170)/12)*(1+V_dVol),0))</f>
        <v>0</v>
      </c>
      <c r="AB188" s="48">
        <f>IF(AB$8=1,N(Reales!AB23),IF(AB$171=1,IF(AND(AND(23&gt;Corte,23&lt;=Corte+n_Ventana),ISNUMBER(Detalle_24m!AB$25)),Detalle_24m!AB$25,INDEX(Vol_V,12,AB$170)/12)*(1+V_dVol),0))</f>
        <v>0</v>
      </c>
      <c r="AC188" s="48">
        <f>IF(AC$8=1,N(Reales!AC23),IF(AC$171=1,IF(AND(AND(24&gt;Corte,24&lt;=Corte+n_Ventana),ISNUMBER(Detalle_24m!AC$25)),Detalle_24m!AC$25,INDEX(Vol_V,12,AC$170)/12)*(1+V_dVol),0))</f>
        <v>0</v>
      </c>
      <c r="AD188" s="48">
        <f>IF(AD$8=1,N(Reales!AD23),IF(AD$171=1,IF(AND(AND(25&gt;Corte,25&lt;=Corte+n_Ventana),ISNUMBER(Detalle_24m!AD$25)),Detalle_24m!AD$25,INDEX(Vol_V,12,AD$170)/12)*(1+V_dVol),0))</f>
        <v>0</v>
      </c>
      <c r="AE188" s="48">
        <f>IF(AE$8=1,N(Reales!AE23),IF(AE$171=1,IF(AND(AND(26&gt;Corte,26&lt;=Corte+n_Ventana),ISNUMBER(Detalle_24m!AE$25)),Detalle_24m!AE$25,INDEX(Vol_V,12,AE$170)/12)*(1+V_dVol),0))</f>
        <v>0</v>
      </c>
      <c r="AF188" s="48">
        <f>IF(AF$8=1,N(Reales!AF23),IF(AF$171=1,IF(AND(AND(27&gt;Corte,27&lt;=Corte+n_Ventana),ISNUMBER(Detalle_24m!AF$25)),Detalle_24m!AF$25,INDEX(Vol_V,12,AF$170)/12)*(1+V_dVol),0))</f>
        <v>0</v>
      </c>
      <c r="AG188" s="48">
        <f>IF(AG$8=1,N(Reales!AG23),IF(AG$171=1,IF(AND(AND(28&gt;Corte,28&lt;=Corte+n_Ventana),ISNUMBER(Detalle_24m!AG$25)),Detalle_24m!AG$25,INDEX(Vol_V,12,AG$170)/12)*(1+V_dVol),0))</f>
        <v>0</v>
      </c>
      <c r="AH188" s="48">
        <f>IF(AH$8=1,N(Reales!AH23),IF(AH$171=1,IF(AND(AND(29&gt;Corte,29&lt;=Corte+n_Ventana),ISNUMBER(Detalle_24m!AH$25)),Detalle_24m!AH$25,INDEX(Vol_V,12,AH$170)/12)*(1+V_dVol),0))</f>
        <v>0</v>
      </c>
      <c r="AI188" s="48">
        <f>IF(AI$8=1,N(Reales!AI23),IF(AI$171=1,IF(AND(AND(30&gt;Corte,30&lt;=Corte+n_Ventana),ISNUMBER(Detalle_24m!AI$25)),Detalle_24m!AI$25,INDEX(Vol_V,12,AI$170)/12)*(1+V_dVol),0))</f>
        <v>0</v>
      </c>
      <c r="AJ188" s="48">
        <f>IF(AJ$8=1,N(Reales!AJ23),IF(AJ$171=1,IF(AND(AND(31&gt;Corte,31&lt;=Corte+n_Ventana),ISNUMBER(Detalle_24m!AJ$25)),Detalle_24m!AJ$25,INDEX(Vol_V,12,AJ$170)/12)*(1+V_dVol),0))</f>
        <v>0</v>
      </c>
      <c r="AK188" s="48">
        <f>IF(AK$8=1,N(Reales!AK23),IF(AK$171=1,IF(AND(AND(32&gt;Corte,32&lt;=Corte+n_Ventana),ISNUMBER(Detalle_24m!AK$25)),Detalle_24m!AK$25,INDEX(Vol_V,12,AK$170)/12)*(1+V_dVol),0))</f>
        <v>0</v>
      </c>
      <c r="AL188" s="48">
        <f>IF(AL$8=1,N(Reales!AL23),IF(AL$171=1,IF(AND(AND(33&gt;Corte,33&lt;=Corte+n_Ventana),ISNUMBER(Detalle_24m!AL$25)),Detalle_24m!AL$25,INDEX(Vol_V,12,AL$170)/12)*(1+V_dVol),0))</f>
        <v>0</v>
      </c>
      <c r="AM188" s="48">
        <f>IF(AM$8=1,N(Reales!AM23),IF(AM$171=1,IF(AND(AND(34&gt;Corte,34&lt;=Corte+n_Ventana),ISNUMBER(Detalle_24m!AM$25)),Detalle_24m!AM$25,INDEX(Vol_V,12,AM$170)/12)*(1+V_dVol),0))</f>
        <v>0</v>
      </c>
      <c r="AN188" s="48">
        <f>IF(AN$8=1,N(Reales!AN23),IF(AN$171=1,IF(AND(AND(35&gt;Corte,35&lt;=Corte+n_Ventana),ISNUMBER(Detalle_24m!AN$25)),Detalle_24m!AN$25,INDEX(Vol_V,12,AN$170)/12)*(1+V_dVol),0))</f>
        <v>0</v>
      </c>
      <c r="AO188" s="48">
        <f>IF(AO$8=1,N(Reales!AO23),IF(AO$171=1,IF(AND(AND(36&gt;Corte,36&lt;=Corte+n_Ventana),ISNUMBER(Detalle_24m!AO$25)),Detalle_24m!AO$25,INDEX(Vol_V,12,AO$170)/12)*(1+V_dVol),0))</f>
        <v>0</v>
      </c>
      <c r="AP188" s="48">
        <f>IF(AP$8=1,N(Reales!AP23),IF(AP$171=1,IF(AND(AND(37&gt;Corte,37&lt;=Corte+n_Ventana),ISNUMBER(Detalle_24m!AP$25)),Detalle_24m!AP$25,INDEX(Vol_V,12,AP$170)/12)*(1+V_dVol),0))</f>
        <v>0</v>
      </c>
      <c r="AQ188" s="48">
        <f>IF(AQ$8=1,N(Reales!AQ23),IF(AQ$171=1,IF(AND(AND(38&gt;Corte,38&lt;=Corte+n_Ventana),ISNUMBER(Detalle_24m!AQ$25)),Detalle_24m!AQ$25,INDEX(Vol_V,12,AQ$170)/12)*(1+V_dVol),0))</f>
        <v>0</v>
      </c>
      <c r="AR188" s="48">
        <f>IF(AR$8=1,N(Reales!AR23),IF(AR$171=1,IF(AND(AND(39&gt;Corte,39&lt;=Corte+n_Ventana),ISNUMBER(Detalle_24m!AR$25)),Detalle_24m!AR$25,INDEX(Vol_V,12,AR$170)/12)*(1+V_dVol),0))</f>
        <v>0</v>
      </c>
      <c r="AS188" s="48">
        <f>IF(AS$8=1,N(Reales!AS23),IF(AS$171=1,IF(AND(AND(40&gt;Corte,40&lt;=Corte+n_Ventana),ISNUMBER(Detalle_24m!AS$25)),Detalle_24m!AS$25,INDEX(Vol_V,12,AS$170)/12)*(1+V_dVol),0))</f>
        <v>0</v>
      </c>
      <c r="AT188" s="48">
        <f>IF(AT$8=1,N(Reales!AT23),IF(AT$171=1,IF(AND(AND(41&gt;Corte,41&lt;=Corte+n_Ventana),ISNUMBER(Detalle_24m!AT$25)),Detalle_24m!AT$25,INDEX(Vol_V,12,AT$170)/12)*(1+V_dVol),0))</f>
        <v>0</v>
      </c>
      <c r="AU188" s="48">
        <f>IF(AU$8=1,N(Reales!AU23),IF(AU$171=1,IF(AND(AND(42&gt;Corte,42&lt;=Corte+n_Ventana),ISNUMBER(Detalle_24m!AU$25)),Detalle_24m!AU$25,INDEX(Vol_V,12,AU$170)/12)*(1+V_dVol),0))</f>
        <v>0</v>
      </c>
      <c r="AV188" s="48">
        <f>IF(AV$8=1,N(Reales!AV23),IF(AV$171=1,IF(AND(AND(43&gt;Corte,43&lt;=Corte+n_Ventana),ISNUMBER(Detalle_24m!AV$25)),Detalle_24m!AV$25,INDEX(Vol_V,12,AV$170)/12)*(1+V_dVol),0))</f>
        <v>0</v>
      </c>
      <c r="AW188" s="48">
        <f>IF(AW$8=1,N(Reales!AW23),IF(AW$171=1,IF(AND(AND(44&gt;Corte,44&lt;=Corte+n_Ventana),ISNUMBER(Detalle_24m!AW$25)),Detalle_24m!AW$25,INDEX(Vol_V,12,AW$170)/12)*(1+V_dVol),0))</f>
        <v>0</v>
      </c>
      <c r="AX188" s="48">
        <f>IF(AX$8=1,N(Reales!AX23),IF(AX$171=1,IF(AND(AND(45&gt;Corte,45&lt;=Corte+n_Ventana),ISNUMBER(Detalle_24m!AX$25)),Detalle_24m!AX$25,INDEX(Vol_V,12,AX$170)/12)*(1+V_dVol),0))</f>
        <v>0</v>
      </c>
      <c r="AY188" s="48">
        <f>IF(AY$8=1,N(Reales!AY23),IF(AY$171=1,IF(AND(AND(46&gt;Corte,46&lt;=Corte+n_Ventana),ISNUMBER(Detalle_24m!AY$25)),Detalle_24m!AY$25,INDEX(Vol_V,12,AY$170)/12)*(1+V_dVol),0))</f>
        <v>0</v>
      </c>
      <c r="AZ188" s="48">
        <f>IF(AZ$8=1,N(Reales!AZ23),IF(AZ$171=1,IF(AND(AND(47&gt;Corte,47&lt;=Corte+n_Ventana),ISNUMBER(Detalle_24m!AZ$25)),Detalle_24m!AZ$25,INDEX(Vol_V,12,AZ$170)/12)*(1+V_dVol),0))</f>
        <v>0</v>
      </c>
      <c r="BA188" s="48">
        <f>IF(BA$8=1,N(Reales!BA23),IF(BA$171=1,IF(AND(AND(48&gt;Corte,48&lt;=Corte+n_Ventana),ISNUMBER(Detalle_24m!BA$25)),Detalle_24m!BA$25,INDEX(Vol_V,12,BA$170)/12)*(1+V_dVol),0))</f>
        <v>0</v>
      </c>
      <c r="BB188" s="48">
        <f>IF(BB$8=1,N(Reales!BB23),IF(BB$171=1,IF(AND(AND(49&gt;Corte,49&lt;=Corte+n_Ventana),ISNUMBER(Detalle_24m!BB$25)),Detalle_24m!BB$25,INDEX(Vol_V,12,BB$170)/12)*(1+V_dVol),0))</f>
        <v>0</v>
      </c>
      <c r="BC188" s="48">
        <f>IF(BC$8=1,N(Reales!BC23),IF(BC$171=1,IF(AND(AND(50&gt;Corte,50&lt;=Corte+n_Ventana),ISNUMBER(Detalle_24m!BC$25)),Detalle_24m!BC$25,INDEX(Vol_V,12,BC$170)/12)*(1+V_dVol),0))</f>
        <v>0</v>
      </c>
      <c r="BD188" s="48">
        <f>IF(BD$8=1,N(Reales!BD23),IF(BD$171=1,IF(AND(AND(51&gt;Corte,51&lt;=Corte+n_Ventana),ISNUMBER(Detalle_24m!BD$25)),Detalle_24m!BD$25,INDEX(Vol_V,12,BD$170)/12)*(1+V_dVol),0))</f>
        <v>0</v>
      </c>
      <c r="BE188" s="48">
        <f>IF(BE$8=1,N(Reales!BE23),IF(BE$171=1,IF(AND(AND(52&gt;Corte,52&lt;=Corte+n_Ventana),ISNUMBER(Detalle_24m!BE$25)),Detalle_24m!BE$25,INDEX(Vol_V,12,BE$170)/12)*(1+V_dVol),0))</f>
        <v>0</v>
      </c>
      <c r="BF188" s="48">
        <f>IF(BF$8=1,N(Reales!BF23),IF(BF$171=1,IF(AND(AND(53&gt;Corte,53&lt;=Corte+n_Ventana),ISNUMBER(Detalle_24m!BF$25)),Detalle_24m!BF$25,INDEX(Vol_V,12,BF$170)/12)*(1+V_dVol),0))</f>
        <v>0</v>
      </c>
      <c r="BG188" s="48">
        <f>IF(BG$8=1,N(Reales!BG23),IF(BG$171=1,IF(AND(AND(54&gt;Corte,54&lt;=Corte+n_Ventana),ISNUMBER(Detalle_24m!BG$25)),Detalle_24m!BG$25,INDEX(Vol_V,12,BG$170)/12)*(1+V_dVol),0))</f>
        <v>0</v>
      </c>
      <c r="BH188" s="48">
        <f>IF(BH$8=1,N(Reales!BH23),IF(BH$171=1,IF(AND(AND(55&gt;Corte,55&lt;=Corte+n_Ventana),ISNUMBER(Detalle_24m!BH$25)),Detalle_24m!BH$25,INDEX(Vol_V,12,BH$170)/12)*(1+V_dVol),0))</f>
        <v>0</v>
      </c>
      <c r="BI188" s="48">
        <f>IF(BI$8=1,N(Reales!BI23),IF(BI$171=1,IF(AND(AND(56&gt;Corte,56&lt;=Corte+n_Ventana),ISNUMBER(Detalle_24m!BI$25)),Detalle_24m!BI$25,INDEX(Vol_V,12,BI$170)/12)*(1+V_dVol),0))</f>
        <v>0</v>
      </c>
      <c r="BJ188" s="48">
        <f>IF(BJ$8=1,N(Reales!BJ23),IF(BJ$171=1,IF(AND(AND(57&gt;Corte,57&lt;=Corte+n_Ventana),ISNUMBER(Detalle_24m!BJ$25)),Detalle_24m!BJ$25,INDEX(Vol_V,12,BJ$170)/12)*(1+V_dVol),0))</f>
        <v>0</v>
      </c>
      <c r="BK188" s="48">
        <f>IF(BK$8=1,N(Reales!BK23),IF(BK$171=1,IF(AND(AND(58&gt;Corte,58&lt;=Corte+n_Ventana),ISNUMBER(Detalle_24m!BK$25)),Detalle_24m!BK$25,INDEX(Vol_V,12,BK$170)/12)*(1+V_dVol),0))</f>
        <v>0</v>
      </c>
      <c r="BL188" s="48">
        <f>IF(BL$8=1,N(Reales!BL23),IF(BL$171=1,IF(AND(AND(59&gt;Corte,59&lt;=Corte+n_Ventana),ISNUMBER(Detalle_24m!BL$25)),Detalle_24m!BL$25,INDEX(Vol_V,12,BL$170)/12)*(1+V_dVol),0))</f>
        <v>0</v>
      </c>
      <c r="BM188" s="48">
        <f>IF(BM$8=1,N(Reales!BM23),IF(BM$171=1,IF(AND(AND(60&gt;Corte,60&lt;=Corte+n_Ventana),ISNUMBER(Detalle_24m!BM$25)),Detalle_24m!BM$25,INDEX(Vol_V,12,BM$170)/12)*(1+V_dVol),0))</f>
        <v>0</v>
      </c>
      <c r="BN188" s="48">
        <f>IF(BN$8=1,N(Reales!BN23),IF(BN$171=1,IF(AND(AND(61&gt;Corte,61&lt;=Corte+n_Ventana),ISNUMBER(Detalle_24m!BN$25)),Detalle_24m!BN$25,INDEX(Vol_V,12,BN$170)/12)*(1+V_dVol),0))</f>
        <v>0</v>
      </c>
      <c r="BO188" s="48">
        <f>IF(BO$8=1,N(Reales!BO23),IF(BO$171=1,IF(AND(AND(62&gt;Corte,62&lt;=Corte+n_Ventana),ISNUMBER(Detalle_24m!BO$25)),Detalle_24m!BO$25,INDEX(Vol_V,12,BO$170)/12)*(1+V_dVol),0))</f>
        <v>0</v>
      </c>
      <c r="BP188" s="48">
        <f>IF(BP$8=1,N(Reales!BP23),IF(BP$171=1,IF(AND(AND(63&gt;Corte,63&lt;=Corte+n_Ventana),ISNUMBER(Detalle_24m!BP$25)),Detalle_24m!BP$25,INDEX(Vol_V,12,BP$170)/12)*(1+V_dVol),0))</f>
        <v>0</v>
      </c>
      <c r="BQ188" s="48">
        <f>IF(BQ$8=1,N(Reales!BQ23),IF(BQ$171=1,IF(AND(AND(64&gt;Corte,64&lt;=Corte+n_Ventana),ISNUMBER(Detalle_24m!BQ$25)),Detalle_24m!BQ$25,INDEX(Vol_V,12,BQ$170)/12)*(1+V_dVol),0))</f>
        <v>0</v>
      </c>
      <c r="BR188" s="48">
        <f>IF(BR$8=1,N(Reales!BR23),IF(BR$171=1,IF(AND(AND(65&gt;Corte,65&lt;=Corte+n_Ventana),ISNUMBER(Detalle_24m!BR$25)),Detalle_24m!BR$25,INDEX(Vol_V,12,BR$170)/12)*(1+V_dVol),0))</f>
        <v>0</v>
      </c>
      <c r="BS188" s="48">
        <f>IF(BS$8=1,N(Reales!BS23),IF(BS$171=1,IF(AND(AND(66&gt;Corte,66&lt;=Corte+n_Ventana),ISNUMBER(Detalle_24m!BS$25)),Detalle_24m!BS$25,INDEX(Vol_V,12,BS$170)/12)*(1+V_dVol),0))</f>
        <v>0</v>
      </c>
      <c r="BT188" s="48">
        <f>IF(BT$8=1,N(Reales!BT23),IF(BT$171=1,IF(AND(AND(67&gt;Corte,67&lt;=Corte+n_Ventana),ISNUMBER(Detalle_24m!BT$25)),Detalle_24m!BT$25,INDEX(Vol_V,12,BT$170)/12)*(1+V_dVol),0))</f>
        <v>0</v>
      </c>
      <c r="BU188" s="48">
        <f>IF(BU$8=1,N(Reales!BU23),IF(BU$171=1,IF(AND(AND(68&gt;Corte,68&lt;=Corte+n_Ventana),ISNUMBER(Detalle_24m!BU$25)),Detalle_24m!BU$25,INDEX(Vol_V,12,BU$170)/12)*(1+V_dVol),0))</f>
        <v>0</v>
      </c>
      <c r="BV188" s="48">
        <f>IF(BV$8=1,N(Reales!BV23),IF(BV$171=1,IF(AND(AND(69&gt;Corte,69&lt;=Corte+n_Ventana),ISNUMBER(Detalle_24m!BV$25)),Detalle_24m!BV$25,INDEX(Vol_V,12,BV$170)/12)*(1+V_dVol),0))</f>
        <v>0</v>
      </c>
      <c r="BW188" s="48">
        <f>IF(BW$8=1,N(Reales!BW23),IF(BW$171=1,IF(AND(AND(70&gt;Corte,70&lt;=Corte+n_Ventana),ISNUMBER(Detalle_24m!BW$25)),Detalle_24m!BW$25,INDEX(Vol_V,12,BW$170)/12)*(1+V_dVol),0))</f>
        <v>0</v>
      </c>
      <c r="BX188" s="48">
        <f>IF(BX$8=1,N(Reales!BX23),IF(BX$171=1,IF(AND(AND(71&gt;Corte,71&lt;=Corte+n_Ventana),ISNUMBER(Detalle_24m!BX$25)),Detalle_24m!BX$25,INDEX(Vol_V,12,BX$170)/12)*(1+V_dVol),0))</f>
        <v>0</v>
      </c>
      <c r="BY188" s="48">
        <f>IF(BY$8=1,N(Reales!BY23),IF(BY$171=1,IF(AND(AND(72&gt;Corte,72&lt;=Corte+n_Ventana),ISNUMBER(Detalle_24m!BY$25)),Detalle_24m!BY$25,INDEX(Vol_V,12,BY$170)/12)*(1+V_dVol),0))</f>
        <v>0</v>
      </c>
      <c r="BZ188" s="48">
        <f>IF(BZ$8=1,N(Reales!BZ23),IF(BZ$171=1,IF(AND(AND(73&gt;Corte,73&lt;=Corte+n_Ventana),ISNUMBER(Detalle_24m!BZ$25)),Detalle_24m!BZ$25,INDEX(Vol_V,12,BZ$170)/12)*(1+V_dVol),0))</f>
        <v>0</v>
      </c>
      <c r="CA188" s="48">
        <f>IF(CA$8=1,N(Reales!CA23),IF(CA$171=1,IF(AND(AND(74&gt;Corte,74&lt;=Corte+n_Ventana),ISNUMBER(Detalle_24m!CA$25)),Detalle_24m!CA$25,INDEX(Vol_V,12,CA$170)/12)*(1+V_dVol),0))</f>
        <v>0</v>
      </c>
      <c r="CB188" s="48">
        <f>IF(CB$8=1,N(Reales!CB23),IF(CB$171=1,IF(AND(AND(75&gt;Corte,75&lt;=Corte+n_Ventana),ISNUMBER(Detalle_24m!CB$25)),Detalle_24m!CB$25,INDEX(Vol_V,12,CB$170)/12)*(1+V_dVol),0))</f>
        <v>0</v>
      </c>
      <c r="CC188" s="48">
        <f>IF(CC$8=1,N(Reales!CC23),IF(CC$171=1,IF(AND(AND(76&gt;Corte,76&lt;=Corte+n_Ventana),ISNUMBER(Detalle_24m!CC$25)),Detalle_24m!CC$25,INDEX(Vol_V,12,CC$170)/12)*(1+V_dVol),0))</f>
        <v>0</v>
      </c>
      <c r="CD188" s="48">
        <f>IF(CD$8=1,N(Reales!CD23),IF(CD$171=1,IF(AND(AND(77&gt;Corte,77&lt;=Corte+n_Ventana),ISNUMBER(Detalle_24m!CD$25)),Detalle_24m!CD$25,INDEX(Vol_V,12,CD$170)/12)*(1+V_dVol),0))</f>
        <v>0</v>
      </c>
      <c r="CE188" s="48">
        <f>IF(CE$8=1,N(Reales!CE23),IF(CE$171=1,IF(AND(AND(78&gt;Corte,78&lt;=Corte+n_Ventana),ISNUMBER(Detalle_24m!CE$25)),Detalle_24m!CE$25,INDEX(Vol_V,12,CE$170)/12)*(1+V_dVol),0))</f>
        <v>0</v>
      </c>
      <c r="CF188" s="48">
        <f>IF(CF$8=1,N(Reales!CF23),IF(CF$171=1,IF(AND(AND(79&gt;Corte,79&lt;=Corte+n_Ventana),ISNUMBER(Detalle_24m!CF$25)),Detalle_24m!CF$25,INDEX(Vol_V,12,CF$170)/12)*(1+V_dVol),0))</f>
        <v>0</v>
      </c>
      <c r="CG188" s="48">
        <f>IF(CG$8=1,N(Reales!CG23),IF(CG$171=1,IF(AND(AND(80&gt;Corte,80&lt;=Corte+n_Ventana),ISNUMBER(Detalle_24m!CG$25)),Detalle_24m!CG$25,INDEX(Vol_V,12,CG$170)/12)*(1+V_dVol),0))</f>
        <v>0</v>
      </c>
      <c r="CH188" s="48">
        <f>IF(CH$8=1,N(Reales!CH23),IF(CH$171=1,IF(AND(AND(81&gt;Corte,81&lt;=Corte+n_Ventana),ISNUMBER(Detalle_24m!CH$25)),Detalle_24m!CH$25,INDEX(Vol_V,12,CH$170)/12)*(1+V_dVol),0))</f>
        <v>0</v>
      </c>
      <c r="CI188" s="48">
        <f>IF(CI$8=1,N(Reales!CI23),IF(CI$171=1,IF(AND(AND(82&gt;Corte,82&lt;=Corte+n_Ventana),ISNUMBER(Detalle_24m!CI$25)),Detalle_24m!CI$25,INDEX(Vol_V,12,CI$170)/12)*(1+V_dVol),0))</f>
        <v>0</v>
      </c>
      <c r="CJ188" s="48">
        <f>IF(CJ$8=1,N(Reales!CJ23),IF(CJ$171=1,IF(AND(AND(83&gt;Corte,83&lt;=Corte+n_Ventana),ISNUMBER(Detalle_24m!CJ$25)),Detalle_24m!CJ$25,INDEX(Vol_V,12,CJ$170)/12)*(1+V_dVol),0))</f>
        <v>0</v>
      </c>
      <c r="CK188" s="48">
        <f>IF(CK$8=1,N(Reales!CK23),IF(CK$171=1,IF(AND(AND(84&gt;Corte,84&lt;=Corte+n_Ventana),ISNUMBER(Detalle_24m!CK$25)),Detalle_24m!CK$25,INDEX(Vol_V,12,CK$170)/12)*(1+V_dVol),0))</f>
        <v>0</v>
      </c>
      <c r="CL188" s="48">
        <f>IF(CL$8=1,N(Reales!CL23),IF(CL$171=1,IF(AND(AND(85&gt;Corte,85&lt;=Corte+n_Ventana),ISNUMBER(Detalle_24m!CL$25)),Detalle_24m!CL$25,INDEX(Vol_V,12,CL$170)/12)*(1+V_dVol),0))</f>
        <v>0</v>
      </c>
      <c r="CM188" s="48">
        <f>IF(CM$8=1,N(Reales!CM23),IF(CM$171=1,IF(AND(AND(86&gt;Corte,86&lt;=Corte+n_Ventana),ISNUMBER(Detalle_24m!CM$25)),Detalle_24m!CM$25,INDEX(Vol_V,12,CM$170)/12)*(1+V_dVol),0))</f>
        <v>0</v>
      </c>
      <c r="CN188" s="48">
        <f>IF(CN$8=1,N(Reales!CN23),IF(CN$171=1,IF(AND(AND(87&gt;Corte,87&lt;=Corte+n_Ventana),ISNUMBER(Detalle_24m!CN$25)),Detalle_24m!CN$25,INDEX(Vol_V,12,CN$170)/12)*(1+V_dVol),0))</f>
        <v>0</v>
      </c>
      <c r="CO188" s="48">
        <f>IF(CO$8=1,N(Reales!CO23),IF(CO$171=1,IF(AND(AND(88&gt;Corte,88&lt;=Corte+n_Ventana),ISNUMBER(Detalle_24m!CO$25)),Detalle_24m!CO$25,INDEX(Vol_V,12,CO$170)/12)*(1+V_dVol),0))</f>
        <v>0</v>
      </c>
      <c r="CP188" s="48">
        <f>IF(CP$8=1,N(Reales!CP23),IF(CP$171=1,IF(AND(AND(89&gt;Corte,89&lt;=Corte+n_Ventana),ISNUMBER(Detalle_24m!CP$25)),Detalle_24m!CP$25,INDEX(Vol_V,12,CP$170)/12)*(1+V_dVol),0))</f>
        <v>0</v>
      </c>
      <c r="CQ188" s="48">
        <f>IF(CQ$8=1,N(Reales!CQ23),IF(CQ$171=1,IF(AND(AND(90&gt;Corte,90&lt;=Corte+n_Ventana),ISNUMBER(Detalle_24m!CQ$25)),Detalle_24m!CQ$25,INDEX(Vol_V,12,CQ$170)/12)*(1+V_dVol),0))</f>
        <v>0</v>
      </c>
      <c r="CR188" s="48">
        <f>IF(CR$8=1,N(Reales!CR23),IF(CR$171=1,IF(AND(AND(91&gt;Corte,91&lt;=Corte+n_Ventana),ISNUMBER(Detalle_24m!CR$25)),Detalle_24m!CR$25,INDEX(Vol_V,12,CR$170)/12)*(1+V_dVol),0))</f>
        <v>0</v>
      </c>
      <c r="CS188" s="48">
        <f>IF(CS$8=1,N(Reales!CS23),IF(CS$171=1,IF(AND(AND(92&gt;Corte,92&lt;=Corte+n_Ventana),ISNUMBER(Detalle_24m!CS$25)),Detalle_24m!CS$25,INDEX(Vol_V,12,CS$170)/12)*(1+V_dVol),0))</f>
        <v>0</v>
      </c>
      <c r="CT188" s="48">
        <f>IF(CT$8=1,N(Reales!CT23),IF(CT$171=1,IF(AND(AND(93&gt;Corte,93&lt;=Corte+n_Ventana),ISNUMBER(Detalle_24m!CT$25)),Detalle_24m!CT$25,INDEX(Vol_V,12,CT$170)/12)*(1+V_dVol),0))</f>
        <v>0</v>
      </c>
      <c r="CU188" s="48">
        <f>IF(CU$8=1,N(Reales!CU23),IF(CU$171=1,IF(AND(AND(94&gt;Corte,94&lt;=Corte+n_Ventana),ISNUMBER(Detalle_24m!CU$25)),Detalle_24m!CU$25,INDEX(Vol_V,12,CU$170)/12)*(1+V_dVol),0))</f>
        <v>0</v>
      </c>
      <c r="CV188" s="48">
        <f>IF(CV$8=1,N(Reales!CV23),IF(CV$171=1,IF(AND(AND(95&gt;Corte,95&lt;=Corte+n_Ventana),ISNUMBER(Detalle_24m!CV$25)),Detalle_24m!CV$25,INDEX(Vol_V,12,CV$170)/12)*(1+V_dVol),0))</f>
        <v>0</v>
      </c>
      <c r="CW188" s="48">
        <f>IF(CW$8=1,N(Reales!CW23),IF(CW$171=1,IF(AND(AND(96&gt;Corte,96&lt;=Corte+n_Ventana),ISNUMBER(Detalle_24m!CW$25)),Detalle_24m!CW$25,INDEX(Vol_V,12,CW$170)/12)*(1+V_dVol),0))</f>
        <v>0</v>
      </c>
      <c r="CX188" s="48">
        <f>IF(CX$8=1,N(Reales!CX23),IF(CX$171=1,IF(AND(AND(97&gt;Corte,97&lt;=Corte+n_Ventana),ISNUMBER(Detalle_24m!CX$25)),Detalle_24m!CX$25,INDEX(Vol_V,12,CX$170)/12)*(1+V_dVol),0))</f>
        <v>0</v>
      </c>
      <c r="CY188" s="48">
        <f>IF(CY$8=1,N(Reales!CY23),IF(CY$171=1,IF(AND(AND(98&gt;Corte,98&lt;=Corte+n_Ventana),ISNUMBER(Detalle_24m!CY$25)),Detalle_24m!CY$25,INDEX(Vol_V,12,CY$170)/12)*(1+V_dVol),0))</f>
        <v>0</v>
      </c>
      <c r="CZ188" s="48">
        <f>IF(CZ$8=1,N(Reales!CZ23),IF(CZ$171=1,IF(AND(AND(99&gt;Corte,99&lt;=Corte+n_Ventana),ISNUMBER(Detalle_24m!CZ$25)),Detalle_24m!CZ$25,INDEX(Vol_V,12,CZ$170)/12)*(1+V_dVol),0))</f>
        <v>0</v>
      </c>
      <c r="DA188" s="48">
        <f>IF(DA$8=1,N(Reales!DA23),IF(DA$171=1,IF(AND(AND(100&gt;Corte,100&lt;=Corte+n_Ventana),ISNUMBER(Detalle_24m!DA$25)),Detalle_24m!DA$25,INDEX(Vol_V,12,DA$170)/12)*(1+V_dVol),0))</f>
        <v>0</v>
      </c>
      <c r="DB188" s="48">
        <f>IF(DB$8=1,N(Reales!DB23),IF(DB$171=1,IF(AND(AND(101&gt;Corte,101&lt;=Corte+n_Ventana),ISNUMBER(Detalle_24m!DB$25)),Detalle_24m!DB$25,INDEX(Vol_V,12,DB$170)/12)*(1+V_dVol),0))</f>
        <v>0</v>
      </c>
      <c r="DC188" s="48">
        <f>IF(DC$8=1,N(Reales!DC23),IF(DC$171=1,IF(AND(AND(102&gt;Corte,102&lt;=Corte+n_Ventana),ISNUMBER(Detalle_24m!DC$25)),Detalle_24m!DC$25,INDEX(Vol_V,12,DC$170)/12)*(1+V_dVol),0))</f>
        <v>0</v>
      </c>
      <c r="DD188" s="48">
        <f>IF(DD$8=1,N(Reales!DD23),IF(DD$171=1,IF(AND(AND(103&gt;Corte,103&lt;=Corte+n_Ventana),ISNUMBER(Detalle_24m!DD$25)),Detalle_24m!DD$25,INDEX(Vol_V,12,DD$170)/12)*(1+V_dVol),0))</f>
        <v>0</v>
      </c>
      <c r="DE188" s="48">
        <f>IF(DE$8=1,N(Reales!DE23),IF(DE$171=1,IF(AND(AND(104&gt;Corte,104&lt;=Corte+n_Ventana),ISNUMBER(Detalle_24m!DE$25)),Detalle_24m!DE$25,INDEX(Vol_V,12,DE$170)/12)*(1+V_dVol),0))</f>
        <v>0</v>
      </c>
      <c r="DF188" s="48">
        <f>IF(DF$8=1,N(Reales!DF23),IF(DF$171=1,IF(AND(AND(105&gt;Corte,105&lt;=Corte+n_Ventana),ISNUMBER(Detalle_24m!DF$25)),Detalle_24m!DF$25,INDEX(Vol_V,12,DF$170)/12)*(1+V_dVol),0))</f>
        <v>0</v>
      </c>
      <c r="DG188" s="48">
        <f>IF(DG$8=1,N(Reales!DG23),IF(DG$171=1,IF(AND(AND(106&gt;Corte,106&lt;=Corte+n_Ventana),ISNUMBER(Detalle_24m!DG$25)),Detalle_24m!DG$25,INDEX(Vol_V,12,DG$170)/12)*(1+V_dVol),0))</f>
        <v>0</v>
      </c>
      <c r="DH188" s="48">
        <f>IF(DH$8=1,N(Reales!DH23),IF(DH$171=1,IF(AND(AND(107&gt;Corte,107&lt;=Corte+n_Ventana),ISNUMBER(Detalle_24m!DH$25)),Detalle_24m!DH$25,INDEX(Vol_V,12,DH$170)/12)*(1+V_dVol),0))</f>
        <v>0</v>
      </c>
      <c r="DI188" s="48">
        <f>IF(DI$8=1,N(Reales!DI23),IF(DI$171=1,IF(AND(AND(108&gt;Corte,108&lt;=Corte+n_Ventana),ISNUMBER(Detalle_24m!DI$25)),Detalle_24m!DI$25,INDEX(Vol_V,12,DI$170)/12)*(1+V_dVol),0))</f>
        <v>0</v>
      </c>
      <c r="DJ188" s="48">
        <f>IF(DJ$8=1,N(Reales!DJ23),IF(DJ$171=1,IF(AND(AND(109&gt;Corte,109&lt;=Corte+n_Ventana),ISNUMBER(Detalle_24m!DJ$25)),Detalle_24m!DJ$25,INDEX(Vol_V,12,DJ$170)/12)*(1+V_dVol),0))</f>
        <v>0</v>
      </c>
      <c r="DK188" s="48">
        <f>IF(DK$8=1,N(Reales!DK23),IF(DK$171=1,IF(AND(AND(110&gt;Corte,110&lt;=Corte+n_Ventana),ISNUMBER(Detalle_24m!DK$25)),Detalle_24m!DK$25,INDEX(Vol_V,12,DK$170)/12)*(1+V_dVol),0))</f>
        <v>0</v>
      </c>
      <c r="DL188" s="48">
        <f>IF(DL$8=1,N(Reales!DL23),IF(DL$171=1,IF(AND(AND(111&gt;Corte,111&lt;=Corte+n_Ventana),ISNUMBER(Detalle_24m!DL$25)),Detalle_24m!DL$25,INDEX(Vol_V,12,DL$170)/12)*(1+V_dVol),0))</f>
        <v>0</v>
      </c>
      <c r="DM188" s="48">
        <f>IF(DM$8=1,N(Reales!DM23),IF(DM$171=1,IF(AND(AND(112&gt;Corte,112&lt;=Corte+n_Ventana),ISNUMBER(Detalle_24m!DM$25)),Detalle_24m!DM$25,INDEX(Vol_V,12,DM$170)/12)*(1+V_dVol),0))</f>
        <v>0</v>
      </c>
      <c r="DN188" s="48">
        <f>IF(DN$8=1,N(Reales!DN23),IF(DN$171=1,IF(AND(AND(113&gt;Corte,113&lt;=Corte+n_Ventana),ISNUMBER(Detalle_24m!DN$25)),Detalle_24m!DN$25,INDEX(Vol_V,12,DN$170)/12)*(1+V_dVol),0))</f>
        <v>0</v>
      </c>
      <c r="DO188" s="48">
        <f>IF(DO$8=1,N(Reales!DO23),IF(DO$171=1,IF(AND(AND(114&gt;Corte,114&lt;=Corte+n_Ventana),ISNUMBER(Detalle_24m!DO$25)),Detalle_24m!DO$25,INDEX(Vol_V,12,DO$170)/12)*(1+V_dVol),0))</f>
        <v>0</v>
      </c>
      <c r="DP188" s="48">
        <f>IF(DP$8=1,N(Reales!DP23),IF(DP$171=1,IF(AND(AND(115&gt;Corte,115&lt;=Corte+n_Ventana),ISNUMBER(Detalle_24m!DP$25)),Detalle_24m!DP$25,INDEX(Vol_V,12,DP$170)/12)*(1+V_dVol),0))</f>
        <v>0</v>
      </c>
      <c r="DQ188" s="48">
        <f>IF(DQ$8=1,N(Reales!DQ23),IF(DQ$171=1,IF(AND(AND(116&gt;Corte,116&lt;=Corte+n_Ventana),ISNUMBER(Detalle_24m!DQ$25)),Detalle_24m!DQ$25,INDEX(Vol_V,12,DQ$170)/12)*(1+V_dVol),0))</f>
        <v>0</v>
      </c>
      <c r="DR188" s="48">
        <f>IF(DR$8=1,N(Reales!DR23),IF(DR$171=1,IF(AND(AND(117&gt;Corte,117&lt;=Corte+n_Ventana),ISNUMBER(Detalle_24m!DR$25)),Detalle_24m!DR$25,INDEX(Vol_V,12,DR$170)/12)*(1+V_dVol),0))</f>
        <v>0</v>
      </c>
      <c r="DS188" s="48">
        <f>IF(DS$8=1,N(Reales!DS23),IF(DS$171=1,IF(AND(AND(118&gt;Corte,118&lt;=Corte+n_Ventana),ISNUMBER(Detalle_24m!DS$25)),Detalle_24m!DS$25,INDEX(Vol_V,12,DS$170)/12)*(1+V_dVol),0))</f>
        <v>0</v>
      </c>
      <c r="DT188" s="48">
        <f>IF(DT$8=1,N(Reales!DT23),IF(DT$171=1,IF(AND(AND(119&gt;Corte,119&lt;=Corte+n_Ventana),ISNUMBER(Detalle_24m!DT$25)),Detalle_24m!DT$25,INDEX(Vol_V,12,DT$170)/12)*(1+V_dVol),0))</f>
        <v>0</v>
      </c>
      <c r="DU188" s="48">
        <f>IF(DU$8=1,N(Reales!DU23),IF(DU$171=1,IF(AND(AND(120&gt;Corte,120&lt;=Corte+n_Ventana),ISNUMBER(Detalle_24m!DU$25)),Detalle_24m!DU$25,INDEX(Vol_V,12,DU$170)/12)*(1+V_dVol),0))</f>
        <v>0</v>
      </c>
      <c r="DV188" s="48">
        <f>IF(DV$8=1,N(Reales!DV23),IF(DV$171=1,IF(AND(AND(121&gt;Corte,121&lt;=Corte+n_Ventana),ISNUMBER(Detalle_24m!DV$25)),Detalle_24m!DV$25,INDEX(Vol_V,12,DV$170)/12)*(1+V_dVol),0))</f>
        <v>0</v>
      </c>
      <c r="DW188" s="48">
        <f>IF(DW$8=1,N(Reales!DW23),IF(DW$171=1,IF(AND(AND(122&gt;Corte,122&lt;=Corte+n_Ventana),ISNUMBER(Detalle_24m!DW$25)),Detalle_24m!DW$25,INDEX(Vol_V,12,DW$170)/12)*(1+V_dVol),0))</f>
        <v>0</v>
      </c>
      <c r="DX188" s="48">
        <f>IF(DX$8=1,N(Reales!DX23),IF(DX$171=1,IF(AND(AND(123&gt;Corte,123&lt;=Corte+n_Ventana),ISNUMBER(Detalle_24m!DX$25)),Detalle_24m!DX$25,INDEX(Vol_V,12,DX$170)/12)*(1+V_dVol),0))</f>
        <v>0</v>
      </c>
      <c r="DY188" s="48">
        <f>IF(DY$8=1,N(Reales!DY23),IF(DY$171=1,IF(AND(AND(124&gt;Corte,124&lt;=Corte+n_Ventana),ISNUMBER(Detalle_24m!DY$25)),Detalle_24m!DY$25,INDEX(Vol_V,12,DY$170)/12)*(1+V_dVol),0))</f>
        <v>0</v>
      </c>
      <c r="DZ188" s="48">
        <f>IF(DZ$8=1,N(Reales!DZ23),IF(DZ$171=1,IF(AND(AND(125&gt;Corte,125&lt;=Corte+n_Ventana),ISNUMBER(Detalle_24m!DZ$25)),Detalle_24m!DZ$25,INDEX(Vol_V,12,DZ$170)/12)*(1+V_dVol),0))</f>
        <v>0</v>
      </c>
      <c r="EA188" s="48">
        <f>IF(EA$8=1,N(Reales!EA23),IF(EA$171=1,IF(AND(AND(126&gt;Corte,126&lt;=Corte+n_Ventana),ISNUMBER(Detalle_24m!EA$25)),Detalle_24m!EA$25,INDEX(Vol_V,12,EA$170)/12)*(1+V_dVol),0))</f>
        <v>0</v>
      </c>
      <c r="EB188" s="48">
        <f>IF(EB$8=1,N(Reales!EB23),IF(EB$171=1,IF(AND(AND(127&gt;Corte,127&lt;=Corte+n_Ventana),ISNUMBER(Detalle_24m!EB$25)),Detalle_24m!EB$25,INDEX(Vol_V,12,EB$170)/12)*(1+V_dVol),0))</f>
        <v>0</v>
      </c>
      <c r="EC188" s="48">
        <f>IF(EC$8=1,N(Reales!EC23),IF(EC$171=1,IF(AND(AND(128&gt;Corte,128&lt;=Corte+n_Ventana),ISNUMBER(Detalle_24m!EC$25)),Detalle_24m!EC$25,INDEX(Vol_V,12,EC$170)/12)*(1+V_dVol),0))</f>
        <v>0</v>
      </c>
      <c r="ED188" s="48">
        <f>IF(ED$8=1,N(Reales!ED23),IF(ED$171=1,IF(AND(AND(129&gt;Corte,129&lt;=Corte+n_Ventana),ISNUMBER(Detalle_24m!ED$25)),Detalle_24m!ED$25,INDEX(Vol_V,12,ED$170)/12)*(1+V_dVol),0))</f>
        <v>0</v>
      </c>
      <c r="EE188" s="48">
        <f>IF(EE$8=1,N(Reales!EE23),IF(EE$171=1,IF(AND(AND(130&gt;Corte,130&lt;=Corte+n_Ventana),ISNUMBER(Detalle_24m!EE$25)),Detalle_24m!EE$25,INDEX(Vol_V,12,EE$170)/12)*(1+V_dVol),0))</f>
        <v>0</v>
      </c>
      <c r="EF188" s="48">
        <f>IF(EF$8=1,N(Reales!EF23),IF(EF$171=1,IF(AND(AND(131&gt;Corte,131&lt;=Corte+n_Ventana),ISNUMBER(Detalle_24m!EF$25)),Detalle_24m!EF$25,INDEX(Vol_V,12,EF$170)/12)*(1+V_dVol),0))</f>
        <v>0</v>
      </c>
      <c r="EG188" s="48">
        <f>IF(EG$8=1,N(Reales!EG23),IF(EG$171=1,IF(AND(AND(132&gt;Corte,132&lt;=Corte+n_Ventana),ISNUMBER(Detalle_24m!EG$25)),Detalle_24m!EG$25,INDEX(Vol_V,12,EG$170)/12)*(1+V_dVol),0))</f>
        <v>0</v>
      </c>
      <c r="EH188" s="48">
        <f>IF(EH$8=1,N(Reales!EH23),IF(EH$171=1,IF(AND(AND(133&gt;Corte,133&lt;=Corte+n_Ventana),ISNUMBER(Detalle_24m!EH$25)),Detalle_24m!EH$25,INDEX(Vol_V,12,EH$170)/12)*(1+V_dVol),0))</f>
        <v>0</v>
      </c>
      <c r="EI188" s="48">
        <f>IF(EI$8=1,N(Reales!EI23),IF(EI$171=1,IF(AND(AND(134&gt;Corte,134&lt;=Corte+n_Ventana),ISNUMBER(Detalle_24m!EI$25)),Detalle_24m!EI$25,INDEX(Vol_V,12,EI$170)/12)*(1+V_dVol),0))</f>
        <v>0</v>
      </c>
      <c r="EJ188" s="48">
        <f>IF(EJ$8=1,N(Reales!EJ23),IF(EJ$171=1,IF(AND(AND(135&gt;Corte,135&lt;=Corte+n_Ventana),ISNUMBER(Detalle_24m!EJ$25)),Detalle_24m!EJ$25,INDEX(Vol_V,12,EJ$170)/12)*(1+V_dVol),0))</f>
        <v>0</v>
      </c>
      <c r="EK188" s="48">
        <f>IF(EK$8=1,N(Reales!EK23),IF(EK$171=1,IF(AND(AND(136&gt;Corte,136&lt;=Corte+n_Ventana),ISNUMBER(Detalle_24m!EK$25)),Detalle_24m!EK$25,INDEX(Vol_V,12,EK$170)/12)*(1+V_dVol),0))</f>
        <v>0</v>
      </c>
      <c r="EL188" s="48">
        <f>IF(EL$8=1,N(Reales!EL23),IF(EL$171=1,IF(AND(AND(137&gt;Corte,137&lt;=Corte+n_Ventana),ISNUMBER(Detalle_24m!EL$25)),Detalle_24m!EL$25,INDEX(Vol_V,12,EL$170)/12)*(1+V_dVol),0))</f>
        <v>0</v>
      </c>
      <c r="EM188" s="48">
        <f>IF(EM$8=1,N(Reales!EM23),IF(EM$171=1,IF(AND(AND(138&gt;Corte,138&lt;=Corte+n_Ventana),ISNUMBER(Detalle_24m!EM$25)),Detalle_24m!EM$25,INDEX(Vol_V,12,EM$170)/12)*(1+V_dVol),0))</f>
        <v>0</v>
      </c>
      <c r="EN188" s="48">
        <f>IF(EN$8=1,N(Reales!EN23),IF(EN$171=1,IF(AND(AND(139&gt;Corte,139&lt;=Corte+n_Ventana),ISNUMBER(Detalle_24m!EN$25)),Detalle_24m!EN$25,INDEX(Vol_V,12,EN$170)/12)*(1+V_dVol),0))</f>
        <v>0</v>
      </c>
      <c r="EO188" s="48">
        <f>IF(EO$8=1,N(Reales!EO23),IF(EO$171=1,IF(AND(AND(140&gt;Corte,140&lt;=Corte+n_Ventana),ISNUMBER(Detalle_24m!EO$25)),Detalle_24m!EO$25,INDEX(Vol_V,12,EO$170)/12)*(1+V_dVol),0))</f>
        <v>0</v>
      </c>
      <c r="EP188" s="48">
        <f>IF(EP$8=1,N(Reales!EP23),IF(EP$171=1,IF(AND(AND(141&gt;Corte,141&lt;=Corte+n_Ventana),ISNUMBER(Detalle_24m!EP$25)),Detalle_24m!EP$25,INDEX(Vol_V,12,EP$170)/12)*(1+V_dVol),0))</f>
        <v>0</v>
      </c>
      <c r="EQ188" s="48">
        <f>IF(EQ$8=1,N(Reales!EQ23),IF(EQ$171=1,IF(AND(AND(142&gt;Corte,142&lt;=Corte+n_Ventana),ISNUMBER(Detalle_24m!EQ$25)),Detalle_24m!EQ$25,INDEX(Vol_V,12,EQ$170)/12)*(1+V_dVol),0))</f>
        <v>0</v>
      </c>
      <c r="ER188" s="48">
        <f>IF(ER$8=1,N(Reales!ER23),IF(ER$171=1,IF(AND(AND(143&gt;Corte,143&lt;=Corte+n_Ventana),ISNUMBER(Detalle_24m!ER$25)),Detalle_24m!ER$25,INDEX(Vol_V,12,ER$170)/12)*(1+V_dVol),0))</f>
        <v>0</v>
      </c>
      <c r="ES188" s="48">
        <f>IF(ES$8=1,N(Reales!ES23),IF(ES$171=1,IF(AND(AND(144&gt;Corte,144&lt;=Corte+n_Ventana),ISNUMBER(Detalle_24m!ES$25)),Detalle_24m!ES$25,INDEX(Vol_V,12,ES$170)/12)*(1+V_dVol),0))</f>
        <v>0</v>
      </c>
    </row>
    <row r="189" spans="1:149" x14ac:dyDescent="0.3">
      <c r="A189" s="14" t="s">
        <v>1244</v>
      </c>
      <c r="B189" s="53" t="str">
        <f>IF(INDEX(Prod_Nombre,13)="","Producto 13",INDEX(Prod_Nombre,13))&amp;" — unidades"</f>
        <v>Producto 13 — unidades</v>
      </c>
      <c r="C189" s="18" t="s">
        <v>475</v>
      </c>
      <c r="E189" s="54">
        <f t="shared" si="604"/>
        <v>0</v>
      </c>
      <c r="F189" s="48">
        <f>IF(F$8=1,N(Reales!F24),IF(F$171=1,IF(AND(AND(1&gt;Corte,1&lt;=Corte+n_Ventana),ISNUMBER(Detalle_24m!F$26)),Detalle_24m!F$26,INDEX(Vol_V,13,F$170)/12)*(1+V_dVol),0))</f>
        <v>0</v>
      </c>
      <c r="G189" s="48">
        <f>IF(G$8=1,N(Reales!G24),IF(G$171=1,IF(AND(AND(2&gt;Corte,2&lt;=Corte+n_Ventana),ISNUMBER(Detalle_24m!G$26)),Detalle_24m!G$26,INDEX(Vol_V,13,G$170)/12)*(1+V_dVol),0))</f>
        <v>0</v>
      </c>
      <c r="H189" s="48">
        <f>IF(H$8=1,N(Reales!H24),IF(H$171=1,IF(AND(AND(3&gt;Corte,3&lt;=Corte+n_Ventana),ISNUMBER(Detalle_24m!H$26)),Detalle_24m!H$26,INDEX(Vol_V,13,H$170)/12)*(1+V_dVol),0))</f>
        <v>0</v>
      </c>
      <c r="I189" s="48">
        <f>IF(I$8=1,N(Reales!I24),IF(I$171=1,IF(AND(AND(4&gt;Corte,4&lt;=Corte+n_Ventana),ISNUMBER(Detalle_24m!I$26)),Detalle_24m!I$26,INDEX(Vol_V,13,I$170)/12)*(1+V_dVol),0))</f>
        <v>0</v>
      </c>
      <c r="J189" s="48">
        <f>IF(J$8=1,N(Reales!J24),IF(J$171=1,IF(AND(AND(5&gt;Corte,5&lt;=Corte+n_Ventana),ISNUMBER(Detalle_24m!J$26)),Detalle_24m!J$26,INDEX(Vol_V,13,J$170)/12)*(1+V_dVol),0))</f>
        <v>0</v>
      </c>
      <c r="K189" s="48">
        <f>IF(K$8=1,N(Reales!K24),IF(K$171=1,IF(AND(AND(6&gt;Corte,6&lt;=Corte+n_Ventana),ISNUMBER(Detalle_24m!K$26)),Detalle_24m!K$26,INDEX(Vol_V,13,K$170)/12)*(1+V_dVol),0))</f>
        <v>0</v>
      </c>
      <c r="L189" s="48">
        <f>IF(L$8=1,N(Reales!L24),IF(L$171=1,IF(AND(AND(7&gt;Corte,7&lt;=Corte+n_Ventana),ISNUMBER(Detalle_24m!L$26)),Detalle_24m!L$26,INDEX(Vol_V,13,L$170)/12)*(1+V_dVol),0))</f>
        <v>0</v>
      </c>
      <c r="M189" s="48">
        <f>IF(M$8=1,N(Reales!M24),IF(M$171=1,IF(AND(AND(8&gt;Corte,8&lt;=Corte+n_Ventana),ISNUMBER(Detalle_24m!M$26)),Detalle_24m!M$26,INDEX(Vol_V,13,M$170)/12)*(1+V_dVol),0))</f>
        <v>0</v>
      </c>
      <c r="N189" s="48">
        <f>IF(N$8=1,N(Reales!N24),IF(N$171=1,IF(AND(AND(9&gt;Corte,9&lt;=Corte+n_Ventana),ISNUMBER(Detalle_24m!N$26)),Detalle_24m!N$26,INDEX(Vol_V,13,N$170)/12)*(1+V_dVol),0))</f>
        <v>0</v>
      </c>
      <c r="O189" s="48">
        <f>IF(O$8=1,N(Reales!O24),IF(O$171=1,IF(AND(AND(10&gt;Corte,10&lt;=Corte+n_Ventana),ISNUMBER(Detalle_24m!O$26)),Detalle_24m!O$26,INDEX(Vol_V,13,O$170)/12)*(1+V_dVol),0))</f>
        <v>0</v>
      </c>
      <c r="P189" s="48">
        <f>IF(P$8=1,N(Reales!P24),IF(P$171=1,IF(AND(AND(11&gt;Corte,11&lt;=Corte+n_Ventana),ISNUMBER(Detalle_24m!P$26)),Detalle_24m!P$26,INDEX(Vol_V,13,P$170)/12)*(1+V_dVol),0))</f>
        <v>0</v>
      </c>
      <c r="Q189" s="48">
        <f>IF(Q$8=1,N(Reales!Q24),IF(Q$171=1,IF(AND(AND(12&gt;Corte,12&lt;=Corte+n_Ventana),ISNUMBER(Detalle_24m!Q$26)),Detalle_24m!Q$26,INDEX(Vol_V,13,Q$170)/12)*(1+V_dVol),0))</f>
        <v>0</v>
      </c>
      <c r="R189" s="48">
        <f>IF(R$8=1,N(Reales!R24),IF(R$171=1,IF(AND(AND(13&gt;Corte,13&lt;=Corte+n_Ventana),ISNUMBER(Detalle_24m!R$26)),Detalle_24m!R$26,INDEX(Vol_V,13,R$170)/12)*(1+V_dVol),0))</f>
        <v>0</v>
      </c>
      <c r="S189" s="48">
        <f>IF(S$8=1,N(Reales!S24),IF(S$171=1,IF(AND(AND(14&gt;Corte,14&lt;=Corte+n_Ventana),ISNUMBER(Detalle_24m!S$26)),Detalle_24m!S$26,INDEX(Vol_V,13,S$170)/12)*(1+V_dVol),0))</f>
        <v>0</v>
      </c>
      <c r="T189" s="48">
        <f>IF(T$8=1,N(Reales!T24),IF(T$171=1,IF(AND(AND(15&gt;Corte,15&lt;=Corte+n_Ventana),ISNUMBER(Detalle_24m!T$26)),Detalle_24m!T$26,INDEX(Vol_V,13,T$170)/12)*(1+V_dVol),0))</f>
        <v>0</v>
      </c>
      <c r="U189" s="48">
        <f>IF(U$8=1,N(Reales!U24),IF(U$171=1,IF(AND(AND(16&gt;Corte,16&lt;=Corte+n_Ventana),ISNUMBER(Detalle_24m!U$26)),Detalle_24m!U$26,INDEX(Vol_V,13,U$170)/12)*(1+V_dVol),0))</f>
        <v>0</v>
      </c>
      <c r="V189" s="48">
        <f>IF(V$8=1,N(Reales!V24),IF(V$171=1,IF(AND(AND(17&gt;Corte,17&lt;=Corte+n_Ventana),ISNUMBER(Detalle_24m!V$26)),Detalle_24m!V$26,INDEX(Vol_V,13,V$170)/12)*(1+V_dVol),0))</f>
        <v>0</v>
      </c>
      <c r="W189" s="48">
        <f>IF(W$8=1,N(Reales!W24),IF(W$171=1,IF(AND(AND(18&gt;Corte,18&lt;=Corte+n_Ventana),ISNUMBER(Detalle_24m!W$26)),Detalle_24m!W$26,INDEX(Vol_V,13,W$170)/12)*(1+V_dVol),0))</f>
        <v>0</v>
      </c>
      <c r="X189" s="48">
        <f>IF(X$8=1,N(Reales!X24),IF(X$171=1,IF(AND(AND(19&gt;Corte,19&lt;=Corte+n_Ventana),ISNUMBER(Detalle_24m!X$26)),Detalle_24m!X$26,INDEX(Vol_V,13,X$170)/12)*(1+V_dVol),0))</f>
        <v>0</v>
      </c>
      <c r="Y189" s="48">
        <f>IF(Y$8=1,N(Reales!Y24),IF(Y$171=1,IF(AND(AND(20&gt;Corte,20&lt;=Corte+n_Ventana),ISNUMBER(Detalle_24m!Y$26)),Detalle_24m!Y$26,INDEX(Vol_V,13,Y$170)/12)*(1+V_dVol),0))</f>
        <v>0</v>
      </c>
      <c r="Z189" s="48">
        <f>IF(Z$8=1,N(Reales!Z24),IF(Z$171=1,IF(AND(AND(21&gt;Corte,21&lt;=Corte+n_Ventana),ISNUMBER(Detalle_24m!Z$26)),Detalle_24m!Z$26,INDEX(Vol_V,13,Z$170)/12)*(1+V_dVol),0))</f>
        <v>0</v>
      </c>
      <c r="AA189" s="48">
        <f>IF(AA$8=1,N(Reales!AA24),IF(AA$171=1,IF(AND(AND(22&gt;Corte,22&lt;=Corte+n_Ventana),ISNUMBER(Detalle_24m!AA$26)),Detalle_24m!AA$26,INDEX(Vol_V,13,AA$170)/12)*(1+V_dVol),0))</f>
        <v>0</v>
      </c>
      <c r="AB189" s="48">
        <f>IF(AB$8=1,N(Reales!AB24),IF(AB$171=1,IF(AND(AND(23&gt;Corte,23&lt;=Corte+n_Ventana),ISNUMBER(Detalle_24m!AB$26)),Detalle_24m!AB$26,INDEX(Vol_V,13,AB$170)/12)*(1+V_dVol),0))</f>
        <v>0</v>
      </c>
      <c r="AC189" s="48">
        <f>IF(AC$8=1,N(Reales!AC24),IF(AC$171=1,IF(AND(AND(24&gt;Corte,24&lt;=Corte+n_Ventana),ISNUMBER(Detalle_24m!AC$26)),Detalle_24m!AC$26,INDEX(Vol_V,13,AC$170)/12)*(1+V_dVol),0))</f>
        <v>0</v>
      </c>
      <c r="AD189" s="48">
        <f>IF(AD$8=1,N(Reales!AD24),IF(AD$171=1,IF(AND(AND(25&gt;Corte,25&lt;=Corte+n_Ventana),ISNUMBER(Detalle_24m!AD$26)),Detalle_24m!AD$26,INDEX(Vol_V,13,AD$170)/12)*(1+V_dVol),0))</f>
        <v>0</v>
      </c>
      <c r="AE189" s="48">
        <f>IF(AE$8=1,N(Reales!AE24),IF(AE$171=1,IF(AND(AND(26&gt;Corte,26&lt;=Corte+n_Ventana),ISNUMBER(Detalle_24m!AE$26)),Detalle_24m!AE$26,INDEX(Vol_V,13,AE$170)/12)*(1+V_dVol),0))</f>
        <v>0</v>
      </c>
      <c r="AF189" s="48">
        <f>IF(AF$8=1,N(Reales!AF24),IF(AF$171=1,IF(AND(AND(27&gt;Corte,27&lt;=Corte+n_Ventana),ISNUMBER(Detalle_24m!AF$26)),Detalle_24m!AF$26,INDEX(Vol_V,13,AF$170)/12)*(1+V_dVol),0))</f>
        <v>0</v>
      </c>
      <c r="AG189" s="48">
        <f>IF(AG$8=1,N(Reales!AG24),IF(AG$171=1,IF(AND(AND(28&gt;Corte,28&lt;=Corte+n_Ventana),ISNUMBER(Detalle_24m!AG$26)),Detalle_24m!AG$26,INDEX(Vol_V,13,AG$170)/12)*(1+V_dVol),0))</f>
        <v>0</v>
      </c>
      <c r="AH189" s="48">
        <f>IF(AH$8=1,N(Reales!AH24),IF(AH$171=1,IF(AND(AND(29&gt;Corte,29&lt;=Corte+n_Ventana),ISNUMBER(Detalle_24m!AH$26)),Detalle_24m!AH$26,INDEX(Vol_V,13,AH$170)/12)*(1+V_dVol),0))</f>
        <v>0</v>
      </c>
      <c r="AI189" s="48">
        <f>IF(AI$8=1,N(Reales!AI24),IF(AI$171=1,IF(AND(AND(30&gt;Corte,30&lt;=Corte+n_Ventana),ISNUMBER(Detalle_24m!AI$26)),Detalle_24m!AI$26,INDEX(Vol_V,13,AI$170)/12)*(1+V_dVol),0))</f>
        <v>0</v>
      </c>
      <c r="AJ189" s="48">
        <f>IF(AJ$8=1,N(Reales!AJ24),IF(AJ$171=1,IF(AND(AND(31&gt;Corte,31&lt;=Corte+n_Ventana),ISNUMBER(Detalle_24m!AJ$26)),Detalle_24m!AJ$26,INDEX(Vol_V,13,AJ$170)/12)*(1+V_dVol),0))</f>
        <v>0</v>
      </c>
      <c r="AK189" s="48">
        <f>IF(AK$8=1,N(Reales!AK24),IF(AK$171=1,IF(AND(AND(32&gt;Corte,32&lt;=Corte+n_Ventana),ISNUMBER(Detalle_24m!AK$26)),Detalle_24m!AK$26,INDEX(Vol_V,13,AK$170)/12)*(1+V_dVol),0))</f>
        <v>0</v>
      </c>
      <c r="AL189" s="48">
        <f>IF(AL$8=1,N(Reales!AL24),IF(AL$171=1,IF(AND(AND(33&gt;Corte,33&lt;=Corte+n_Ventana),ISNUMBER(Detalle_24m!AL$26)),Detalle_24m!AL$26,INDEX(Vol_V,13,AL$170)/12)*(1+V_dVol),0))</f>
        <v>0</v>
      </c>
      <c r="AM189" s="48">
        <f>IF(AM$8=1,N(Reales!AM24),IF(AM$171=1,IF(AND(AND(34&gt;Corte,34&lt;=Corte+n_Ventana),ISNUMBER(Detalle_24m!AM$26)),Detalle_24m!AM$26,INDEX(Vol_V,13,AM$170)/12)*(1+V_dVol),0))</f>
        <v>0</v>
      </c>
      <c r="AN189" s="48">
        <f>IF(AN$8=1,N(Reales!AN24),IF(AN$171=1,IF(AND(AND(35&gt;Corte,35&lt;=Corte+n_Ventana),ISNUMBER(Detalle_24m!AN$26)),Detalle_24m!AN$26,INDEX(Vol_V,13,AN$170)/12)*(1+V_dVol),0))</f>
        <v>0</v>
      </c>
      <c r="AO189" s="48">
        <f>IF(AO$8=1,N(Reales!AO24),IF(AO$171=1,IF(AND(AND(36&gt;Corte,36&lt;=Corte+n_Ventana),ISNUMBER(Detalle_24m!AO$26)),Detalle_24m!AO$26,INDEX(Vol_V,13,AO$170)/12)*(1+V_dVol),0))</f>
        <v>0</v>
      </c>
      <c r="AP189" s="48">
        <f>IF(AP$8=1,N(Reales!AP24),IF(AP$171=1,IF(AND(AND(37&gt;Corte,37&lt;=Corte+n_Ventana),ISNUMBER(Detalle_24m!AP$26)),Detalle_24m!AP$26,INDEX(Vol_V,13,AP$170)/12)*(1+V_dVol),0))</f>
        <v>0</v>
      </c>
      <c r="AQ189" s="48">
        <f>IF(AQ$8=1,N(Reales!AQ24),IF(AQ$171=1,IF(AND(AND(38&gt;Corte,38&lt;=Corte+n_Ventana),ISNUMBER(Detalle_24m!AQ$26)),Detalle_24m!AQ$26,INDEX(Vol_V,13,AQ$170)/12)*(1+V_dVol),0))</f>
        <v>0</v>
      </c>
      <c r="AR189" s="48">
        <f>IF(AR$8=1,N(Reales!AR24),IF(AR$171=1,IF(AND(AND(39&gt;Corte,39&lt;=Corte+n_Ventana),ISNUMBER(Detalle_24m!AR$26)),Detalle_24m!AR$26,INDEX(Vol_V,13,AR$170)/12)*(1+V_dVol),0))</f>
        <v>0</v>
      </c>
      <c r="AS189" s="48">
        <f>IF(AS$8=1,N(Reales!AS24),IF(AS$171=1,IF(AND(AND(40&gt;Corte,40&lt;=Corte+n_Ventana),ISNUMBER(Detalle_24m!AS$26)),Detalle_24m!AS$26,INDEX(Vol_V,13,AS$170)/12)*(1+V_dVol),0))</f>
        <v>0</v>
      </c>
      <c r="AT189" s="48">
        <f>IF(AT$8=1,N(Reales!AT24),IF(AT$171=1,IF(AND(AND(41&gt;Corte,41&lt;=Corte+n_Ventana),ISNUMBER(Detalle_24m!AT$26)),Detalle_24m!AT$26,INDEX(Vol_V,13,AT$170)/12)*(1+V_dVol),0))</f>
        <v>0</v>
      </c>
      <c r="AU189" s="48">
        <f>IF(AU$8=1,N(Reales!AU24),IF(AU$171=1,IF(AND(AND(42&gt;Corte,42&lt;=Corte+n_Ventana),ISNUMBER(Detalle_24m!AU$26)),Detalle_24m!AU$26,INDEX(Vol_V,13,AU$170)/12)*(1+V_dVol),0))</f>
        <v>0</v>
      </c>
      <c r="AV189" s="48">
        <f>IF(AV$8=1,N(Reales!AV24),IF(AV$171=1,IF(AND(AND(43&gt;Corte,43&lt;=Corte+n_Ventana),ISNUMBER(Detalle_24m!AV$26)),Detalle_24m!AV$26,INDEX(Vol_V,13,AV$170)/12)*(1+V_dVol),0))</f>
        <v>0</v>
      </c>
      <c r="AW189" s="48">
        <f>IF(AW$8=1,N(Reales!AW24),IF(AW$171=1,IF(AND(AND(44&gt;Corte,44&lt;=Corte+n_Ventana),ISNUMBER(Detalle_24m!AW$26)),Detalle_24m!AW$26,INDEX(Vol_V,13,AW$170)/12)*(1+V_dVol),0))</f>
        <v>0</v>
      </c>
      <c r="AX189" s="48">
        <f>IF(AX$8=1,N(Reales!AX24),IF(AX$171=1,IF(AND(AND(45&gt;Corte,45&lt;=Corte+n_Ventana),ISNUMBER(Detalle_24m!AX$26)),Detalle_24m!AX$26,INDEX(Vol_V,13,AX$170)/12)*(1+V_dVol),0))</f>
        <v>0</v>
      </c>
      <c r="AY189" s="48">
        <f>IF(AY$8=1,N(Reales!AY24),IF(AY$171=1,IF(AND(AND(46&gt;Corte,46&lt;=Corte+n_Ventana),ISNUMBER(Detalle_24m!AY$26)),Detalle_24m!AY$26,INDEX(Vol_V,13,AY$170)/12)*(1+V_dVol),0))</f>
        <v>0</v>
      </c>
      <c r="AZ189" s="48">
        <f>IF(AZ$8=1,N(Reales!AZ24),IF(AZ$171=1,IF(AND(AND(47&gt;Corte,47&lt;=Corte+n_Ventana),ISNUMBER(Detalle_24m!AZ$26)),Detalle_24m!AZ$26,INDEX(Vol_V,13,AZ$170)/12)*(1+V_dVol),0))</f>
        <v>0</v>
      </c>
      <c r="BA189" s="48">
        <f>IF(BA$8=1,N(Reales!BA24),IF(BA$171=1,IF(AND(AND(48&gt;Corte,48&lt;=Corte+n_Ventana),ISNUMBER(Detalle_24m!BA$26)),Detalle_24m!BA$26,INDEX(Vol_V,13,BA$170)/12)*(1+V_dVol),0))</f>
        <v>0</v>
      </c>
      <c r="BB189" s="48">
        <f>IF(BB$8=1,N(Reales!BB24),IF(BB$171=1,IF(AND(AND(49&gt;Corte,49&lt;=Corte+n_Ventana),ISNUMBER(Detalle_24m!BB$26)),Detalle_24m!BB$26,INDEX(Vol_V,13,BB$170)/12)*(1+V_dVol),0))</f>
        <v>0</v>
      </c>
      <c r="BC189" s="48">
        <f>IF(BC$8=1,N(Reales!BC24),IF(BC$171=1,IF(AND(AND(50&gt;Corte,50&lt;=Corte+n_Ventana),ISNUMBER(Detalle_24m!BC$26)),Detalle_24m!BC$26,INDEX(Vol_V,13,BC$170)/12)*(1+V_dVol),0))</f>
        <v>0</v>
      </c>
      <c r="BD189" s="48">
        <f>IF(BD$8=1,N(Reales!BD24),IF(BD$171=1,IF(AND(AND(51&gt;Corte,51&lt;=Corte+n_Ventana),ISNUMBER(Detalle_24m!BD$26)),Detalle_24m!BD$26,INDEX(Vol_V,13,BD$170)/12)*(1+V_dVol),0))</f>
        <v>0</v>
      </c>
      <c r="BE189" s="48">
        <f>IF(BE$8=1,N(Reales!BE24),IF(BE$171=1,IF(AND(AND(52&gt;Corte,52&lt;=Corte+n_Ventana),ISNUMBER(Detalle_24m!BE$26)),Detalle_24m!BE$26,INDEX(Vol_V,13,BE$170)/12)*(1+V_dVol),0))</f>
        <v>0</v>
      </c>
      <c r="BF189" s="48">
        <f>IF(BF$8=1,N(Reales!BF24),IF(BF$171=1,IF(AND(AND(53&gt;Corte,53&lt;=Corte+n_Ventana),ISNUMBER(Detalle_24m!BF$26)),Detalle_24m!BF$26,INDEX(Vol_V,13,BF$170)/12)*(1+V_dVol),0))</f>
        <v>0</v>
      </c>
      <c r="BG189" s="48">
        <f>IF(BG$8=1,N(Reales!BG24),IF(BG$171=1,IF(AND(AND(54&gt;Corte,54&lt;=Corte+n_Ventana),ISNUMBER(Detalle_24m!BG$26)),Detalle_24m!BG$26,INDEX(Vol_V,13,BG$170)/12)*(1+V_dVol),0))</f>
        <v>0</v>
      </c>
      <c r="BH189" s="48">
        <f>IF(BH$8=1,N(Reales!BH24),IF(BH$171=1,IF(AND(AND(55&gt;Corte,55&lt;=Corte+n_Ventana),ISNUMBER(Detalle_24m!BH$26)),Detalle_24m!BH$26,INDEX(Vol_V,13,BH$170)/12)*(1+V_dVol),0))</f>
        <v>0</v>
      </c>
      <c r="BI189" s="48">
        <f>IF(BI$8=1,N(Reales!BI24),IF(BI$171=1,IF(AND(AND(56&gt;Corte,56&lt;=Corte+n_Ventana),ISNUMBER(Detalle_24m!BI$26)),Detalle_24m!BI$26,INDEX(Vol_V,13,BI$170)/12)*(1+V_dVol),0))</f>
        <v>0</v>
      </c>
      <c r="BJ189" s="48">
        <f>IF(BJ$8=1,N(Reales!BJ24),IF(BJ$171=1,IF(AND(AND(57&gt;Corte,57&lt;=Corte+n_Ventana),ISNUMBER(Detalle_24m!BJ$26)),Detalle_24m!BJ$26,INDEX(Vol_V,13,BJ$170)/12)*(1+V_dVol),0))</f>
        <v>0</v>
      </c>
      <c r="BK189" s="48">
        <f>IF(BK$8=1,N(Reales!BK24),IF(BK$171=1,IF(AND(AND(58&gt;Corte,58&lt;=Corte+n_Ventana),ISNUMBER(Detalle_24m!BK$26)),Detalle_24m!BK$26,INDEX(Vol_V,13,BK$170)/12)*(1+V_dVol),0))</f>
        <v>0</v>
      </c>
      <c r="BL189" s="48">
        <f>IF(BL$8=1,N(Reales!BL24),IF(BL$171=1,IF(AND(AND(59&gt;Corte,59&lt;=Corte+n_Ventana),ISNUMBER(Detalle_24m!BL$26)),Detalle_24m!BL$26,INDEX(Vol_V,13,BL$170)/12)*(1+V_dVol),0))</f>
        <v>0</v>
      </c>
      <c r="BM189" s="48">
        <f>IF(BM$8=1,N(Reales!BM24),IF(BM$171=1,IF(AND(AND(60&gt;Corte,60&lt;=Corte+n_Ventana),ISNUMBER(Detalle_24m!BM$26)),Detalle_24m!BM$26,INDEX(Vol_V,13,BM$170)/12)*(1+V_dVol),0))</f>
        <v>0</v>
      </c>
      <c r="BN189" s="48">
        <f>IF(BN$8=1,N(Reales!BN24),IF(BN$171=1,IF(AND(AND(61&gt;Corte,61&lt;=Corte+n_Ventana),ISNUMBER(Detalle_24m!BN$26)),Detalle_24m!BN$26,INDEX(Vol_V,13,BN$170)/12)*(1+V_dVol),0))</f>
        <v>0</v>
      </c>
      <c r="BO189" s="48">
        <f>IF(BO$8=1,N(Reales!BO24),IF(BO$171=1,IF(AND(AND(62&gt;Corte,62&lt;=Corte+n_Ventana),ISNUMBER(Detalle_24m!BO$26)),Detalle_24m!BO$26,INDEX(Vol_V,13,BO$170)/12)*(1+V_dVol),0))</f>
        <v>0</v>
      </c>
      <c r="BP189" s="48">
        <f>IF(BP$8=1,N(Reales!BP24),IF(BP$171=1,IF(AND(AND(63&gt;Corte,63&lt;=Corte+n_Ventana),ISNUMBER(Detalle_24m!BP$26)),Detalle_24m!BP$26,INDEX(Vol_V,13,BP$170)/12)*(1+V_dVol),0))</f>
        <v>0</v>
      </c>
      <c r="BQ189" s="48">
        <f>IF(BQ$8=1,N(Reales!BQ24),IF(BQ$171=1,IF(AND(AND(64&gt;Corte,64&lt;=Corte+n_Ventana),ISNUMBER(Detalle_24m!BQ$26)),Detalle_24m!BQ$26,INDEX(Vol_V,13,BQ$170)/12)*(1+V_dVol),0))</f>
        <v>0</v>
      </c>
      <c r="BR189" s="48">
        <f>IF(BR$8=1,N(Reales!BR24),IF(BR$171=1,IF(AND(AND(65&gt;Corte,65&lt;=Corte+n_Ventana),ISNUMBER(Detalle_24m!BR$26)),Detalle_24m!BR$26,INDEX(Vol_V,13,BR$170)/12)*(1+V_dVol),0))</f>
        <v>0</v>
      </c>
      <c r="BS189" s="48">
        <f>IF(BS$8=1,N(Reales!BS24),IF(BS$171=1,IF(AND(AND(66&gt;Corte,66&lt;=Corte+n_Ventana),ISNUMBER(Detalle_24m!BS$26)),Detalle_24m!BS$26,INDEX(Vol_V,13,BS$170)/12)*(1+V_dVol),0))</f>
        <v>0</v>
      </c>
      <c r="BT189" s="48">
        <f>IF(BT$8=1,N(Reales!BT24),IF(BT$171=1,IF(AND(AND(67&gt;Corte,67&lt;=Corte+n_Ventana),ISNUMBER(Detalle_24m!BT$26)),Detalle_24m!BT$26,INDEX(Vol_V,13,BT$170)/12)*(1+V_dVol),0))</f>
        <v>0</v>
      </c>
      <c r="BU189" s="48">
        <f>IF(BU$8=1,N(Reales!BU24),IF(BU$171=1,IF(AND(AND(68&gt;Corte,68&lt;=Corte+n_Ventana),ISNUMBER(Detalle_24m!BU$26)),Detalle_24m!BU$26,INDEX(Vol_V,13,BU$170)/12)*(1+V_dVol),0))</f>
        <v>0</v>
      </c>
      <c r="BV189" s="48">
        <f>IF(BV$8=1,N(Reales!BV24),IF(BV$171=1,IF(AND(AND(69&gt;Corte,69&lt;=Corte+n_Ventana),ISNUMBER(Detalle_24m!BV$26)),Detalle_24m!BV$26,INDEX(Vol_V,13,BV$170)/12)*(1+V_dVol),0))</f>
        <v>0</v>
      </c>
      <c r="BW189" s="48">
        <f>IF(BW$8=1,N(Reales!BW24),IF(BW$171=1,IF(AND(AND(70&gt;Corte,70&lt;=Corte+n_Ventana),ISNUMBER(Detalle_24m!BW$26)),Detalle_24m!BW$26,INDEX(Vol_V,13,BW$170)/12)*(1+V_dVol),0))</f>
        <v>0</v>
      </c>
      <c r="BX189" s="48">
        <f>IF(BX$8=1,N(Reales!BX24),IF(BX$171=1,IF(AND(AND(71&gt;Corte,71&lt;=Corte+n_Ventana),ISNUMBER(Detalle_24m!BX$26)),Detalle_24m!BX$26,INDEX(Vol_V,13,BX$170)/12)*(1+V_dVol),0))</f>
        <v>0</v>
      </c>
      <c r="BY189" s="48">
        <f>IF(BY$8=1,N(Reales!BY24),IF(BY$171=1,IF(AND(AND(72&gt;Corte,72&lt;=Corte+n_Ventana),ISNUMBER(Detalle_24m!BY$26)),Detalle_24m!BY$26,INDEX(Vol_V,13,BY$170)/12)*(1+V_dVol),0))</f>
        <v>0</v>
      </c>
      <c r="BZ189" s="48">
        <f>IF(BZ$8=1,N(Reales!BZ24),IF(BZ$171=1,IF(AND(AND(73&gt;Corte,73&lt;=Corte+n_Ventana),ISNUMBER(Detalle_24m!BZ$26)),Detalle_24m!BZ$26,INDEX(Vol_V,13,BZ$170)/12)*(1+V_dVol),0))</f>
        <v>0</v>
      </c>
      <c r="CA189" s="48">
        <f>IF(CA$8=1,N(Reales!CA24),IF(CA$171=1,IF(AND(AND(74&gt;Corte,74&lt;=Corte+n_Ventana),ISNUMBER(Detalle_24m!CA$26)),Detalle_24m!CA$26,INDEX(Vol_V,13,CA$170)/12)*(1+V_dVol),0))</f>
        <v>0</v>
      </c>
      <c r="CB189" s="48">
        <f>IF(CB$8=1,N(Reales!CB24),IF(CB$171=1,IF(AND(AND(75&gt;Corte,75&lt;=Corte+n_Ventana),ISNUMBER(Detalle_24m!CB$26)),Detalle_24m!CB$26,INDEX(Vol_V,13,CB$170)/12)*(1+V_dVol),0))</f>
        <v>0</v>
      </c>
      <c r="CC189" s="48">
        <f>IF(CC$8=1,N(Reales!CC24),IF(CC$171=1,IF(AND(AND(76&gt;Corte,76&lt;=Corte+n_Ventana),ISNUMBER(Detalle_24m!CC$26)),Detalle_24m!CC$26,INDEX(Vol_V,13,CC$170)/12)*(1+V_dVol),0))</f>
        <v>0</v>
      </c>
      <c r="CD189" s="48">
        <f>IF(CD$8=1,N(Reales!CD24),IF(CD$171=1,IF(AND(AND(77&gt;Corte,77&lt;=Corte+n_Ventana),ISNUMBER(Detalle_24m!CD$26)),Detalle_24m!CD$26,INDEX(Vol_V,13,CD$170)/12)*(1+V_dVol),0))</f>
        <v>0</v>
      </c>
      <c r="CE189" s="48">
        <f>IF(CE$8=1,N(Reales!CE24),IF(CE$171=1,IF(AND(AND(78&gt;Corte,78&lt;=Corte+n_Ventana),ISNUMBER(Detalle_24m!CE$26)),Detalle_24m!CE$26,INDEX(Vol_V,13,CE$170)/12)*(1+V_dVol),0))</f>
        <v>0</v>
      </c>
      <c r="CF189" s="48">
        <f>IF(CF$8=1,N(Reales!CF24),IF(CF$171=1,IF(AND(AND(79&gt;Corte,79&lt;=Corte+n_Ventana),ISNUMBER(Detalle_24m!CF$26)),Detalle_24m!CF$26,INDEX(Vol_V,13,CF$170)/12)*(1+V_dVol),0))</f>
        <v>0</v>
      </c>
      <c r="CG189" s="48">
        <f>IF(CG$8=1,N(Reales!CG24),IF(CG$171=1,IF(AND(AND(80&gt;Corte,80&lt;=Corte+n_Ventana),ISNUMBER(Detalle_24m!CG$26)),Detalle_24m!CG$26,INDEX(Vol_V,13,CG$170)/12)*(1+V_dVol),0))</f>
        <v>0</v>
      </c>
      <c r="CH189" s="48">
        <f>IF(CH$8=1,N(Reales!CH24),IF(CH$171=1,IF(AND(AND(81&gt;Corte,81&lt;=Corte+n_Ventana),ISNUMBER(Detalle_24m!CH$26)),Detalle_24m!CH$26,INDEX(Vol_V,13,CH$170)/12)*(1+V_dVol),0))</f>
        <v>0</v>
      </c>
      <c r="CI189" s="48">
        <f>IF(CI$8=1,N(Reales!CI24),IF(CI$171=1,IF(AND(AND(82&gt;Corte,82&lt;=Corte+n_Ventana),ISNUMBER(Detalle_24m!CI$26)),Detalle_24m!CI$26,INDEX(Vol_V,13,CI$170)/12)*(1+V_dVol),0))</f>
        <v>0</v>
      </c>
      <c r="CJ189" s="48">
        <f>IF(CJ$8=1,N(Reales!CJ24),IF(CJ$171=1,IF(AND(AND(83&gt;Corte,83&lt;=Corte+n_Ventana),ISNUMBER(Detalle_24m!CJ$26)),Detalle_24m!CJ$26,INDEX(Vol_V,13,CJ$170)/12)*(1+V_dVol),0))</f>
        <v>0</v>
      </c>
      <c r="CK189" s="48">
        <f>IF(CK$8=1,N(Reales!CK24),IF(CK$171=1,IF(AND(AND(84&gt;Corte,84&lt;=Corte+n_Ventana),ISNUMBER(Detalle_24m!CK$26)),Detalle_24m!CK$26,INDEX(Vol_V,13,CK$170)/12)*(1+V_dVol),0))</f>
        <v>0</v>
      </c>
      <c r="CL189" s="48">
        <f>IF(CL$8=1,N(Reales!CL24),IF(CL$171=1,IF(AND(AND(85&gt;Corte,85&lt;=Corte+n_Ventana),ISNUMBER(Detalle_24m!CL$26)),Detalle_24m!CL$26,INDEX(Vol_V,13,CL$170)/12)*(1+V_dVol),0))</f>
        <v>0</v>
      </c>
      <c r="CM189" s="48">
        <f>IF(CM$8=1,N(Reales!CM24),IF(CM$171=1,IF(AND(AND(86&gt;Corte,86&lt;=Corte+n_Ventana),ISNUMBER(Detalle_24m!CM$26)),Detalle_24m!CM$26,INDEX(Vol_V,13,CM$170)/12)*(1+V_dVol),0))</f>
        <v>0</v>
      </c>
      <c r="CN189" s="48">
        <f>IF(CN$8=1,N(Reales!CN24),IF(CN$171=1,IF(AND(AND(87&gt;Corte,87&lt;=Corte+n_Ventana),ISNUMBER(Detalle_24m!CN$26)),Detalle_24m!CN$26,INDEX(Vol_V,13,CN$170)/12)*(1+V_dVol),0))</f>
        <v>0</v>
      </c>
      <c r="CO189" s="48">
        <f>IF(CO$8=1,N(Reales!CO24),IF(CO$171=1,IF(AND(AND(88&gt;Corte,88&lt;=Corte+n_Ventana),ISNUMBER(Detalle_24m!CO$26)),Detalle_24m!CO$26,INDEX(Vol_V,13,CO$170)/12)*(1+V_dVol),0))</f>
        <v>0</v>
      </c>
      <c r="CP189" s="48">
        <f>IF(CP$8=1,N(Reales!CP24),IF(CP$171=1,IF(AND(AND(89&gt;Corte,89&lt;=Corte+n_Ventana),ISNUMBER(Detalle_24m!CP$26)),Detalle_24m!CP$26,INDEX(Vol_V,13,CP$170)/12)*(1+V_dVol),0))</f>
        <v>0</v>
      </c>
      <c r="CQ189" s="48">
        <f>IF(CQ$8=1,N(Reales!CQ24),IF(CQ$171=1,IF(AND(AND(90&gt;Corte,90&lt;=Corte+n_Ventana),ISNUMBER(Detalle_24m!CQ$26)),Detalle_24m!CQ$26,INDEX(Vol_V,13,CQ$170)/12)*(1+V_dVol),0))</f>
        <v>0</v>
      </c>
      <c r="CR189" s="48">
        <f>IF(CR$8=1,N(Reales!CR24),IF(CR$171=1,IF(AND(AND(91&gt;Corte,91&lt;=Corte+n_Ventana),ISNUMBER(Detalle_24m!CR$26)),Detalle_24m!CR$26,INDEX(Vol_V,13,CR$170)/12)*(1+V_dVol),0))</f>
        <v>0</v>
      </c>
      <c r="CS189" s="48">
        <f>IF(CS$8=1,N(Reales!CS24),IF(CS$171=1,IF(AND(AND(92&gt;Corte,92&lt;=Corte+n_Ventana),ISNUMBER(Detalle_24m!CS$26)),Detalle_24m!CS$26,INDEX(Vol_V,13,CS$170)/12)*(1+V_dVol),0))</f>
        <v>0</v>
      </c>
      <c r="CT189" s="48">
        <f>IF(CT$8=1,N(Reales!CT24),IF(CT$171=1,IF(AND(AND(93&gt;Corte,93&lt;=Corte+n_Ventana),ISNUMBER(Detalle_24m!CT$26)),Detalle_24m!CT$26,INDEX(Vol_V,13,CT$170)/12)*(1+V_dVol),0))</f>
        <v>0</v>
      </c>
      <c r="CU189" s="48">
        <f>IF(CU$8=1,N(Reales!CU24),IF(CU$171=1,IF(AND(AND(94&gt;Corte,94&lt;=Corte+n_Ventana),ISNUMBER(Detalle_24m!CU$26)),Detalle_24m!CU$26,INDEX(Vol_V,13,CU$170)/12)*(1+V_dVol),0))</f>
        <v>0</v>
      </c>
      <c r="CV189" s="48">
        <f>IF(CV$8=1,N(Reales!CV24),IF(CV$171=1,IF(AND(AND(95&gt;Corte,95&lt;=Corte+n_Ventana),ISNUMBER(Detalle_24m!CV$26)),Detalle_24m!CV$26,INDEX(Vol_V,13,CV$170)/12)*(1+V_dVol),0))</f>
        <v>0</v>
      </c>
      <c r="CW189" s="48">
        <f>IF(CW$8=1,N(Reales!CW24),IF(CW$171=1,IF(AND(AND(96&gt;Corte,96&lt;=Corte+n_Ventana),ISNUMBER(Detalle_24m!CW$26)),Detalle_24m!CW$26,INDEX(Vol_V,13,CW$170)/12)*(1+V_dVol),0))</f>
        <v>0</v>
      </c>
      <c r="CX189" s="48">
        <f>IF(CX$8=1,N(Reales!CX24),IF(CX$171=1,IF(AND(AND(97&gt;Corte,97&lt;=Corte+n_Ventana),ISNUMBER(Detalle_24m!CX$26)),Detalle_24m!CX$26,INDEX(Vol_V,13,CX$170)/12)*(1+V_dVol),0))</f>
        <v>0</v>
      </c>
      <c r="CY189" s="48">
        <f>IF(CY$8=1,N(Reales!CY24),IF(CY$171=1,IF(AND(AND(98&gt;Corte,98&lt;=Corte+n_Ventana),ISNUMBER(Detalle_24m!CY$26)),Detalle_24m!CY$26,INDEX(Vol_V,13,CY$170)/12)*(1+V_dVol),0))</f>
        <v>0</v>
      </c>
      <c r="CZ189" s="48">
        <f>IF(CZ$8=1,N(Reales!CZ24),IF(CZ$171=1,IF(AND(AND(99&gt;Corte,99&lt;=Corte+n_Ventana),ISNUMBER(Detalle_24m!CZ$26)),Detalle_24m!CZ$26,INDEX(Vol_V,13,CZ$170)/12)*(1+V_dVol),0))</f>
        <v>0</v>
      </c>
      <c r="DA189" s="48">
        <f>IF(DA$8=1,N(Reales!DA24),IF(DA$171=1,IF(AND(AND(100&gt;Corte,100&lt;=Corte+n_Ventana),ISNUMBER(Detalle_24m!DA$26)),Detalle_24m!DA$26,INDEX(Vol_V,13,DA$170)/12)*(1+V_dVol),0))</f>
        <v>0</v>
      </c>
      <c r="DB189" s="48">
        <f>IF(DB$8=1,N(Reales!DB24),IF(DB$171=1,IF(AND(AND(101&gt;Corte,101&lt;=Corte+n_Ventana),ISNUMBER(Detalle_24m!DB$26)),Detalle_24m!DB$26,INDEX(Vol_V,13,DB$170)/12)*(1+V_dVol),0))</f>
        <v>0</v>
      </c>
      <c r="DC189" s="48">
        <f>IF(DC$8=1,N(Reales!DC24),IF(DC$171=1,IF(AND(AND(102&gt;Corte,102&lt;=Corte+n_Ventana),ISNUMBER(Detalle_24m!DC$26)),Detalle_24m!DC$26,INDEX(Vol_V,13,DC$170)/12)*(1+V_dVol),0))</f>
        <v>0</v>
      </c>
      <c r="DD189" s="48">
        <f>IF(DD$8=1,N(Reales!DD24),IF(DD$171=1,IF(AND(AND(103&gt;Corte,103&lt;=Corte+n_Ventana),ISNUMBER(Detalle_24m!DD$26)),Detalle_24m!DD$26,INDEX(Vol_V,13,DD$170)/12)*(1+V_dVol),0))</f>
        <v>0</v>
      </c>
      <c r="DE189" s="48">
        <f>IF(DE$8=1,N(Reales!DE24),IF(DE$171=1,IF(AND(AND(104&gt;Corte,104&lt;=Corte+n_Ventana),ISNUMBER(Detalle_24m!DE$26)),Detalle_24m!DE$26,INDEX(Vol_V,13,DE$170)/12)*(1+V_dVol),0))</f>
        <v>0</v>
      </c>
      <c r="DF189" s="48">
        <f>IF(DF$8=1,N(Reales!DF24),IF(DF$171=1,IF(AND(AND(105&gt;Corte,105&lt;=Corte+n_Ventana),ISNUMBER(Detalle_24m!DF$26)),Detalle_24m!DF$26,INDEX(Vol_V,13,DF$170)/12)*(1+V_dVol),0))</f>
        <v>0</v>
      </c>
      <c r="DG189" s="48">
        <f>IF(DG$8=1,N(Reales!DG24),IF(DG$171=1,IF(AND(AND(106&gt;Corte,106&lt;=Corte+n_Ventana),ISNUMBER(Detalle_24m!DG$26)),Detalle_24m!DG$26,INDEX(Vol_V,13,DG$170)/12)*(1+V_dVol),0))</f>
        <v>0</v>
      </c>
      <c r="DH189" s="48">
        <f>IF(DH$8=1,N(Reales!DH24),IF(DH$171=1,IF(AND(AND(107&gt;Corte,107&lt;=Corte+n_Ventana),ISNUMBER(Detalle_24m!DH$26)),Detalle_24m!DH$26,INDEX(Vol_V,13,DH$170)/12)*(1+V_dVol),0))</f>
        <v>0</v>
      </c>
      <c r="DI189" s="48">
        <f>IF(DI$8=1,N(Reales!DI24),IF(DI$171=1,IF(AND(AND(108&gt;Corte,108&lt;=Corte+n_Ventana),ISNUMBER(Detalle_24m!DI$26)),Detalle_24m!DI$26,INDEX(Vol_V,13,DI$170)/12)*(1+V_dVol),0))</f>
        <v>0</v>
      </c>
      <c r="DJ189" s="48">
        <f>IF(DJ$8=1,N(Reales!DJ24),IF(DJ$171=1,IF(AND(AND(109&gt;Corte,109&lt;=Corte+n_Ventana),ISNUMBER(Detalle_24m!DJ$26)),Detalle_24m!DJ$26,INDEX(Vol_V,13,DJ$170)/12)*(1+V_dVol),0))</f>
        <v>0</v>
      </c>
      <c r="DK189" s="48">
        <f>IF(DK$8=1,N(Reales!DK24),IF(DK$171=1,IF(AND(AND(110&gt;Corte,110&lt;=Corte+n_Ventana),ISNUMBER(Detalle_24m!DK$26)),Detalle_24m!DK$26,INDEX(Vol_V,13,DK$170)/12)*(1+V_dVol),0))</f>
        <v>0</v>
      </c>
      <c r="DL189" s="48">
        <f>IF(DL$8=1,N(Reales!DL24),IF(DL$171=1,IF(AND(AND(111&gt;Corte,111&lt;=Corte+n_Ventana),ISNUMBER(Detalle_24m!DL$26)),Detalle_24m!DL$26,INDEX(Vol_V,13,DL$170)/12)*(1+V_dVol),0))</f>
        <v>0</v>
      </c>
      <c r="DM189" s="48">
        <f>IF(DM$8=1,N(Reales!DM24),IF(DM$171=1,IF(AND(AND(112&gt;Corte,112&lt;=Corte+n_Ventana),ISNUMBER(Detalle_24m!DM$26)),Detalle_24m!DM$26,INDEX(Vol_V,13,DM$170)/12)*(1+V_dVol),0))</f>
        <v>0</v>
      </c>
      <c r="DN189" s="48">
        <f>IF(DN$8=1,N(Reales!DN24),IF(DN$171=1,IF(AND(AND(113&gt;Corte,113&lt;=Corte+n_Ventana),ISNUMBER(Detalle_24m!DN$26)),Detalle_24m!DN$26,INDEX(Vol_V,13,DN$170)/12)*(1+V_dVol),0))</f>
        <v>0</v>
      </c>
      <c r="DO189" s="48">
        <f>IF(DO$8=1,N(Reales!DO24),IF(DO$171=1,IF(AND(AND(114&gt;Corte,114&lt;=Corte+n_Ventana),ISNUMBER(Detalle_24m!DO$26)),Detalle_24m!DO$26,INDEX(Vol_V,13,DO$170)/12)*(1+V_dVol),0))</f>
        <v>0</v>
      </c>
      <c r="DP189" s="48">
        <f>IF(DP$8=1,N(Reales!DP24),IF(DP$171=1,IF(AND(AND(115&gt;Corte,115&lt;=Corte+n_Ventana),ISNUMBER(Detalle_24m!DP$26)),Detalle_24m!DP$26,INDEX(Vol_V,13,DP$170)/12)*(1+V_dVol),0))</f>
        <v>0</v>
      </c>
      <c r="DQ189" s="48">
        <f>IF(DQ$8=1,N(Reales!DQ24),IF(DQ$171=1,IF(AND(AND(116&gt;Corte,116&lt;=Corte+n_Ventana),ISNUMBER(Detalle_24m!DQ$26)),Detalle_24m!DQ$26,INDEX(Vol_V,13,DQ$170)/12)*(1+V_dVol),0))</f>
        <v>0</v>
      </c>
      <c r="DR189" s="48">
        <f>IF(DR$8=1,N(Reales!DR24),IF(DR$171=1,IF(AND(AND(117&gt;Corte,117&lt;=Corte+n_Ventana),ISNUMBER(Detalle_24m!DR$26)),Detalle_24m!DR$26,INDEX(Vol_V,13,DR$170)/12)*(1+V_dVol),0))</f>
        <v>0</v>
      </c>
      <c r="DS189" s="48">
        <f>IF(DS$8=1,N(Reales!DS24),IF(DS$171=1,IF(AND(AND(118&gt;Corte,118&lt;=Corte+n_Ventana),ISNUMBER(Detalle_24m!DS$26)),Detalle_24m!DS$26,INDEX(Vol_V,13,DS$170)/12)*(1+V_dVol),0))</f>
        <v>0</v>
      </c>
      <c r="DT189" s="48">
        <f>IF(DT$8=1,N(Reales!DT24),IF(DT$171=1,IF(AND(AND(119&gt;Corte,119&lt;=Corte+n_Ventana),ISNUMBER(Detalle_24m!DT$26)),Detalle_24m!DT$26,INDEX(Vol_V,13,DT$170)/12)*(1+V_dVol),0))</f>
        <v>0</v>
      </c>
      <c r="DU189" s="48">
        <f>IF(DU$8=1,N(Reales!DU24),IF(DU$171=1,IF(AND(AND(120&gt;Corte,120&lt;=Corte+n_Ventana),ISNUMBER(Detalle_24m!DU$26)),Detalle_24m!DU$26,INDEX(Vol_V,13,DU$170)/12)*(1+V_dVol),0))</f>
        <v>0</v>
      </c>
      <c r="DV189" s="48">
        <f>IF(DV$8=1,N(Reales!DV24),IF(DV$171=1,IF(AND(AND(121&gt;Corte,121&lt;=Corte+n_Ventana),ISNUMBER(Detalle_24m!DV$26)),Detalle_24m!DV$26,INDEX(Vol_V,13,DV$170)/12)*(1+V_dVol),0))</f>
        <v>0</v>
      </c>
      <c r="DW189" s="48">
        <f>IF(DW$8=1,N(Reales!DW24),IF(DW$171=1,IF(AND(AND(122&gt;Corte,122&lt;=Corte+n_Ventana),ISNUMBER(Detalle_24m!DW$26)),Detalle_24m!DW$26,INDEX(Vol_V,13,DW$170)/12)*(1+V_dVol),0))</f>
        <v>0</v>
      </c>
      <c r="DX189" s="48">
        <f>IF(DX$8=1,N(Reales!DX24),IF(DX$171=1,IF(AND(AND(123&gt;Corte,123&lt;=Corte+n_Ventana),ISNUMBER(Detalle_24m!DX$26)),Detalle_24m!DX$26,INDEX(Vol_V,13,DX$170)/12)*(1+V_dVol),0))</f>
        <v>0</v>
      </c>
      <c r="DY189" s="48">
        <f>IF(DY$8=1,N(Reales!DY24),IF(DY$171=1,IF(AND(AND(124&gt;Corte,124&lt;=Corte+n_Ventana),ISNUMBER(Detalle_24m!DY$26)),Detalle_24m!DY$26,INDEX(Vol_V,13,DY$170)/12)*(1+V_dVol),0))</f>
        <v>0</v>
      </c>
      <c r="DZ189" s="48">
        <f>IF(DZ$8=1,N(Reales!DZ24),IF(DZ$171=1,IF(AND(AND(125&gt;Corte,125&lt;=Corte+n_Ventana),ISNUMBER(Detalle_24m!DZ$26)),Detalle_24m!DZ$26,INDEX(Vol_V,13,DZ$170)/12)*(1+V_dVol),0))</f>
        <v>0</v>
      </c>
      <c r="EA189" s="48">
        <f>IF(EA$8=1,N(Reales!EA24),IF(EA$171=1,IF(AND(AND(126&gt;Corte,126&lt;=Corte+n_Ventana),ISNUMBER(Detalle_24m!EA$26)),Detalle_24m!EA$26,INDEX(Vol_V,13,EA$170)/12)*(1+V_dVol),0))</f>
        <v>0</v>
      </c>
      <c r="EB189" s="48">
        <f>IF(EB$8=1,N(Reales!EB24),IF(EB$171=1,IF(AND(AND(127&gt;Corte,127&lt;=Corte+n_Ventana),ISNUMBER(Detalle_24m!EB$26)),Detalle_24m!EB$26,INDEX(Vol_V,13,EB$170)/12)*(1+V_dVol),0))</f>
        <v>0</v>
      </c>
      <c r="EC189" s="48">
        <f>IF(EC$8=1,N(Reales!EC24),IF(EC$171=1,IF(AND(AND(128&gt;Corte,128&lt;=Corte+n_Ventana),ISNUMBER(Detalle_24m!EC$26)),Detalle_24m!EC$26,INDEX(Vol_V,13,EC$170)/12)*(1+V_dVol),0))</f>
        <v>0</v>
      </c>
      <c r="ED189" s="48">
        <f>IF(ED$8=1,N(Reales!ED24),IF(ED$171=1,IF(AND(AND(129&gt;Corte,129&lt;=Corte+n_Ventana),ISNUMBER(Detalle_24m!ED$26)),Detalle_24m!ED$26,INDEX(Vol_V,13,ED$170)/12)*(1+V_dVol),0))</f>
        <v>0</v>
      </c>
      <c r="EE189" s="48">
        <f>IF(EE$8=1,N(Reales!EE24),IF(EE$171=1,IF(AND(AND(130&gt;Corte,130&lt;=Corte+n_Ventana),ISNUMBER(Detalle_24m!EE$26)),Detalle_24m!EE$26,INDEX(Vol_V,13,EE$170)/12)*(1+V_dVol),0))</f>
        <v>0</v>
      </c>
      <c r="EF189" s="48">
        <f>IF(EF$8=1,N(Reales!EF24),IF(EF$171=1,IF(AND(AND(131&gt;Corte,131&lt;=Corte+n_Ventana),ISNUMBER(Detalle_24m!EF$26)),Detalle_24m!EF$26,INDEX(Vol_V,13,EF$170)/12)*(1+V_dVol),0))</f>
        <v>0</v>
      </c>
      <c r="EG189" s="48">
        <f>IF(EG$8=1,N(Reales!EG24),IF(EG$171=1,IF(AND(AND(132&gt;Corte,132&lt;=Corte+n_Ventana),ISNUMBER(Detalle_24m!EG$26)),Detalle_24m!EG$26,INDEX(Vol_V,13,EG$170)/12)*(1+V_dVol),0))</f>
        <v>0</v>
      </c>
      <c r="EH189" s="48">
        <f>IF(EH$8=1,N(Reales!EH24),IF(EH$171=1,IF(AND(AND(133&gt;Corte,133&lt;=Corte+n_Ventana),ISNUMBER(Detalle_24m!EH$26)),Detalle_24m!EH$26,INDEX(Vol_V,13,EH$170)/12)*(1+V_dVol),0))</f>
        <v>0</v>
      </c>
      <c r="EI189" s="48">
        <f>IF(EI$8=1,N(Reales!EI24),IF(EI$171=1,IF(AND(AND(134&gt;Corte,134&lt;=Corte+n_Ventana),ISNUMBER(Detalle_24m!EI$26)),Detalle_24m!EI$26,INDEX(Vol_V,13,EI$170)/12)*(1+V_dVol),0))</f>
        <v>0</v>
      </c>
      <c r="EJ189" s="48">
        <f>IF(EJ$8=1,N(Reales!EJ24),IF(EJ$171=1,IF(AND(AND(135&gt;Corte,135&lt;=Corte+n_Ventana),ISNUMBER(Detalle_24m!EJ$26)),Detalle_24m!EJ$26,INDEX(Vol_V,13,EJ$170)/12)*(1+V_dVol),0))</f>
        <v>0</v>
      </c>
      <c r="EK189" s="48">
        <f>IF(EK$8=1,N(Reales!EK24),IF(EK$171=1,IF(AND(AND(136&gt;Corte,136&lt;=Corte+n_Ventana),ISNUMBER(Detalle_24m!EK$26)),Detalle_24m!EK$26,INDEX(Vol_V,13,EK$170)/12)*(1+V_dVol),0))</f>
        <v>0</v>
      </c>
      <c r="EL189" s="48">
        <f>IF(EL$8=1,N(Reales!EL24),IF(EL$171=1,IF(AND(AND(137&gt;Corte,137&lt;=Corte+n_Ventana),ISNUMBER(Detalle_24m!EL$26)),Detalle_24m!EL$26,INDEX(Vol_V,13,EL$170)/12)*(1+V_dVol),0))</f>
        <v>0</v>
      </c>
      <c r="EM189" s="48">
        <f>IF(EM$8=1,N(Reales!EM24),IF(EM$171=1,IF(AND(AND(138&gt;Corte,138&lt;=Corte+n_Ventana),ISNUMBER(Detalle_24m!EM$26)),Detalle_24m!EM$26,INDEX(Vol_V,13,EM$170)/12)*(1+V_dVol),0))</f>
        <v>0</v>
      </c>
      <c r="EN189" s="48">
        <f>IF(EN$8=1,N(Reales!EN24),IF(EN$171=1,IF(AND(AND(139&gt;Corte,139&lt;=Corte+n_Ventana),ISNUMBER(Detalle_24m!EN$26)),Detalle_24m!EN$26,INDEX(Vol_V,13,EN$170)/12)*(1+V_dVol),0))</f>
        <v>0</v>
      </c>
      <c r="EO189" s="48">
        <f>IF(EO$8=1,N(Reales!EO24),IF(EO$171=1,IF(AND(AND(140&gt;Corte,140&lt;=Corte+n_Ventana),ISNUMBER(Detalle_24m!EO$26)),Detalle_24m!EO$26,INDEX(Vol_V,13,EO$170)/12)*(1+V_dVol),0))</f>
        <v>0</v>
      </c>
      <c r="EP189" s="48">
        <f>IF(EP$8=1,N(Reales!EP24),IF(EP$171=1,IF(AND(AND(141&gt;Corte,141&lt;=Corte+n_Ventana),ISNUMBER(Detalle_24m!EP$26)),Detalle_24m!EP$26,INDEX(Vol_V,13,EP$170)/12)*(1+V_dVol),0))</f>
        <v>0</v>
      </c>
      <c r="EQ189" s="48">
        <f>IF(EQ$8=1,N(Reales!EQ24),IF(EQ$171=1,IF(AND(AND(142&gt;Corte,142&lt;=Corte+n_Ventana),ISNUMBER(Detalle_24m!EQ$26)),Detalle_24m!EQ$26,INDEX(Vol_V,13,EQ$170)/12)*(1+V_dVol),0))</f>
        <v>0</v>
      </c>
      <c r="ER189" s="48">
        <f>IF(ER$8=1,N(Reales!ER24),IF(ER$171=1,IF(AND(AND(143&gt;Corte,143&lt;=Corte+n_Ventana),ISNUMBER(Detalle_24m!ER$26)),Detalle_24m!ER$26,INDEX(Vol_V,13,ER$170)/12)*(1+V_dVol),0))</f>
        <v>0</v>
      </c>
      <c r="ES189" s="48">
        <f>IF(ES$8=1,N(Reales!ES24),IF(ES$171=1,IF(AND(AND(144&gt;Corte,144&lt;=Corte+n_Ventana),ISNUMBER(Detalle_24m!ES$26)),Detalle_24m!ES$26,INDEX(Vol_V,13,ES$170)/12)*(1+V_dVol),0))</f>
        <v>0</v>
      </c>
    </row>
    <row r="190" spans="1:149" x14ac:dyDescent="0.3">
      <c r="A190" s="14" t="s">
        <v>1245</v>
      </c>
      <c r="B190" s="53" t="str">
        <f>IF(INDEX(Prod_Nombre,14)="","Producto 14",INDEX(Prod_Nombre,14))&amp;" — unidades"</f>
        <v>Producto 14 — unidades</v>
      </c>
      <c r="C190" s="18" t="s">
        <v>475</v>
      </c>
      <c r="E190" s="54">
        <f t="shared" si="604"/>
        <v>0</v>
      </c>
      <c r="F190" s="48">
        <f>IF(F$8=1,N(Reales!F25),IF(F$171=1,IF(AND(AND(1&gt;Corte,1&lt;=Corte+n_Ventana),ISNUMBER(Detalle_24m!F$27)),Detalle_24m!F$27,INDEX(Vol_V,14,F$170)/12)*(1+V_dVol),0))</f>
        <v>0</v>
      </c>
      <c r="G190" s="48">
        <f>IF(G$8=1,N(Reales!G25),IF(G$171=1,IF(AND(AND(2&gt;Corte,2&lt;=Corte+n_Ventana),ISNUMBER(Detalle_24m!G$27)),Detalle_24m!G$27,INDEX(Vol_V,14,G$170)/12)*(1+V_dVol),0))</f>
        <v>0</v>
      </c>
      <c r="H190" s="48">
        <f>IF(H$8=1,N(Reales!H25),IF(H$171=1,IF(AND(AND(3&gt;Corte,3&lt;=Corte+n_Ventana),ISNUMBER(Detalle_24m!H$27)),Detalle_24m!H$27,INDEX(Vol_V,14,H$170)/12)*(1+V_dVol),0))</f>
        <v>0</v>
      </c>
      <c r="I190" s="48">
        <f>IF(I$8=1,N(Reales!I25),IF(I$171=1,IF(AND(AND(4&gt;Corte,4&lt;=Corte+n_Ventana),ISNUMBER(Detalle_24m!I$27)),Detalle_24m!I$27,INDEX(Vol_V,14,I$170)/12)*(1+V_dVol),0))</f>
        <v>0</v>
      </c>
      <c r="J190" s="48">
        <f>IF(J$8=1,N(Reales!J25),IF(J$171=1,IF(AND(AND(5&gt;Corte,5&lt;=Corte+n_Ventana),ISNUMBER(Detalle_24m!J$27)),Detalle_24m!J$27,INDEX(Vol_V,14,J$170)/12)*(1+V_dVol),0))</f>
        <v>0</v>
      </c>
      <c r="K190" s="48">
        <f>IF(K$8=1,N(Reales!K25),IF(K$171=1,IF(AND(AND(6&gt;Corte,6&lt;=Corte+n_Ventana),ISNUMBER(Detalle_24m!K$27)),Detalle_24m!K$27,INDEX(Vol_V,14,K$170)/12)*(1+V_dVol),0))</f>
        <v>0</v>
      </c>
      <c r="L190" s="48">
        <f>IF(L$8=1,N(Reales!L25),IF(L$171=1,IF(AND(AND(7&gt;Corte,7&lt;=Corte+n_Ventana),ISNUMBER(Detalle_24m!L$27)),Detalle_24m!L$27,INDEX(Vol_V,14,L$170)/12)*(1+V_dVol),0))</f>
        <v>0</v>
      </c>
      <c r="M190" s="48">
        <f>IF(M$8=1,N(Reales!M25),IF(M$171=1,IF(AND(AND(8&gt;Corte,8&lt;=Corte+n_Ventana),ISNUMBER(Detalle_24m!M$27)),Detalle_24m!M$27,INDEX(Vol_V,14,M$170)/12)*(1+V_dVol),0))</f>
        <v>0</v>
      </c>
      <c r="N190" s="48">
        <f>IF(N$8=1,N(Reales!N25),IF(N$171=1,IF(AND(AND(9&gt;Corte,9&lt;=Corte+n_Ventana),ISNUMBER(Detalle_24m!N$27)),Detalle_24m!N$27,INDEX(Vol_V,14,N$170)/12)*(1+V_dVol),0))</f>
        <v>0</v>
      </c>
      <c r="O190" s="48">
        <f>IF(O$8=1,N(Reales!O25),IF(O$171=1,IF(AND(AND(10&gt;Corte,10&lt;=Corte+n_Ventana),ISNUMBER(Detalle_24m!O$27)),Detalle_24m!O$27,INDEX(Vol_V,14,O$170)/12)*(1+V_dVol),0))</f>
        <v>0</v>
      </c>
      <c r="P190" s="48">
        <f>IF(P$8=1,N(Reales!P25),IF(P$171=1,IF(AND(AND(11&gt;Corte,11&lt;=Corte+n_Ventana),ISNUMBER(Detalle_24m!P$27)),Detalle_24m!P$27,INDEX(Vol_V,14,P$170)/12)*(1+V_dVol),0))</f>
        <v>0</v>
      </c>
      <c r="Q190" s="48">
        <f>IF(Q$8=1,N(Reales!Q25),IF(Q$171=1,IF(AND(AND(12&gt;Corte,12&lt;=Corte+n_Ventana),ISNUMBER(Detalle_24m!Q$27)),Detalle_24m!Q$27,INDEX(Vol_V,14,Q$170)/12)*(1+V_dVol),0))</f>
        <v>0</v>
      </c>
      <c r="R190" s="48">
        <f>IF(R$8=1,N(Reales!R25),IF(R$171=1,IF(AND(AND(13&gt;Corte,13&lt;=Corte+n_Ventana),ISNUMBER(Detalle_24m!R$27)),Detalle_24m!R$27,INDEX(Vol_V,14,R$170)/12)*(1+V_dVol),0))</f>
        <v>0</v>
      </c>
      <c r="S190" s="48">
        <f>IF(S$8=1,N(Reales!S25),IF(S$171=1,IF(AND(AND(14&gt;Corte,14&lt;=Corte+n_Ventana),ISNUMBER(Detalle_24m!S$27)),Detalle_24m!S$27,INDEX(Vol_V,14,S$170)/12)*(1+V_dVol),0))</f>
        <v>0</v>
      </c>
      <c r="T190" s="48">
        <f>IF(T$8=1,N(Reales!T25),IF(T$171=1,IF(AND(AND(15&gt;Corte,15&lt;=Corte+n_Ventana),ISNUMBER(Detalle_24m!T$27)),Detalle_24m!T$27,INDEX(Vol_V,14,T$170)/12)*(1+V_dVol),0))</f>
        <v>0</v>
      </c>
      <c r="U190" s="48">
        <f>IF(U$8=1,N(Reales!U25),IF(U$171=1,IF(AND(AND(16&gt;Corte,16&lt;=Corte+n_Ventana),ISNUMBER(Detalle_24m!U$27)),Detalle_24m!U$27,INDEX(Vol_V,14,U$170)/12)*(1+V_dVol),0))</f>
        <v>0</v>
      </c>
      <c r="V190" s="48">
        <f>IF(V$8=1,N(Reales!V25),IF(V$171=1,IF(AND(AND(17&gt;Corte,17&lt;=Corte+n_Ventana),ISNUMBER(Detalle_24m!V$27)),Detalle_24m!V$27,INDEX(Vol_V,14,V$170)/12)*(1+V_dVol),0))</f>
        <v>0</v>
      </c>
      <c r="W190" s="48">
        <f>IF(W$8=1,N(Reales!W25),IF(W$171=1,IF(AND(AND(18&gt;Corte,18&lt;=Corte+n_Ventana),ISNUMBER(Detalle_24m!W$27)),Detalle_24m!W$27,INDEX(Vol_V,14,W$170)/12)*(1+V_dVol),0))</f>
        <v>0</v>
      </c>
      <c r="X190" s="48">
        <f>IF(X$8=1,N(Reales!X25),IF(X$171=1,IF(AND(AND(19&gt;Corte,19&lt;=Corte+n_Ventana),ISNUMBER(Detalle_24m!X$27)),Detalle_24m!X$27,INDEX(Vol_V,14,X$170)/12)*(1+V_dVol),0))</f>
        <v>0</v>
      </c>
      <c r="Y190" s="48">
        <f>IF(Y$8=1,N(Reales!Y25),IF(Y$171=1,IF(AND(AND(20&gt;Corte,20&lt;=Corte+n_Ventana),ISNUMBER(Detalle_24m!Y$27)),Detalle_24m!Y$27,INDEX(Vol_V,14,Y$170)/12)*(1+V_dVol),0))</f>
        <v>0</v>
      </c>
      <c r="Z190" s="48">
        <f>IF(Z$8=1,N(Reales!Z25),IF(Z$171=1,IF(AND(AND(21&gt;Corte,21&lt;=Corte+n_Ventana),ISNUMBER(Detalle_24m!Z$27)),Detalle_24m!Z$27,INDEX(Vol_V,14,Z$170)/12)*(1+V_dVol),0))</f>
        <v>0</v>
      </c>
      <c r="AA190" s="48">
        <f>IF(AA$8=1,N(Reales!AA25),IF(AA$171=1,IF(AND(AND(22&gt;Corte,22&lt;=Corte+n_Ventana),ISNUMBER(Detalle_24m!AA$27)),Detalle_24m!AA$27,INDEX(Vol_V,14,AA$170)/12)*(1+V_dVol),0))</f>
        <v>0</v>
      </c>
      <c r="AB190" s="48">
        <f>IF(AB$8=1,N(Reales!AB25),IF(AB$171=1,IF(AND(AND(23&gt;Corte,23&lt;=Corte+n_Ventana),ISNUMBER(Detalle_24m!AB$27)),Detalle_24m!AB$27,INDEX(Vol_V,14,AB$170)/12)*(1+V_dVol),0))</f>
        <v>0</v>
      </c>
      <c r="AC190" s="48">
        <f>IF(AC$8=1,N(Reales!AC25),IF(AC$171=1,IF(AND(AND(24&gt;Corte,24&lt;=Corte+n_Ventana),ISNUMBER(Detalle_24m!AC$27)),Detalle_24m!AC$27,INDEX(Vol_V,14,AC$170)/12)*(1+V_dVol),0))</f>
        <v>0</v>
      </c>
      <c r="AD190" s="48">
        <f>IF(AD$8=1,N(Reales!AD25),IF(AD$171=1,IF(AND(AND(25&gt;Corte,25&lt;=Corte+n_Ventana),ISNUMBER(Detalle_24m!AD$27)),Detalle_24m!AD$27,INDEX(Vol_V,14,AD$170)/12)*(1+V_dVol),0))</f>
        <v>0</v>
      </c>
      <c r="AE190" s="48">
        <f>IF(AE$8=1,N(Reales!AE25),IF(AE$171=1,IF(AND(AND(26&gt;Corte,26&lt;=Corte+n_Ventana),ISNUMBER(Detalle_24m!AE$27)),Detalle_24m!AE$27,INDEX(Vol_V,14,AE$170)/12)*(1+V_dVol),0))</f>
        <v>0</v>
      </c>
      <c r="AF190" s="48">
        <f>IF(AF$8=1,N(Reales!AF25),IF(AF$171=1,IF(AND(AND(27&gt;Corte,27&lt;=Corte+n_Ventana),ISNUMBER(Detalle_24m!AF$27)),Detalle_24m!AF$27,INDEX(Vol_V,14,AF$170)/12)*(1+V_dVol),0))</f>
        <v>0</v>
      </c>
      <c r="AG190" s="48">
        <f>IF(AG$8=1,N(Reales!AG25),IF(AG$171=1,IF(AND(AND(28&gt;Corte,28&lt;=Corte+n_Ventana),ISNUMBER(Detalle_24m!AG$27)),Detalle_24m!AG$27,INDEX(Vol_V,14,AG$170)/12)*(1+V_dVol),0))</f>
        <v>0</v>
      </c>
      <c r="AH190" s="48">
        <f>IF(AH$8=1,N(Reales!AH25),IF(AH$171=1,IF(AND(AND(29&gt;Corte,29&lt;=Corte+n_Ventana),ISNUMBER(Detalle_24m!AH$27)),Detalle_24m!AH$27,INDEX(Vol_V,14,AH$170)/12)*(1+V_dVol),0))</f>
        <v>0</v>
      </c>
      <c r="AI190" s="48">
        <f>IF(AI$8=1,N(Reales!AI25),IF(AI$171=1,IF(AND(AND(30&gt;Corte,30&lt;=Corte+n_Ventana),ISNUMBER(Detalle_24m!AI$27)),Detalle_24m!AI$27,INDEX(Vol_V,14,AI$170)/12)*(1+V_dVol),0))</f>
        <v>0</v>
      </c>
      <c r="AJ190" s="48">
        <f>IF(AJ$8=1,N(Reales!AJ25),IF(AJ$171=1,IF(AND(AND(31&gt;Corte,31&lt;=Corte+n_Ventana),ISNUMBER(Detalle_24m!AJ$27)),Detalle_24m!AJ$27,INDEX(Vol_V,14,AJ$170)/12)*(1+V_dVol),0))</f>
        <v>0</v>
      </c>
      <c r="AK190" s="48">
        <f>IF(AK$8=1,N(Reales!AK25),IF(AK$171=1,IF(AND(AND(32&gt;Corte,32&lt;=Corte+n_Ventana),ISNUMBER(Detalle_24m!AK$27)),Detalle_24m!AK$27,INDEX(Vol_V,14,AK$170)/12)*(1+V_dVol),0))</f>
        <v>0</v>
      </c>
      <c r="AL190" s="48">
        <f>IF(AL$8=1,N(Reales!AL25),IF(AL$171=1,IF(AND(AND(33&gt;Corte,33&lt;=Corte+n_Ventana),ISNUMBER(Detalle_24m!AL$27)),Detalle_24m!AL$27,INDEX(Vol_V,14,AL$170)/12)*(1+V_dVol),0))</f>
        <v>0</v>
      </c>
      <c r="AM190" s="48">
        <f>IF(AM$8=1,N(Reales!AM25),IF(AM$171=1,IF(AND(AND(34&gt;Corte,34&lt;=Corte+n_Ventana),ISNUMBER(Detalle_24m!AM$27)),Detalle_24m!AM$27,INDEX(Vol_V,14,AM$170)/12)*(1+V_dVol),0))</f>
        <v>0</v>
      </c>
      <c r="AN190" s="48">
        <f>IF(AN$8=1,N(Reales!AN25),IF(AN$171=1,IF(AND(AND(35&gt;Corte,35&lt;=Corte+n_Ventana),ISNUMBER(Detalle_24m!AN$27)),Detalle_24m!AN$27,INDEX(Vol_V,14,AN$170)/12)*(1+V_dVol),0))</f>
        <v>0</v>
      </c>
      <c r="AO190" s="48">
        <f>IF(AO$8=1,N(Reales!AO25),IF(AO$171=1,IF(AND(AND(36&gt;Corte,36&lt;=Corte+n_Ventana),ISNUMBER(Detalle_24m!AO$27)),Detalle_24m!AO$27,INDEX(Vol_V,14,AO$170)/12)*(1+V_dVol),0))</f>
        <v>0</v>
      </c>
      <c r="AP190" s="48">
        <f>IF(AP$8=1,N(Reales!AP25),IF(AP$171=1,IF(AND(AND(37&gt;Corte,37&lt;=Corte+n_Ventana),ISNUMBER(Detalle_24m!AP$27)),Detalle_24m!AP$27,INDEX(Vol_V,14,AP$170)/12)*(1+V_dVol),0))</f>
        <v>0</v>
      </c>
      <c r="AQ190" s="48">
        <f>IF(AQ$8=1,N(Reales!AQ25),IF(AQ$171=1,IF(AND(AND(38&gt;Corte,38&lt;=Corte+n_Ventana),ISNUMBER(Detalle_24m!AQ$27)),Detalle_24m!AQ$27,INDEX(Vol_V,14,AQ$170)/12)*(1+V_dVol),0))</f>
        <v>0</v>
      </c>
      <c r="AR190" s="48">
        <f>IF(AR$8=1,N(Reales!AR25),IF(AR$171=1,IF(AND(AND(39&gt;Corte,39&lt;=Corte+n_Ventana),ISNUMBER(Detalle_24m!AR$27)),Detalle_24m!AR$27,INDEX(Vol_V,14,AR$170)/12)*(1+V_dVol),0))</f>
        <v>0</v>
      </c>
      <c r="AS190" s="48">
        <f>IF(AS$8=1,N(Reales!AS25),IF(AS$171=1,IF(AND(AND(40&gt;Corte,40&lt;=Corte+n_Ventana),ISNUMBER(Detalle_24m!AS$27)),Detalle_24m!AS$27,INDEX(Vol_V,14,AS$170)/12)*(1+V_dVol),0))</f>
        <v>0</v>
      </c>
      <c r="AT190" s="48">
        <f>IF(AT$8=1,N(Reales!AT25),IF(AT$171=1,IF(AND(AND(41&gt;Corte,41&lt;=Corte+n_Ventana),ISNUMBER(Detalle_24m!AT$27)),Detalle_24m!AT$27,INDEX(Vol_V,14,AT$170)/12)*(1+V_dVol),0))</f>
        <v>0</v>
      </c>
      <c r="AU190" s="48">
        <f>IF(AU$8=1,N(Reales!AU25),IF(AU$171=1,IF(AND(AND(42&gt;Corte,42&lt;=Corte+n_Ventana),ISNUMBER(Detalle_24m!AU$27)),Detalle_24m!AU$27,INDEX(Vol_V,14,AU$170)/12)*(1+V_dVol),0))</f>
        <v>0</v>
      </c>
      <c r="AV190" s="48">
        <f>IF(AV$8=1,N(Reales!AV25),IF(AV$171=1,IF(AND(AND(43&gt;Corte,43&lt;=Corte+n_Ventana),ISNUMBER(Detalle_24m!AV$27)),Detalle_24m!AV$27,INDEX(Vol_V,14,AV$170)/12)*(1+V_dVol),0))</f>
        <v>0</v>
      </c>
      <c r="AW190" s="48">
        <f>IF(AW$8=1,N(Reales!AW25),IF(AW$171=1,IF(AND(AND(44&gt;Corte,44&lt;=Corte+n_Ventana),ISNUMBER(Detalle_24m!AW$27)),Detalle_24m!AW$27,INDEX(Vol_V,14,AW$170)/12)*(1+V_dVol),0))</f>
        <v>0</v>
      </c>
      <c r="AX190" s="48">
        <f>IF(AX$8=1,N(Reales!AX25),IF(AX$171=1,IF(AND(AND(45&gt;Corte,45&lt;=Corte+n_Ventana),ISNUMBER(Detalle_24m!AX$27)),Detalle_24m!AX$27,INDEX(Vol_V,14,AX$170)/12)*(1+V_dVol),0))</f>
        <v>0</v>
      </c>
      <c r="AY190" s="48">
        <f>IF(AY$8=1,N(Reales!AY25),IF(AY$171=1,IF(AND(AND(46&gt;Corte,46&lt;=Corte+n_Ventana),ISNUMBER(Detalle_24m!AY$27)),Detalle_24m!AY$27,INDEX(Vol_V,14,AY$170)/12)*(1+V_dVol),0))</f>
        <v>0</v>
      </c>
      <c r="AZ190" s="48">
        <f>IF(AZ$8=1,N(Reales!AZ25),IF(AZ$171=1,IF(AND(AND(47&gt;Corte,47&lt;=Corte+n_Ventana),ISNUMBER(Detalle_24m!AZ$27)),Detalle_24m!AZ$27,INDEX(Vol_V,14,AZ$170)/12)*(1+V_dVol),0))</f>
        <v>0</v>
      </c>
      <c r="BA190" s="48">
        <f>IF(BA$8=1,N(Reales!BA25),IF(BA$171=1,IF(AND(AND(48&gt;Corte,48&lt;=Corte+n_Ventana),ISNUMBER(Detalle_24m!BA$27)),Detalle_24m!BA$27,INDEX(Vol_V,14,BA$170)/12)*(1+V_dVol),0))</f>
        <v>0</v>
      </c>
      <c r="BB190" s="48">
        <f>IF(BB$8=1,N(Reales!BB25),IF(BB$171=1,IF(AND(AND(49&gt;Corte,49&lt;=Corte+n_Ventana),ISNUMBER(Detalle_24m!BB$27)),Detalle_24m!BB$27,INDEX(Vol_V,14,BB$170)/12)*(1+V_dVol),0))</f>
        <v>0</v>
      </c>
      <c r="BC190" s="48">
        <f>IF(BC$8=1,N(Reales!BC25),IF(BC$171=1,IF(AND(AND(50&gt;Corte,50&lt;=Corte+n_Ventana),ISNUMBER(Detalle_24m!BC$27)),Detalle_24m!BC$27,INDEX(Vol_V,14,BC$170)/12)*(1+V_dVol),0))</f>
        <v>0</v>
      </c>
      <c r="BD190" s="48">
        <f>IF(BD$8=1,N(Reales!BD25),IF(BD$171=1,IF(AND(AND(51&gt;Corte,51&lt;=Corte+n_Ventana),ISNUMBER(Detalle_24m!BD$27)),Detalle_24m!BD$27,INDEX(Vol_V,14,BD$170)/12)*(1+V_dVol),0))</f>
        <v>0</v>
      </c>
      <c r="BE190" s="48">
        <f>IF(BE$8=1,N(Reales!BE25),IF(BE$171=1,IF(AND(AND(52&gt;Corte,52&lt;=Corte+n_Ventana),ISNUMBER(Detalle_24m!BE$27)),Detalle_24m!BE$27,INDEX(Vol_V,14,BE$170)/12)*(1+V_dVol),0))</f>
        <v>0</v>
      </c>
      <c r="BF190" s="48">
        <f>IF(BF$8=1,N(Reales!BF25),IF(BF$171=1,IF(AND(AND(53&gt;Corte,53&lt;=Corte+n_Ventana),ISNUMBER(Detalle_24m!BF$27)),Detalle_24m!BF$27,INDEX(Vol_V,14,BF$170)/12)*(1+V_dVol),0))</f>
        <v>0</v>
      </c>
      <c r="BG190" s="48">
        <f>IF(BG$8=1,N(Reales!BG25),IF(BG$171=1,IF(AND(AND(54&gt;Corte,54&lt;=Corte+n_Ventana),ISNUMBER(Detalle_24m!BG$27)),Detalle_24m!BG$27,INDEX(Vol_V,14,BG$170)/12)*(1+V_dVol),0))</f>
        <v>0</v>
      </c>
      <c r="BH190" s="48">
        <f>IF(BH$8=1,N(Reales!BH25),IF(BH$171=1,IF(AND(AND(55&gt;Corte,55&lt;=Corte+n_Ventana),ISNUMBER(Detalle_24m!BH$27)),Detalle_24m!BH$27,INDEX(Vol_V,14,BH$170)/12)*(1+V_dVol),0))</f>
        <v>0</v>
      </c>
      <c r="BI190" s="48">
        <f>IF(BI$8=1,N(Reales!BI25),IF(BI$171=1,IF(AND(AND(56&gt;Corte,56&lt;=Corte+n_Ventana),ISNUMBER(Detalle_24m!BI$27)),Detalle_24m!BI$27,INDEX(Vol_V,14,BI$170)/12)*(1+V_dVol),0))</f>
        <v>0</v>
      </c>
      <c r="BJ190" s="48">
        <f>IF(BJ$8=1,N(Reales!BJ25),IF(BJ$171=1,IF(AND(AND(57&gt;Corte,57&lt;=Corte+n_Ventana),ISNUMBER(Detalle_24m!BJ$27)),Detalle_24m!BJ$27,INDEX(Vol_V,14,BJ$170)/12)*(1+V_dVol),0))</f>
        <v>0</v>
      </c>
      <c r="BK190" s="48">
        <f>IF(BK$8=1,N(Reales!BK25),IF(BK$171=1,IF(AND(AND(58&gt;Corte,58&lt;=Corte+n_Ventana),ISNUMBER(Detalle_24m!BK$27)),Detalle_24m!BK$27,INDEX(Vol_V,14,BK$170)/12)*(1+V_dVol),0))</f>
        <v>0</v>
      </c>
      <c r="BL190" s="48">
        <f>IF(BL$8=1,N(Reales!BL25),IF(BL$171=1,IF(AND(AND(59&gt;Corte,59&lt;=Corte+n_Ventana),ISNUMBER(Detalle_24m!BL$27)),Detalle_24m!BL$27,INDEX(Vol_V,14,BL$170)/12)*(1+V_dVol),0))</f>
        <v>0</v>
      </c>
      <c r="BM190" s="48">
        <f>IF(BM$8=1,N(Reales!BM25),IF(BM$171=1,IF(AND(AND(60&gt;Corte,60&lt;=Corte+n_Ventana),ISNUMBER(Detalle_24m!BM$27)),Detalle_24m!BM$27,INDEX(Vol_V,14,BM$170)/12)*(1+V_dVol),0))</f>
        <v>0</v>
      </c>
      <c r="BN190" s="48">
        <f>IF(BN$8=1,N(Reales!BN25),IF(BN$171=1,IF(AND(AND(61&gt;Corte,61&lt;=Corte+n_Ventana),ISNUMBER(Detalle_24m!BN$27)),Detalle_24m!BN$27,INDEX(Vol_V,14,BN$170)/12)*(1+V_dVol),0))</f>
        <v>0</v>
      </c>
      <c r="BO190" s="48">
        <f>IF(BO$8=1,N(Reales!BO25),IF(BO$171=1,IF(AND(AND(62&gt;Corte,62&lt;=Corte+n_Ventana),ISNUMBER(Detalle_24m!BO$27)),Detalle_24m!BO$27,INDEX(Vol_V,14,BO$170)/12)*(1+V_dVol),0))</f>
        <v>0</v>
      </c>
      <c r="BP190" s="48">
        <f>IF(BP$8=1,N(Reales!BP25),IF(BP$171=1,IF(AND(AND(63&gt;Corte,63&lt;=Corte+n_Ventana),ISNUMBER(Detalle_24m!BP$27)),Detalle_24m!BP$27,INDEX(Vol_V,14,BP$170)/12)*(1+V_dVol),0))</f>
        <v>0</v>
      </c>
      <c r="BQ190" s="48">
        <f>IF(BQ$8=1,N(Reales!BQ25),IF(BQ$171=1,IF(AND(AND(64&gt;Corte,64&lt;=Corte+n_Ventana),ISNUMBER(Detalle_24m!BQ$27)),Detalle_24m!BQ$27,INDEX(Vol_V,14,BQ$170)/12)*(1+V_dVol),0))</f>
        <v>0</v>
      </c>
      <c r="BR190" s="48">
        <f>IF(BR$8=1,N(Reales!BR25),IF(BR$171=1,IF(AND(AND(65&gt;Corte,65&lt;=Corte+n_Ventana),ISNUMBER(Detalle_24m!BR$27)),Detalle_24m!BR$27,INDEX(Vol_V,14,BR$170)/12)*(1+V_dVol),0))</f>
        <v>0</v>
      </c>
      <c r="BS190" s="48">
        <f>IF(BS$8=1,N(Reales!BS25),IF(BS$171=1,IF(AND(AND(66&gt;Corte,66&lt;=Corte+n_Ventana),ISNUMBER(Detalle_24m!BS$27)),Detalle_24m!BS$27,INDEX(Vol_V,14,BS$170)/12)*(1+V_dVol),0))</f>
        <v>0</v>
      </c>
      <c r="BT190" s="48">
        <f>IF(BT$8=1,N(Reales!BT25),IF(BT$171=1,IF(AND(AND(67&gt;Corte,67&lt;=Corte+n_Ventana),ISNUMBER(Detalle_24m!BT$27)),Detalle_24m!BT$27,INDEX(Vol_V,14,BT$170)/12)*(1+V_dVol),0))</f>
        <v>0</v>
      </c>
      <c r="BU190" s="48">
        <f>IF(BU$8=1,N(Reales!BU25),IF(BU$171=1,IF(AND(AND(68&gt;Corte,68&lt;=Corte+n_Ventana),ISNUMBER(Detalle_24m!BU$27)),Detalle_24m!BU$27,INDEX(Vol_V,14,BU$170)/12)*(1+V_dVol),0))</f>
        <v>0</v>
      </c>
      <c r="BV190" s="48">
        <f>IF(BV$8=1,N(Reales!BV25),IF(BV$171=1,IF(AND(AND(69&gt;Corte,69&lt;=Corte+n_Ventana),ISNUMBER(Detalle_24m!BV$27)),Detalle_24m!BV$27,INDEX(Vol_V,14,BV$170)/12)*(1+V_dVol),0))</f>
        <v>0</v>
      </c>
      <c r="BW190" s="48">
        <f>IF(BW$8=1,N(Reales!BW25),IF(BW$171=1,IF(AND(AND(70&gt;Corte,70&lt;=Corte+n_Ventana),ISNUMBER(Detalle_24m!BW$27)),Detalle_24m!BW$27,INDEX(Vol_V,14,BW$170)/12)*(1+V_dVol),0))</f>
        <v>0</v>
      </c>
      <c r="BX190" s="48">
        <f>IF(BX$8=1,N(Reales!BX25),IF(BX$171=1,IF(AND(AND(71&gt;Corte,71&lt;=Corte+n_Ventana),ISNUMBER(Detalle_24m!BX$27)),Detalle_24m!BX$27,INDEX(Vol_V,14,BX$170)/12)*(1+V_dVol),0))</f>
        <v>0</v>
      </c>
      <c r="BY190" s="48">
        <f>IF(BY$8=1,N(Reales!BY25),IF(BY$171=1,IF(AND(AND(72&gt;Corte,72&lt;=Corte+n_Ventana),ISNUMBER(Detalle_24m!BY$27)),Detalle_24m!BY$27,INDEX(Vol_V,14,BY$170)/12)*(1+V_dVol),0))</f>
        <v>0</v>
      </c>
      <c r="BZ190" s="48">
        <f>IF(BZ$8=1,N(Reales!BZ25),IF(BZ$171=1,IF(AND(AND(73&gt;Corte,73&lt;=Corte+n_Ventana),ISNUMBER(Detalle_24m!BZ$27)),Detalle_24m!BZ$27,INDEX(Vol_V,14,BZ$170)/12)*(1+V_dVol),0))</f>
        <v>0</v>
      </c>
      <c r="CA190" s="48">
        <f>IF(CA$8=1,N(Reales!CA25),IF(CA$171=1,IF(AND(AND(74&gt;Corte,74&lt;=Corte+n_Ventana),ISNUMBER(Detalle_24m!CA$27)),Detalle_24m!CA$27,INDEX(Vol_V,14,CA$170)/12)*(1+V_dVol),0))</f>
        <v>0</v>
      </c>
      <c r="CB190" s="48">
        <f>IF(CB$8=1,N(Reales!CB25),IF(CB$171=1,IF(AND(AND(75&gt;Corte,75&lt;=Corte+n_Ventana),ISNUMBER(Detalle_24m!CB$27)),Detalle_24m!CB$27,INDEX(Vol_V,14,CB$170)/12)*(1+V_dVol),0))</f>
        <v>0</v>
      </c>
      <c r="CC190" s="48">
        <f>IF(CC$8=1,N(Reales!CC25),IF(CC$171=1,IF(AND(AND(76&gt;Corte,76&lt;=Corte+n_Ventana),ISNUMBER(Detalle_24m!CC$27)),Detalle_24m!CC$27,INDEX(Vol_V,14,CC$170)/12)*(1+V_dVol),0))</f>
        <v>0</v>
      </c>
      <c r="CD190" s="48">
        <f>IF(CD$8=1,N(Reales!CD25),IF(CD$171=1,IF(AND(AND(77&gt;Corte,77&lt;=Corte+n_Ventana),ISNUMBER(Detalle_24m!CD$27)),Detalle_24m!CD$27,INDEX(Vol_V,14,CD$170)/12)*(1+V_dVol),0))</f>
        <v>0</v>
      </c>
      <c r="CE190" s="48">
        <f>IF(CE$8=1,N(Reales!CE25),IF(CE$171=1,IF(AND(AND(78&gt;Corte,78&lt;=Corte+n_Ventana),ISNUMBER(Detalle_24m!CE$27)),Detalle_24m!CE$27,INDEX(Vol_V,14,CE$170)/12)*(1+V_dVol),0))</f>
        <v>0</v>
      </c>
      <c r="CF190" s="48">
        <f>IF(CF$8=1,N(Reales!CF25),IF(CF$171=1,IF(AND(AND(79&gt;Corte,79&lt;=Corte+n_Ventana),ISNUMBER(Detalle_24m!CF$27)),Detalle_24m!CF$27,INDEX(Vol_V,14,CF$170)/12)*(1+V_dVol),0))</f>
        <v>0</v>
      </c>
      <c r="CG190" s="48">
        <f>IF(CG$8=1,N(Reales!CG25),IF(CG$171=1,IF(AND(AND(80&gt;Corte,80&lt;=Corte+n_Ventana),ISNUMBER(Detalle_24m!CG$27)),Detalle_24m!CG$27,INDEX(Vol_V,14,CG$170)/12)*(1+V_dVol),0))</f>
        <v>0</v>
      </c>
      <c r="CH190" s="48">
        <f>IF(CH$8=1,N(Reales!CH25),IF(CH$171=1,IF(AND(AND(81&gt;Corte,81&lt;=Corte+n_Ventana),ISNUMBER(Detalle_24m!CH$27)),Detalle_24m!CH$27,INDEX(Vol_V,14,CH$170)/12)*(1+V_dVol),0))</f>
        <v>0</v>
      </c>
      <c r="CI190" s="48">
        <f>IF(CI$8=1,N(Reales!CI25),IF(CI$171=1,IF(AND(AND(82&gt;Corte,82&lt;=Corte+n_Ventana),ISNUMBER(Detalle_24m!CI$27)),Detalle_24m!CI$27,INDEX(Vol_V,14,CI$170)/12)*(1+V_dVol),0))</f>
        <v>0</v>
      </c>
      <c r="CJ190" s="48">
        <f>IF(CJ$8=1,N(Reales!CJ25),IF(CJ$171=1,IF(AND(AND(83&gt;Corte,83&lt;=Corte+n_Ventana),ISNUMBER(Detalle_24m!CJ$27)),Detalle_24m!CJ$27,INDEX(Vol_V,14,CJ$170)/12)*(1+V_dVol),0))</f>
        <v>0</v>
      </c>
      <c r="CK190" s="48">
        <f>IF(CK$8=1,N(Reales!CK25),IF(CK$171=1,IF(AND(AND(84&gt;Corte,84&lt;=Corte+n_Ventana),ISNUMBER(Detalle_24m!CK$27)),Detalle_24m!CK$27,INDEX(Vol_V,14,CK$170)/12)*(1+V_dVol),0))</f>
        <v>0</v>
      </c>
      <c r="CL190" s="48">
        <f>IF(CL$8=1,N(Reales!CL25),IF(CL$171=1,IF(AND(AND(85&gt;Corte,85&lt;=Corte+n_Ventana),ISNUMBER(Detalle_24m!CL$27)),Detalle_24m!CL$27,INDEX(Vol_V,14,CL$170)/12)*(1+V_dVol),0))</f>
        <v>0</v>
      </c>
      <c r="CM190" s="48">
        <f>IF(CM$8=1,N(Reales!CM25),IF(CM$171=1,IF(AND(AND(86&gt;Corte,86&lt;=Corte+n_Ventana),ISNUMBER(Detalle_24m!CM$27)),Detalle_24m!CM$27,INDEX(Vol_V,14,CM$170)/12)*(1+V_dVol),0))</f>
        <v>0</v>
      </c>
      <c r="CN190" s="48">
        <f>IF(CN$8=1,N(Reales!CN25),IF(CN$171=1,IF(AND(AND(87&gt;Corte,87&lt;=Corte+n_Ventana),ISNUMBER(Detalle_24m!CN$27)),Detalle_24m!CN$27,INDEX(Vol_V,14,CN$170)/12)*(1+V_dVol),0))</f>
        <v>0</v>
      </c>
      <c r="CO190" s="48">
        <f>IF(CO$8=1,N(Reales!CO25),IF(CO$171=1,IF(AND(AND(88&gt;Corte,88&lt;=Corte+n_Ventana),ISNUMBER(Detalle_24m!CO$27)),Detalle_24m!CO$27,INDEX(Vol_V,14,CO$170)/12)*(1+V_dVol),0))</f>
        <v>0</v>
      </c>
      <c r="CP190" s="48">
        <f>IF(CP$8=1,N(Reales!CP25),IF(CP$171=1,IF(AND(AND(89&gt;Corte,89&lt;=Corte+n_Ventana),ISNUMBER(Detalle_24m!CP$27)),Detalle_24m!CP$27,INDEX(Vol_V,14,CP$170)/12)*(1+V_dVol),0))</f>
        <v>0</v>
      </c>
      <c r="CQ190" s="48">
        <f>IF(CQ$8=1,N(Reales!CQ25),IF(CQ$171=1,IF(AND(AND(90&gt;Corte,90&lt;=Corte+n_Ventana),ISNUMBER(Detalle_24m!CQ$27)),Detalle_24m!CQ$27,INDEX(Vol_V,14,CQ$170)/12)*(1+V_dVol),0))</f>
        <v>0</v>
      </c>
      <c r="CR190" s="48">
        <f>IF(CR$8=1,N(Reales!CR25),IF(CR$171=1,IF(AND(AND(91&gt;Corte,91&lt;=Corte+n_Ventana),ISNUMBER(Detalle_24m!CR$27)),Detalle_24m!CR$27,INDEX(Vol_V,14,CR$170)/12)*(1+V_dVol),0))</f>
        <v>0</v>
      </c>
      <c r="CS190" s="48">
        <f>IF(CS$8=1,N(Reales!CS25),IF(CS$171=1,IF(AND(AND(92&gt;Corte,92&lt;=Corte+n_Ventana),ISNUMBER(Detalle_24m!CS$27)),Detalle_24m!CS$27,INDEX(Vol_V,14,CS$170)/12)*(1+V_dVol),0))</f>
        <v>0</v>
      </c>
      <c r="CT190" s="48">
        <f>IF(CT$8=1,N(Reales!CT25),IF(CT$171=1,IF(AND(AND(93&gt;Corte,93&lt;=Corte+n_Ventana),ISNUMBER(Detalle_24m!CT$27)),Detalle_24m!CT$27,INDEX(Vol_V,14,CT$170)/12)*(1+V_dVol),0))</f>
        <v>0</v>
      </c>
      <c r="CU190" s="48">
        <f>IF(CU$8=1,N(Reales!CU25),IF(CU$171=1,IF(AND(AND(94&gt;Corte,94&lt;=Corte+n_Ventana),ISNUMBER(Detalle_24m!CU$27)),Detalle_24m!CU$27,INDEX(Vol_V,14,CU$170)/12)*(1+V_dVol),0))</f>
        <v>0</v>
      </c>
      <c r="CV190" s="48">
        <f>IF(CV$8=1,N(Reales!CV25),IF(CV$171=1,IF(AND(AND(95&gt;Corte,95&lt;=Corte+n_Ventana),ISNUMBER(Detalle_24m!CV$27)),Detalle_24m!CV$27,INDEX(Vol_V,14,CV$170)/12)*(1+V_dVol),0))</f>
        <v>0</v>
      </c>
      <c r="CW190" s="48">
        <f>IF(CW$8=1,N(Reales!CW25),IF(CW$171=1,IF(AND(AND(96&gt;Corte,96&lt;=Corte+n_Ventana),ISNUMBER(Detalle_24m!CW$27)),Detalle_24m!CW$27,INDEX(Vol_V,14,CW$170)/12)*(1+V_dVol),0))</f>
        <v>0</v>
      </c>
      <c r="CX190" s="48">
        <f>IF(CX$8=1,N(Reales!CX25),IF(CX$171=1,IF(AND(AND(97&gt;Corte,97&lt;=Corte+n_Ventana),ISNUMBER(Detalle_24m!CX$27)),Detalle_24m!CX$27,INDEX(Vol_V,14,CX$170)/12)*(1+V_dVol),0))</f>
        <v>0</v>
      </c>
      <c r="CY190" s="48">
        <f>IF(CY$8=1,N(Reales!CY25),IF(CY$171=1,IF(AND(AND(98&gt;Corte,98&lt;=Corte+n_Ventana),ISNUMBER(Detalle_24m!CY$27)),Detalle_24m!CY$27,INDEX(Vol_V,14,CY$170)/12)*(1+V_dVol),0))</f>
        <v>0</v>
      </c>
      <c r="CZ190" s="48">
        <f>IF(CZ$8=1,N(Reales!CZ25),IF(CZ$171=1,IF(AND(AND(99&gt;Corte,99&lt;=Corte+n_Ventana),ISNUMBER(Detalle_24m!CZ$27)),Detalle_24m!CZ$27,INDEX(Vol_V,14,CZ$170)/12)*(1+V_dVol),0))</f>
        <v>0</v>
      </c>
      <c r="DA190" s="48">
        <f>IF(DA$8=1,N(Reales!DA25),IF(DA$171=1,IF(AND(AND(100&gt;Corte,100&lt;=Corte+n_Ventana),ISNUMBER(Detalle_24m!DA$27)),Detalle_24m!DA$27,INDEX(Vol_V,14,DA$170)/12)*(1+V_dVol),0))</f>
        <v>0</v>
      </c>
      <c r="DB190" s="48">
        <f>IF(DB$8=1,N(Reales!DB25),IF(DB$171=1,IF(AND(AND(101&gt;Corte,101&lt;=Corte+n_Ventana),ISNUMBER(Detalle_24m!DB$27)),Detalle_24m!DB$27,INDEX(Vol_V,14,DB$170)/12)*(1+V_dVol),0))</f>
        <v>0</v>
      </c>
      <c r="DC190" s="48">
        <f>IF(DC$8=1,N(Reales!DC25),IF(DC$171=1,IF(AND(AND(102&gt;Corte,102&lt;=Corte+n_Ventana),ISNUMBER(Detalle_24m!DC$27)),Detalle_24m!DC$27,INDEX(Vol_V,14,DC$170)/12)*(1+V_dVol),0))</f>
        <v>0</v>
      </c>
      <c r="DD190" s="48">
        <f>IF(DD$8=1,N(Reales!DD25),IF(DD$171=1,IF(AND(AND(103&gt;Corte,103&lt;=Corte+n_Ventana),ISNUMBER(Detalle_24m!DD$27)),Detalle_24m!DD$27,INDEX(Vol_V,14,DD$170)/12)*(1+V_dVol),0))</f>
        <v>0</v>
      </c>
      <c r="DE190" s="48">
        <f>IF(DE$8=1,N(Reales!DE25),IF(DE$171=1,IF(AND(AND(104&gt;Corte,104&lt;=Corte+n_Ventana),ISNUMBER(Detalle_24m!DE$27)),Detalle_24m!DE$27,INDEX(Vol_V,14,DE$170)/12)*(1+V_dVol),0))</f>
        <v>0</v>
      </c>
      <c r="DF190" s="48">
        <f>IF(DF$8=1,N(Reales!DF25),IF(DF$171=1,IF(AND(AND(105&gt;Corte,105&lt;=Corte+n_Ventana),ISNUMBER(Detalle_24m!DF$27)),Detalle_24m!DF$27,INDEX(Vol_V,14,DF$170)/12)*(1+V_dVol),0))</f>
        <v>0</v>
      </c>
      <c r="DG190" s="48">
        <f>IF(DG$8=1,N(Reales!DG25),IF(DG$171=1,IF(AND(AND(106&gt;Corte,106&lt;=Corte+n_Ventana),ISNUMBER(Detalle_24m!DG$27)),Detalle_24m!DG$27,INDEX(Vol_V,14,DG$170)/12)*(1+V_dVol),0))</f>
        <v>0</v>
      </c>
      <c r="DH190" s="48">
        <f>IF(DH$8=1,N(Reales!DH25),IF(DH$171=1,IF(AND(AND(107&gt;Corte,107&lt;=Corte+n_Ventana),ISNUMBER(Detalle_24m!DH$27)),Detalle_24m!DH$27,INDEX(Vol_V,14,DH$170)/12)*(1+V_dVol),0))</f>
        <v>0</v>
      </c>
      <c r="DI190" s="48">
        <f>IF(DI$8=1,N(Reales!DI25),IF(DI$171=1,IF(AND(AND(108&gt;Corte,108&lt;=Corte+n_Ventana),ISNUMBER(Detalle_24m!DI$27)),Detalle_24m!DI$27,INDEX(Vol_V,14,DI$170)/12)*(1+V_dVol),0))</f>
        <v>0</v>
      </c>
      <c r="DJ190" s="48">
        <f>IF(DJ$8=1,N(Reales!DJ25),IF(DJ$171=1,IF(AND(AND(109&gt;Corte,109&lt;=Corte+n_Ventana),ISNUMBER(Detalle_24m!DJ$27)),Detalle_24m!DJ$27,INDEX(Vol_V,14,DJ$170)/12)*(1+V_dVol),0))</f>
        <v>0</v>
      </c>
      <c r="DK190" s="48">
        <f>IF(DK$8=1,N(Reales!DK25),IF(DK$171=1,IF(AND(AND(110&gt;Corte,110&lt;=Corte+n_Ventana),ISNUMBER(Detalle_24m!DK$27)),Detalle_24m!DK$27,INDEX(Vol_V,14,DK$170)/12)*(1+V_dVol),0))</f>
        <v>0</v>
      </c>
      <c r="DL190" s="48">
        <f>IF(DL$8=1,N(Reales!DL25),IF(DL$171=1,IF(AND(AND(111&gt;Corte,111&lt;=Corte+n_Ventana),ISNUMBER(Detalle_24m!DL$27)),Detalle_24m!DL$27,INDEX(Vol_V,14,DL$170)/12)*(1+V_dVol),0))</f>
        <v>0</v>
      </c>
      <c r="DM190" s="48">
        <f>IF(DM$8=1,N(Reales!DM25),IF(DM$171=1,IF(AND(AND(112&gt;Corte,112&lt;=Corte+n_Ventana),ISNUMBER(Detalle_24m!DM$27)),Detalle_24m!DM$27,INDEX(Vol_V,14,DM$170)/12)*(1+V_dVol),0))</f>
        <v>0</v>
      </c>
      <c r="DN190" s="48">
        <f>IF(DN$8=1,N(Reales!DN25),IF(DN$171=1,IF(AND(AND(113&gt;Corte,113&lt;=Corte+n_Ventana),ISNUMBER(Detalle_24m!DN$27)),Detalle_24m!DN$27,INDEX(Vol_V,14,DN$170)/12)*(1+V_dVol),0))</f>
        <v>0</v>
      </c>
      <c r="DO190" s="48">
        <f>IF(DO$8=1,N(Reales!DO25),IF(DO$171=1,IF(AND(AND(114&gt;Corte,114&lt;=Corte+n_Ventana),ISNUMBER(Detalle_24m!DO$27)),Detalle_24m!DO$27,INDEX(Vol_V,14,DO$170)/12)*(1+V_dVol),0))</f>
        <v>0</v>
      </c>
      <c r="DP190" s="48">
        <f>IF(DP$8=1,N(Reales!DP25),IF(DP$171=1,IF(AND(AND(115&gt;Corte,115&lt;=Corte+n_Ventana),ISNUMBER(Detalle_24m!DP$27)),Detalle_24m!DP$27,INDEX(Vol_V,14,DP$170)/12)*(1+V_dVol),0))</f>
        <v>0</v>
      </c>
      <c r="DQ190" s="48">
        <f>IF(DQ$8=1,N(Reales!DQ25),IF(DQ$171=1,IF(AND(AND(116&gt;Corte,116&lt;=Corte+n_Ventana),ISNUMBER(Detalle_24m!DQ$27)),Detalle_24m!DQ$27,INDEX(Vol_V,14,DQ$170)/12)*(1+V_dVol),0))</f>
        <v>0</v>
      </c>
      <c r="DR190" s="48">
        <f>IF(DR$8=1,N(Reales!DR25),IF(DR$171=1,IF(AND(AND(117&gt;Corte,117&lt;=Corte+n_Ventana),ISNUMBER(Detalle_24m!DR$27)),Detalle_24m!DR$27,INDEX(Vol_V,14,DR$170)/12)*(1+V_dVol),0))</f>
        <v>0</v>
      </c>
      <c r="DS190" s="48">
        <f>IF(DS$8=1,N(Reales!DS25),IF(DS$171=1,IF(AND(AND(118&gt;Corte,118&lt;=Corte+n_Ventana),ISNUMBER(Detalle_24m!DS$27)),Detalle_24m!DS$27,INDEX(Vol_V,14,DS$170)/12)*(1+V_dVol),0))</f>
        <v>0</v>
      </c>
      <c r="DT190" s="48">
        <f>IF(DT$8=1,N(Reales!DT25),IF(DT$171=1,IF(AND(AND(119&gt;Corte,119&lt;=Corte+n_Ventana),ISNUMBER(Detalle_24m!DT$27)),Detalle_24m!DT$27,INDEX(Vol_V,14,DT$170)/12)*(1+V_dVol),0))</f>
        <v>0</v>
      </c>
      <c r="DU190" s="48">
        <f>IF(DU$8=1,N(Reales!DU25),IF(DU$171=1,IF(AND(AND(120&gt;Corte,120&lt;=Corte+n_Ventana),ISNUMBER(Detalle_24m!DU$27)),Detalle_24m!DU$27,INDEX(Vol_V,14,DU$170)/12)*(1+V_dVol),0))</f>
        <v>0</v>
      </c>
      <c r="DV190" s="48">
        <f>IF(DV$8=1,N(Reales!DV25),IF(DV$171=1,IF(AND(AND(121&gt;Corte,121&lt;=Corte+n_Ventana),ISNUMBER(Detalle_24m!DV$27)),Detalle_24m!DV$27,INDEX(Vol_V,14,DV$170)/12)*(1+V_dVol),0))</f>
        <v>0</v>
      </c>
      <c r="DW190" s="48">
        <f>IF(DW$8=1,N(Reales!DW25),IF(DW$171=1,IF(AND(AND(122&gt;Corte,122&lt;=Corte+n_Ventana),ISNUMBER(Detalle_24m!DW$27)),Detalle_24m!DW$27,INDEX(Vol_V,14,DW$170)/12)*(1+V_dVol),0))</f>
        <v>0</v>
      </c>
      <c r="DX190" s="48">
        <f>IF(DX$8=1,N(Reales!DX25),IF(DX$171=1,IF(AND(AND(123&gt;Corte,123&lt;=Corte+n_Ventana),ISNUMBER(Detalle_24m!DX$27)),Detalle_24m!DX$27,INDEX(Vol_V,14,DX$170)/12)*(1+V_dVol),0))</f>
        <v>0</v>
      </c>
      <c r="DY190" s="48">
        <f>IF(DY$8=1,N(Reales!DY25),IF(DY$171=1,IF(AND(AND(124&gt;Corte,124&lt;=Corte+n_Ventana),ISNUMBER(Detalle_24m!DY$27)),Detalle_24m!DY$27,INDEX(Vol_V,14,DY$170)/12)*(1+V_dVol),0))</f>
        <v>0</v>
      </c>
      <c r="DZ190" s="48">
        <f>IF(DZ$8=1,N(Reales!DZ25),IF(DZ$171=1,IF(AND(AND(125&gt;Corte,125&lt;=Corte+n_Ventana),ISNUMBER(Detalle_24m!DZ$27)),Detalle_24m!DZ$27,INDEX(Vol_V,14,DZ$170)/12)*(1+V_dVol),0))</f>
        <v>0</v>
      </c>
      <c r="EA190" s="48">
        <f>IF(EA$8=1,N(Reales!EA25),IF(EA$171=1,IF(AND(AND(126&gt;Corte,126&lt;=Corte+n_Ventana),ISNUMBER(Detalle_24m!EA$27)),Detalle_24m!EA$27,INDEX(Vol_V,14,EA$170)/12)*(1+V_dVol),0))</f>
        <v>0</v>
      </c>
      <c r="EB190" s="48">
        <f>IF(EB$8=1,N(Reales!EB25),IF(EB$171=1,IF(AND(AND(127&gt;Corte,127&lt;=Corte+n_Ventana),ISNUMBER(Detalle_24m!EB$27)),Detalle_24m!EB$27,INDEX(Vol_V,14,EB$170)/12)*(1+V_dVol),0))</f>
        <v>0</v>
      </c>
      <c r="EC190" s="48">
        <f>IF(EC$8=1,N(Reales!EC25),IF(EC$171=1,IF(AND(AND(128&gt;Corte,128&lt;=Corte+n_Ventana),ISNUMBER(Detalle_24m!EC$27)),Detalle_24m!EC$27,INDEX(Vol_V,14,EC$170)/12)*(1+V_dVol),0))</f>
        <v>0</v>
      </c>
      <c r="ED190" s="48">
        <f>IF(ED$8=1,N(Reales!ED25),IF(ED$171=1,IF(AND(AND(129&gt;Corte,129&lt;=Corte+n_Ventana),ISNUMBER(Detalle_24m!ED$27)),Detalle_24m!ED$27,INDEX(Vol_V,14,ED$170)/12)*(1+V_dVol),0))</f>
        <v>0</v>
      </c>
      <c r="EE190" s="48">
        <f>IF(EE$8=1,N(Reales!EE25),IF(EE$171=1,IF(AND(AND(130&gt;Corte,130&lt;=Corte+n_Ventana),ISNUMBER(Detalle_24m!EE$27)),Detalle_24m!EE$27,INDEX(Vol_V,14,EE$170)/12)*(1+V_dVol),0))</f>
        <v>0</v>
      </c>
      <c r="EF190" s="48">
        <f>IF(EF$8=1,N(Reales!EF25),IF(EF$171=1,IF(AND(AND(131&gt;Corte,131&lt;=Corte+n_Ventana),ISNUMBER(Detalle_24m!EF$27)),Detalle_24m!EF$27,INDEX(Vol_V,14,EF$170)/12)*(1+V_dVol),0))</f>
        <v>0</v>
      </c>
      <c r="EG190" s="48">
        <f>IF(EG$8=1,N(Reales!EG25),IF(EG$171=1,IF(AND(AND(132&gt;Corte,132&lt;=Corte+n_Ventana),ISNUMBER(Detalle_24m!EG$27)),Detalle_24m!EG$27,INDEX(Vol_V,14,EG$170)/12)*(1+V_dVol),0))</f>
        <v>0</v>
      </c>
      <c r="EH190" s="48">
        <f>IF(EH$8=1,N(Reales!EH25),IF(EH$171=1,IF(AND(AND(133&gt;Corte,133&lt;=Corte+n_Ventana),ISNUMBER(Detalle_24m!EH$27)),Detalle_24m!EH$27,INDEX(Vol_V,14,EH$170)/12)*(1+V_dVol),0))</f>
        <v>0</v>
      </c>
      <c r="EI190" s="48">
        <f>IF(EI$8=1,N(Reales!EI25),IF(EI$171=1,IF(AND(AND(134&gt;Corte,134&lt;=Corte+n_Ventana),ISNUMBER(Detalle_24m!EI$27)),Detalle_24m!EI$27,INDEX(Vol_V,14,EI$170)/12)*(1+V_dVol),0))</f>
        <v>0</v>
      </c>
      <c r="EJ190" s="48">
        <f>IF(EJ$8=1,N(Reales!EJ25),IF(EJ$171=1,IF(AND(AND(135&gt;Corte,135&lt;=Corte+n_Ventana),ISNUMBER(Detalle_24m!EJ$27)),Detalle_24m!EJ$27,INDEX(Vol_V,14,EJ$170)/12)*(1+V_dVol),0))</f>
        <v>0</v>
      </c>
      <c r="EK190" s="48">
        <f>IF(EK$8=1,N(Reales!EK25),IF(EK$171=1,IF(AND(AND(136&gt;Corte,136&lt;=Corte+n_Ventana),ISNUMBER(Detalle_24m!EK$27)),Detalle_24m!EK$27,INDEX(Vol_V,14,EK$170)/12)*(1+V_dVol),0))</f>
        <v>0</v>
      </c>
      <c r="EL190" s="48">
        <f>IF(EL$8=1,N(Reales!EL25),IF(EL$171=1,IF(AND(AND(137&gt;Corte,137&lt;=Corte+n_Ventana),ISNUMBER(Detalle_24m!EL$27)),Detalle_24m!EL$27,INDEX(Vol_V,14,EL$170)/12)*(1+V_dVol),0))</f>
        <v>0</v>
      </c>
      <c r="EM190" s="48">
        <f>IF(EM$8=1,N(Reales!EM25),IF(EM$171=1,IF(AND(AND(138&gt;Corte,138&lt;=Corte+n_Ventana),ISNUMBER(Detalle_24m!EM$27)),Detalle_24m!EM$27,INDEX(Vol_V,14,EM$170)/12)*(1+V_dVol),0))</f>
        <v>0</v>
      </c>
      <c r="EN190" s="48">
        <f>IF(EN$8=1,N(Reales!EN25),IF(EN$171=1,IF(AND(AND(139&gt;Corte,139&lt;=Corte+n_Ventana),ISNUMBER(Detalle_24m!EN$27)),Detalle_24m!EN$27,INDEX(Vol_V,14,EN$170)/12)*(1+V_dVol),0))</f>
        <v>0</v>
      </c>
      <c r="EO190" s="48">
        <f>IF(EO$8=1,N(Reales!EO25),IF(EO$171=1,IF(AND(AND(140&gt;Corte,140&lt;=Corte+n_Ventana),ISNUMBER(Detalle_24m!EO$27)),Detalle_24m!EO$27,INDEX(Vol_V,14,EO$170)/12)*(1+V_dVol),0))</f>
        <v>0</v>
      </c>
      <c r="EP190" s="48">
        <f>IF(EP$8=1,N(Reales!EP25),IF(EP$171=1,IF(AND(AND(141&gt;Corte,141&lt;=Corte+n_Ventana),ISNUMBER(Detalle_24m!EP$27)),Detalle_24m!EP$27,INDEX(Vol_V,14,EP$170)/12)*(1+V_dVol),0))</f>
        <v>0</v>
      </c>
      <c r="EQ190" s="48">
        <f>IF(EQ$8=1,N(Reales!EQ25),IF(EQ$171=1,IF(AND(AND(142&gt;Corte,142&lt;=Corte+n_Ventana),ISNUMBER(Detalle_24m!EQ$27)),Detalle_24m!EQ$27,INDEX(Vol_V,14,EQ$170)/12)*(1+V_dVol),0))</f>
        <v>0</v>
      </c>
      <c r="ER190" s="48">
        <f>IF(ER$8=1,N(Reales!ER25),IF(ER$171=1,IF(AND(AND(143&gt;Corte,143&lt;=Corte+n_Ventana),ISNUMBER(Detalle_24m!ER$27)),Detalle_24m!ER$27,INDEX(Vol_V,14,ER$170)/12)*(1+V_dVol),0))</f>
        <v>0</v>
      </c>
      <c r="ES190" s="48">
        <f>IF(ES$8=1,N(Reales!ES25),IF(ES$171=1,IF(AND(AND(144&gt;Corte,144&lt;=Corte+n_Ventana),ISNUMBER(Detalle_24m!ES$27)),Detalle_24m!ES$27,INDEX(Vol_V,14,ES$170)/12)*(1+V_dVol),0))</f>
        <v>0</v>
      </c>
    </row>
    <row r="191" spans="1:149" x14ac:dyDescent="0.3">
      <c r="A191" s="14" t="s">
        <v>1246</v>
      </c>
      <c r="B191" s="53" t="str">
        <f>IF(INDEX(Prod_Nombre,15)="","Producto 15",INDEX(Prod_Nombre,15))&amp;" — unidades"</f>
        <v>Producto 15 — unidades</v>
      </c>
      <c r="C191" s="18" t="s">
        <v>475</v>
      </c>
      <c r="E191" s="54">
        <f t="shared" si="604"/>
        <v>0</v>
      </c>
      <c r="F191" s="48">
        <f>IF(F$8=1,N(Reales!F26),IF(F$171=1,IF(AND(AND(1&gt;Corte,1&lt;=Corte+n_Ventana),ISNUMBER(Detalle_24m!F$28)),Detalle_24m!F$28,INDEX(Vol_V,15,F$170)/12)*(1+V_dVol),0))</f>
        <v>0</v>
      </c>
      <c r="G191" s="48">
        <f>IF(G$8=1,N(Reales!G26),IF(G$171=1,IF(AND(AND(2&gt;Corte,2&lt;=Corte+n_Ventana),ISNUMBER(Detalle_24m!G$28)),Detalle_24m!G$28,INDEX(Vol_V,15,G$170)/12)*(1+V_dVol),0))</f>
        <v>0</v>
      </c>
      <c r="H191" s="48">
        <f>IF(H$8=1,N(Reales!H26),IF(H$171=1,IF(AND(AND(3&gt;Corte,3&lt;=Corte+n_Ventana),ISNUMBER(Detalle_24m!H$28)),Detalle_24m!H$28,INDEX(Vol_V,15,H$170)/12)*(1+V_dVol),0))</f>
        <v>0</v>
      </c>
      <c r="I191" s="48">
        <f>IF(I$8=1,N(Reales!I26),IF(I$171=1,IF(AND(AND(4&gt;Corte,4&lt;=Corte+n_Ventana),ISNUMBER(Detalle_24m!I$28)),Detalle_24m!I$28,INDEX(Vol_V,15,I$170)/12)*(1+V_dVol),0))</f>
        <v>0</v>
      </c>
      <c r="J191" s="48">
        <f>IF(J$8=1,N(Reales!J26),IF(J$171=1,IF(AND(AND(5&gt;Corte,5&lt;=Corte+n_Ventana),ISNUMBER(Detalle_24m!J$28)),Detalle_24m!J$28,INDEX(Vol_V,15,J$170)/12)*(1+V_dVol),0))</f>
        <v>0</v>
      </c>
      <c r="K191" s="48">
        <f>IF(K$8=1,N(Reales!K26),IF(K$171=1,IF(AND(AND(6&gt;Corte,6&lt;=Corte+n_Ventana),ISNUMBER(Detalle_24m!K$28)),Detalle_24m!K$28,INDEX(Vol_V,15,K$170)/12)*(1+V_dVol),0))</f>
        <v>0</v>
      </c>
      <c r="L191" s="48">
        <f>IF(L$8=1,N(Reales!L26),IF(L$171=1,IF(AND(AND(7&gt;Corte,7&lt;=Corte+n_Ventana),ISNUMBER(Detalle_24m!L$28)),Detalle_24m!L$28,INDEX(Vol_V,15,L$170)/12)*(1+V_dVol),0))</f>
        <v>0</v>
      </c>
      <c r="M191" s="48">
        <f>IF(M$8=1,N(Reales!M26),IF(M$171=1,IF(AND(AND(8&gt;Corte,8&lt;=Corte+n_Ventana),ISNUMBER(Detalle_24m!M$28)),Detalle_24m!M$28,INDEX(Vol_V,15,M$170)/12)*(1+V_dVol),0))</f>
        <v>0</v>
      </c>
      <c r="N191" s="48">
        <f>IF(N$8=1,N(Reales!N26),IF(N$171=1,IF(AND(AND(9&gt;Corte,9&lt;=Corte+n_Ventana),ISNUMBER(Detalle_24m!N$28)),Detalle_24m!N$28,INDEX(Vol_V,15,N$170)/12)*(1+V_dVol),0))</f>
        <v>0</v>
      </c>
      <c r="O191" s="48">
        <f>IF(O$8=1,N(Reales!O26),IF(O$171=1,IF(AND(AND(10&gt;Corte,10&lt;=Corte+n_Ventana),ISNUMBER(Detalle_24m!O$28)),Detalle_24m!O$28,INDEX(Vol_V,15,O$170)/12)*(1+V_dVol),0))</f>
        <v>0</v>
      </c>
      <c r="P191" s="48">
        <f>IF(P$8=1,N(Reales!P26),IF(P$171=1,IF(AND(AND(11&gt;Corte,11&lt;=Corte+n_Ventana),ISNUMBER(Detalle_24m!P$28)),Detalle_24m!P$28,INDEX(Vol_V,15,P$170)/12)*(1+V_dVol),0))</f>
        <v>0</v>
      </c>
      <c r="Q191" s="48">
        <f>IF(Q$8=1,N(Reales!Q26),IF(Q$171=1,IF(AND(AND(12&gt;Corte,12&lt;=Corte+n_Ventana),ISNUMBER(Detalle_24m!Q$28)),Detalle_24m!Q$28,INDEX(Vol_V,15,Q$170)/12)*(1+V_dVol),0))</f>
        <v>0</v>
      </c>
      <c r="R191" s="48">
        <f>IF(R$8=1,N(Reales!R26),IF(R$171=1,IF(AND(AND(13&gt;Corte,13&lt;=Corte+n_Ventana),ISNUMBER(Detalle_24m!R$28)),Detalle_24m!R$28,INDEX(Vol_V,15,R$170)/12)*(1+V_dVol),0))</f>
        <v>0</v>
      </c>
      <c r="S191" s="48">
        <f>IF(S$8=1,N(Reales!S26),IF(S$171=1,IF(AND(AND(14&gt;Corte,14&lt;=Corte+n_Ventana),ISNUMBER(Detalle_24m!S$28)),Detalle_24m!S$28,INDEX(Vol_V,15,S$170)/12)*(1+V_dVol),0))</f>
        <v>0</v>
      </c>
      <c r="T191" s="48">
        <f>IF(T$8=1,N(Reales!T26),IF(T$171=1,IF(AND(AND(15&gt;Corte,15&lt;=Corte+n_Ventana),ISNUMBER(Detalle_24m!T$28)),Detalle_24m!T$28,INDEX(Vol_V,15,T$170)/12)*(1+V_dVol),0))</f>
        <v>0</v>
      </c>
      <c r="U191" s="48">
        <f>IF(U$8=1,N(Reales!U26),IF(U$171=1,IF(AND(AND(16&gt;Corte,16&lt;=Corte+n_Ventana),ISNUMBER(Detalle_24m!U$28)),Detalle_24m!U$28,INDEX(Vol_V,15,U$170)/12)*(1+V_dVol),0))</f>
        <v>0</v>
      </c>
      <c r="V191" s="48">
        <f>IF(V$8=1,N(Reales!V26),IF(V$171=1,IF(AND(AND(17&gt;Corte,17&lt;=Corte+n_Ventana),ISNUMBER(Detalle_24m!V$28)),Detalle_24m!V$28,INDEX(Vol_V,15,V$170)/12)*(1+V_dVol),0))</f>
        <v>0</v>
      </c>
      <c r="W191" s="48">
        <f>IF(W$8=1,N(Reales!W26),IF(W$171=1,IF(AND(AND(18&gt;Corte,18&lt;=Corte+n_Ventana),ISNUMBER(Detalle_24m!W$28)),Detalle_24m!W$28,INDEX(Vol_V,15,W$170)/12)*(1+V_dVol),0))</f>
        <v>0</v>
      </c>
      <c r="X191" s="48">
        <f>IF(X$8=1,N(Reales!X26),IF(X$171=1,IF(AND(AND(19&gt;Corte,19&lt;=Corte+n_Ventana),ISNUMBER(Detalle_24m!X$28)),Detalle_24m!X$28,INDEX(Vol_V,15,X$170)/12)*(1+V_dVol),0))</f>
        <v>0</v>
      </c>
      <c r="Y191" s="48">
        <f>IF(Y$8=1,N(Reales!Y26),IF(Y$171=1,IF(AND(AND(20&gt;Corte,20&lt;=Corte+n_Ventana),ISNUMBER(Detalle_24m!Y$28)),Detalle_24m!Y$28,INDEX(Vol_V,15,Y$170)/12)*(1+V_dVol),0))</f>
        <v>0</v>
      </c>
      <c r="Z191" s="48">
        <f>IF(Z$8=1,N(Reales!Z26),IF(Z$171=1,IF(AND(AND(21&gt;Corte,21&lt;=Corte+n_Ventana),ISNUMBER(Detalle_24m!Z$28)),Detalle_24m!Z$28,INDEX(Vol_V,15,Z$170)/12)*(1+V_dVol),0))</f>
        <v>0</v>
      </c>
      <c r="AA191" s="48">
        <f>IF(AA$8=1,N(Reales!AA26),IF(AA$171=1,IF(AND(AND(22&gt;Corte,22&lt;=Corte+n_Ventana),ISNUMBER(Detalle_24m!AA$28)),Detalle_24m!AA$28,INDEX(Vol_V,15,AA$170)/12)*(1+V_dVol),0))</f>
        <v>0</v>
      </c>
      <c r="AB191" s="48">
        <f>IF(AB$8=1,N(Reales!AB26),IF(AB$171=1,IF(AND(AND(23&gt;Corte,23&lt;=Corte+n_Ventana),ISNUMBER(Detalle_24m!AB$28)),Detalle_24m!AB$28,INDEX(Vol_V,15,AB$170)/12)*(1+V_dVol),0))</f>
        <v>0</v>
      </c>
      <c r="AC191" s="48">
        <f>IF(AC$8=1,N(Reales!AC26),IF(AC$171=1,IF(AND(AND(24&gt;Corte,24&lt;=Corte+n_Ventana),ISNUMBER(Detalle_24m!AC$28)),Detalle_24m!AC$28,INDEX(Vol_V,15,AC$170)/12)*(1+V_dVol),0))</f>
        <v>0</v>
      </c>
      <c r="AD191" s="48">
        <f>IF(AD$8=1,N(Reales!AD26),IF(AD$171=1,IF(AND(AND(25&gt;Corte,25&lt;=Corte+n_Ventana),ISNUMBER(Detalle_24m!AD$28)),Detalle_24m!AD$28,INDEX(Vol_V,15,AD$170)/12)*(1+V_dVol),0))</f>
        <v>0</v>
      </c>
      <c r="AE191" s="48">
        <f>IF(AE$8=1,N(Reales!AE26),IF(AE$171=1,IF(AND(AND(26&gt;Corte,26&lt;=Corte+n_Ventana),ISNUMBER(Detalle_24m!AE$28)),Detalle_24m!AE$28,INDEX(Vol_V,15,AE$170)/12)*(1+V_dVol),0))</f>
        <v>0</v>
      </c>
      <c r="AF191" s="48">
        <f>IF(AF$8=1,N(Reales!AF26),IF(AF$171=1,IF(AND(AND(27&gt;Corte,27&lt;=Corte+n_Ventana),ISNUMBER(Detalle_24m!AF$28)),Detalle_24m!AF$28,INDEX(Vol_V,15,AF$170)/12)*(1+V_dVol),0))</f>
        <v>0</v>
      </c>
      <c r="AG191" s="48">
        <f>IF(AG$8=1,N(Reales!AG26),IF(AG$171=1,IF(AND(AND(28&gt;Corte,28&lt;=Corte+n_Ventana),ISNUMBER(Detalle_24m!AG$28)),Detalle_24m!AG$28,INDEX(Vol_V,15,AG$170)/12)*(1+V_dVol),0))</f>
        <v>0</v>
      </c>
      <c r="AH191" s="48">
        <f>IF(AH$8=1,N(Reales!AH26),IF(AH$171=1,IF(AND(AND(29&gt;Corte,29&lt;=Corte+n_Ventana),ISNUMBER(Detalle_24m!AH$28)),Detalle_24m!AH$28,INDEX(Vol_V,15,AH$170)/12)*(1+V_dVol),0))</f>
        <v>0</v>
      </c>
      <c r="AI191" s="48">
        <f>IF(AI$8=1,N(Reales!AI26),IF(AI$171=1,IF(AND(AND(30&gt;Corte,30&lt;=Corte+n_Ventana),ISNUMBER(Detalle_24m!AI$28)),Detalle_24m!AI$28,INDEX(Vol_V,15,AI$170)/12)*(1+V_dVol),0))</f>
        <v>0</v>
      </c>
      <c r="AJ191" s="48">
        <f>IF(AJ$8=1,N(Reales!AJ26),IF(AJ$171=1,IF(AND(AND(31&gt;Corte,31&lt;=Corte+n_Ventana),ISNUMBER(Detalle_24m!AJ$28)),Detalle_24m!AJ$28,INDEX(Vol_V,15,AJ$170)/12)*(1+V_dVol),0))</f>
        <v>0</v>
      </c>
      <c r="AK191" s="48">
        <f>IF(AK$8=1,N(Reales!AK26),IF(AK$171=1,IF(AND(AND(32&gt;Corte,32&lt;=Corte+n_Ventana),ISNUMBER(Detalle_24m!AK$28)),Detalle_24m!AK$28,INDEX(Vol_V,15,AK$170)/12)*(1+V_dVol),0))</f>
        <v>0</v>
      </c>
      <c r="AL191" s="48">
        <f>IF(AL$8=1,N(Reales!AL26),IF(AL$171=1,IF(AND(AND(33&gt;Corte,33&lt;=Corte+n_Ventana),ISNUMBER(Detalle_24m!AL$28)),Detalle_24m!AL$28,INDEX(Vol_V,15,AL$170)/12)*(1+V_dVol),0))</f>
        <v>0</v>
      </c>
      <c r="AM191" s="48">
        <f>IF(AM$8=1,N(Reales!AM26),IF(AM$171=1,IF(AND(AND(34&gt;Corte,34&lt;=Corte+n_Ventana),ISNUMBER(Detalle_24m!AM$28)),Detalle_24m!AM$28,INDEX(Vol_V,15,AM$170)/12)*(1+V_dVol),0))</f>
        <v>0</v>
      </c>
      <c r="AN191" s="48">
        <f>IF(AN$8=1,N(Reales!AN26),IF(AN$171=1,IF(AND(AND(35&gt;Corte,35&lt;=Corte+n_Ventana),ISNUMBER(Detalle_24m!AN$28)),Detalle_24m!AN$28,INDEX(Vol_V,15,AN$170)/12)*(1+V_dVol),0))</f>
        <v>0</v>
      </c>
      <c r="AO191" s="48">
        <f>IF(AO$8=1,N(Reales!AO26),IF(AO$171=1,IF(AND(AND(36&gt;Corte,36&lt;=Corte+n_Ventana),ISNUMBER(Detalle_24m!AO$28)),Detalle_24m!AO$28,INDEX(Vol_V,15,AO$170)/12)*(1+V_dVol),0))</f>
        <v>0</v>
      </c>
      <c r="AP191" s="48">
        <f>IF(AP$8=1,N(Reales!AP26),IF(AP$171=1,IF(AND(AND(37&gt;Corte,37&lt;=Corte+n_Ventana),ISNUMBER(Detalle_24m!AP$28)),Detalle_24m!AP$28,INDEX(Vol_V,15,AP$170)/12)*(1+V_dVol),0))</f>
        <v>0</v>
      </c>
      <c r="AQ191" s="48">
        <f>IF(AQ$8=1,N(Reales!AQ26),IF(AQ$171=1,IF(AND(AND(38&gt;Corte,38&lt;=Corte+n_Ventana),ISNUMBER(Detalle_24m!AQ$28)),Detalle_24m!AQ$28,INDEX(Vol_V,15,AQ$170)/12)*(1+V_dVol),0))</f>
        <v>0</v>
      </c>
      <c r="AR191" s="48">
        <f>IF(AR$8=1,N(Reales!AR26),IF(AR$171=1,IF(AND(AND(39&gt;Corte,39&lt;=Corte+n_Ventana),ISNUMBER(Detalle_24m!AR$28)),Detalle_24m!AR$28,INDEX(Vol_V,15,AR$170)/12)*(1+V_dVol),0))</f>
        <v>0</v>
      </c>
      <c r="AS191" s="48">
        <f>IF(AS$8=1,N(Reales!AS26),IF(AS$171=1,IF(AND(AND(40&gt;Corte,40&lt;=Corte+n_Ventana),ISNUMBER(Detalle_24m!AS$28)),Detalle_24m!AS$28,INDEX(Vol_V,15,AS$170)/12)*(1+V_dVol),0))</f>
        <v>0</v>
      </c>
      <c r="AT191" s="48">
        <f>IF(AT$8=1,N(Reales!AT26),IF(AT$171=1,IF(AND(AND(41&gt;Corte,41&lt;=Corte+n_Ventana),ISNUMBER(Detalle_24m!AT$28)),Detalle_24m!AT$28,INDEX(Vol_V,15,AT$170)/12)*(1+V_dVol),0))</f>
        <v>0</v>
      </c>
      <c r="AU191" s="48">
        <f>IF(AU$8=1,N(Reales!AU26),IF(AU$171=1,IF(AND(AND(42&gt;Corte,42&lt;=Corte+n_Ventana),ISNUMBER(Detalle_24m!AU$28)),Detalle_24m!AU$28,INDEX(Vol_V,15,AU$170)/12)*(1+V_dVol),0))</f>
        <v>0</v>
      </c>
      <c r="AV191" s="48">
        <f>IF(AV$8=1,N(Reales!AV26),IF(AV$171=1,IF(AND(AND(43&gt;Corte,43&lt;=Corte+n_Ventana),ISNUMBER(Detalle_24m!AV$28)),Detalle_24m!AV$28,INDEX(Vol_V,15,AV$170)/12)*(1+V_dVol),0))</f>
        <v>0</v>
      </c>
      <c r="AW191" s="48">
        <f>IF(AW$8=1,N(Reales!AW26),IF(AW$171=1,IF(AND(AND(44&gt;Corte,44&lt;=Corte+n_Ventana),ISNUMBER(Detalle_24m!AW$28)),Detalle_24m!AW$28,INDEX(Vol_V,15,AW$170)/12)*(1+V_dVol),0))</f>
        <v>0</v>
      </c>
      <c r="AX191" s="48">
        <f>IF(AX$8=1,N(Reales!AX26),IF(AX$171=1,IF(AND(AND(45&gt;Corte,45&lt;=Corte+n_Ventana),ISNUMBER(Detalle_24m!AX$28)),Detalle_24m!AX$28,INDEX(Vol_V,15,AX$170)/12)*(1+V_dVol),0))</f>
        <v>0</v>
      </c>
      <c r="AY191" s="48">
        <f>IF(AY$8=1,N(Reales!AY26),IF(AY$171=1,IF(AND(AND(46&gt;Corte,46&lt;=Corte+n_Ventana),ISNUMBER(Detalle_24m!AY$28)),Detalle_24m!AY$28,INDEX(Vol_V,15,AY$170)/12)*(1+V_dVol),0))</f>
        <v>0</v>
      </c>
      <c r="AZ191" s="48">
        <f>IF(AZ$8=1,N(Reales!AZ26),IF(AZ$171=1,IF(AND(AND(47&gt;Corte,47&lt;=Corte+n_Ventana),ISNUMBER(Detalle_24m!AZ$28)),Detalle_24m!AZ$28,INDEX(Vol_V,15,AZ$170)/12)*(1+V_dVol),0))</f>
        <v>0</v>
      </c>
      <c r="BA191" s="48">
        <f>IF(BA$8=1,N(Reales!BA26),IF(BA$171=1,IF(AND(AND(48&gt;Corte,48&lt;=Corte+n_Ventana),ISNUMBER(Detalle_24m!BA$28)),Detalle_24m!BA$28,INDEX(Vol_V,15,BA$170)/12)*(1+V_dVol),0))</f>
        <v>0</v>
      </c>
      <c r="BB191" s="48">
        <f>IF(BB$8=1,N(Reales!BB26),IF(BB$171=1,IF(AND(AND(49&gt;Corte,49&lt;=Corte+n_Ventana),ISNUMBER(Detalle_24m!BB$28)),Detalle_24m!BB$28,INDEX(Vol_V,15,BB$170)/12)*(1+V_dVol),0))</f>
        <v>0</v>
      </c>
      <c r="BC191" s="48">
        <f>IF(BC$8=1,N(Reales!BC26),IF(BC$171=1,IF(AND(AND(50&gt;Corte,50&lt;=Corte+n_Ventana),ISNUMBER(Detalle_24m!BC$28)),Detalle_24m!BC$28,INDEX(Vol_V,15,BC$170)/12)*(1+V_dVol),0))</f>
        <v>0</v>
      </c>
      <c r="BD191" s="48">
        <f>IF(BD$8=1,N(Reales!BD26),IF(BD$171=1,IF(AND(AND(51&gt;Corte,51&lt;=Corte+n_Ventana),ISNUMBER(Detalle_24m!BD$28)),Detalle_24m!BD$28,INDEX(Vol_V,15,BD$170)/12)*(1+V_dVol),0))</f>
        <v>0</v>
      </c>
      <c r="BE191" s="48">
        <f>IF(BE$8=1,N(Reales!BE26),IF(BE$171=1,IF(AND(AND(52&gt;Corte,52&lt;=Corte+n_Ventana),ISNUMBER(Detalle_24m!BE$28)),Detalle_24m!BE$28,INDEX(Vol_V,15,BE$170)/12)*(1+V_dVol),0))</f>
        <v>0</v>
      </c>
      <c r="BF191" s="48">
        <f>IF(BF$8=1,N(Reales!BF26),IF(BF$171=1,IF(AND(AND(53&gt;Corte,53&lt;=Corte+n_Ventana),ISNUMBER(Detalle_24m!BF$28)),Detalle_24m!BF$28,INDEX(Vol_V,15,BF$170)/12)*(1+V_dVol),0))</f>
        <v>0</v>
      </c>
      <c r="BG191" s="48">
        <f>IF(BG$8=1,N(Reales!BG26),IF(BG$171=1,IF(AND(AND(54&gt;Corte,54&lt;=Corte+n_Ventana),ISNUMBER(Detalle_24m!BG$28)),Detalle_24m!BG$28,INDEX(Vol_V,15,BG$170)/12)*(1+V_dVol),0))</f>
        <v>0</v>
      </c>
      <c r="BH191" s="48">
        <f>IF(BH$8=1,N(Reales!BH26),IF(BH$171=1,IF(AND(AND(55&gt;Corte,55&lt;=Corte+n_Ventana),ISNUMBER(Detalle_24m!BH$28)),Detalle_24m!BH$28,INDEX(Vol_V,15,BH$170)/12)*(1+V_dVol),0))</f>
        <v>0</v>
      </c>
      <c r="BI191" s="48">
        <f>IF(BI$8=1,N(Reales!BI26),IF(BI$171=1,IF(AND(AND(56&gt;Corte,56&lt;=Corte+n_Ventana),ISNUMBER(Detalle_24m!BI$28)),Detalle_24m!BI$28,INDEX(Vol_V,15,BI$170)/12)*(1+V_dVol),0))</f>
        <v>0</v>
      </c>
      <c r="BJ191" s="48">
        <f>IF(BJ$8=1,N(Reales!BJ26),IF(BJ$171=1,IF(AND(AND(57&gt;Corte,57&lt;=Corte+n_Ventana),ISNUMBER(Detalle_24m!BJ$28)),Detalle_24m!BJ$28,INDEX(Vol_V,15,BJ$170)/12)*(1+V_dVol),0))</f>
        <v>0</v>
      </c>
      <c r="BK191" s="48">
        <f>IF(BK$8=1,N(Reales!BK26),IF(BK$171=1,IF(AND(AND(58&gt;Corte,58&lt;=Corte+n_Ventana),ISNUMBER(Detalle_24m!BK$28)),Detalle_24m!BK$28,INDEX(Vol_V,15,BK$170)/12)*(1+V_dVol),0))</f>
        <v>0</v>
      </c>
      <c r="BL191" s="48">
        <f>IF(BL$8=1,N(Reales!BL26),IF(BL$171=1,IF(AND(AND(59&gt;Corte,59&lt;=Corte+n_Ventana),ISNUMBER(Detalle_24m!BL$28)),Detalle_24m!BL$28,INDEX(Vol_V,15,BL$170)/12)*(1+V_dVol),0))</f>
        <v>0</v>
      </c>
      <c r="BM191" s="48">
        <f>IF(BM$8=1,N(Reales!BM26),IF(BM$171=1,IF(AND(AND(60&gt;Corte,60&lt;=Corte+n_Ventana),ISNUMBER(Detalle_24m!BM$28)),Detalle_24m!BM$28,INDEX(Vol_V,15,BM$170)/12)*(1+V_dVol),0))</f>
        <v>0</v>
      </c>
      <c r="BN191" s="48">
        <f>IF(BN$8=1,N(Reales!BN26),IF(BN$171=1,IF(AND(AND(61&gt;Corte,61&lt;=Corte+n_Ventana),ISNUMBER(Detalle_24m!BN$28)),Detalle_24m!BN$28,INDEX(Vol_V,15,BN$170)/12)*(1+V_dVol),0))</f>
        <v>0</v>
      </c>
      <c r="BO191" s="48">
        <f>IF(BO$8=1,N(Reales!BO26),IF(BO$171=1,IF(AND(AND(62&gt;Corte,62&lt;=Corte+n_Ventana),ISNUMBER(Detalle_24m!BO$28)),Detalle_24m!BO$28,INDEX(Vol_V,15,BO$170)/12)*(1+V_dVol),0))</f>
        <v>0</v>
      </c>
      <c r="BP191" s="48">
        <f>IF(BP$8=1,N(Reales!BP26),IF(BP$171=1,IF(AND(AND(63&gt;Corte,63&lt;=Corte+n_Ventana),ISNUMBER(Detalle_24m!BP$28)),Detalle_24m!BP$28,INDEX(Vol_V,15,BP$170)/12)*(1+V_dVol),0))</f>
        <v>0</v>
      </c>
      <c r="BQ191" s="48">
        <f>IF(BQ$8=1,N(Reales!BQ26),IF(BQ$171=1,IF(AND(AND(64&gt;Corte,64&lt;=Corte+n_Ventana),ISNUMBER(Detalle_24m!BQ$28)),Detalle_24m!BQ$28,INDEX(Vol_V,15,BQ$170)/12)*(1+V_dVol),0))</f>
        <v>0</v>
      </c>
      <c r="BR191" s="48">
        <f>IF(BR$8=1,N(Reales!BR26),IF(BR$171=1,IF(AND(AND(65&gt;Corte,65&lt;=Corte+n_Ventana),ISNUMBER(Detalle_24m!BR$28)),Detalle_24m!BR$28,INDEX(Vol_V,15,BR$170)/12)*(1+V_dVol),0))</f>
        <v>0</v>
      </c>
      <c r="BS191" s="48">
        <f>IF(BS$8=1,N(Reales!BS26),IF(BS$171=1,IF(AND(AND(66&gt;Corte,66&lt;=Corte+n_Ventana),ISNUMBER(Detalle_24m!BS$28)),Detalle_24m!BS$28,INDEX(Vol_V,15,BS$170)/12)*(1+V_dVol),0))</f>
        <v>0</v>
      </c>
      <c r="BT191" s="48">
        <f>IF(BT$8=1,N(Reales!BT26),IF(BT$171=1,IF(AND(AND(67&gt;Corte,67&lt;=Corte+n_Ventana),ISNUMBER(Detalle_24m!BT$28)),Detalle_24m!BT$28,INDEX(Vol_V,15,BT$170)/12)*(1+V_dVol),0))</f>
        <v>0</v>
      </c>
      <c r="BU191" s="48">
        <f>IF(BU$8=1,N(Reales!BU26),IF(BU$171=1,IF(AND(AND(68&gt;Corte,68&lt;=Corte+n_Ventana),ISNUMBER(Detalle_24m!BU$28)),Detalle_24m!BU$28,INDEX(Vol_V,15,BU$170)/12)*(1+V_dVol),0))</f>
        <v>0</v>
      </c>
      <c r="BV191" s="48">
        <f>IF(BV$8=1,N(Reales!BV26),IF(BV$171=1,IF(AND(AND(69&gt;Corte,69&lt;=Corte+n_Ventana),ISNUMBER(Detalle_24m!BV$28)),Detalle_24m!BV$28,INDEX(Vol_V,15,BV$170)/12)*(1+V_dVol),0))</f>
        <v>0</v>
      </c>
      <c r="BW191" s="48">
        <f>IF(BW$8=1,N(Reales!BW26),IF(BW$171=1,IF(AND(AND(70&gt;Corte,70&lt;=Corte+n_Ventana),ISNUMBER(Detalle_24m!BW$28)),Detalle_24m!BW$28,INDEX(Vol_V,15,BW$170)/12)*(1+V_dVol),0))</f>
        <v>0</v>
      </c>
      <c r="BX191" s="48">
        <f>IF(BX$8=1,N(Reales!BX26),IF(BX$171=1,IF(AND(AND(71&gt;Corte,71&lt;=Corte+n_Ventana),ISNUMBER(Detalle_24m!BX$28)),Detalle_24m!BX$28,INDEX(Vol_V,15,BX$170)/12)*(1+V_dVol),0))</f>
        <v>0</v>
      </c>
      <c r="BY191" s="48">
        <f>IF(BY$8=1,N(Reales!BY26),IF(BY$171=1,IF(AND(AND(72&gt;Corte,72&lt;=Corte+n_Ventana),ISNUMBER(Detalle_24m!BY$28)),Detalle_24m!BY$28,INDEX(Vol_V,15,BY$170)/12)*(1+V_dVol),0))</f>
        <v>0</v>
      </c>
      <c r="BZ191" s="48">
        <f>IF(BZ$8=1,N(Reales!BZ26),IF(BZ$171=1,IF(AND(AND(73&gt;Corte,73&lt;=Corte+n_Ventana),ISNUMBER(Detalle_24m!BZ$28)),Detalle_24m!BZ$28,INDEX(Vol_V,15,BZ$170)/12)*(1+V_dVol),0))</f>
        <v>0</v>
      </c>
      <c r="CA191" s="48">
        <f>IF(CA$8=1,N(Reales!CA26),IF(CA$171=1,IF(AND(AND(74&gt;Corte,74&lt;=Corte+n_Ventana),ISNUMBER(Detalle_24m!CA$28)),Detalle_24m!CA$28,INDEX(Vol_V,15,CA$170)/12)*(1+V_dVol),0))</f>
        <v>0</v>
      </c>
      <c r="CB191" s="48">
        <f>IF(CB$8=1,N(Reales!CB26),IF(CB$171=1,IF(AND(AND(75&gt;Corte,75&lt;=Corte+n_Ventana),ISNUMBER(Detalle_24m!CB$28)),Detalle_24m!CB$28,INDEX(Vol_V,15,CB$170)/12)*(1+V_dVol),0))</f>
        <v>0</v>
      </c>
      <c r="CC191" s="48">
        <f>IF(CC$8=1,N(Reales!CC26),IF(CC$171=1,IF(AND(AND(76&gt;Corte,76&lt;=Corte+n_Ventana),ISNUMBER(Detalle_24m!CC$28)),Detalle_24m!CC$28,INDEX(Vol_V,15,CC$170)/12)*(1+V_dVol),0))</f>
        <v>0</v>
      </c>
      <c r="CD191" s="48">
        <f>IF(CD$8=1,N(Reales!CD26),IF(CD$171=1,IF(AND(AND(77&gt;Corte,77&lt;=Corte+n_Ventana),ISNUMBER(Detalle_24m!CD$28)),Detalle_24m!CD$28,INDEX(Vol_V,15,CD$170)/12)*(1+V_dVol),0))</f>
        <v>0</v>
      </c>
      <c r="CE191" s="48">
        <f>IF(CE$8=1,N(Reales!CE26),IF(CE$171=1,IF(AND(AND(78&gt;Corte,78&lt;=Corte+n_Ventana),ISNUMBER(Detalle_24m!CE$28)),Detalle_24m!CE$28,INDEX(Vol_V,15,CE$170)/12)*(1+V_dVol),0))</f>
        <v>0</v>
      </c>
      <c r="CF191" s="48">
        <f>IF(CF$8=1,N(Reales!CF26),IF(CF$171=1,IF(AND(AND(79&gt;Corte,79&lt;=Corte+n_Ventana),ISNUMBER(Detalle_24m!CF$28)),Detalle_24m!CF$28,INDEX(Vol_V,15,CF$170)/12)*(1+V_dVol),0))</f>
        <v>0</v>
      </c>
      <c r="CG191" s="48">
        <f>IF(CG$8=1,N(Reales!CG26),IF(CG$171=1,IF(AND(AND(80&gt;Corte,80&lt;=Corte+n_Ventana),ISNUMBER(Detalle_24m!CG$28)),Detalle_24m!CG$28,INDEX(Vol_V,15,CG$170)/12)*(1+V_dVol),0))</f>
        <v>0</v>
      </c>
      <c r="CH191" s="48">
        <f>IF(CH$8=1,N(Reales!CH26),IF(CH$171=1,IF(AND(AND(81&gt;Corte,81&lt;=Corte+n_Ventana),ISNUMBER(Detalle_24m!CH$28)),Detalle_24m!CH$28,INDEX(Vol_V,15,CH$170)/12)*(1+V_dVol),0))</f>
        <v>0</v>
      </c>
      <c r="CI191" s="48">
        <f>IF(CI$8=1,N(Reales!CI26),IF(CI$171=1,IF(AND(AND(82&gt;Corte,82&lt;=Corte+n_Ventana),ISNUMBER(Detalle_24m!CI$28)),Detalle_24m!CI$28,INDEX(Vol_V,15,CI$170)/12)*(1+V_dVol),0))</f>
        <v>0</v>
      </c>
      <c r="CJ191" s="48">
        <f>IF(CJ$8=1,N(Reales!CJ26),IF(CJ$171=1,IF(AND(AND(83&gt;Corte,83&lt;=Corte+n_Ventana),ISNUMBER(Detalle_24m!CJ$28)),Detalle_24m!CJ$28,INDEX(Vol_V,15,CJ$170)/12)*(1+V_dVol),0))</f>
        <v>0</v>
      </c>
      <c r="CK191" s="48">
        <f>IF(CK$8=1,N(Reales!CK26),IF(CK$171=1,IF(AND(AND(84&gt;Corte,84&lt;=Corte+n_Ventana),ISNUMBER(Detalle_24m!CK$28)),Detalle_24m!CK$28,INDEX(Vol_V,15,CK$170)/12)*(1+V_dVol),0))</f>
        <v>0</v>
      </c>
      <c r="CL191" s="48">
        <f>IF(CL$8=1,N(Reales!CL26),IF(CL$171=1,IF(AND(AND(85&gt;Corte,85&lt;=Corte+n_Ventana),ISNUMBER(Detalle_24m!CL$28)),Detalle_24m!CL$28,INDEX(Vol_V,15,CL$170)/12)*(1+V_dVol),0))</f>
        <v>0</v>
      </c>
      <c r="CM191" s="48">
        <f>IF(CM$8=1,N(Reales!CM26),IF(CM$171=1,IF(AND(AND(86&gt;Corte,86&lt;=Corte+n_Ventana),ISNUMBER(Detalle_24m!CM$28)),Detalle_24m!CM$28,INDEX(Vol_V,15,CM$170)/12)*(1+V_dVol),0))</f>
        <v>0</v>
      </c>
      <c r="CN191" s="48">
        <f>IF(CN$8=1,N(Reales!CN26),IF(CN$171=1,IF(AND(AND(87&gt;Corte,87&lt;=Corte+n_Ventana),ISNUMBER(Detalle_24m!CN$28)),Detalle_24m!CN$28,INDEX(Vol_V,15,CN$170)/12)*(1+V_dVol),0))</f>
        <v>0</v>
      </c>
      <c r="CO191" s="48">
        <f>IF(CO$8=1,N(Reales!CO26),IF(CO$171=1,IF(AND(AND(88&gt;Corte,88&lt;=Corte+n_Ventana),ISNUMBER(Detalle_24m!CO$28)),Detalle_24m!CO$28,INDEX(Vol_V,15,CO$170)/12)*(1+V_dVol),0))</f>
        <v>0</v>
      </c>
      <c r="CP191" s="48">
        <f>IF(CP$8=1,N(Reales!CP26),IF(CP$171=1,IF(AND(AND(89&gt;Corte,89&lt;=Corte+n_Ventana),ISNUMBER(Detalle_24m!CP$28)),Detalle_24m!CP$28,INDEX(Vol_V,15,CP$170)/12)*(1+V_dVol),0))</f>
        <v>0</v>
      </c>
      <c r="CQ191" s="48">
        <f>IF(CQ$8=1,N(Reales!CQ26),IF(CQ$171=1,IF(AND(AND(90&gt;Corte,90&lt;=Corte+n_Ventana),ISNUMBER(Detalle_24m!CQ$28)),Detalle_24m!CQ$28,INDEX(Vol_V,15,CQ$170)/12)*(1+V_dVol),0))</f>
        <v>0</v>
      </c>
      <c r="CR191" s="48">
        <f>IF(CR$8=1,N(Reales!CR26),IF(CR$171=1,IF(AND(AND(91&gt;Corte,91&lt;=Corte+n_Ventana),ISNUMBER(Detalle_24m!CR$28)),Detalle_24m!CR$28,INDEX(Vol_V,15,CR$170)/12)*(1+V_dVol),0))</f>
        <v>0</v>
      </c>
      <c r="CS191" s="48">
        <f>IF(CS$8=1,N(Reales!CS26),IF(CS$171=1,IF(AND(AND(92&gt;Corte,92&lt;=Corte+n_Ventana),ISNUMBER(Detalle_24m!CS$28)),Detalle_24m!CS$28,INDEX(Vol_V,15,CS$170)/12)*(1+V_dVol),0))</f>
        <v>0</v>
      </c>
      <c r="CT191" s="48">
        <f>IF(CT$8=1,N(Reales!CT26),IF(CT$171=1,IF(AND(AND(93&gt;Corte,93&lt;=Corte+n_Ventana),ISNUMBER(Detalle_24m!CT$28)),Detalle_24m!CT$28,INDEX(Vol_V,15,CT$170)/12)*(1+V_dVol),0))</f>
        <v>0</v>
      </c>
      <c r="CU191" s="48">
        <f>IF(CU$8=1,N(Reales!CU26),IF(CU$171=1,IF(AND(AND(94&gt;Corte,94&lt;=Corte+n_Ventana),ISNUMBER(Detalle_24m!CU$28)),Detalle_24m!CU$28,INDEX(Vol_V,15,CU$170)/12)*(1+V_dVol),0))</f>
        <v>0</v>
      </c>
      <c r="CV191" s="48">
        <f>IF(CV$8=1,N(Reales!CV26),IF(CV$171=1,IF(AND(AND(95&gt;Corte,95&lt;=Corte+n_Ventana),ISNUMBER(Detalle_24m!CV$28)),Detalle_24m!CV$28,INDEX(Vol_V,15,CV$170)/12)*(1+V_dVol),0))</f>
        <v>0</v>
      </c>
      <c r="CW191" s="48">
        <f>IF(CW$8=1,N(Reales!CW26),IF(CW$171=1,IF(AND(AND(96&gt;Corte,96&lt;=Corte+n_Ventana),ISNUMBER(Detalle_24m!CW$28)),Detalle_24m!CW$28,INDEX(Vol_V,15,CW$170)/12)*(1+V_dVol),0))</f>
        <v>0</v>
      </c>
      <c r="CX191" s="48">
        <f>IF(CX$8=1,N(Reales!CX26),IF(CX$171=1,IF(AND(AND(97&gt;Corte,97&lt;=Corte+n_Ventana),ISNUMBER(Detalle_24m!CX$28)),Detalle_24m!CX$28,INDEX(Vol_V,15,CX$170)/12)*(1+V_dVol),0))</f>
        <v>0</v>
      </c>
      <c r="CY191" s="48">
        <f>IF(CY$8=1,N(Reales!CY26),IF(CY$171=1,IF(AND(AND(98&gt;Corte,98&lt;=Corte+n_Ventana),ISNUMBER(Detalle_24m!CY$28)),Detalle_24m!CY$28,INDEX(Vol_V,15,CY$170)/12)*(1+V_dVol),0))</f>
        <v>0</v>
      </c>
      <c r="CZ191" s="48">
        <f>IF(CZ$8=1,N(Reales!CZ26),IF(CZ$171=1,IF(AND(AND(99&gt;Corte,99&lt;=Corte+n_Ventana),ISNUMBER(Detalle_24m!CZ$28)),Detalle_24m!CZ$28,INDEX(Vol_V,15,CZ$170)/12)*(1+V_dVol),0))</f>
        <v>0</v>
      </c>
      <c r="DA191" s="48">
        <f>IF(DA$8=1,N(Reales!DA26),IF(DA$171=1,IF(AND(AND(100&gt;Corte,100&lt;=Corte+n_Ventana),ISNUMBER(Detalle_24m!DA$28)),Detalle_24m!DA$28,INDEX(Vol_V,15,DA$170)/12)*(1+V_dVol),0))</f>
        <v>0</v>
      </c>
      <c r="DB191" s="48">
        <f>IF(DB$8=1,N(Reales!DB26),IF(DB$171=1,IF(AND(AND(101&gt;Corte,101&lt;=Corte+n_Ventana),ISNUMBER(Detalle_24m!DB$28)),Detalle_24m!DB$28,INDEX(Vol_V,15,DB$170)/12)*(1+V_dVol),0))</f>
        <v>0</v>
      </c>
      <c r="DC191" s="48">
        <f>IF(DC$8=1,N(Reales!DC26),IF(DC$171=1,IF(AND(AND(102&gt;Corte,102&lt;=Corte+n_Ventana),ISNUMBER(Detalle_24m!DC$28)),Detalle_24m!DC$28,INDEX(Vol_V,15,DC$170)/12)*(1+V_dVol),0))</f>
        <v>0</v>
      </c>
      <c r="DD191" s="48">
        <f>IF(DD$8=1,N(Reales!DD26),IF(DD$171=1,IF(AND(AND(103&gt;Corte,103&lt;=Corte+n_Ventana),ISNUMBER(Detalle_24m!DD$28)),Detalle_24m!DD$28,INDEX(Vol_V,15,DD$170)/12)*(1+V_dVol),0))</f>
        <v>0</v>
      </c>
      <c r="DE191" s="48">
        <f>IF(DE$8=1,N(Reales!DE26),IF(DE$171=1,IF(AND(AND(104&gt;Corte,104&lt;=Corte+n_Ventana),ISNUMBER(Detalle_24m!DE$28)),Detalle_24m!DE$28,INDEX(Vol_V,15,DE$170)/12)*(1+V_dVol),0))</f>
        <v>0</v>
      </c>
      <c r="DF191" s="48">
        <f>IF(DF$8=1,N(Reales!DF26),IF(DF$171=1,IF(AND(AND(105&gt;Corte,105&lt;=Corte+n_Ventana),ISNUMBER(Detalle_24m!DF$28)),Detalle_24m!DF$28,INDEX(Vol_V,15,DF$170)/12)*(1+V_dVol),0))</f>
        <v>0</v>
      </c>
      <c r="DG191" s="48">
        <f>IF(DG$8=1,N(Reales!DG26),IF(DG$171=1,IF(AND(AND(106&gt;Corte,106&lt;=Corte+n_Ventana),ISNUMBER(Detalle_24m!DG$28)),Detalle_24m!DG$28,INDEX(Vol_V,15,DG$170)/12)*(1+V_dVol),0))</f>
        <v>0</v>
      </c>
      <c r="DH191" s="48">
        <f>IF(DH$8=1,N(Reales!DH26),IF(DH$171=1,IF(AND(AND(107&gt;Corte,107&lt;=Corte+n_Ventana),ISNUMBER(Detalle_24m!DH$28)),Detalle_24m!DH$28,INDEX(Vol_V,15,DH$170)/12)*(1+V_dVol),0))</f>
        <v>0</v>
      </c>
      <c r="DI191" s="48">
        <f>IF(DI$8=1,N(Reales!DI26),IF(DI$171=1,IF(AND(AND(108&gt;Corte,108&lt;=Corte+n_Ventana),ISNUMBER(Detalle_24m!DI$28)),Detalle_24m!DI$28,INDEX(Vol_V,15,DI$170)/12)*(1+V_dVol),0))</f>
        <v>0</v>
      </c>
      <c r="DJ191" s="48">
        <f>IF(DJ$8=1,N(Reales!DJ26),IF(DJ$171=1,IF(AND(AND(109&gt;Corte,109&lt;=Corte+n_Ventana),ISNUMBER(Detalle_24m!DJ$28)),Detalle_24m!DJ$28,INDEX(Vol_V,15,DJ$170)/12)*(1+V_dVol),0))</f>
        <v>0</v>
      </c>
      <c r="DK191" s="48">
        <f>IF(DK$8=1,N(Reales!DK26),IF(DK$171=1,IF(AND(AND(110&gt;Corte,110&lt;=Corte+n_Ventana),ISNUMBER(Detalle_24m!DK$28)),Detalle_24m!DK$28,INDEX(Vol_V,15,DK$170)/12)*(1+V_dVol),0))</f>
        <v>0</v>
      </c>
      <c r="DL191" s="48">
        <f>IF(DL$8=1,N(Reales!DL26),IF(DL$171=1,IF(AND(AND(111&gt;Corte,111&lt;=Corte+n_Ventana),ISNUMBER(Detalle_24m!DL$28)),Detalle_24m!DL$28,INDEX(Vol_V,15,DL$170)/12)*(1+V_dVol),0))</f>
        <v>0</v>
      </c>
      <c r="DM191" s="48">
        <f>IF(DM$8=1,N(Reales!DM26),IF(DM$171=1,IF(AND(AND(112&gt;Corte,112&lt;=Corte+n_Ventana),ISNUMBER(Detalle_24m!DM$28)),Detalle_24m!DM$28,INDEX(Vol_V,15,DM$170)/12)*(1+V_dVol),0))</f>
        <v>0</v>
      </c>
      <c r="DN191" s="48">
        <f>IF(DN$8=1,N(Reales!DN26),IF(DN$171=1,IF(AND(AND(113&gt;Corte,113&lt;=Corte+n_Ventana),ISNUMBER(Detalle_24m!DN$28)),Detalle_24m!DN$28,INDEX(Vol_V,15,DN$170)/12)*(1+V_dVol),0))</f>
        <v>0</v>
      </c>
      <c r="DO191" s="48">
        <f>IF(DO$8=1,N(Reales!DO26),IF(DO$171=1,IF(AND(AND(114&gt;Corte,114&lt;=Corte+n_Ventana),ISNUMBER(Detalle_24m!DO$28)),Detalle_24m!DO$28,INDEX(Vol_V,15,DO$170)/12)*(1+V_dVol),0))</f>
        <v>0</v>
      </c>
      <c r="DP191" s="48">
        <f>IF(DP$8=1,N(Reales!DP26),IF(DP$171=1,IF(AND(AND(115&gt;Corte,115&lt;=Corte+n_Ventana),ISNUMBER(Detalle_24m!DP$28)),Detalle_24m!DP$28,INDEX(Vol_V,15,DP$170)/12)*(1+V_dVol),0))</f>
        <v>0</v>
      </c>
      <c r="DQ191" s="48">
        <f>IF(DQ$8=1,N(Reales!DQ26),IF(DQ$171=1,IF(AND(AND(116&gt;Corte,116&lt;=Corte+n_Ventana),ISNUMBER(Detalle_24m!DQ$28)),Detalle_24m!DQ$28,INDEX(Vol_V,15,DQ$170)/12)*(1+V_dVol),0))</f>
        <v>0</v>
      </c>
      <c r="DR191" s="48">
        <f>IF(DR$8=1,N(Reales!DR26),IF(DR$171=1,IF(AND(AND(117&gt;Corte,117&lt;=Corte+n_Ventana),ISNUMBER(Detalle_24m!DR$28)),Detalle_24m!DR$28,INDEX(Vol_V,15,DR$170)/12)*(1+V_dVol),0))</f>
        <v>0</v>
      </c>
      <c r="DS191" s="48">
        <f>IF(DS$8=1,N(Reales!DS26),IF(DS$171=1,IF(AND(AND(118&gt;Corte,118&lt;=Corte+n_Ventana),ISNUMBER(Detalle_24m!DS$28)),Detalle_24m!DS$28,INDEX(Vol_V,15,DS$170)/12)*(1+V_dVol),0))</f>
        <v>0</v>
      </c>
      <c r="DT191" s="48">
        <f>IF(DT$8=1,N(Reales!DT26),IF(DT$171=1,IF(AND(AND(119&gt;Corte,119&lt;=Corte+n_Ventana),ISNUMBER(Detalle_24m!DT$28)),Detalle_24m!DT$28,INDEX(Vol_V,15,DT$170)/12)*(1+V_dVol),0))</f>
        <v>0</v>
      </c>
      <c r="DU191" s="48">
        <f>IF(DU$8=1,N(Reales!DU26),IF(DU$171=1,IF(AND(AND(120&gt;Corte,120&lt;=Corte+n_Ventana),ISNUMBER(Detalle_24m!DU$28)),Detalle_24m!DU$28,INDEX(Vol_V,15,DU$170)/12)*(1+V_dVol),0))</f>
        <v>0</v>
      </c>
      <c r="DV191" s="48">
        <f>IF(DV$8=1,N(Reales!DV26),IF(DV$171=1,IF(AND(AND(121&gt;Corte,121&lt;=Corte+n_Ventana),ISNUMBER(Detalle_24m!DV$28)),Detalle_24m!DV$28,INDEX(Vol_V,15,DV$170)/12)*(1+V_dVol),0))</f>
        <v>0</v>
      </c>
      <c r="DW191" s="48">
        <f>IF(DW$8=1,N(Reales!DW26),IF(DW$171=1,IF(AND(AND(122&gt;Corte,122&lt;=Corte+n_Ventana),ISNUMBER(Detalle_24m!DW$28)),Detalle_24m!DW$28,INDEX(Vol_V,15,DW$170)/12)*(1+V_dVol),0))</f>
        <v>0</v>
      </c>
      <c r="DX191" s="48">
        <f>IF(DX$8=1,N(Reales!DX26),IF(DX$171=1,IF(AND(AND(123&gt;Corte,123&lt;=Corte+n_Ventana),ISNUMBER(Detalle_24m!DX$28)),Detalle_24m!DX$28,INDEX(Vol_V,15,DX$170)/12)*(1+V_dVol),0))</f>
        <v>0</v>
      </c>
      <c r="DY191" s="48">
        <f>IF(DY$8=1,N(Reales!DY26),IF(DY$171=1,IF(AND(AND(124&gt;Corte,124&lt;=Corte+n_Ventana),ISNUMBER(Detalle_24m!DY$28)),Detalle_24m!DY$28,INDEX(Vol_V,15,DY$170)/12)*(1+V_dVol),0))</f>
        <v>0</v>
      </c>
      <c r="DZ191" s="48">
        <f>IF(DZ$8=1,N(Reales!DZ26),IF(DZ$171=1,IF(AND(AND(125&gt;Corte,125&lt;=Corte+n_Ventana),ISNUMBER(Detalle_24m!DZ$28)),Detalle_24m!DZ$28,INDEX(Vol_V,15,DZ$170)/12)*(1+V_dVol),0))</f>
        <v>0</v>
      </c>
      <c r="EA191" s="48">
        <f>IF(EA$8=1,N(Reales!EA26),IF(EA$171=1,IF(AND(AND(126&gt;Corte,126&lt;=Corte+n_Ventana),ISNUMBER(Detalle_24m!EA$28)),Detalle_24m!EA$28,INDEX(Vol_V,15,EA$170)/12)*(1+V_dVol),0))</f>
        <v>0</v>
      </c>
      <c r="EB191" s="48">
        <f>IF(EB$8=1,N(Reales!EB26),IF(EB$171=1,IF(AND(AND(127&gt;Corte,127&lt;=Corte+n_Ventana),ISNUMBER(Detalle_24m!EB$28)),Detalle_24m!EB$28,INDEX(Vol_V,15,EB$170)/12)*(1+V_dVol),0))</f>
        <v>0</v>
      </c>
      <c r="EC191" s="48">
        <f>IF(EC$8=1,N(Reales!EC26),IF(EC$171=1,IF(AND(AND(128&gt;Corte,128&lt;=Corte+n_Ventana),ISNUMBER(Detalle_24m!EC$28)),Detalle_24m!EC$28,INDEX(Vol_V,15,EC$170)/12)*(1+V_dVol),0))</f>
        <v>0</v>
      </c>
      <c r="ED191" s="48">
        <f>IF(ED$8=1,N(Reales!ED26),IF(ED$171=1,IF(AND(AND(129&gt;Corte,129&lt;=Corte+n_Ventana),ISNUMBER(Detalle_24m!ED$28)),Detalle_24m!ED$28,INDEX(Vol_V,15,ED$170)/12)*(1+V_dVol),0))</f>
        <v>0</v>
      </c>
      <c r="EE191" s="48">
        <f>IF(EE$8=1,N(Reales!EE26),IF(EE$171=1,IF(AND(AND(130&gt;Corte,130&lt;=Corte+n_Ventana),ISNUMBER(Detalle_24m!EE$28)),Detalle_24m!EE$28,INDEX(Vol_V,15,EE$170)/12)*(1+V_dVol),0))</f>
        <v>0</v>
      </c>
      <c r="EF191" s="48">
        <f>IF(EF$8=1,N(Reales!EF26),IF(EF$171=1,IF(AND(AND(131&gt;Corte,131&lt;=Corte+n_Ventana),ISNUMBER(Detalle_24m!EF$28)),Detalle_24m!EF$28,INDEX(Vol_V,15,EF$170)/12)*(1+V_dVol),0))</f>
        <v>0</v>
      </c>
      <c r="EG191" s="48">
        <f>IF(EG$8=1,N(Reales!EG26),IF(EG$171=1,IF(AND(AND(132&gt;Corte,132&lt;=Corte+n_Ventana),ISNUMBER(Detalle_24m!EG$28)),Detalle_24m!EG$28,INDEX(Vol_V,15,EG$170)/12)*(1+V_dVol),0))</f>
        <v>0</v>
      </c>
      <c r="EH191" s="48">
        <f>IF(EH$8=1,N(Reales!EH26),IF(EH$171=1,IF(AND(AND(133&gt;Corte,133&lt;=Corte+n_Ventana),ISNUMBER(Detalle_24m!EH$28)),Detalle_24m!EH$28,INDEX(Vol_V,15,EH$170)/12)*(1+V_dVol),0))</f>
        <v>0</v>
      </c>
      <c r="EI191" s="48">
        <f>IF(EI$8=1,N(Reales!EI26),IF(EI$171=1,IF(AND(AND(134&gt;Corte,134&lt;=Corte+n_Ventana),ISNUMBER(Detalle_24m!EI$28)),Detalle_24m!EI$28,INDEX(Vol_V,15,EI$170)/12)*(1+V_dVol),0))</f>
        <v>0</v>
      </c>
      <c r="EJ191" s="48">
        <f>IF(EJ$8=1,N(Reales!EJ26),IF(EJ$171=1,IF(AND(AND(135&gt;Corte,135&lt;=Corte+n_Ventana),ISNUMBER(Detalle_24m!EJ$28)),Detalle_24m!EJ$28,INDEX(Vol_V,15,EJ$170)/12)*(1+V_dVol),0))</f>
        <v>0</v>
      </c>
      <c r="EK191" s="48">
        <f>IF(EK$8=1,N(Reales!EK26),IF(EK$171=1,IF(AND(AND(136&gt;Corte,136&lt;=Corte+n_Ventana),ISNUMBER(Detalle_24m!EK$28)),Detalle_24m!EK$28,INDEX(Vol_V,15,EK$170)/12)*(1+V_dVol),0))</f>
        <v>0</v>
      </c>
      <c r="EL191" s="48">
        <f>IF(EL$8=1,N(Reales!EL26),IF(EL$171=1,IF(AND(AND(137&gt;Corte,137&lt;=Corte+n_Ventana),ISNUMBER(Detalle_24m!EL$28)),Detalle_24m!EL$28,INDEX(Vol_V,15,EL$170)/12)*(1+V_dVol),0))</f>
        <v>0</v>
      </c>
      <c r="EM191" s="48">
        <f>IF(EM$8=1,N(Reales!EM26),IF(EM$171=1,IF(AND(AND(138&gt;Corte,138&lt;=Corte+n_Ventana),ISNUMBER(Detalle_24m!EM$28)),Detalle_24m!EM$28,INDEX(Vol_V,15,EM$170)/12)*(1+V_dVol),0))</f>
        <v>0</v>
      </c>
      <c r="EN191" s="48">
        <f>IF(EN$8=1,N(Reales!EN26),IF(EN$171=1,IF(AND(AND(139&gt;Corte,139&lt;=Corte+n_Ventana),ISNUMBER(Detalle_24m!EN$28)),Detalle_24m!EN$28,INDEX(Vol_V,15,EN$170)/12)*(1+V_dVol),0))</f>
        <v>0</v>
      </c>
      <c r="EO191" s="48">
        <f>IF(EO$8=1,N(Reales!EO26),IF(EO$171=1,IF(AND(AND(140&gt;Corte,140&lt;=Corte+n_Ventana),ISNUMBER(Detalle_24m!EO$28)),Detalle_24m!EO$28,INDEX(Vol_V,15,EO$170)/12)*(1+V_dVol),0))</f>
        <v>0</v>
      </c>
      <c r="EP191" s="48">
        <f>IF(EP$8=1,N(Reales!EP26),IF(EP$171=1,IF(AND(AND(141&gt;Corte,141&lt;=Corte+n_Ventana),ISNUMBER(Detalle_24m!EP$28)),Detalle_24m!EP$28,INDEX(Vol_V,15,EP$170)/12)*(1+V_dVol),0))</f>
        <v>0</v>
      </c>
      <c r="EQ191" s="48">
        <f>IF(EQ$8=1,N(Reales!EQ26),IF(EQ$171=1,IF(AND(AND(142&gt;Corte,142&lt;=Corte+n_Ventana),ISNUMBER(Detalle_24m!EQ$28)),Detalle_24m!EQ$28,INDEX(Vol_V,15,EQ$170)/12)*(1+V_dVol),0))</f>
        <v>0</v>
      </c>
      <c r="ER191" s="48">
        <f>IF(ER$8=1,N(Reales!ER26),IF(ER$171=1,IF(AND(AND(143&gt;Corte,143&lt;=Corte+n_Ventana),ISNUMBER(Detalle_24m!ER$28)),Detalle_24m!ER$28,INDEX(Vol_V,15,ER$170)/12)*(1+V_dVol),0))</f>
        <v>0</v>
      </c>
      <c r="ES191" s="48">
        <f>IF(ES$8=1,N(Reales!ES26),IF(ES$171=1,IF(AND(AND(144&gt;Corte,144&lt;=Corte+n_Ventana),ISNUMBER(Detalle_24m!ES$28)),Detalle_24m!ES$28,INDEX(Vol_V,15,ES$170)/12)*(1+V_dVol),0))</f>
        <v>0</v>
      </c>
    </row>
    <row r="192" spans="1:149" x14ac:dyDescent="0.3">
      <c r="A192" s="14" t="s">
        <v>1247</v>
      </c>
      <c r="B192" s="53" t="str">
        <f>IF(INDEX(Prod_Nombre,16)="","Producto 16",INDEX(Prod_Nombre,16))&amp;" — unidades"</f>
        <v>Producto 16 — unidades</v>
      </c>
      <c r="C192" s="18" t="s">
        <v>475</v>
      </c>
      <c r="E192" s="54">
        <f t="shared" si="604"/>
        <v>0</v>
      </c>
      <c r="F192" s="48">
        <f>IF(F$8=1,N(Reales!F27),IF(F$171=1,IF(AND(AND(1&gt;Corte,1&lt;=Corte+n_Ventana),ISNUMBER(Detalle_24m!F$29)),Detalle_24m!F$29,INDEX(Vol_V,16,F$170)/12)*(1+V_dVol),0))</f>
        <v>0</v>
      </c>
      <c r="G192" s="48">
        <f>IF(G$8=1,N(Reales!G27),IF(G$171=1,IF(AND(AND(2&gt;Corte,2&lt;=Corte+n_Ventana),ISNUMBER(Detalle_24m!G$29)),Detalle_24m!G$29,INDEX(Vol_V,16,G$170)/12)*(1+V_dVol),0))</f>
        <v>0</v>
      </c>
      <c r="H192" s="48">
        <f>IF(H$8=1,N(Reales!H27),IF(H$171=1,IF(AND(AND(3&gt;Corte,3&lt;=Corte+n_Ventana),ISNUMBER(Detalle_24m!H$29)),Detalle_24m!H$29,INDEX(Vol_V,16,H$170)/12)*(1+V_dVol),0))</f>
        <v>0</v>
      </c>
      <c r="I192" s="48">
        <f>IF(I$8=1,N(Reales!I27),IF(I$171=1,IF(AND(AND(4&gt;Corte,4&lt;=Corte+n_Ventana),ISNUMBER(Detalle_24m!I$29)),Detalle_24m!I$29,INDEX(Vol_V,16,I$170)/12)*(1+V_dVol),0))</f>
        <v>0</v>
      </c>
      <c r="J192" s="48">
        <f>IF(J$8=1,N(Reales!J27),IF(J$171=1,IF(AND(AND(5&gt;Corte,5&lt;=Corte+n_Ventana),ISNUMBER(Detalle_24m!J$29)),Detalle_24m!J$29,INDEX(Vol_V,16,J$170)/12)*(1+V_dVol),0))</f>
        <v>0</v>
      </c>
      <c r="K192" s="48">
        <f>IF(K$8=1,N(Reales!K27),IF(K$171=1,IF(AND(AND(6&gt;Corte,6&lt;=Corte+n_Ventana),ISNUMBER(Detalle_24m!K$29)),Detalle_24m!K$29,INDEX(Vol_V,16,K$170)/12)*(1+V_dVol),0))</f>
        <v>0</v>
      </c>
      <c r="L192" s="48">
        <f>IF(L$8=1,N(Reales!L27),IF(L$171=1,IF(AND(AND(7&gt;Corte,7&lt;=Corte+n_Ventana),ISNUMBER(Detalle_24m!L$29)),Detalle_24m!L$29,INDEX(Vol_V,16,L$170)/12)*(1+V_dVol),0))</f>
        <v>0</v>
      </c>
      <c r="M192" s="48">
        <f>IF(M$8=1,N(Reales!M27),IF(M$171=1,IF(AND(AND(8&gt;Corte,8&lt;=Corte+n_Ventana),ISNUMBER(Detalle_24m!M$29)),Detalle_24m!M$29,INDEX(Vol_V,16,M$170)/12)*(1+V_dVol),0))</f>
        <v>0</v>
      </c>
      <c r="N192" s="48">
        <f>IF(N$8=1,N(Reales!N27),IF(N$171=1,IF(AND(AND(9&gt;Corte,9&lt;=Corte+n_Ventana),ISNUMBER(Detalle_24m!N$29)),Detalle_24m!N$29,INDEX(Vol_V,16,N$170)/12)*(1+V_dVol),0))</f>
        <v>0</v>
      </c>
      <c r="O192" s="48">
        <f>IF(O$8=1,N(Reales!O27),IF(O$171=1,IF(AND(AND(10&gt;Corte,10&lt;=Corte+n_Ventana),ISNUMBER(Detalle_24m!O$29)),Detalle_24m!O$29,INDEX(Vol_V,16,O$170)/12)*(1+V_dVol),0))</f>
        <v>0</v>
      </c>
      <c r="P192" s="48">
        <f>IF(P$8=1,N(Reales!P27),IF(P$171=1,IF(AND(AND(11&gt;Corte,11&lt;=Corte+n_Ventana),ISNUMBER(Detalle_24m!P$29)),Detalle_24m!P$29,INDEX(Vol_V,16,P$170)/12)*(1+V_dVol),0))</f>
        <v>0</v>
      </c>
      <c r="Q192" s="48">
        <f>IF(Q$8=1,N(Reales!Q27),IF(Q$171=1,IF(AND(AND(12&gt;Corte,12&lt;=Corte+n_Ventana),ISNUMBER(Detalle_24m!Q$29)),Detalle_24m!Q$29,INDEX(Vol_V,16,Q$170)/12)*(1+V_dVol),0))</f>
        <v>0</v>
      </c>
      <c r="R192" s="48">
        <f>IF(R$8=1,N(Reales!R27),IF(R$171=1,IF(AND(AND(13&gt;Corte,13&lt;=Corte+n_Ventana),ISNUMBER(Detalle_24m!R$29)),Detalle_24m!R$29,INDEX(Vol_V,16,R$170)/12)*(1+V_dVol),0))</f>
        <v>0</v>
      </c>
      <c r="S192" s="48">
        <f>IF(S$8=1,N(Reales!S27),IF(S$171=1,IF(AND(AND(14&gt;Corte,14&lt;=Corte+n_Ventana),ISNUMBER(Detalle_24m!S$29)),Detalle_24m!S$29,INDEX(Vol_V,16,S$170)/12)*(1+V_dVol),0))</f>
        <v>0</v>
      </c>
      <c r="T192" s="48">
        <f>IF(T$8=1,N(Reales!T27),IF(T$171=1,IF(AND(AND(15&gt;Corte,15&lt;=Corte+n_Ventana),ISNUMBER(Detalle_24m!T$29)),Detalle_24m!T$29,INDEX(Vol_V,16,T$170)/12)*(1+V_dVol),0))</f>
        <v>0</v>
      </c>
      <c r="U192" s="48">
        <f>IF(U$8=1,N(Reales!U27),IF(U$171=1,IF(AND(AND(16&gt;Corte,16&lt;=Corte+n_Ventana),ISNUMBER(Detalle_24m!U$29)),Detalle_24m!U$29,INDEX(Vol_V,16,U$170)/12)*(1+V_dVol),0))</f>
        <v>0</v>
      </c>
      <c r="V192" s="48">
        <f>IF(V$8=1,N(Reales!V27),IF(V$171=1,IF(AND(AND(17&gt;Corte,17&lt;=Corte+n_Ventana),ISNUMBER(Detalle_24m!V$29)),Detalle_24m!V$29,INDEX(Vol_V,16,V$170)/12)*(1+V_dVol),0))</f>
        <v>0</v>
      </c>
      <c r="W192" s="48">
        <f>IF(W$8=1,N(Reales!W27),IF(W$171=1,IF(AND(AND(18&gt;Corte,18&lt;=Corte+n_Ventana),ISNUMBER(Detalle_24m!W$29)),Detalle_24m!W$29,INDEX(Vol_V,16,W$170)/12)*(1+V_dVol),0))</f>
        <v>0</v>
      </c>
      <c r="X192" s="48">
        <f>IF(X$8=1,N(Reales!X27),IF(X$171=1,IF(AND(AND(19&gt;Corte,19&lt;=Corte+n_Ventana),ISNUMBER(Detalle_24m!X$29)),Detalle_24m!X$29,INDEX(Vol_V,16,X$170)/12)*(1+V_dVol),0))</f>
        <v>0</v>
      </c>
      <c r="Y192" s="48">
        <f>IF(Y$8=1,N(Reales!Y27),IF(Y$171=1,IF(AND(AND(20&gt;Corte,20&lt;=Corte+n_Ventana),ISNUMBER(Detalle_24m!Y$29)),Detalle_24m!Y$29,INDEX(Vol_V,16,Y$170)/12)*(1+V_dVol),0))</f>
        <v>0</v>
      </c>
      <c r="Z192" s="48">
        <f>IF(Z$8=1,N(Reales!Z27),IF(Z$171=1,IF(AND(AND(21&gt;Corte,21&lt;=Corte+n_Ventana),ISNUMBER(Detalle_24m!Z$29)),Detalle_24m!Z$29,INDEX(Vol_V,16,Z$170)/12)*(1+V_dVol),0))</f>
        <v>0</v>
      </c>
      <c r="AA192" s="48">
        <f>IF(AA$8=1,N(Reales!AA27),IF(AA$171=1,IF(AND(AND(22&gt;Corte,22&lt;=Corte+n_Ventana),ISNUMBER(Detalle_24m!AA$29)),Detalle_24m!AA$29,INDEX(Vol_V,16,AA$170)/12)*(1+V_dVol),0))</f>
        <v>0</v>
      </c>
      <c r="AB192" s="48">
        <f>IF(AB$8=1,N(Reales!AB27),IF(AB$171=1,IF(AND(AND(23&gt;Corte,23&lt;=Corte+n_Ventana),ISNUMBER(Detalle_24m!AB$29)),Detalle_24m!AB$29,INDEX(Vol_V,16,AB$170)/12)*(1+V_dVol),0))</f>
        <v>0</v>
      </c>
      <c r="AC192" s="48">
        <f>IF(AC$8=1,N(Reales!AC27),IF(AC$171=1,IF(AND(AND(24&gt;Corte,24&lt;=Corte+n_Ventana),ISNUMBER(Detalle_24m!AC$29)),Detalle_24m!AC$29,INDEX(Vol_V,16,AC$170)/12)*(1+V_dVol),0))</f>
        <v>0</v>
      </c>
      <c r="AD192" s="48">
        <f>IF(AD$8=1,N(Reales!AD27),IF(AD$171=1,IF(AND(AND(25&gt;Corte,25&lt;=Corte+n_Ventana),ISNUMBER(Detalle_24m!AD$29)),Detalle_24m!AD$29,INDEX(Vol_V,16,AD$170)/12)*(1+V_dVol),0))</f>
        <v>0</v>
      </c>
      <c r="AE192" s="48">
        <f>IF(AE$8=1,N(Reales!AE27),IF(AE$171=1,IF(AND(AND(26&gt;Corte,26&lt;=Corte+n_Ventana),ISNUMBER(Detalle_24m!AE$29)),Detalle_24m!AE$29,INDEX(Vol_V,16,AE$170)/12)*(1+V_dVol),0))</f>
        <v>0</v>
      </c>
      <c r="AF192" s="48">
        <f>IF(AF$8=1,N(Reales!AF27),IF(AF$171=1,IF(AND(AND(27&gt;Corte,27&lt;=Corte+n_Ventana),ISNUMBER(Detalle_24m!AF$29)),Detalle_24m!AF$29,INDEX(Vol_V,16,AF$170)/12)*(1+V_dVol),0))</f>
        <v>0</v>
      </c>
      <c r="AG192" s="48">
        <f>IF(AG$8=1,N(Reales!AG27),IF(AG$171=1,IF(AND(AND(28&gt;Corte,28&lt;=Corte+n_Ventana),ISNUMBER(Detalle_24m!AG$29)),Detalle_24m!AG$29,INDEX(Vol_V,16,AG$170)/12)*(1+V_dVol),0))</f>
        <v>0</v>
      </c>
      <c r="AH192" s="48">
        <f>IF(AH$8=1,N(Reales!AH27),IF(AH$171=1,IF(AND(AND(29&gt;Corte,29&lt;=Corte+n_Ventana),ISNUMBER(Detalle_24m!AH$29)),Detalle_24m!AH$29,INDEX(Vol_V,16,AH$170)/12)*(1+V_dVol),0))</f>
        <v>0</v>
      </c>
      <c r="AI192" s="48">
        <f>IF(AI$8=1,N(Reales!AI27),IF(AI$171=1,IF(AND(AND(30&gt;Corte,30&lt;=Corte+n_Ventana),ISNUMBER(Detalle_24m!AI$29)),Detalle_24m!AI$29,INDEX(Vol_V,16,AI$170)/12)*(1+V_dVol),0))</f>
        <v>0</v>
      </c>
      <c r="AJ192" s="48">
        <f>IF(AJ$8=1,N(Reales!AJ27),IF(AJ$171=1,IF(AND(AND(31&gt;Corte,31&lt;=Corte+n_Ventana),ISNUMBER(Detalle_24m!AJ$29)),Detalle_24m!AJ$29,INDEX(Vol_V,16,AJ$170)/12)*(1+V_dVol),0))</f>
        <v>0</v>
      </c>
      <c r="AK192" s="48">
        <f>IF(AK$8=1,N(Reales!AK27),IF(AK$171=1,IF(AND(AND(32&gt;Corte,32&lt;=Corte+n_Ventana),ISNUMBER(Detalle_24m!AK$29)),Detalle_24m!AK$29,INDEX(Vol_V,16,AK$170)/12)*(1+V_dVol),0))</f>
        <v>0</v>
      </c>
      <c r="AL192" s="48">
        <f>IF(AL$8=1,N(Reales!AL27),IF(AL$171=1,IF(AND(AND(33&gt;Corte,33&lt;=Corte+n_Ventana),ISNUMBER(Detalle_24m!AL$29)),Detalle_24m!AL$29,INDEX(Vol_V,16,AL$170)/12)*(1+V_dVol),0))</f>
        <v>0</v>
      </c>
      <c r="AM192" s="48">
        <f>IF(AM$8=1,N(Reales!AM27),IF(AM$171=1,IF(AND(AND(34&gt;Corte,34&lt;=Corte+n_Ventana),ISNUMBER(Detalle_24m!AM$29)),Detalle_24m!AM$29,INDEX(Vol_V,16,AM$170)/12)*(1+V_dVol),0))</f>
        <v>0</v>
      </c>
      <c r="AN192" s="48">
        <f>IF(AN$8=1,N(Reales!AN27),IF(AN$171=1,IF(AND(AND(35&gt;Corte,35&lt;=Corte+n_Ventana),ISNUMBER(Detalle_24m!AN$29)),Detalle_24m!AN$29,INDEX(Vol_V,16,AN$170)/12)*(1+V_dVol),0))</f>
        <v>0</v>
      </c>
      <c r="AO192" s="48">
        <f>IF(AO$8=1,N(Reales!AO27),IF(AO$171=1,IF(AND(AND(36&gt;Corte,36&lt;=Corte+n_Ventana),ISNUMBER(Detalle_24m!AO$29)),Detalle_24m!AO$29,INDEX(Vol_V,16,AO$170)/12)*(1+V_dVol),0))</f>
        <v>0</v>
      </c>
      <c r="AP192" s="48">
        <f>IF(AP$8=1,N(Reales!AP27),IF(AP$171=1,IF(AND(AND(37&gt;Corte,37&lt;=Corte+n_Ventana),ISNUMBER(Detalle_24m!AP$29)),Detalle_24m!AP$29,INDEX(Vol_V,16,AP$170)/12)*(1+V_dVol),0))</f>
        <v>0</v>
      </c>
      <c r="AQ192" s="48">
        <f>IF(AQ$8=1,N(Reales!AQ27),IF(AQ$171=1,IF(AND(AND(38&gt;Corte,38&lt;=Corte+n_Ventana),ISNUMBER(Detalle_24m!AQ$29)),Detalle_24m!AQ$29,INDEX(Vol_V,16,AQ$170)/12)*(1+V_dVol),0))</f>
        <v>0</v>
      </c>
      <c r="AR192" s="48">
        <f>IF(AR$8=1,N(Reales!AR27),IF(AR$171=1,IF(AND(AND(39&gt;Corte,39&lt;=Corte+n_Ventana),ISNUMBER(Detalle_24m!AR$29)),Detalle_24m!AR$29,INDEX(Vol_V,16,AR$170)/12)*(1+V_dVol),0))</f>
        <v>0</v>
      </c>
      <c r="AS192" s="48">
        <f>IF(AS$8=1,N(Reales!AS27),IF(AS$171=1,IF(AND(AND(40&gt;Corte,40&lt;=Corte+n_Ventana),ISNUMBER(Detalle_24m!AS$29)),Detalle_24m!AS$29,INDEX(Vol_V,16,AS$170)/12)*(1+V_dVol),0))</f>
        <v>0</v>
      </c>
      <c r="AT192" s="48">
        <f>IF(AT$8=1,N(Reales!AT27),IF(AT$171=1,IF(AND(AND(41&gt;Corte,41&lt;=Corte+n_Ventana),ISNUMBER(Detalle_24m!AT$29)),Detalle_24m!AT$29,INDEX(Vol_V,16,AT$170)/12)*(1+V_dVol),0))</f>
        <v>0</v>
      </c>
      <c r="AU192" s="48">
        <f>IF(AU$8=1,N(Reales!AU27),IF(AU$171=1,IF(AND(AND(42&gt;Corte,42&lt;=Corte+n_Ventana),ISNUMBER(Detalle_24m!AU$29)),Detalle_24m!AU$29,INDEX(Vol_V,16,AU$170)/12)*(1+V_dVol),0))</f>
        <v>0</v>
      </c>
      <c r="AV192" s="48">
        <f>IF(AV$8=1,N(Reales!AV27),IF(AV$171=1,IF(AND(AND(43&gt;Corte,43&lt;=Corte+n_Ventana),ISNUMBER(Detalle_24m!AV$29)),Detalle_24m!AV$29,INDEX(Vol_V,16,AV$170)/12)*(1+V_dVol),0))</f>
        <v>0</v>
      </c>
      <c r="AW192" s="48">
        <f>IF(AW$8=1,N(Reales!AW27),IF(AW$171=1,IF(AND(AND(44&gt;Corte,44&lt;=Corte+n_Ventana),ISNUMBER(Detalle_24m!AW$29)),Detalle_24m!AW$29,INDEX(Vol_V,16,AW$170)/12)*(1+V_dVol),0))</f>
        <v>0</v>
      </c>
      <c r="AX192" s="48">
        <f>IF(AX$8=1,N(Reales!AX27),IF(AX$171=1,IF(AND(AND(45&gt;Corte,45&lt;=Corte+n_Ventana),ISNUMBER(Detalle_24m!AX$29)),Detalle_24m!AX$29,INDEX(Vol_V,16,AX$170)/12)*(1+V_dVol),0))</f>
        <v>0</v>
      </c>
      <c r="AY192" s="48">
        <f>IF(AY$8=1,N(Reales!AY27),IF(AY$171=1,IF(AND(AND(46&gt;Corte,46&lt;=Corte+n_Ventana),ISNUMBER(Detalle_24m!AY$29)),Detalle_24m!AY$29,INDEX(Vol_V,16,AY$170)/12)*(1+V_dVol),0))</f>
        <v>0</v>
      </c>
      <c r="AZ192" s="48">
        <f>IF(AZ$8=1,N(Reales!AZ27),IF(AZ$171=1,IF(AND(AND(47&gt;Corte,47&lt;=Corte+n_Ventana),ISNUMBER(Detalle_24m!AZ$29)),Detalle_24m!AZ$29,INDEX(Vol_V,16,AZ$170)/12)*(1+V_dVol),0))</f>
        <v>0</v>
      </c>
      <c r="BA192" s="48">
        <f>IF(BA$8=1,N(Reales!BA27),IF(BA$171=1,IF(AND(AND(48&gt;Corte,48&lt;=Corte+n_Ventana),ISNUMBER(Detalle_24m!BA$29)),Detalle_24m!BA$29,INDEX(Vol_V,16,BA$170)/12)*(1+V_dVol),0))</f>
        <v>0</v>
      </c>
      <c r="BB192" s="48">
        <f>IF(BB$8=1,N(Reales!BB27),IF(BB$171=1,IF(AND(AND(49&gt;Corte,49&lt;=Corte+n_Ventana),ISNUMBER(Detalle_24m!BB$29)),Detalle_24m!BB$29,INDEX(Vol_V,16,BB$170)/12)*(1+V_dVol),0))</f>
        <v>0</v>
      </c>
      <c r="BC192" s="48">
        <f>IF(BC$8=1,N(Reales!BC27),IF(BC$171=1,IF(AND(AND(50&gt;Corte,50&lt;=Corte+n_Ventana),ISNUMBER(Detalle_24m!BC$29)),Detalle_24m!BC$29,INDEX(Vol_V,16,BC$170)/12)*(1+V_dVol),0))</f>
        <v>0</v>
      </c>
      <c r="BD192" s="48">
        <f>IF(BD$8=1,N(Reales!BD27),IF(BD$171=1,IF(AND(AND(51&gt;Corte,51&lt;=Corte+n_Ventana),ISNUMBER(Detalle_24m!BD$29)),Detalle_24m!BD$29,INDEX(Vol_V,16,BD$170)/12)*(1+V_dVol),0))</f>
        <v>0</v>
      </c>
      <c r="BE192" s="48">
        <f>IF(BE$8=1,N(Reales!BE27),IF(BE$171=1,IF(AND(AND(52&gt;Corte,52&lt;=Corte+n_Ventana),ISNUMBER(Detalle_24m!BE$29)),Detalle_24m!BE$29,INDEX(Vol_V,16,BE$170)/12)*(1+V_dVol),0))</f>
        <v>0</v>
      </c>
      <c r="BF192" s="48">
        <f>IF(BF$8=1,N(Reales!BF27),IF(BF$171=1,IF(AND(AND(53&gt;Corte,53&lt;=Corte+n_Ventana),ISNUMBER(Detalle_24m!BF$29)),Detalle_24m!BF$29,INDEX(Vol_V,16,BF$170)/12)*(1+V_dVol),0))</f>
        <v>0</v>
      </c>
      <c r="BG192" s="48">
        <f>IF(BG$8=1,N(Reales!BG27),IF(BG$171=1,IF(AND(AND(54&gt;Corte,54&lt;=Corte+n_Ventana),ISNUMBER(Detalle_24m!BG$29)),Detalle_24m!BG$29,INDEX(Vol_V,16,BG$170)/12)*(1+V_dVol),0))</f>
        <v>0</v>
      </c>
      <c r="BH192" s="48">
        <f>IF(BH$8=1,N(Reales!BH27),IF(BH$171=1,IF(AND(AND(55&gt;Corte,55&lt;=Corte+n_Ventana),ISNUMBER(Detalle_24m!BH$29)),Detalle_24m!BH$29,INDEX(Vol_V,16,BH$170)/12)*(1+V_dVol),0))</f>
        <v>0</v>
      </c>
      <c r="BI192" s="48">
        <f>IF(BI$8=1,N(Reales!BI27),IF(BI$171=1,IF(AND(AND(56&gt;Corte,56&lt;=Corte+n_Ventana),ISNUMBER(Detalle_24m!BI$29)),Detalle_24m!BI$29,INDEX(Vol_V,16,BI$170)/12)*(1+V_dVol),0))</f>
        <v>0</v>
      </c>
      <c r="BJ192" s="48">
        <f>IF(BJ$8=1,N(Reales!BJ27),IF(BJ$171=1,IF(AND(AND(57&gt;Corte,57&lt;=Corte+n_Ventana),ISNUMBER(Detalle_24m!BJ$29)),Detalle_24m!BJ$29,INDEX(Vol_V,16,BJ$170)/12)*(1+V_dVol),0))</f>
        <v>0</v>
      </c>
      <c r="BK192" s="48">
        <f>IF(BK$8=1,N(Reales!BK27),IF(BK$171=1,IF(AND(AND(58&gt;Corte,58&lt;=Corte+n_Ventana),ISNUMBER(Detalle_24m!BK$29)),Detalle_24m!BK$29,INDEX(Vol_V,16,BK$170)/12)*(1+V_dVol),0))</f>
        <v>0</v>
      </c>
      <c r="BL192" s="48">
        <f>IF(BL$8=1,N(Reales!BL27),IF(BL$171=1,IF(AND(AND(59&gt;Corte,59&lt;=Corte+n_Ventana),ISNUMBER(Detalle_24m!BL$29)),Detalle_24m!BL$29,INDEX(Vol_V,16,BL$170)/12)*(1+V_dVol),0))</f>
        <v>0</v>
      </c>
      <c r="BM192" s="48">
        <f>IF(BM$8=1,N(Reales!BM27),IF(BM$171=1,IF(AND(AND(60&gt;Corte,60&lt;=Corte+n_Ventana),ISNUMBER(Detalle_24m!BM$29)),Detalle_24m!BM$29,INDEX(Vol_V,16,BM$170)/12)*(1+V_dVol),0))</f>
        <v>0</v>
      </c>
      <c r="BN192" s="48">
        <f>IF(BN$8=1,N(Reales!BN27),IF(BN$171=1,IF(AND(AND(61&gt;Corte,61&lt;=Corte+n_Ventana),ISNUMBER(Detalle_24m!BN$29)),Detalle_24m!BN$29,INDEX(Vol_V,16,BN$170)/12)*(1+V_dVol),0))</f>
        <v>0</v>
      </c>
      <c r="BO192" s="48">
        <f>IF(BO$8=1,N(Reales!BO27),IF(BO$171=1,IF(AND(AND(62&gt;Corte,62&lt;=Corte+n_Ventana),ISNUMBER(Detalle_24m!BO$29)),Detalle_24m!BO$29,INDEX(Vol_V,16,BO$170)/12)*(1+V_dVol),0))</f>
        <v>0</v>
      </c>
      <c r="BP192" s="48">
        <f>IF(BP$8=1,N(Reales!BP27),IF(BP$171=1,IF(AND(AND(63&gt;Corte,63&lt;=Corte+n_Ventana),ISNUMBER(Detalle_24m!BP$29)),Detalle_24m!BP$29,INDEX(Vol_V,16,BP$170)/12)*(1+V_dVol),0))</f>
        <v>0</v>
      </c>
      <c r="BQ192" s="48">
        <f>IF(BQ$8=1,N(Reales!BQ27),IF(BQ$171=1,IF(AND(AND(64&gt;Corte,64&lt;=Corte+n_Ventana),ISNUMBER(Detalle_24m!BQ$29)),Detalle_24m!BQ$29,INDEX(Vol_V,16,BQ$170)/12)*(1+V_dVol),0))</f>
        <v>0</v>
      </c>
      <c r="BR192" s="48">
        <f>IF(BR$8=1,N(Reales!BR27),IF(BR$171=1,IF(AND(AND(65&gt;Corte,65&lt;=Corte+n_Ventana),ISNUMBER(Detalle_24m!BR$29)),Detalle_24m!BR$29,INDEX(Vol_V,16,BR$170)/12)*(1+V_dVol),0))</f>
        <v>0</v>
      </c>
      <c r="BS192" s="48">
        <f>IF(BS$8=1,N(Reales!BS27),IF(BS$171=1,IF(AND(AND(66&gt;Corte,66&lt;=Corte+n_Ventana),ISNUMBER(Detalle_24m!BS$29)),Detalle_24m!BS$29,INDEX(Vol_V,16,BS$170)/12)*(1+V_dVol),0))</f>
        <v>0</v>
      </c>
      <c r="BT192" s="48">
        <f>IF(BT$8=1,N(Reales!BT27),IF(BT$171=1,IF(AND(AND(67&gt;Corte,67&lt;=Corte+n_Ventana),ISNUMBER(Detalle_24m!BT$29)),Detalle_24m!BT$29,INDEX(Vol_V,16,BT$170)/12)*(1+V_dVol),0))</f>
        <v>0</v>
      </c>
      <c r="BU192" s="48">
        <f>IF(BU$8=1,N(Reales!BU27),IF(BU$171=1,IF(AND(AND(68&gt;Corte,68&lt;=Corte+n_Ventana),ISNUMBER(Detalle_24m!BU$29)),Detalle_24m!BU$29,INDEX(Vol_V,16,BU$170)/12)*(1+V_dVol),0))</f>
        <v>0</v>
      </c>
      <c r="BV192" s="48">
        <f>IF(BV$8=1,N(Reales!BV27),IF(BV$171=1,IF(AND(AND(69&gt;Corte,69&lt;=Corte+n_Ventana),ISNUMBER(Detalle_24m!BV$29)),Detalle_24m!BV$29,INDEX(Vol_V,16,BV$170)/12)*(1+V_dVol),0))</f>
        <v>0</v>
      </c>
      <c r="BW192" s="48">
        <f>IF(BW$8=1,N(Reales!BW27),IF(BW$171=1,IF(AND(AND(70&gt;Corte,70&lt;=Corte+n_Ventana),ISNUMBER(Detalle_24m!BW$29)),Detalle_24m!BW$29,INDEX(Vol_V,16,BW$170)/12)*(1+V_dVol),0))</f>
        <v>0</v>
      </c>
      <c r="BX192" s="48">
        <f>IF(BX$8=1,N(Reales!BX27),IF(BX$171=1,IF(AND(AND(71&gt;Corte,71&lt;=Corte+n_Ventana),ISNUMBER(Detalle_24m!BX$29)),Detalle_24m!BX$29,INDEX(Vol_V,16,BX$170)/12)*(1+V_dVol),0))</f>
        <v>0</v>
      </c>
      <c r="BY192" s="48">
        <f>IF(BY$8=1,N(Reales!BY27),IF(BY$171=1,IF(AND(AND(72&gt;Corte,72&lt;=Corte+n_Ventana),ISNUMBER(Detalle_24m!BY$29)),Detalle_24m!BY$29,INDEX(Vol_V,16,BY$170)/12)*(1+V_dVol),0))</f>
        <v>0</v>
      </c>
      <c r="BZ192" s="48">
        <f>IF(BZ$8=1,N(Reales!BZ27),IF(BZ$171=1,IF(AND(AND(73&gt;Corte,73&lt;=Corte+n_Ventana),ISNUMBER(Detalle_24m!BZ$29)),Detalle_24m!BZ$29,INDEX(Vol_V,16,BZ$170)/12)*(1+V_dVol),0))</f>
        <v>0</v>
      </c>
      <c r="CA192" s="48">
        <f>IF(CA$8=1,N(Reales!CA27),IF(CA$171=1,IF(AND(AND(74&gt;Corte,74&lt;=Corte+n_Ventana),ISNUMBER(Detalle_24m!CA$29)),Detalle_24m!CA$29,INDEX(Vol_V,16,CA$170)/12)*(1+V_dVol),0))</f>
        <v>0</v>
      </c>
      <c r="CB192" s="48">
        <f>IF(CB$8=1,N(Reales!CB27),IF(CB$171=1,IF(AND(AND(75&gt;Corte,75&lt;=Corte+n_Ventana),ISNUMBER(Detalle_24m!CB$29)),Detalle_24m!CB$29,INDEX(Vol_V,16,CB$170)/12)*(1+V_dVol),0))</f>
        <v>0</v>
      </c>
      <c r="CC192" s="48">
        <f>IF(CC$8=1,N(Reales!CC27),IF(CC$171=1,IF(AND(AND(76&gt;Corte,76&lt;=Corte+n_Ventana),ISNUMBER(Detalle_24m!CC$29)),Detalle_24m!CC$29,INDEX(Vol_V,16,CC$170)/12)*(1+V_dVol),0))</f>
        <v>0</v>
      </c>
      <c r="CD192" s="48">
        <f>IF(CD$8=1,N(Reales!CD27),IF(CD$171=1,IF(AND(AND(77&gt;Corte,77&lt;=Corte+n_Ventana),ISNUMBER(Detalle_24m!CD$29)),Detalle_24m!CD$29,INDEX(Vol_V,16,CD$170)/12)*(1+V_dVol),0))</f>
        <v>0</v>
      </c>
      <c r="CE192" s="48">
        <f>IF(CE$8=1,N(Reales!CE27),IF(CE$171=1,IF(AND(AND(78&gt;Corte,78&lt;=Corte+n_Ventana),ISNUMBER(Detalle_24m!CE$29)),Detalle_24m!CE$29,INDEX(Vol_V,16,CE$170)/12)*(1+V_dVol),0))</f>
        <v>0</v>
      </c>
      <c r="CF192" s="48">
        <f>IF(CF$8=1,N(Reales!CF27),IF(CF$171=1,IF(AND(AND(79&gt;Corte,79&lt;=Corte+n_Ventana),ISNUMBER(Detalle_24m!CF$29)),Detalle_24m!CF$29,INDEX(Vol_V,16,CF$170)/12)*(1+V_dVol),0))</f>
        <v>0</v>
      </c>
      <c r="CG192" s="48">
        <f>IF(CG$8=1,N(Reales!CG27),IF(CG$171=1,IF(AND(AND(80&gt;Corte,80&lt;=Corte+n_Ventana),ISNUMBER(Detalle_24m!CG$29)),Detalle_24m!CG$29,INDEX(Vol_V,16,CG$170)/12)*(1+V_dVol),0))</f>
        <v>0</v>
      </c>
      <c r="CH192" s="48">
        <f>IF(CH$8=1,N(Reales!CH27),IF(CH$171=1,IF(AND(AND(81&gt;Corte,81&lt;=Corte+n_Ventana),ISNUMBER(Detalle_24m!CH$29)),Detalle_24m!CH$29,INDEX(Vol_V,16,CH$170)/12)*(1+V_dVol),0))</f>
        <v>0</v>
      </c>
      <c r="CI192" s="48">
        <f>IF(CI$8=1,N(Reales!CI27),IF(CI$171=1,IF(AND(AND(82&gt;Corte,82&lt;=Corte+n_Ventana),ISNUMBER(Detalle_24m!CI$29)),Detalle_24m!CI$29,INDEX(Vol_V,16,CI$170)/12)*(1+V_dVol),0))</f>
        <v>0</v>
      </c>
      <c r="CJ192" s="48">
        <f>IF(CJ$8=1,N(Reales!CJ27),IF(CJ$171=1,IF(AND(AND(83&gt;Corte,83&lt;=Corte+n_Ventana),ISNUMBER(Detalle_24m!CJ$29)),Detalle_24m!CJ$29,INDEX(Vol_V,16,CJ$170)/12)*(1+V_dVol),0))</f>
        <v>0</v>
      </c>
      <c r="CK192" s="48">
        <f>IF(CK$8=1,N(Reales!CK27),IF(CK$171=1,IF(AND(AND(84&gt;Corte,84&lt;=Corte+n_Ventana),ISNUMBER(Detalle_24m!CK$29)),Detalle_24m!CK$29,INDEX(Vol_V,16,CK$170)/12)*(1+V_dVol),0))</f>
        <v>0</v>
      </c>
      <c r="CL192" s="48">
        <f>IF(CL$8=1,N(Reales!CL27),IF(CL$171=1,IF(AND(AND(85&gt;Corte,85&lt;=Corte+n_Ventana),ISNUMBER(Detalle_24m!CL$29)),Detalle_24m!CL$29,INDEX(Vol_V,16,CL$170)/12)*(1+V_dVol),0))</f>
        <v>0</v>
      </c>
      <c r="CM192" s="48">
        <f>IF(CM$8=1,N(Reales!CM27),IF(CM$171=1,IF(AND(AND(86&gt;Corte,86&lt;=Corte+n_Ventana),ISNUMBER(Detalle_24m!CM$29)),Detalle_24m!CM$29,INDEX(Vol_V,16,CM$170)/12)*(1+V_dVol),0))</f>
        <v>0</v>
      </c>
      <c r="CN192" s="48">
        <f>IF(CN$8=1,N(Reales!CN27),IF(CN$171=1,IF(AND(AND(87&gt;Corte,87&lt;=Corte+n_Ventana),ISNUMBER(Detalle_24m!CN$29)),Detalle_24m!CN$29,INDEX(Vol_V,16,CN$170)/12)*(1+V_dVol),0))</f>
        <v>0</v>
      </c>
      <c r="CO192" s="48">
        <f>IF(CO$8=1,N(Reales!CO27),IF(CO$171=1,IF(AND(AND(88&gt;Corte,88&lt;=Corte+n_Ventana),ISNUMBER(Detalle_24m!CO$29)),Detalle_24m!CO$29,INDEX(Vol_V,16,CO$170)/12)*(1+V_dVol),0))</f>
        <v>0</v>
      </c>
      <c r="CP192" s="48">
        <f>IF(CP$8=1,N(Reales!CP27),IF(CP$171=1,IF(AND(AND(89&gt;Corte,89&lt;=Corte+n_Ventana),ISNUMBER(Detalle_24m!CP$29)),Detalle_24m!CP$29,INDEX(Vol_V,16,CP$170)/12)*(1+V_dVol),0))</f>
        <v>0</v>
      </c>
      <c r="CQ192" s="48">
        <f>IF(CQ$8=1,N(Reales!CQ27),IF(CQ$171=1,IF(AND(AND(90&gt;Corte,90&lt;=Corte+n_Ventana),ISNUMBER(Detalle_24m!CQ$29)),Detalle_24m!CQ$29,INDEX(Vol_V,16,CQ$170)/12)*(1+V_dVol),0))</f>
        <v>0</v>
      </c>
      <c r="CR192" s="48">
        <f>IF(CR$8=1,N(Reales!CR27),IF(CR$171=1,IF(AND(AND(91&gt;Corte,91&lt;=Corte+n_Ventana),ISNUMBER(Detalle_24m!CR$29)),Detalle_24m!CR$29,INDEX(Vol_V,16,CR$170)/12)*(1+V_dVol),0))</f>
        <v>0</v>
      </c>
      <c r="CS192" s="48">
        <f>IF(CS$8=1,N(Reales!CS27),IF(CS$171=1,IF(AND(AND(92&gt;Corte,92&lt;=Corte+n_Ventana),ISNUMBER(Detalle_24m!CS$29)),Detalle_24m!CS$29,INDEX(Vol_V,16,CS$170)/12)*(1+V_dVol),0))</f>
        <v>0</v>
      </c>
      <c r="CT192" s="48">
        <f>IF(CT$8=1,N(Reales!CT27),IF(CT$171=1,IF(AND(AND(93&gt;Corte,93&lt;=Corte+n_Ventana),ISNUMBER(Detalle_24m!CT$29)),Detalle_24m!CT$29,INDEX(Vol_V,16,CT$170)/12)*(1+V_dVol),0))</f>
        <v>0</v>
      </c>
      <c r="CU192" s="48">
        <f>IF(CU$8=1,N(Reales!CU27),IF(CU$171=1,IF(AND(AND(94&gt;Corte,94&lt;=Corte+n_Ventana),ISNUMBER(Detalle_24m!CU$29)),Detalle_24m!CU$29,INDEX(Vol_V,16,CU$170)/12)*(1+V_dVol),0))</f>
        <v>0</v>
      </c>
      <c r="CV192" s="48">
        <f>IF(CV$8=1,N(Reales!CV27),IF(CV$171=1,IF(AND(AND(95&gt;Corte,95&lt;=Corte+n_Ventana),ISNUMBER(Detalle_24m!CV$29)),Detalle_24m!CV$29,INDEX(Vol_V,16,CV$170)/12)*(1+V_dVol),0))</f>
        <v>0</v>
      </c>
      <c r="CW192" s="48">
        <f>IF(CW$8=1,N(Reales!CW27),IF(CW$171=1,IF(AND(AND(96&gt;Corte,96&lt;=Corte+n_Ventana),ISNUMBER(Detalle_24m!CW$29)),Detalle_24m!CW$29,INDEX(Vol_V,16,CW$170)/12)*(1+V_dVol),0))</f>
        <v>0</v>
      </c>
      <c r="CX192" s="48">
        <f>IF(CX$8=1,N(Reales!CX27),IF(CX$171=1,IF(AND(AND(97&gt;Corte,97&lt;=Corte+n_Ventana),ISNUMBER(Detalle_24m!CX$29)),Detalle_24m!CX$29,INDEX(Vol_V,16,CX$170)/12)*(1+V_dVol),0))</f>
        <v>0</v>
      </c>
      <c r="CY192" s="48">
        <f>IF(CY$8=1,N(Reales!CY27),IF(CY$171=1,IF(AND(AND(98&gt;Corte,98&lt;=Corte+n_Ventana),ISNUMBER(Detalle_24m!CY$29)),Detalle_24m!CY$29,INDEX(Vol_V,16,CY$170)/12)*(1+V_dVol),0))</f>
        <v>0</v>
      </c>
      <c r="CZ192" s="48">
        <f>IF(CZ$8=1,N(Reales!CZ27),IF(CZ$171=1,IF(AND(AND(99&gt;Corte,99&lt;=Corte+n_Ventana),ISNUMBER(Detalle_24m!CZ$29)),Detalle_24m!CZ$29,INDEX(Vol_V,16,CZ$170)/12)*(1+V_dVol),0))</f>
        <v>0</v>
      </c>
      <c r="DA192" s="48">
        <f>IF(DA$8=1,N(Reales!DA27),IF(DA$171=1,IF(AND(AND(100&gt;Corte,100&lt;=Corte+n_Ventana),ISNUMBER(Detalle_24m!DA$29)),Detalle_24m!DA$29,INDEX(Vol_V,16,DA$170)/12)*(1+V_dVol),0))</f>
        <v>0</v>
      </c>
      <c r="DB192" s="48">
        <f>IF(DB$8=1,N(Reales!DB27),IF(DB$171=1,IF(AND(AND(101&gt;Corte,101&lt;=Corte+n_Ventana),ISNUMBER(Detalle_24m!DB$29)),Detalle_24m!DB$29,INDEX(Vol_V,16,DB$170)/12)*(1+V_dVol),0))</f>
        <v>0</v>
      </c>
      <c r="DC192" s="48">
        <f>IF(DC$8=1,N(Reales!DC27),IF(DC$171=1,IF(AND(AND(102&gt;Corte,102&lt;=Corte+n_Ventana),ISNUMBER(Detalle_24m!DC$29)),Detalle_24m!DC$29,INDEX(Vol_V,16,DC$170)/12)*(1+V_dVol),0))</f>
        <v>0</v>
      </c>
      <c r="DD192" s="48">
        <f>IF(DD$8=1,N(Reales!DD27),IF(DD$171=1,IF(AND(AND(103&gt;Corte,103&lt;=Corte+n_Ventana),ISNUMBER(Detalle_24m!DD$29)),Detalle_24m!DD$29,INDEX(Vol_V,16,DD$170)/12)*(1+V_dVol),0))</f>
        <v>0</v>
      </c>
      <c r="DE192" s="48">
        <f>IF(DE$8=1,N(Reales!DE27),IF(DE$171=1,IF(AND(AND(104&gt;Corte,104&lt;=Corte+n_Ventana),ISNUMBER(Detalle_24m!DE$29)),Detalle_24m!DE$29,INDEX(Vol_V,16,DE$170)/12)*(1+V_dVol),0))</f>
        <v>0</v>
      </c>
      <c r="DF192" s="48">
        <f>IF(DF$8=1,N(Reales!DF27),IF(DF$171=1,IF(AND(AND(105&gt;Corte,105&lt;=Corte+n_Ventana),ISNUMBER(Detalle_24m!DF$29)),Detalle_24m!DF$29,INDEX(Vol_V,16,DF$170)/12)*(1+V_dVol),0))</f>
        <v>0</v>
      </c>
      <c r="DG192" s="48">
        <f>IF(DG$8=1,N(Reales!DG27),IF(DG$171=1,IF(AND(AND(106&gt;Corte,106&lt;=Corte+n_Ventana),ISNUMBER(Detalle_24m!DG$29)),Detalle_24m!DG$29,INDEX(Vol_V,16,DG$170)/12)*(1+V_dVol),0))</f>
        <v>0</v>
      </c>
      <c r="DH192" s="48">
        <f>IF(DH$8=1,N(Reales!DH27),IF(DH$171=1,IF(AND(AND(107&gt;Corte,107&lt;=Corte+n_Ventana),ISNUMBER(Detalle_24m!DH$29)),Detalle_24m!DH$29,INDEX(Vol_V,16,DH$170)/12)*(1+V_dVol),0))</f>
        <v>0</v>
      </c>
      <c r="DI192" s="48">
        <f>IF(DI$8=1,N(Reales!DI27),IF(DI$171=1,IF(AND(AND(108&gt;Corte,108&lt;=Corte+n_Ventana),ISNUMBER(Detalle_24m!DI$29)),Detalle_24m!DI$29,INDEX(Vol_V,16,DI$170)/12)*(1+V_dVol),0))</f>
        <v>0</v>
      </c>
      <c r="DJ192" s="48">
        <f>IF(DJ$8=1,N(Reales!DJ27),IF(DJ$171=1,IF(AND(AND(109&gt;Corte,109&lt;=Corte+n_Ventana),ISNUMBER(Detalle_24m!DJ$29)),Detalle_24m!DJ$29,INDEX(Vol_V,16,DJ$170)/12)*(1+V_dVol),0))</f>
        <v>0</v>
      </c>
      <c r="DK192" s="48">
        <f>IF(DK$8=1,N(Reales!DK27),IF(DK$171=1,IF(AND(AND(110&gt;Corte,110&lt;=Corte+n_Ventana),ISNUMBER(Detalle_24m!DK$29)),Detalle_24m!DK$29,INDEX(Vol_V,16,DK$170)/12)*(1+V_dVol),0))</f>
        <v>0</v>
      </c>
      <c r="DL192" s="48">
        <f>IF(DL$8=1,N(Reales!DL27),IF(DL$171=1,IF(AND(AND(111&gt;Corte,111&lt;=Corte+n_Ventana),ISNUMBER(Detalle_24m!DL$29)),Detalle_24m!DL$29,INDEX(Vol_V,16,DL$170)/12)*(1+V_dVol),0))</f>
        <v>0</v>
      </c>
      <c r="DM192" s="48">
        <f>IF(DM$8=1,N(Reales!DM27),IF(DM$171=1,IF(AND(AND(112&gt;Corte,112&lt;=Corte+n_Ventana),ISNUMBER(Detalle_24m!DM$29)),Detalle_24m!DM$29,INDEX(Vol_V,16,DM$170)/12)*(1+V_dVol),0))</f>
        <v>0</v>
      </c>
      <c r="DN192" s="48">
        <f>IF(DN$8=1,N(Reales!DN27),IF(DN$171=1,IF(AND(AND(113&gt;Corte,113&lt;=Corte+n_Ventana),ISNUMBER(Detalle_24m!DN$29)),Detalle_24m!DN$29,INDEX(Vol_V,16,DN$170)/12)*(1+V_dVol),0))</f>
        <v>0</v>
      </c>
      <c r="DO192" s="48">
        <f>IF(DO$8=1,N(Reales!DO27),IF(DO$171=1,IF(AND(AND(114&gt;Corte,114&lt;=Corte+n_Ventana),ISNUMBER(Detalle_24m!DO$29)),Detalle_24m!DO$29,INDEX(Vol_V,16,DO$170)/12)*(1+V_dVol),0))</f>
        <v>0</v>
      </c>
      <c r="DP192" s="48">
        <f>IF(DP$8=1,N(Reales!DP27),IF(DP$171=1,IF(AND(AND(115&gt;Corte,115&lt;=Corte+n_Ventana),ISNUMBER(Detalle_24m!DP$29)),Detalle_24m!DP$29,INDEX(Vol_V,16,DP$170)/12)*(1+V_dVol),0))</f>
        <v>0</v>
      </c>
      <c r="DQ192" s="48">
        <f>IF(DQ$8=1,N(Reales!DQ27),IF(DQ$171=1,IF(AND(AND(116&gt;Corte,116&lt;=Corte+n_Ventana),ISNUMBER(Detalle_24m!DQ$29)),Detalle_24m!DQ$29,INDEX(Vol_V,16,DQ$170)/12)*(1+V_dVol),0))</f>
        <v>0</v>
      </c>
      <c r="DR192" s="48">
        <f>IF(DR$8=1,N(Reales!DR27),IF(DR$171=1,IF(AND(AND(117&gt;Corte,117&lt;=Corte+n_Ventana),ISNUMBER(Detalle_24m!DR$29)),Detalle_24m!DR$29,INDEX(Vol_V,16,DR$170)/12)*(1+V_dVol),0))</f>
        <v>0</v>
      </c>
      <c r="DS192" s="48">
        <f>IF(DS$8=1,N(Reales!DS27),IF(DS$171=1,IF(AND(AND(118&gt;Corte,118&lt;=Corte+n_Ventana),ISNUMBER(Detalle_24m!DS$29)),Detalle_24m!DS$29,INDEX(Vol_V,16,DS$170)/12)*(1+V_dVol),0))</f>
        <v>0</v>
      </c>
      <c r="DT192" s="48">
        <f>IF(DT$8=1,N(Reales!DT27),IF(DT$171=1,IF(AND(AND(119&gt;Corte,119&lt;=Corte+n_Ventana),ISNUMBER(Detalle_24m!DT$29)),Detalle_24m!DT$29,INDEX(Vol_V,16,DT$170)/12)*(1+V_dVol),0))</f>
        <v>0</v>
      </c>
      <c r="DU192" s="48">
        <f>IF(DU$8=1,N(Reales!DU27),IF(DU$171=1,IF(AND(AND(120&gt;Corte,120&lt;=Corte+n_Ventana),ISNUMBER(Detalle_24m!DU$29)),Detalle_24m!DU$29,INDEX(Vol_V,16,DU$170)/12)*(1+V_dVol),0))</f>
        <v>0</v>
      </c>
      <c r="DV192" s="48">
        <f>IF(DV$8=1,N(Reales!DV27),IF(DV$171=1,IF(AND(AND(121&gt;Corte,121&lt;=Corte+n_Ventana),ISNUMBER(Detalle_24m!DV$29)),Detalle_24m!DV$29,INDEX(Vol_V,16,DV$170)/12)*(1+V_dVol),0))</f>
        <v>0</v>
      </c>
      <c r="DW192" s="48">
        <f>IF(DW$8=1,N(Reales!DW27),IF(DW$171=1,IF(AND(AND(122&gt;Corte,122&lt;=Corte+n_Ventana),ISNUMBER(Detalle_24m!DW$29)),Detalle_24m!DW$29,INDEX(Vol_V,16,DW$170)/12)*(1+V_dVol),0))</f>
        <v>0</v>
      </c>
      <c r="DX192" s="48">
        <f>IF(DX$8=1,N(Reales!DX27),IF(DX$171=1,IF(AND(AND(123&gt;Corte,123&lt;=Corte+n_Ventana),ISNUMBER(Detalle_24m!DX$29)),Detalle_24m!DX$29,INDEX(Vol_V,16,DX$170)/12)*(1+V_dVol),0))</f>
        <v>0</v>
      </c>
      <c r="DY192" s="48">
        <f>IF(DY$8=1,N(Reales!DY27),IF(DY$171=1,IF(AND(AND(124&gt;Corte,124&lt;=Corte+n_Ventana),ISNUMBER(Detalle_24m!DY$29)),Detalle_24m!DY$29,INDEX(Vol_V,16,DY$170)/12)*(1+V_dVol),0))</f>
        <v>0</v>
      </c>
      <c r="DZ192" s="48">
        <f>IF(DZ$8=1,N(Reales!DZ27),IF(DZ$171=1,IF(AND(AND(125&gt;Corte,125&lt;=Corte+n_Ventana),ISNUMBER(Detalle_24m!DZ$29)),Detalle_24m!DZ$29,INDEX(Vol_V,16,DZ$170)/12)*(1+V_dVol),0))</f>
        <v>0</v>
      </c>
      <c r="EA192" s="48">
        <f>IF(EA$8=1,N(Reales!EA27),IF(EA$171=1,IF(AND(AND(126&gt;Corte,126&lt;=Corte+n_Ventana),ISNUMBER(Detalle_24m!EA$29)),Detalle_24m!EA$29,INDEX(Vol_V,16,EA$170)/12)*(1+V_dVol),0))</f>
        <v>0</v>
      </c>
      <c r="EB192" s="48">
        <f>IF(EB$8=1,N(Reales!EB27),IF(EB$171=1,IF(AND(AND(127&gt;Corte,127&lt;=Corte+n_Ventana),ISNUMBER(Detalle_24m!EB$29)),Detalle_24m!EB$29,INDEX(Vol_V,16,EB$170)/12)*(1+V_dVol),0))</f>
        <v>0</v>
      </c>
      <c r="EC192" s="48">
        <f>IF(EC$8=1,N(Reales!EC27),IF(EC$171=1,IF(AND(AND(128&gt;Corte,128&lt;=Corte+n_Ventana),ISNUMBER(Detalle_24m!EC$29)),Detalle_24m!EC$29,INDEX(Vol_V,16,EC$170)/12)*(1+V_dVol),0))</f>
        <v>0</v>
      </c>
      <c r="ED192" s="48">
        <f>IF(ED$8=1,N(Reales!ED27),IF(ED$171=1,IF(AND(AND(129&gt;Corte,129&lt;=Corte+n_Ventana),ISNUMBER(Detalle_24m!ED$29)),Detalle_24m!ED$29,INDEX(Vol_V,16,ED$170)/12)*(1+V_dVol),0))</f>
        <v>0</v>
      </c>
      <c r="EE192" s="48">
        <f>IF(EE$8=1,N(Reales!EE27),IF(EE$171=1,IF(AND(AND(130&gt;Corte,130&lt;=Corte+n_Ventana),ISNUMBER(Detalle_24m!EE$29)),Detalle_24m!EE$29,INDEX(Vol_V,16,EE$170)/12)*(1+V_dVol),0))</f>
        <v>0</v>
      </c>
      <c r="EF192" s="48">
        <f>IF(EF$8=1,N(Reales!EF27),IF(EF$171=1,IF(AND(AND(131&gt;Corte,131&lt;=Corte+n_Ventana),ISNUMBER(Detalle_24m!EF$29)),Detalle_24m!EF$29,INDEX(Vol_V,16,EF$170)/12)*(1+V_dVol),0))</f>
        <v>0</v>
      </c>
      <c r="EG192" s="48">
        <f>IF(EG$8=1,N(Reales!EG27),IF(EG$171=1,IF(AND(AND(132&gt;Corte,132&lt;=Corte+n_Ventana),ISNUMBER(Detalle_24m!EG$29)),Detalle_24m!EG$29,INDEX(Vol_V,16,EG$170)/12)*(1+V_dVol),0))</f>
        <v>0</v>
      </c>
      <c r="EH192" s="48">
        <f>IF(EH$8=1,N(Reales!EH27),IF(EH$171=1,IF(AND(AND(133&gt;Corte,133&lt;=Corte+n_Ventana),ISNUMBER(Detalle_24m!EH$29)),Detalle_24m!EH$29,INDEX(Vol_V,16,EH$170)/12)*(1+V_dVol),0))</f>
        <v>0</v>
      </c>
      <c r="EI192" s="48">
        <f>IF(EI$8=1,N(Reales!EI27),IF(EI$171=1,IF(AND(AND(134&gt;Corte,134&lt;=Corte+n_Ventana),ISNUMBER(Detalle_24m!EI$29)),Detalle_24m!EI$29,INDEX(Vol_V,16,EI$170)/12)*(1+V_dVol),0))</f>
        <v>0</v>
      </c>
      <c r="EJ192" s="48">
        <f>IF(EJ$8=1,N(Reales!EJ27),IF(EJ$171=1,IF(AND(AND(135&gt;Corte,135&lt;=Corte+n_Ventana),ISNUMBER(Detalle_24m!EJ$29)),Detalle_24m!EJ$29,INDEX(Vol_V,16,EJ$170)/12)*(1+V_dVol),0))</f>
        <v>0</v>
      </c>
      <c r="EK192" s="48">
        <f>IF(EK$8=1,N(Reales!EK27),IF(EK$171=1,IF(AND(AND(136&gt;Corte,136&lt;=Corte+n_Ventana),ISNUMBER(Detalle_24m!EK$29)),Detalle_24m!EK$29,INDEX(Vol_V,16,EK$170)/12)*(1+V_dVol),0))</f>
        <v>0</v>
      </c>
      <c r="EL192" s="48">
        <f>IF(EL$8=1,N(Reales!EL27),IF(EL$171=1,IF(AND(AND(137&gt;Corte,137&lt;=Corte+n_Ventana),ISNUMBER(Detalle_24m!EL$29)),Detalle_24m!EL$29,INDEX(Vol_V,16,EL$170)/12)*(1+V_dVol),0))</f>
        <v>0</v>
      </c>
      <c r="EM192" s="48">
        <f>IF(EM$8=1,N(Reales!EM27),IF(EM$171=1,IF(AND(AND(138&gt;Corte,138&lt;=Corte+n_Ventana),ISNUMBER(Detalle_24m!EM$29)),Detalle_24m!EM$29,INDEX(Vol_V,16,EM$170)/12)*(1+V_dVol),0))</f>
        <v>0</v>
      </c>
      <c r="EN192" s="48">
        <f>IF(EN$8=1,N(Reales!EN27),IF(EN$171=1,IF(AND(AND(139&gt;Corte,139&lt;=Corte+n_Ventana),ISNUMBER(Detalle_24m!EN$29)),Detalle_24m!EN$29,INDEX(Vol_V,16,EN$170)/12)*(1+V_dVol),0))</f>
        <v>0</v>
      </c>
      <c r="EO192" s="48">
        <f>IF(EO$8=1,N(Reales!EO27),IF(EO$171=1,IF(AND(AND(140&gt;Corte,140&lt;=Corte+n_Ventana),ISNUMBER(Detalle_24m!EO$29)),Detalle_24m!EO$29,INDEX(Vol_V,16,EO$170)/12)*(1+V_dVol),0))</f>
        <v>0</v>
      </c>
      <c r="EP192" s="48">
        <f>IF(EP$8=1,N(Reales!EP27),IF(EP$171=1,IF(AND(AND(141&gt;Corte,141&lt;=Corte+n_Ventana),ISNUMBER(Detalle_24m!EP$29)),Detalle_24m!EP$29,INDEX(Vol_V,16,EP$170)/12)*(1+V_dVol),0))</f>
        <v>0</v>
      </c>
      <c r="EQ192" s="48">
        <f>IF(EQ$8=1,N(Reales!EQ27),IF(EQ$171=1,IF(AND(AND(142&gt;Corte,142&lt;=Corte+n_Ventana),ISNUMBER(Detalle_24m!EQ$29)),Detalle_24m!EQ$29,INDEX(Vol_V,16,EQ$170)/12)*(1+V_dVol),0))</f>
        <v>0</v>
      </c>
      <c r="ER192" s="48">
        <f>IF(ER$8=1,N(Reales!ER27),IF(ER$171=1,IF(AND(AND(143&gt;Corte,143&lt;=Corte+n_Ventana),ISNUMBER(Detalle_24m!ER$29)),Detalle_24m!ER$29,INDEX(Vol_V,16,ER$170)/12)*(1+V_dVol),0))</f>
        <v>0</v>
      </c>
      <c r="ES192" s="48">
        <f>IF(ES$8=1,N(Reales!ES27),IF(ES$171=1,IF(AND(AND(144&gt;Corte,144&lt;=Corte+n_Ventana),ISNUMBER(Detalle_24m!ES$29)),Detalle_24m!ES$29,INDEX(Vol_V,16,ES$170)/12)*(1+V_dVol),0))</f>
        <v>0</v>
      </c>
    </row>
    <row r="193" spans="1:149" x14ac:dyDescent="0.3">
      <c r="A193" s="14" t="s">
        <v>1248</v>
      </c>
      <c r="B193" s="53" t="str">
        <f>IF(INDEX(Prod_Nombre,17)="","Producto 17",INDEX(Prod_Nombre,17))&amp;" — unidades"</f>
        <v>Producto 17 — unidades</v>
      </c>
      <c r="C193" s="18" t="s">
        <v>475</v>
      </c>
      <c r="E193" s="54">
        <f t="shared" si="604"/>
        <v>0</v>
      </c>
      <c r="F193" s="48">
        <f>IF(F$8=1,N(Reales!F28),IF(F$171=1,IF(AND(AND(1&gt;Corte,1&lt;=Corte+n_Ventana),ISNUMBER(Detalle_24m!F$30)),Detalle_24m!F$30,INDEX(Vol_V,17,F$170)/12)*(1+V_dVol),0))</f>
        <v>0</v>
      </c>
      <c r="G193" s="48">
        <f>IF(G$8=1,N(Reales!G28),IF(G$171=1,IF(AND(AND(2&gt;Corte,2&lt;=Corte+n_Ventana),ISNUMBER(Detalle_24m!G$30)),Detalle_24m!G$30,INDEX(Vol_V,17,G$170)/12)*(1+V_dVol),0))</f>
        <v>0</v>
      </c>
      <c r="H193" s="48">
        <f>IF(H$8=1,N(Reales!H28),IF(H$171=1,IF(AND(AND(3&gt;Corte,3&lt;=Corte+n_Ventana),ISNUMBER(Detalle_24m!H$30)),Detalle_24m!H$30,INDEX(Vol_V,17,H$170)/12)*(1+V_dVol),0))</f>
        <v>0</v>
      </c>
      <c r="I193" s="48">
        <f>IF(I$8=1,N(Reales!I28),IF(I$171=1,IF(AND(AND(4&gt;Corte,4&lt;=Corte+n_Ventana),ISNUMBER(Detalle_24m!I$30)),Detalle_24m!I$30,INDEX(Vol_V,17,I$170)/12)*(1+V_dVol),0))</f>
        <v>0</v>
      </c>
      <c r="J193" s="48">
        <f>IF(J$8=1,N(Reales!J28),IF(J$171=1,IF(AND(AND(5&gt;Corte,5&lt;=Corte+n_Ventana),ISNUMBER(Detalle_24m!J$30)),Detalle_24m!J$30,INDEX(Vol_V,17,J$170)/12)*(1+V_dVol),0))</f>
        <v>0</v>
      </c>
      <c r="K193" s="48">
        <f>IF(K$8=1,N(Reales!K28),IF(K$171=1,IF(AND(AND(6&gt;Corte,6&lt;=Corte+n_Ventana),ISNUMBER(Detalle_24m!K$30)),Detalle_24m!K$30,INDEX(Vol_V,17,K$170)/12)*(1+V_dVol),0))</f>
        <v>0</v>
      </c>
      <c r="L193" s="48">
        <f>IF(L$8=1,N(Reales!L28),IF(L$171=1,IF(AND(AND(7&gt;Corte,7&lt;=Corte+n_Ventana),ISNUMBER(Detalle_24m!L$30)),Detalle_24m!L$30,INDEX(Vol_V,17,L$170)/12)*(1+V_dVol),0))</f>
        <v>0</v>
      </c>
      <c r="M193" s="48">
        <f>IF(M$8=1,N(Reales!M28),IF(M$171=1,IF(AND(AND(8&gt;Corte,8&lt;=Corte+n_Ventana),ISNUMBER(Detalle_24m!M$30)),Detalle_24m!M$30,INDEX(Vol_V,17,M$170)/12)*(1+V_dVol),0))</f>
        <v>0</v>
      </c>
      <c r="N193" s="48">
        <f>IF(N$8=1,N(Reales!N28),IF(N$171=1,IF(AND(AND(9&gt;Corte,9&lt;=Corte+n_Ventana),ISNUMBER(Detalle_24m!N$30)),Detalle_24m!N$30,INDEX(Vol_V,17,N$170)/12)*(1+V_dVol),0))</f>
        <v>0</v>
      </c>
      <c r="O193" s="48">
        <f>IF(O$8=1,N(Reales!O28),IF(O$171=1,IF(AND(AND(10&gt;Corte,10&lt;=Corte+n_Ventana),ISNUMBER(Detalle_24m!O$30)),Detalle_24m!O$30,INDEX(Vol_V,17,O$170)/12)*(1+V_dVol),0))</f>
        <v>0</v>
      </c>
      <c r="P193" s="48">
        <f>IF(P$8=1,N(Reales!P28),IF(P$171=1,IF(AND(AND(11&gt;Corte,11&lt;=Corte+n_Ventana),ISNUMBER(Detalle_24m!P$30)),Detalle_24m!P$30,INDEX(Vol_V,17,P$170)/12)*(1+V_dVol),0))</f>
        <v>0</v>
      </c>
      <c r="Q193" s="48">
        <f>IF(Q$8=1,N(Reales!Q28),IF(Q$171=1,IF(AND(AND(12&gt;Corte,12&lt;=Corte+n_Ventana),ISNUMBER(Detalle_24m!Q$30)),Detalle_24m!Q$30,INDEX(Vol_V,17,Q$170)/12)*(1+V_dVol),0))</f>
        <v>0</v>
      </c>
      <c r="R193" s="48">
        <f>IF(R$8=1,N(Reales!R28),IF(R$171=1,IF(AND(AND(13&gt;Corte,13&lt;=Corte+n_Ventana),ISNUMBER(Detalle_24m!R$30)),Detalle_24m!R$30,INDEX(Vol_V,17,R$170)/12)*(1+V_dVol),0))</f>
        <v>0</v>
      </c>
      <c r="S193" s="48">
        <f>IF(S$8=1,N(Reales!S28),IF(S$171=1,IF(AND(AND(14&gt;Corte,14&lt;=Corte+n_Ventana),ISNUMBER(Detalle_24m!S$30)),Detalle_24m!S$30,INDEX(Vol_V,17,S$170)/12)*(1+V_dVol),0))</f>
        <v>0</v>
      </c>
      <c r="T193" s="48">
        <f>IF(T$8=1,N(Reales!T28),IF(T$171=1,IF(AND(AND(15&gt;Corte,15&lt;=Corte+n_Ventana),ISNUMBER(Detalle_24m!T$30)),Detalle_24m!T$30,INDEX(Vol_V,17,T$170)/12)*(1+V_dVol),0))</f>
        <v>0</v>
      </c>
      <c r="U193" s="48">
        <f>IF(U$8=1,N(Reales!U28),IF(U$171=1,IF(AND(AND(16&gt;Corte,16&lt;=Corte+n_Ventana),ISNUMBER(Detalle_24m!U$30)),Detalle_24m!U$30,INDEX(Vol_V,17,U$170)/12)*(1+V_dVol),0))</f>
        <v>0</v>
      </c>
      <c r="V193" s="48">
        <f>IF(V$8=1,N(Reales!V28),IF(V$171=1,IF(AND(AND(17&gt;Corte,17&lt;=Corte+n_Ventana),ISNUMBER(Detalle_24m!V$30)),Detalle_24m!V$30,INDEX(Vol_V,17,V$170)/12)*(1+V_dVol),0))</f>
        <v>0</v>
      </c>
      <c r="W193" s="48">
        <f>IF(W$8=1,N(Reales!W28),IF(W$171=1,IF(AND(AND(18&gt;Corte,18&lt;=Corte+n_Ventana),ISNUMBER(Detalle_24m!W$30)),Detalle_24m!W$30,INDEX(Vol_V,17,W$170)/12)*(1+V_dVol),0))</f>
        <v>0</v>
      </c>
      <c r="X193" s="48">
        <f>IF(X$8=1,N(Reales!X28),IF(X$171=1,IF(AND(AND(19&gt;Corte,19&lt;=Corte+n_Ventana),ISNUMBER(Detalle_24m!X$30)),Detalle_24m!X$30,INDEX(Vol_V,17,X$170)/12)*(1+V_dVol),0))</f>
        <v>0</v>
      </c>
      <c r="Y193" s="48">
        <f>IF(Y$8=1,N(Reales!Y28),IF(Y$171=1,IF(AND(AND(20&gt;Corte,20&lt;=Corte+n_Ventana),ISNUMBER(Detalle_24m!Y$30)),Detalle_24m!Y$30,INDEX(Vol_V,17,Y$170)/12)*(1+V_dVol),0))</f>
        <v>0</v>
      </c>
      <c r="Z193" s="48">
        <f>IF(Z$8=1,N(Reales!Z28),IF(Z$171=1,IF(AND(AND(21&gt;Corte,21&lt;=Corte+n_Ventana),ISNUMBER(Detalle_24m!Z$30)),Detalle_24m!Z$30,INDEX(Vol_V,17,Z$170)/12)*(1+V_dVol),0))</f>
        <v>0</v>
      </c>
      <c r="AA193" s="48">
        <f>IF(AA$8=1,N(Reales!AA28),IF(AA$171=1,IF(AND(AND(22&gt;Corte,22&lt;=Corte+n_Ventana),ISNUMBER(Detalle_24m!AA$30)),Detalle_24m!AA$30,INDEX(Vol_V,17,AA$170)/12)*(1+V_dVol),0))</f>
        <v>0</v>
      </c>
      <c r="AB193" s="48">
        <f>IF(AB$8=1,N(Reales!AB28),IF(AB$171=1,IF(AND(AND(23&gt;Corte,23&lt;=Corte+n_Ventana),ISNUMBER(Detalle_24m!AB$30)),Detalle_24m!AB$30,INDEX(Vol_V,17,AB$170)/12)*(1+V_dVol),0))</f>
        <v>0</v>
      </c>
      <c r="AC193" s="48">
        <f>IF(AC$8=1,N(Reales!AC28),IF(AC$171=1,IF(AND(AND(24&gt;Corte,24&lt;=Corte+n_Ventana),ISNUMBER(Detalle_24m!AC$30)),Detalle_24m!AC$30,INDEX(Vol_V,17,AC$170)/12)*(1+V_dVol),0))</f>
        <v>0</v>
      </c>
      <c r="AD193" s="48">
        <f>IF(AD$8=1,N(Reales!AD28),IF(AD$171=1,IF(AND(AND(25&gt;Corte,25&lt;=Corte+n_Ventana),ISNUMBER(Detalle_24m!AD$30)),Detalle_24m!AD$30,INDEX(Vol_V,17,AD$170)/12)*(1+V_dVol),0))</f>
        <v>0</v>
      </c>
      <c r="AE193" s="48">
        <f>IF(AE$8=1,N(Reales!AE28),IF(AE$171=1,IF(AND(AND(26&gt;Corte,26&lt;=Corte+n_Ventana),ISNUMBER(Detalle_24m!AE$30)),Detalle_24m!AE$30,INDEX(Vol_V,17,AE$170)/12)*(1+V_dVol),0))</f>
        <v>0</v>
      </c>
      <c r="AF193" s="48">
        <f>IF(AF$8=1,N(Reales!AF28),IF(AF$171=1,IF(AND(AND(27&gt;Corte,27&lt;=Corte+n_Ventana),ISNUMBER(Detalle_24m!AF$30)),Detalle_24m!AF$30,INDEX(Vol_V,17,AF$170)/12)*(1+V_dVol),0))</f>
        <v>0</v>
      </c>
      <c r="AG193" s="48">
        <f>IF(AG$8=1,N(Reales!AG28),IF(AG$171=1,IF(AND(AND(28&gt;Corte,28&lt;=Corte+n_Ventana),ISNUMBER(Detalle_24m!AG$30)),Detalle_24m!AG$30,INDEX(Vol_V,17,AG$170)/12)*(1+V_dVol),0))</f>
        <v>0</v>
      </c>
      <c r="AH193" s="48">
        <f>IF(AH$8=1,N(Reales!AH28),IF(AH$171=1,IF(AND(AND(29&gt;Corte,29&lt;=Corte+n_Ventana),ISNUMBER(Detalle_24m!AH$30)),Detalle_24m!AH$30,INDEX(Vol_V,17,AH$170)/12)*(1+V_dVol),0))</f>
        <v>0</v>
      </c>
      <c r="AI193" s="48">
        <f>IF(AI$8=1,N(Reales!AI28),IF(AI$171=1,IF(AND(AND(30&gt;Corte,30&lt;=Corte+n_Ventana),ISNUMBER(Detalle_24m!AI$30)),Detalle_24m!AI$30,INDEX(Vol_V,17,AI$170)/12)*(1+V_dVol),0))</f>
        <v>0</v>
      </c>
      <c r="AJ193" s="48">
        <f>IF(AJ$8=1,N(Reales!AJ28),IF(AJ$171=1,IF(AND(AND(31&gt;Corte,31&lt;=Corte+n_Ventana),ISNUMBER(Detalle_24m!AJ$30)),Detalle_24m!AJ$30,INDEX(Vol_V,17,AJ$170)/12)*(1+V_dVol),0))</f>
        <v>0</v>
      </c>
      <c r="AK193" s="48">
        <f>IF(AK$8=1,N(Reales!AK28),IF(AK$171=1,IF(AND(AND(32&gt;Corte,32&lt;=Corte+n_Ventana),ISNUMBER(Detalle_24m!AK$30)),Detalle_24m!AK$30,INDEX(Vol_V,17,AK$170)/12)*(1+V_dVol),0))</f>
        <v>0</v>
      </c>
      <c r="AL193" s="48">
        <f>IF(AL$8=1,N(Reales!AL28),IF(AL$171=1,IF(AND(AND(33&gt;Corte,33&lt;=Corte+n_Ventana),ISNUMBER(Detalle_24m!AL$30)),Detalle_24m!AL$30,INDEX(Vol_V,17,AL$170)/12)*(1+V_dVol),0))</f>
        <v>0</v>
      </c>
      <c r="AM193" s="48">
        <f>IF(AM$8=1,N(Reales!AM28),IF(AM$171=1,IF(AND(AND(34&gt;Corte,34&lt;=Corte+n_Ventana),ISNUMBER(Detalle_24m!AM$30)),Detalle_24m!AM$30,INDEX(Vol_V,17,AM$170)/12)*(1+V_dVol),0))</f>
        <v>0</v>
      </c>
      <c r="AN193" s="48">
        <f>IF(AN$8=1,N(Reales!AN28),IF(AN$171=1,IF(AND(AND(35&gt;Corte,35&lt;=Corte+n_Ventana),ISNUMBER(Detalle_24m!AN$30)),Detalle_24m!AN$30,INDEX(Vol_V,17,AN$170)/12)*(1+V_dVol),0))</f>
        <v>0</v>
      </c>
      <c r="AO193" s="48">
        <f>IF(AO$8=1,N(Reales!AO28),IF(AO$171=1,IF(AND(AND(36&gt;Corte,36&lt;=Corte+n_Ventana),ISNUMBER(Detalle_24m!AO$30)),Detalle_24m!AO$30,INDEX(Vol_V,17,AO$170)/12)*(1+V_dVol),0))</f>
        <v>0</v>
      </c>
      <c r="AP193" s="48">
        <f>IF(AP$8=1,N(Reales!AP28),IF(AP$171=1,IF(AND(AND(37&gt;Corte,37&lt;=Corte+n_Ventana),ISNUMBER(Detalle_24m!AP$30)),Detalle_24m!AP$30,INDEX(Vol_V,17,AP$170)/12)*(1+V_dVol),0))</f>
        <v>0</v>
      </c>
      <c r="AQ193" s="48">
        <f>IF(AQ$8=1,N(Reales!AQ28),IF(AQ$171=1,IF(AND(AND(38&gt;Corte,38&lt;=Corte+n_Ventana),ISNUMBER(Detalle_24m!AQ$30)),Detalle_24m!AQ$30,INDEX(Vol_V,17,AQ$170)/12)*(1+V_dVol),0))</f>
        <v>0</v>
      </c>
      <c r="AR193" s="48">
        <f>IF(AR$8=1,N(Reales!AR28),IF(AR$171=1,IF(AND(AND(39&gt;Corte,39&lt;=Corte+n_Ventana),ISNUMBER(Detalle_24m!AR$30)),Detalle_24m!AR$30,INDEX(Vol_V,17,AR$170)/12)*(1+V_dVol),0))</f>
        <v>0</v>
      </c>
      <c r="AS193" s="48">
        <f>IF(AS$8=1,N(Reales!AS28),IF(AS$171=1,IF(AND(AND(40&gt;Corte,40&lt;=Corte+n_Ventana),ISNUMBER(Detalle_24m!AS$30)),Detalle_24m!AS$30,INDEX(Vol_V,17,AS$170)/12)*(1+V_dVol),0))</f>
        <v>0</v>
      </c>
      <c r="AT193" s="48">
        <f>IF(AT$8=1,N(Reales!AT28),IF(AT$171=1,IF(AND(AND(41&gt;Corte,41&lt;=Corte+n_Ventana),ISNUMBER(Detalle_24m!AT$30)),Detalle_24m!AT$30,INDEX(Vol_V,17,AT$170)/12)*(1+V_dVol),0))</f>
        <v>0</v>
      </c>
      <c r="AU193" s="48">
        <f>IF(AU$8=1,N(Reales!AU28),IF(AU$171=1,IF(AND(AND(42&gt;Corte,42&lt;=Corte+n_Ventana),ISNUMBER(Detalle_24m!AU$30)),Detalle_24m!AU$30,INDEX(Vol_V,17,AU$170)/12)*(1+V_dVol),0))</f>
        <v>0</v>
      </c>
      <c r="AV193" s="48">
        <f>IF(AV$8=1,N(Reales!AV28),IF(AV$171=1,IF(AND(AND(43&gt;Corte,43&lt;=Corte+n_Ventana),ISNUMBER(Detalle_24m!AV$30)),Detalle_24m!AV$30,INDEX(Vol_V,17,AV$170)/12)*(1+V_dVol),0))</f>
        <v>0</v>
      </c>
      <c r="AW193" s="48">
        <f>IF(AW$8=1,N(Reales!AW28),IF(AW$171=1,IF(AND(AND(44&gt;Corte,44&lt;=Corte+n_Ventana),ISNUMBER(Detalle_24m!AW$30)),Detalle_24m!AW$30,INDEX(Vol_V,17,AW$170)/12)*(1+V_dVol),0))</f>
        <v>0</v>
      </c>
      <c r="AX193" s="48">
        <f>IF(AX$8=1,N(Reales!AX28),IF(AX$171=1,IF(AND(AND(45&gt;Corte,45&lt;=Corte+n_Ventana),ISNUMBER(Detalle_24m!AX$30)),Detalle_24m!AX$30,INDEX(Vol_V,17,AX$170)/12)*(1+V_dVol),0))</f>
        <v>0</v>
      </c>
      <c r="AY193" s="48">
        <f>IF(AY$8=1,N(Reales!AY28),IF(AY$171=1,IF(AND(AND(46&gt;Corte,46&lt;=Corte+n_Ventana),ISNUMBER(Detalle_24m!AY$30)),Detalle_24m!AY$30,INDEX(Vol_V,17,AY$170)/12)*(1+V_dVol),0))</f>
        <v>0</v>
      </c>
      <c r="AZ193" s="48">
        <f>IF(AZ$8=1,N(Reales!AZ28),IF(AZ$171=1,IF(AND(AND(47&gt;Corte,47&lt;=Corte+n_Ventana),ISNUMBER(Detalle_24m!AZ$30)),Detalle_24m!AZ$30,INDEX(Vol_V,17,AZ$170)/12)*(1+V_dVol),0))</f>
        <v>0</v>
      </c>
      <c r="BA193" s="48">
        <f>IF(BA$8=1,N(Reales!BA28),IF(BA$171=1,IF(AND(AND(48&gt;Corte,48&lt;=Corte+n_Ventana),ISNUMBER(Detalle_24m!BA$30)),Detalle_24m!BA$30,INDEX(Vol_V,17,BA$170)/12)*(1+V_dVol),0))</f>
        <v>0</v>
      </c>
      <c r="BB193" s="48">
        <f>IF(BB$8=1,N(Reales!BB28),IF(BB$171=1,IF(AND(AND(49&gt;Corte,49&lt;=Corte+n_Ventana),ISNUMBER(Detalle_24m!BB$30)),Detalle_24m!BB$30,INDEX(Vol_V,17,BB$170)/12)*(1+V_dVol),0))</f>
        <v>0</v>
      </c>
      <c r="BC193" s="48">
        <f>IF(BC$8=1,N(Reales!BC28),IF(BC$171=1,IF(AND(AND(50&gt;Corte,50&lt;=Corte+n_Ventana),ISNUMBER(Detalle_24m!BC$30)),Detalle_24m!BC$30,INDEX(Vol_V,17,BC$170)/12)*(1+V_dVol),0))</f>
        <v>0</v>
      </c>
      <c r="BD193" s="48">
        <f>IF(BD$8=1,N(Reales!BD28),IF(BD$171=1,IF(AND(AND(51&gt;Corte,51&lt;=Corte+n_Ventana),ISNUMBER(Detalle_24m!BD$30)),Detalle_24m!BD$30,INDEX(Vol_V,17,BD$170)/12)*(1+V_dVol),0))</f>
        <v>0</v>
      </c>
      <c r="BE193" s="48">
        <f>IF(BE$8=1,N(Reales!BE28),IF(BE$171=1,IF(AND(AND(52&gt;Corte,52&lt;=Corte+n_Ventana),ISNUMBER(Detalle_24m!BE$30)),Detalle_24m!BE$30,INDEX(Vol_V,17,BE$170)/12)*(1+V_dVol),0))</f>
        <v>0</v>
      </c>
      <c r="BF193" s="48">
        <f>IF(BF$8=1,N(Reales!BF28),IF(BF$171=1,IF(AND(AND(53&gt;Corte,53&lt;=Corte+n_Ventana),ISNUMBER(Detalle_24m!BF$30)),Detalle_24m!BF$30,INDEX(Vol_V,17,BF$170)/12)*(1+V_dVol),0))</f>
        <v>0</v>
      </c>
      <c r="BG193" s="48">
        <f>IF(BG$8=1,N(Reales!BG28),IF(BG$171=1,IF(AND(AND(54&gt;Corte,54&lt;=Corte+n_Ventana),ISNUMBER(Detalle_24m!BG$30)),Detalle_24m!BG$30,INDEX(Vol_V,17,BG$170)/12)*(1+V_dVol),0))</f>
        <v>0</v>
      </c>
      <c r="BH193" s="48">
        <f>IF(BH$8=1,N(Reales!BH28),IF(BH$171=1,IF(AND(AND(55&gt;Corte,55&lt;=Corte+n_Ventana),ISNUMBER(Detalle_24m!BH$30)),Detalle_24m!BH$30,INDEX(Vol_V,17,BH$170)/12)*(1+V_dVol),0))</f>
        <v>0</v>
      </c>
      <c r="BI193" s="48">
        <f>IF(BI$8=1,N(Reales!BI28),IF(BI$171=1,IF(AND(AND(56&gt;Corte,56&lt;=Corte+n_Ventana),ISNUMBER(Detalle_24m!BI$30)),Detalle_24m!BI$30,INDEX(Vol_V,17,BI$170)/12)*(1+V_dVol),0))</f>
        <v>0</v>
      </c>
      <c r="BJ193" s="48">
        <f>IF(BJ$8=1,N(Reales!BJ28),IF(BJ$171=1,IF(AND(AND(57&gt;Corte,57&lt;=Corte+n_Ventana),ISNUMBER(Detalle_24m!BJ$30)),Detalle_24m!BJ$30,INDEX(Vol_V,17,BJ$170)/12)*(1+V_dVol),0))</f>
        <v>0</v>
      </c>
      <c r="BK193" s="48">
        <f>IF(BK$8=1,N(Reales!BK28),IF(BK$171=1,IF(AND(AND(58&gt;Corte,58&lt;=Corte+n_Ventana),ISNUMBER(Detalle_24m!BK$30)),Detalle_24m!BK$30,INDEX(Vol_V,17,BK$170)/12)*(1+V_dVol),0))</f>
        <v>0</v>
      </c>
      <c r="BL193" s="48">
        <f>IF(BL$8=1,N(Reales!BL28),IF(BL$171=1,IF(AND(AND(59&gt;Corte,59&lt;=Corte+n_Ventana),ISNUMBER(Detalle_24m!BL$30)),Detalle_24m!BL$30,INDEX(Vol_V,17,BL$170)/12)*(1+V_dVol),0))</f>
        <v>0</v>
      </c>
      <c r="BM193" s="48">
        <f>IF(BM$8=1,N(Reales!BM28),IF(BM$171=1,IF(AND(AND(60&gt;Corte,60&lt;=Corte+n_Ventana),ISNUMBER(Detalle_24m!BM$30)),Detalle_24m!BM$30,INDEX(Vol_V,17,BM$170)/12)*(1+V_dVol),0))</f>
        <v>0</v>
      </c>
      <c r="BN193" s="48">
        <f>IF(BN$8=1,N(Reales!BN28),IF(BN$171=1,IF(AND(AND(61&gt;Corte,61&lt;=Corte+n_Ventana),ISNUMBER(Detalle_24m!BN$30)),Detalle_24m!BN$30,INDEX(Vol_V,17,BN$170)/12)*(1+V_dVol),0))</f>
        <v>0</v>
      </c>
      <c r="BO193" s="48">
        <f>IF(BO$8=1,N(Reales!BO28),IF(BO$171=1,IF(AND(AND(62&gt;Corte,62&lt;=Corte+n_Ventana),ISNUMBER(Detalle_24m!BO$30)),Detalle_24m!BO$30,INDEX(Vol_V,17,BO$170)/12)*(1+V_dVol),0))</f>
        <v>0</v>
      </c>
      <c r="BP193" s="48">
        <f>IF(BP$8=1,N(Reales!BP28),IF(BP$171=1,IF(AND(AND(63&gt;Corte,63&lt;=Corte+n_Ventana),ISNUMBER(Detalle_24m!BP$30)),Detalle_24m!BP$30,INDEX(Vol_V,17,BP$170)/12)*(1+V_dVol),0))</f>
        <v>0</v>
      </c>
      <c r="BQ193" s="48">
        <f>IF(BQ$8=1,N(Reales!BQ28),IF(BQ$171=1,IF(AND(AND(64&gt;Corte,64&lt;=Corte+n_Ventana),ISNUMBER(Detalle_24m!BQ$30)),Detalle_24m!BQ$30,INDEX(Vol_V,17,BQ$170)/12)*(1+V_dVol),0))</f>
        <v>0</v>
      </c>
      <c r="BR193" s="48">
        <f>IF(BR$8=1,N(Reales!BR28),IF(BR$171=1,IF(AND(AND(65&gt;Corte,65&lt;=Corte+n_Ventana),ISNUMBER(Detalle_24m!BR$30)),Detalle_24m!BR$30,INDEX(Vol_V,17,BR$170)/12)*(1+V_dVol),0))</f>
        <v>0</v>
      </c>
      <c r="BS193" s="48">
        <f>IF(BS$8=1,N(Reales!BS28),IF(BS$171=1,IF(AND(AND(66&gt;Corte,66&lt;=Corte+n_Ventana),ISNUMBER(Detalle_24m!BS$30)),Detalle_24m!BS$30,INDEX(Vol_V,17,BS$170)/12)*(1+V_dVol),0))</f>
        <v>0</v>
      </c>
      <c r="BT193" s="48">
        <f>IF(BT$8=1,N(Reales!BT28),IF(BT$171=1,IF(AND(AND(67&gt;Corte,67&lt;=Corte+n_Ventana),ISNUMBER(Detalle_24m!BT$30)),Detalle_24m!BT$30,INDEX(Vol_V,17,BT$170)/12)*(1+V_dVol),0))</f>
        <v>0</v>
      </c>
      <c r="BU193" s="48">
        <f>IF(BU$8=1,N(Reales!BU28),IF(BU$171=1,IF(AND(AND(68&gt;Corte,68&lt;=Corte+n_Ventana),ISNUMBER(Detalle_24m!BU$30)),Detalle_24m!BU$30,INDEX(Vol_V,17,BU$170)/12)*(1+V_dVol),0))</f>
        <v>0</v>
      </c>
      <c r="BV193" s="48">
        <f>IF(BV$8=1,N(Reales!BV28),IF(BV$171=1,IF(AND(AND(69&gt;Corte,69&lt;=Corte+n_Ventana),ISNUMBER(Detalle_24m!BV$30)),Detalle_24m!BV$30,INDEX(Vol_V,17,BV$170)/12)*(1+V_dVol),0))</f>
        <v>0</v>
      </c>
      <c r="BW193" s="48">
        <f>IF(BW$8=1,N(Reales!BW28),IF(BW$171=1,IF(AND(AND(70&gt;Corte,70&lt;=Corte+n_Ventana),ISNUMBER(Detalle_24m!BW$30)),Detalle_24m!BW$30,INDEX(Vol_V,17,BW$170)/12)*(1+V_dVol),0))</f>
        <v>0</v>
      </c>
      <c r="BX193" s="48">
        <f>IF(BX$8=1,N(Reales!BX28),IF(BX$171=1,IF(AND(AND(71&gt;Corte,71&lt;=Corte+n_Ventana),ISNUMBER(Detalle_24m!BX$30)),Detalle_24m!BX$30,INDEX(Vol_V,17,BX$170)/12)*(1+V_dVol),0))</f>
        <v>0</v>
      </c>
      <c r="BY193" s="48">
        <f>IF(BY$8=1,N(Reales!BY28),IF(BY$171=1,IF(AND(AND(72&gt;Corte,72&lt;=Corte+n_Ventana),ISNUMBER(Detalle_24m!BY$30)),Detalle_24m!BY$30,INDEX(Vol_V,17,BY$170)/12)*(1+V_dVol),0))</f>
        <v>0</v>
      </c>
      <c r="BZ193" s="48">
        <f>IF(BZ$8=1,N(Reales!BZ28),IF(BZ$171=1,IF(AND(AND(73&gt;Corte,73&lt;=Corte+n_Ventana),ISNUMBER(Detalle_24m!BZ$30)),Detalle_24m!BZ$30,INDEX(Vol_V,17,BZ$170)/12)*(1+V_dVol),0))</f>
        <v>0</v>
      </c>
      <c r="CA193" s="48">
        <f>IF(CA$8=1,N(Reales!CA28),IF(CA$171=1,IF(AND(AND(74&gt;Corte,74&lt;=Corte+n_Ventana),ISNUMBER(Detalle_24m!CA$30)),Detalle_24m!CA$30,INDEX(Vol_V,17,CA$170)/12)*(1+V_dVol),0))</f>
        <v>0</v>
      </c>
      <c r="CB193" s="48">
        <f>IF(CB$8=1,N(Reales!CB28),IF(CB$171=1,IF(AND(AND(75&gt;Corte,75&lt;=Corte+n_Ventana),ISNUMBER(Detalle_24m!CB$30)),Detalle_24m!CB$30,INDEX(Vol_V,17,CB$170)/12)*(1+V_dVol),0))</f>
        <v>0</v>
      </c>
      <c r="CC193" s="48">
        <f>IF(CC$8=1,N(Reales!CC28),IF(CC$171=1,IF(AND(AND(76&gt;Corte,76&lt;=Corte+n_Ventana),ISNUMBER(Detalle_24m!CC$30)),Detalle_24m!CC$30,INDEX(Vol_V,17,CC$170)/12)*(1+V_dVol),0))</f>
        <v>0</v>
      </c>
      <c r="CD193" s="48">
        <f>IF(CD$8=1,N(Reales!CD28),IF(CD$171=1,IF(AND(AND(77&gt;Corte,77&lt;=Corte+n_Ventana),ISNUMBER(Detalle_24m!CD$30)),Detalle_24m!CD$30,INDEX(Vol_V,17,CD$170)/12)*(1+V_dVol),0))</f>
        <v>0</v>
      </c>
      <c r="CE193" s="48">
        <f>IF(CE$8=1,N(Reales!CE28),IF(CE$171=1,IF(AND(AND(78&gt;Corte,78&lt;=Corte+n_Ventana),ISNUMBER(Detalle_24m!CE$30)),Detalle_24m!CE$30,INDEX(Vol_V,17,CE$170)/12)*(1+V_dVol),0))</f>
        <v>0</v>
      </c>
      <c r="CF193" s="48">
        <f>IF(CF$8=1,N(Reales!CF28),IF(CF$171=1,IF(AND(AND(79&gt;Corte,79&lt;=Corte+n_Ventana),ISNUMBER(Detalle_24m!CF$30)),Detalle_24m!CF$30,INDEX(Vol_V,17,CF$170)/12)*(1+V_dVol),0))</f>
        <v>0</v>
      </c>
      <c r="CG193" s="48">
        <f>IF(CG$8=1,N(Reales!CG28),IF(CG$171=1,IF(AND(AND(80&gt;Corte,80&lt;=Corte+n_Ventana),ISNUMBER(Detalle_24m!CG$30)),Detalle_24m!CG$30,INDEX(Vol_V,17,CG$170)/12)*(1+V_dVol),0))</f>
        <v>0</v>
      </c>
      <c r="CH193" s="48">
        <f>IF(CH$8=1,N(Reales!CH28),IF(CH$171=1,IF(AND(AND(81&gt;Corte,81&lt;=Corte+n_Ventana),ISNUMBER(Detalle_24m!CH$30)),Detalle_24m!CH$30,INDEX(Vol_V,17,CH$170)/12)*(1+V_dVol),0))</f>
        <v>0</v>
      </c>
      <c r="CI193" s="48">
        <f>IF(CI$8=1,N(Reales!CI28),IF(CI$171=1,IF(AND(AND(82&gt;Corte,82&lt;=Corte+n_Ventana),ISNUMBER(Detalle_24m!CI$30)),Detalle_24m!CI$30,INDEX(Vol_V,17,CI$170)/12)*(1+V_dVol),0))</f>
        <v>0</v>
      </c>
      <c r="CJ193" s="48">
        <f>IF(CJ$8=1,N(Reales!CJ28),IF(CJ$171=1,IF(AND(AND(83&gt;Corte,83&lt;=Corte+n_Ventana),ISNUMBER(Detalle_24m!CJ$30)),Detalle_24m!CJ$30,INDEX(Vol_V,17,CJ$170)/12)*(1+V_dVol),0))</f>
        <v>0</v>
      </c>
      <c r="CK193" s="48">
        <f>IF(CK$8=1,N(Reales!CK28),IF(CK$171=1,IF(AND(AND(84&gt;Corte,84&lt;=Corte+n_Ventana),ISNUMBER(Detalle_24m!CK$30)),Detalle_24m!CK$30,INDEX(Vol_V,17,CK$170)/12)*(1+V_dVol),0))</f>
        <v>0</v>
      </c>
      <c r="CL193" s="48">
        <f>IF(CL$8=1,N(Reales!CL28),IF(CL$171=1,IF(AND(AND(85&gt;Corte,85&lt;=Corte+n_Ventana),ISNUMBER(Detalle_24m!CL$30)),Detalle_24m!CL$30,INDEX(Vol_V,17,CL$170)/12)*(1+V_dVol),0))</f>
        <v>0</v>
      </c>
      <c r="CM193" s="48">
        <f>IF(CM$8=1,N(Reales!CM28),IF(CM$171=1,IF(AND(AND(86&gt;Corte,86&lt;=Corte+n_Ventana),ISNUMBER(Detalle_24m!CM$30)),Detalle_24m!CM$30,INDEX(Vol_V,17,CM$170)/12)*(1+V_dVol),0))</f>
        <v>0</v>
      </c>
      <c r="CN193" s="48">
        <f>IF(CN$8=1,N(Reales!CN28),IF(CN$171=1,IF(AND(AND(87&gt;Corte,87&lt;=Corte+n_Ventana),ISNUMBER(Detalle_24m!CN$30)),Detalle_24m!CN$30,INDEX(Vol_V,17,CN$170)/12)*(1+V_dVol),0))</f>
        <v>0</v>
      </c>
      <c r="CO193" s="48">
        <f>IF(CO$8=1,N(Reales!CO28),IF(CO$171=1,IF(AND(AND(88&gt;Corte,88&lt;=Corte+n_Ventana),ISNUMBER(Detalle_24m!CO$30)),Detalle_24m!CO$30,INDEX(Vol_V,17,CO$170)/12)*(1+V_dVol),0))</f>
        <v>0</v>
      </c>
      <c r="CP193" s="48">
        <f>IF(CP$8=1,N(Reales!CP28),IF(CP$171=1,IF(AND(AND(89&gt;Corte,89&lt;=Corte+n_Ventana),ISNUMBER(Detalle_24m!CP$30)),Detalle_24m!CP$30,INDEX(Vol_V,17,CP$170)/12)*(1+V_dVol),0))</f>
        <v>0</v>
      </c>
      <c r="CQ193" s="48">
        <f>IF(CQ$8=1,N(Reales!CQ28),IF(CQ$171=1,IF(AND(AND(90&gt;Corte,90&lt;=Corte+n_Ventana),ISNUMBER(Detalle_24m!CQ$30)),Detalle_24m!CQ$30,INDEX(Vol_V,17,CQ$170)/12)*(1+V_dVol),0))</f>
        <v>0</v>
      </c>
      <c r="CR193" s="48">
        <f>IF(CR$8=1,N(Reales!CR28),IF(CR$171=1,IF(AND(AND(91&gt;Corte,91&lt;=Corte+n_Ventana),ISNUMBER(Detalle_24m!CR$30)),Detalle_24m!CR$30,INDEX(Vol_V,17,CR$170)/12)*(1+V_dVol),0))</f>
        <v>0</v>
      </c>
      <c r="CS193" s="48">
        <f>IF(CS$8=1,N(Reales!CS28),IF(CS$171=1,IF(AND(AND(92&gt;Corte,92&lt;=Corte+n_Ventana),ISNUMBER(Detalle_24m!CS$30)),Detalle_24m!CS$30,INDEX(Vol_V,17,CS$170)/12)*(1+V_dVol),0))</f>
        <v>0</v>
      </c>
      <c r="CT193" s="48">
        <f>IF(CT$8=1,N(Reales!CT28),IF(CT$171=1,IF(AND(AND(93&gt;Corte,93&lt;=Corte+n_Ventana),ISNUMBER(Detalle_24m!CT$30)),Detalle_24m!CT$30,INDEX(Vol_V,17,CT$170)/12)*(1+V_dVol),0))</f>
        <v>0</v>
      </c>
      <c r="CU193" s="48">
        <f>IF(CU$8=1,N(Reales!CU28),IF(CU$171=1,IF(AND(AND(94&gt;Corte,94&lt;=Corte+n_Ventana),ISNUMBER(Detalle_24m!CU$30)),Detalle_24m!CU$30,INDEX(Vol_V,17,CU$170)/12)*(1+V_dVol),0))</f>
        <v>0</v>
      </c>
      <c r="CV193" s="48">
        <f>IF(CV$8=1,N(Reales!CV28),IF(CV$171=1,IF(AND(AND(95&gt;Corte,95&lt;=Corte+n_Ventana),ISNUMBER(Detalle_24m!CV$30)),Detalle_24m!CV$30,INDEX(Vol_V,17,CV$170)/12)*(1+V_dVol),0))</f>
        <v>0</v>
      </c>
      <c r="CW193" s="48">
        <f>IF(CW$8=1,N(Reales!CW28),IF(CW$171=1,IF(AND(AND(96&gt;Corte,96&lt;=Corte+n_Ventana),ISNUMBER(Detalle_24m!CW$30)),Detalle_24m!CW$30,INDEX(Vol_V,17,CW$170)/12)*(1+V_dVol),0))</f>
        <v>0</v>
      </c>
      <c r="CX193" s="48">
        <f>IF(CX$8=1,N(Reales!CX28),IF(CX$171=1,IF(AND(AND(97&gt;Corte,97&lt;=Corte+n_Ventana),ISNUMBER(Detalle_24m!CX$30)),Detalle_24m!CX$30,INDEX(Vol_V,17,CX$170)/12)*(1+V_dVol),0))</f>
        <v>0</v>
      </c>
      <c r="CY193" s="48">
        <f>IF(CY$8=1,N(Reales!CY28),IF(CY$171=1,IF(AND(AND(98&gt;Corte,98&lt;=Corte+n_Ventana),ISNUMBER(Detalle_24m!CY$30)),Detalle_24m!CY$30,INDEX(Vol_V,17,CY$170)/12)*(1+V_dVol),0))</f>
        <v>0</v>
      </c>
      <c r="CZ193" s="48">
        <f>IF(CZ$8=1,N(Reales!CZ28),IF(CZ$171=1,IF(AND(AND(99&gt;Corte,99&lt;=Corte+n_Ventana),ISNUMBER(Detalle_24m!CZ$30)),Detalle_24m!CZ$30,INDEX(Vol_V,17,CZ$170)/12)*(1+V_dVol),0))</f>
        <v>0</v>
      </c>
      <c r="DA193" s="48">
        <f>IF(DA$8=1,N(Reales!DA28),IF(DA$171=1,IF(AND(AND(100&gt;Corte,100&lt;=Corte+n_Ventana),ISNUMBER(Detalle_24m!DA$30)),Detalle_24m!DA$30,INDEX(Vol_V,17,DA$170)/12)*(1+V_dVol),0))</f>
        <v>0</v>
      </c>
      <c r="DB193" s="48">
        <f>IF(DB$8=1,N(Reales!DB28),IF(DB$171=1,IF(AND(AND(101&gt;Corte,101&lt;=Corte+n_Ventana),ISNUMBER(Detalle_24m!DB$30)),Detalle_24m!DB$30,INDEX(Vol_V,17,DB$170)/12)*(1+V_dVol),0))</f>
        <v>0</v>
      </c>
      <c r="DC193" s="48">
        <f>IF(DC$8=1,N(Reales!DC28),IF(DC$171=1,IF(AND(AND(102&gt;Corte,102&lt;=Corte+n_Ventana),ISNUMBER(Detalle_24m!DC$30)),Detalle_24m!DC$30,INDEX(Vol_V,17,DC$170)/12)*(1+V_dVol),0))</f>
        <v>0</v>
      </c>
      <c r="DD193" s="48">
        <f>IF(DD$8=1,N(Reales!DD28),IF(DD$171=1,IF(AND(AND(103&gt;Corte,103&lt;=Corte+n_Ventana),ISNUMBER(Detalle_24m!DD$30)),Detalle_24m!DD$30,INDEX(Vol_V,17,DD$170)/12)*(1+V_dVol),0))</f>
        <v>0</v>
      </c>
      <c r="DE193" s="48">
        <f>IF(DE$8=1,N(Reales!DE28),IF(DE$171=1,IF(AND(AND(104&gt;Corte,104&lt;=Corte+n_Ventana),ISNUMBER(Detalle_24m!DE$30)),Detalle_24m!DE$30,INDEX(Vol_V,17,DE$170)/12)*(1+V_dVol),0))</f>
        <v>0</v>
      </c>
      <c r="DF193" s="48">
        <f>IF(DF$8=1,N(Reales!DF28),IF(DF$171=1,IF(AND(AND(105&gt;Corte,105&lt;=Corte+n_Ventana),ISNUMBER(Detalle_24m!DF$30)),Detalle_24m!DF$30,INDEX(Vol_V,17,DF$170)/12)*(1+V_dVol),0))</f>
        <v>0</v>
      </c>
      <c r="DG193" s="48">
        <f>IF(DG$8=1,N(Reales!DG28),IF(DG$171=1,IF(AND(AND(106&gt;Corte,106&lt;=Corte+n_Ventana),ISNUMBER(Detalle_24m!DG$30)),Detalle_24m!DG$30,INDEX(Vol_V,17,DG$170)/12)*(1+V_dVol),0))</f>
        <v>0</v>
      </c>
      <c r="DH193" s="48">
        <f>IF(DH$8=1,N(Reales!DH28),IF(DH$171=1,IF(AND(AND(107&gt;Corte,107&lt;=Corte+n_Ventana),ISNUMBER(Detalle_24m!DH$30)),Detalle_24m!DH$30,INDEX(Vol_V,17,DH$170)/12)*(1+V_dVol),0))</f>
        <v>0</v>
      </c>
      <c r="DI193" s="48">
        <f>IF(DI$8=1,N(Reales!DI28),IF(DI$171=1,IF(AND(AND(108&gt;Corte,108&lt;=Corte+n_Ventana),ISNUMBER(Detalle_24m!DI$30)),Detalle_24m!DI$30,INDEX(Vol_V,17,DI$170)/12)*(1+V_dVol),0))</f>
        <v>0</v>
      </c>
      <c r="DJ193" s="48">
        <f>IF(DJ$8=1,N(Reales!DJ28),IF(DJ$171=1,IF(AND(AND(109&gt;Corte,109&lt;=Corte+n_Ventana),ISNUMBER(Detalle_24m!DJ$30)),Detalle_24m!DJ$30,INDEX(Vol_V,17,DJ$170)/12)*(1+V_dVol),0))</f>
        <v>0</v>
      </c>
      <c r="DK193" s="48">
        <f>IF(DK$8=1,N(Reales!DK28),IF(DK$171=1,IF(AND(AND(110&gt;Corte,110&lt;=Corte+n_Ventana),ISNUMBER(Detalle_24m!DK$30)),Detalle_24m!DK$30,INDEX(Vol_V,17,DK$170)/12)*(1+V_dVol),0))</f>
        <v>0</v>
      </c>
      <c r="DL193" s="48">
        <f>IF(DL$8=1,N(Reales!DL28),IF(DL$171=1,IF(AND(AND(111&gt;Corte,111&lt;=Corte+n_Ventana),ISNUMBER(Detalle_24m!DL$30)),Detalle_24m!DL$30,INDEX(Vol_V,17,DL$170)/12)*(1+V_dVol),0))</f>
        <v>0</v>
      </c>
      <c r="DM193" s="48">
        <f>IF(DM$8=1,N(Reales!DM28),IF(DM$171=1,IF(AND(AND(112&gt;Corte,112&lt;=Corte+n_Ventana),ISNUMBER(Detalle_24m!DM$30)),Detalle_24m!DM$30,INDEX(Vol_V,17,DM$170)/12)*(1+V_dVol),0))</f>
        <v>0</v>
      </c>
      <c r="DN193" s="48">
        <f>IF(DN$8=1,N(Reales!DN28),IF(DN$171=1,IF(AND(AND(113&gt;Corte,113&lt;=Corte+n_Ventana),ISNUMBER(Detalle_24m!DN$30)),Detalle_24m!DN$30,INDEX(Vol_V,17,DN$170)/12)*(1+V_dVol),0))</f>
        <v>0</v>
      </c>
      <c r="DO193" s="48">
        <f>IF(DO$8=1,N(Reales!DO28),IF(DO$171=1,IF(AND(AND(114&gt;Corte,114&lt;=Corte+n_Ventana),ISNUMBER(Detalle_24m!DO$30)),Detalle_24m!DO$30,INDEX(Vol_V,17,DO$170)/12)*(1+V_dVol),0))</f>
        <v>0</v>
      </c>
      <c r="DP193" s="48">
        <f>IF(DP$8=1,N(Reales!DP28),IF(DP$171=1,IF(AND(AND(115&gt;Corte,115&lt;=Corte+n_Ventana),ISNUMBER(Detalle_24m!DP$30)),Detalle_24m!DP$30,INDEX(Vol_V,17,DP$170)/12)*(1+V_dVol),0))</f>
        <v>0</v>
      </c>
      <c r="DQ193" s="48">
        <f>IF(DQ$8=1,N(Reales!DQ28),IF(DQ$171=1,IF(AND(AND(116&gt;Corte,116&lt;=Corte+n_Ventana),ISNUMBER(Detalle_24m!DQ$30)),Detalle_24m!DQ$30,INDEX(Vol_V,17,DQ$170)/12)*(1+V_dVol),0))</f>
        <v>0</v>
      </c>
      <c r="DR193" s="48">
        <f>IF(DR$8=1,N(Reales!DR28),IF(DR$171=1,IF(AND(AND(117&gt;Corte,117&lt;=Corte+n_Ventana),ISNUMBER(Detalle_24m!DR$30)),Detalle_24m!DR$30,INDEX(Vol_V,17,DR$170)/12)*(1+V_dVol),0))</f>
        <v>0</v>
      </c>
      <c r="DS193" s="48">
        <f>IF(DS$8=1,N(Reales!DS28),IF(DS$171=1,IF(AND(AND(118&gt;Corte,118&lt;=Corte+n_Ventana),ISNUMBER(Detalle_24m!DS$30)),Detalle_24m!DS$30,INDEX(Vol_V,17,DS$170)/12)*(1+V_dVol),0))</f>
        <v>0</v>
      </c>
      <c r="DT193" s="48">
        <f>IF(DT$8=1,N(Reales!DT28),IF(DT$171=1,IF(AND(AND(119&gt;Corte,119&lt;=Corte+n_Ventana),ISNUMBER(Detalle_24m!DT$30)),Detalle_24m!DT$30,INDEX(Vol_V,17,DT$170)/12)*(1+V_dVol),0))</f>
        <v>0</v>
      </c>
      <c r="DU193" s="48">
        <f>IF(DU$8=1,N(Reales!DU28),IF(DU$171=1,IF(AND(AND(120&gt;Corte,120&lt;=Corte+n_Ventana),ISNUMBER(Detalle_24m!DU$30)),Detalle_24m!DU$30,INDEX(Vol_V,17,DU$170)/12)*(1+V_dVol),0))</f>
        <v>0</v>
      </c>
      <c r="DV193" s="48">
        <f>IF(DV$8=1,N(Reales!DV28),IF(DV$171=1,IF(AND(AND(121&gt;Corte,121&lt;=Corte+n_Ventana),ISNUMBER(Detalle_24m!DV$30)),Detalle_24m!DV$30,INDEX(Vol_V,17,DV$170)/12)*(1+V_dVol),0))</f>
        <v>0</v>
      </c>
      <c r="DW193" s="48">
        <f>IF(DW$8=1,N(Reales!DW28),IF(DW$171=1,IF(AND(AND(122&gt;Corte,122&lt;=Corte+n_Ventana),ISNUMBER(Detalle_24m!DW$30)),Detalle_24m!DW$30,INDEX(Vol_V,17,DW$170)/12)*(1+V_dVol),0))</f>
        <v>0</v>
      </c>
      <c r="DX193" s="48">
        <f>IF(DX$8=1,N(Reales!DX28),IF(DX$171=1,IF(AND(AND(123&gt;Corte,123&lt;=Corte+n_Ventana),ISNUMBER(Detalle_24m!DX$30)),Detalle_24m!DX$30,INDEX(Vol_V,17,DX$170)/12)*(1+V_dVol),0))</f>
        <v>0</v>
      </c>
      <c r="DY193" s="48">
        <f>IF(DY$8=1,N(Reales!DY28),IF(DY$171=1,IF(AND(AND(124&gt;Corte,124&lt;=Corte+n_Ventana),ISNUMBER(Detalle_24m!DY$30)),Detalle_24m!DY$30,INDEX(Vol_V,17,DY$170)/12)*(1+V_dVol),0))</f>
        <v>0</v>
      </c>
      <c r="DZ193" s="48">
        <f>IF(DZ$8=1,N(Reales!DZ28),IF(DZ$171=1,IF(AND(AND(125&gt;Corte,125&lt;=Corte+n_Ventana),ISNUMBER(Detalle_24m!DZ$30)),Detalle_24m!DZ$30,INDEX(Vol_V,17,DZ$170)/12)*(1+V_dVol),0))</f>
        <v>0</v>
      </c>
      <c r="EA193" s="48">
        <f>IF(EA$8=1,N(Reales!EA28),IF(EA$171=1,IF(AND(AND(126&gt;Corte,126&lt;=Corte+n_Ventana),ISNUMBER(Detalle_24m!EA$30)),Detalle_24m!EA$30,INDEX(Vol_V,17,EA$170)/12)*(1+V_dVol),0))</f>
        <v>0</v>
      </c>
      <c r="EB193" s="48">
        <f>IF(EB$8=1,N(Reales!EB28),IF(EB$171=1,IF(AND(AND(127&gt;Corte,127&lt;=Corte+n_Ventana),ISNUMBER(Detalle_24m!EB$30)),Detalle_24m!EB$30,INDEX(Vol_V,17,EB$170)/12)*(1+V_dVol),0))</f>
        <v>0</v>
      </c>
      <c r="EC193" s="48">
        <f>IF(EC$8=1,N(Reales!EC28),IF(EC$171=1,IF(AND(AND(128&gt;Corte,128&lt;=Corte+n_Ventana),ISNUMBER(Detalle_24m!EC$30)),Detalle_24m!EC$30,INDEX(Vol_V,17,EC$170)/12)*(1+V_dVol),0))</f>
        <v>0</v>
      </c>
      <c r="ED193" s="48">
        <f>IF(ED$8=1,N(Reales!ED28),IF(ED$171=1,IF(AND(AND(129&gt;Corte,129&lt;=Corte+n_Ventana),ISNUMBER(Detalle_24m!ED$30)),Detalle_24m!ED$30,INDEX(Vol_V,17,ED$170)/12)*(1+V_dVol),0))</f>
        <v>0</v>
      </c>
      <c r="EE193" s="48">
        <f>IF(EE$8=1,N(Reales!EE28),IF(EE$171=1,IF(AND(AND(130&gt;Corte,130&lt;=Corte+n_Ventana),ISNUMBER(Detalle_24m!EE$30)),Detalle_24m!EE$30,INDEX(Vol_V,17,EE$170)/12)*(1+V_dVol),0))</f>
        <v>0</v>
      </c>
      <c r="EF193" s="48">
        <f>IF(EF$8=1,N(Reales!EF28),IF(EF$171=1,IF(AND(AND(131&gt;Corte,131&lt;=Corte+n_Ventana),ISNUMBER(Detalle_24m!EF$30)),Detalle_24m!EF$30,INDEX(Vol_V,17,EF$170)/12)*(1+V_dVol),0))</f>
        <v>0</v>
      </c>
      <c r="EG193" s="48">
        <f>IF(EG$8=1,N(Reales!EG28),IF(EG$171=1,IF(AND(AND(132&gt;Corte,132&lt;=Corte+n_Ventana),ISNUMBER(Detalle_24m!EG$30)),Detalle_24m!EG$30,INDEX(Vol_V,17,EG$170)/12)*(1+V_dVol),0))</f>
        <v>0</v>
      </c>
      <c r="EH193" s="48">
        <f>IF(EH$8=1,N(Reales!EH28),IF(EH$171=1,IF(AND(AND(133&gt;Corte,133&lt;=Corte+n_Ventana),ISNUMBER(Detalle_24m!EH$30)),Detalle_24m!EH$30,INDEX(Vol_V,17,EH$170)/12)*(1+V_dVol),0))</f>
        <v>0</v>
      </c>
      <c r="EI193" s="48">
        <f>IF(EI$8=1,N(Reales!EI28),IF(EI$171=1,IF(AND(AND(134&gt;Corte,134&lt;=Corte+n_Ventana),ISNUMBER(Detalle_24m!EI$30)),Detalle_24m!EI$30,INDEX(Vol_V,17,EI$170)/12)*(1+V_dVol),0))</f>
        <v>0</v>
      </c>
      <c r="EJ193" s="48">
        <f>IF(EJ$8=1,N(Reales!EJ28),IF(EJ$171=1,IF(AND(AND(135&gt;Corte,135&lt;=Corte+n_Ventana),ISNUMBER(Detalle_24m!EJ$30)),Detalle_24m!EJ$30,INDEX(Vol_V,17,EJ$170)/12)*(1+V_dVol),0))</f>
        <v>0</v>
      </c>
      <c r="EK193" s="48">
        <f>IF(EK$8=1,N(Reales!EK28),IF(EK$171=1,IF(AND(AND(136&gt;Corte,136&lt;=Corte+n_Ventana),ISNUMBER(Detalle_24m!EK$30)),Detalle_24m!EK$30,INDEX(Vol_V,17,EK$170)/12)*(1+V_dVol),0))</f>
        <v>0</v>
      </c>
      <c r="EL193" s="48">
        <f>IF(EL$8=1,N(Reales!EL28),IF(EL$171=1,IF(AND(AND(137&gt;Corte,137&lt;=Corte+n_Ventana),ISNUMBER(Detalle_24m!EL$30)),Detalle_24m!EL$30,INDEX(Vol_V,17,EL$170)/12)*(1+V_dVol),0))</f>
        <v>0</v>
      </c>
      <c r="EM193" s="48">
        <f>IF(EM$8=1,N(Reales!EM28),IF(EM$171=1,IF(AND(AND(138&gt;Corte,138&lt;=Corte+n_Ventana),ISNUMBER(Detalle_24m!EM$30)),Detalle_24m!EM$30,INDEX(Vol_V,17,EM$170)/12)*(1+V_dVol),0))</f>
        <v>0</v>
      </c>
      <c r="EN193" s="48">
        <f>IF(EN$8=1,N(Reales!EN28),IF(EN$171=1,IF(AND(AND(139&gt;Corte,139&lt;=Corte+n_Ventana),ISNUMBER(Detalle_24m!EN$30)),Detalle_24m!EN$30,INDEX(Vol_V,17,EN$170)/12)*(1+V_dVol),0))</f>
        <v>0</v>
      </c>
      <c r="EO193" s="48">
        <f>IF(EO$8=1,N(Reales!EO28),IF(EO$171=1,IF(AND(AND(140&gt;Corte,140&lt;=Corte+n_Ventana),ISNUMBER(Detalle_24m!EO$30)),Detalle_24m!EO$30,INDEX(Vol_V,17,EO$170)/12)*(1+V_dVol),0))</f>
        <v>0</v>
      </c>
      <c r="EP193" s="48">
        <f>IF(EP$8=1,N(Reales!EP28),IF(EP$171=1,IF(AND(AND(141&gt;Corte,141&lt;=Corte+n_Ventana),ISNUMBER(Detalle_24m!EP$30)),Detalle_24m!EP$30,INDEX(Vol_V,17,EP$170)/12)*(1+V_dVol),0))</f>
        <v>0</v>
      </c>
      <c r="EQ193" s="48">
        <f>IF(EQ$8=1,N(Reales!EQ28),IF(EQ$171=1,IF(AND(AND(142&gt;Corte,142&lt;=Corte+n_Ventana),ISNUMBER(Detalle_24m!EQ$30)),Detalle_24m!EQ$30,INDEX(Vol_V,17,EQ$170)/12)*(1+V_dVol),0))</f>
        <v>0</v>
      </c>
      <c r="ER193" s="48">
        <f>IF(ER$8=1,N(Reales!ER28),IF(ER$171=1,IF(AND(AND(143&gt;Corte,143&lt;=Corte+n_Ventana),ISNUMBER(Detalle_24m!ER$30)),Detalle_24m!ER$30,INDEX(Vol_V,17,ER$170)/12)*(1+V_dVol),0))</f>
        <v>0</v>
      </c>
      <c r="ES193" s="48">
        <f>IF(ES$8=1,N(Reales!ES28),IF(ES$171=1,IF(AND(AND(144&gt;Corte,144&lt;=Corte+n_Ventana),ISNUMBER(Detalle_24m!ES$30)),Detalle_24m!ES$30,INDEX(Vol_V,17,ES$170)/12)*(1+V_dVol),0))</f>
        <v>0</v>
      </c>
    </row>
    <row r="194" spans="1:149" x14ac:dyDescent="0.3">
      <c r="A194" s="14" t="s">
        <v>1249</v>
      </c>
      <c r="B194" s="53" t="str">
        <f>IF(INDEX(Prod_Nombre,18)="","Producto 18",INDEX(Prod_Nombre,18))&amp;" — unidades"</f>
        <v>Producto 18 — unidades</v>
      </c>
      <c r="C194" s="18" t="s">
        <v>475</v>
      </c>
      <c r="E194" s="54">
        <f t="shared" si="604"/>
        <v>0</v>
      </c>
      <c r="F194" s="48">
        <f>IF(F$8=1,N(Reales!F29),IF(F$171=1,IF(AND(AND(1&gt;Corte,1&lt;=Corte+n_Ventana),ISNUMBER(Detalle_24m!F$31)),Detalle_24m!F$31,INDEX(Vol_V,18,F$170)/12)*(1+V_dVol),0))</f>
        <v>0</v>
      </c>
      <c r="G194" s="48">
        <f>IF(G$8=1,N(Reales!G29),IF(G$171=1,IF(AND(AND(2&gt;Corte,2&lt;=Corte+n_Ventana),ISNUMBER(Detalle_24m!G$31)),Detalle_24m!G$31,INDEX(Vol_V,18,G$170)/12)*(1+V_dVol),0))</f>
        <v>0</v>
      </c>
      <c r="H194" s="48">
        <f>IF(H$8=1,N(Reales!H29),IF(H$171=1,IF(AND(AND(3&gt;Corte,3&lt;=Corte+n_Ventana),ISNUMBER(Detalle_24m!H$31)),Detalle_24m!H$31,INDEX(Vol_V,18,H$170)/12)*(1+V_dVol),0))</f>
        <v>0</v>
      </c>
      <c r="I194" s="48">
        <f>IF(I$8=1,N(Reales!I29),IF(I$171=1,IF(AND(AND(4&gt;Corte,4&lt;=Corte+n_Ventana),ISNUMBER(Detalle_24m!I$31)),Detalle_24m!I$31,INDEX(Vol_V,18,I$170)/12)*(1+V_dVol),0))</f>
        <v>0</v>
      </c>
      <c r="J194" s="48">
        <f>IF(J$8=1,N(Reales!J29),IF(J$171=1,IF(AND(AND(5&gt;Corte,5&lt;=Corte+n_Ventana),ISNUMBER(Detalle_24m!J$31)),Detalle_24m!J$31,INDEX(Vol_V,18,J$170)/12)*(1+V_dVol),0))</f>
        <v>0</v>
      </c>
      <c r="K194" s="48">
        <f>IF(K$8=1,N(Reales!K29),IF(K$171=1,IF(AND(AND(6&gt;Corte,6&lt;=Corte+n_Ventana),ISNUMBER(Detalle_24m!K$31)),Detalle_24m!K$31,INDEX(Vol_V,18,K$170)/12)*(1+V_dVol),0))</f>
        <v>0</v>
      </c>
      <c r="L194" s="48">
        <f>IF(L$8=1,N(Reales!L29),IF(L$171=1,IF(AND(AND(7&gt;Corte,7&lt;=Corte+n_Ventana),ISNUMBER(Detalle_24m!L$31)),Detalle_24m!L$31,INDEX(Vol_V,18,L$170)/12)*(1+V_dVol),0))</f>
        <v>0</v>
      </c>
      <c r="M194" s="48">
        <f>IF(M$8=1,N(Reales!M29),IF(M$171=1,IF(AND(AND(8&gt;Corte,8&lt;=Corte+n_Ventana),ISNUMBER(Detalle_24m!M$31)),Detalle_24m!M$31,INDEX(Vol_V,18,M$170)/12)*(1+V_dVol),0))</f>
        <v>0</v>
      </c>
      <c r="N194" s="48">
        <f>IF(N$8=1,N(Reales!N29),IF(N$171=1,IF(AND(AND(9&gt;Corte,9&lt;=Corte+n_Ventana),ISNUMBER(Detalle_24m!N$31)),Detalle_24m!N$31,INDEX(Vol_V,18,N$170)/12)*(1+V_dVol),0))</f>
        <v>0</v>
      </c>
      <c r="O194" s="48">
        <f>IF(O$8=1,N(Reales!O29),IF(O$171=1,IF(AND(AND(10&gt;Corte,10&lt;=Corte+n_Ventana),ISNUMBER(Detalle_24m!O$31)),Detalle_24m!O$31,INDEX(Vol_V,18,O$170)/12)*(1+V_dVol),0))</f>
        <v>0</v>
      </c>
      <c r="P194" s="48">
        <f>IF(P$8=1,N(Reales!P29),IF(P$171=1,IF(AND(AND(11&gt;Corte,11&lt;=Corte+n_Ventana),ISNUMBER(Detalle_24m!P$31)),Detalle_24m!P$31,INDEX(Vol_V,18,P$170)/12)*(1+V_dVol),0))</f>
        <v>0</v>
      </c>
      <c r="Q194" s="48">
        <f>IF(Q$8=1,N(Reales!Q29),IF(Q$171=1,IF(AND(AND(12&gt;Corte,12&lt;=Corte+n_Ventana),ISNUMBER(Detalle_24m!Q$31)),Detalle_24m!Q$31,INDEX(Vol_V,18,Q$170)/12)*(1+V_dVol),0))</f>
        <v>0</v>
      </c>
      <c r="R194" s="48">
        <f>IF(R$8=1,N(Reales!R29),IF(R$171=1,IF(AND(AND(13&gt;Corte,13&lt;=Corte+n_Ventana),ISNUMBER(Detalle_24m!R$31)),Detalle_24m!R$31,INDEX(Vol_V,18,R$170)/12)*(1+V_dVol),0))</f>
        <v>0</v>
      </c>
      <c r="S194" s="48">
        <f>IF(S$8=1,N(Reales!S29),IF(S$171=1,IF(AND(AND(14&gt;Corte,14&lt;=Corte+n_Ventana),ISNUMBER(Detalle_24m!S$31)),Detalle_24m!S$31,INDEX(Vol_V,18,S$170)/12)*(1+V_dVol),0))</f>
        <v>0</v>
      </c>
      <c r="T194" s="48">
        <f>IF(T$8=1,N(Reales!T29),IF(T$171=1,IF(AND(AND(15&gt;Corte,15&lt;=Corte+n_Ventana),ISNUMBER(Detalle_24m!T$31)),Detalle_24m!T$31,INDEX(Vol_V,18,T$170)/12)*(1+V_dVol),0))</f>
        <v>0</v>
      </c>
      <c r="U194" s="48">
        <f>IF(U$8=1,N(Reales!U29),IF(U$171=1,IF(AND(AND(16&gt;Corte,16&lt;=Corte+n_Ventana),ISNUMBER(Detalle_24m!U$31)),Detalle_24m!U$31,INDEX(Vol_V,18,U$170)/12)*(1+V_dVol),0))</f>
        <v>0</v>
      </c>
      <c r="V194" s="48">
        <f>IF(V$8=1,N(Reales!V29),IF(V$171=1,IF(AND(AND(17&gt;Corte,17&lt;=Corte+n_Ventana),ISNUMBER(Detalle_24m!V$31)),Detalle_24m!V$31,INDEX(Vol_V,18,V$170)/12)*(1+V_dVol),0))</f>
        <v>0</v>
      </c>
      <c r="W194" s="48">
        <f>IF(W$8=1,N(Reales!W29),IF(W$171=1,IF(AND(AND(18&gt;Corte,18&lt;=Corte+n_Ventana),ISNUMBER(Detalle_24m!W$31)),Detalle_24m!W$31,INDEX(Vol_V,18,W$170)/12)*(1+V_dVol),0))</f>
        <v>0</v>
      </c>
      <c r="X194" s="48">
        <f>IF(X$8=1,N(Reales!X29),IF(X$171=1,IF(AND(AND(19&gt;Corte,19&lt;=Corte+n_Ventana),ISNUMBER(Detalle_24m!X$31)),Detalle_24m!X$31,INDEX(Vol_V,18,X$170)/12)*(1+V_dVol),0))</f>
        <v>0</v>
      </c>
      <c r="Y194" s="48">
        <f>IF(Y$8=1,N(Reales!Y29),IF(Y$171=1,IF(AND(AND(20&gt;Corte,20&lt;=Corte+n_Ventana),ISNUMBER(Detalle_24m!Y$31)),Detalle_24m!Y$31,INDEX(Vol_V,18,Y$170)/12)*(1+V_dVol),0))</f>
        <v>0</v>
      </c>
      <c r="Z194" s="48">
        <f>IF(Z$8=1,N(Reales!Z29),IF(Z$171=1,IF(AND(AND(21&gt;Corte,21&lt;=Corte+n_Ventana),ISNUMBER(Detalle_24m!Z$31)),Detalle_24m!Z$31,INDEX(Vol_V,18,Z$170)/12)*(1+V_dVol),0))</f>
        <v>0</v>
      </c>
      <c r="AA194" s="48">
        <f>IF(AA$8=1,N(Reales!AA29),IF(AA$171=1,IF(AND(AND(22&gt;Corte,22&lt;=Corte+n_Ventana),ISNUMBER(Detalle_24m!AA$31)),Detalle_24m!AA$31,INDEX(Vol_V,18,AA$170)/12)*(1+V_dVol),0))</f>
        <v>0</v>
      </c>
      <c r="AB194" s="48">
        <f>IF(AB$8=1,N(Reales!AB29),IF(AB$171=1,IF(AND(AND(23&gt;Corte,23&lt;=Corte+n_Ventana),ISNUMBER(Detalle_24m!AB$31)),Detalle_24m!AB$31,INDEX(Vol_V,18,AB$170)/12)*(1+V_dVol),0))</f>
        <v>0</v>
      </c>
      <c r="AC194" s="48">
        <f>IF(AC$8=1,N(Reales!AC29),IF(AC$171=1,IF(AND(AND(24&gt;Corte,24&lt;=Corte+n_Ventana),ISNUMBER(Detalle_24m!AC$31)),Detalle_24m!AC$31,INDEX(Vol_V,18,AC$170)/12)*(1+V_dVol),0))</f>
        <v>0</v>
      </c>
      <c r="AD194" s="48">
        <f>IF(AD$8=1,N(Reales!AD29),IF(AD$171=1,IF(AND(AND(25&gt;Corte,25&lt;=Corte+n_Ventana),ISNUMBER(Detalle_24m!AD$31)),Detalle_24m!AD$31,INDEX(Vol_V,18,AD$170)/12)*(1+V_dVol),0))</f>
        <v>0</v>
      </c>
      <c r="AE194" s="48">
        <f>IF(AE$8=1,N(Reales!AE29),IF(AE$171=1,IF(AND(AND(26&gt;Corte,26&lt;=Corte+n_Ventana),ISNUMBER(Detalle_24m!AE$31)),Detalle_24m!AE$31,INDEX(Vol_V,18,AE$170)/12)*(1+V_dVol),0))</f>
        <v>0</v>
      </c>
      <c r="AF194" s="48">
        <f>IF(AF$8=1,N(Reales!AF29),IF(AF$171=1,IF(AND(AND(27&gt;Corte,27&lt;=Corte+n_Ventana),ISNUMBER(Detalle_24m!AF$31)),Detalle_24m!AF$31,INDEX(Vol_V,18,AF$170)/12)*(1+V_dVol),0))</f>
        <v>0</v>
      </c>
      <c r="AG194" s="48">
        <f>IF(AG$8=1,N(Reales!AG29),IF(AG$171=1,IF(AND(AND(28&gt;Corte,28&lt;=Corte+n_Ventana),ISNUMBER(Detalle_24m!AG$31)),Detalle_24m!AG$31,INDEX(Vol_V,18,AG$170)/12)*(1+V_dVol),0))</f>
        <v>0</v>
      </c>
      <c r="AH194" s="48">
        <f>IF(AH$8=1,N(Reales!AH29),IF(AH$171=1,IF(AND(AND(29&gt;Corte,29&lt;=Corte+n_Ventana),ISNUMBER(Detalle_24m!AH$31)),Detalle_24m!AH$31,INDEX(Vol_V,18,AH$170)/12)*(1+V_dVol),0))</f>
        <v>0</v>
      </c>
      <c r="AI194" s="48">
        <f>IF(AI$8=1,N(Reales!AI29),IF(AI$171=1,IF(AND(AND(30&gt;Corte,30&lt;=Corte+n_Ventana),ISNUMBER(Detalle_24m!AI$31)),Detalle_24m!AI$31,INDEX(Vol_V,18,AI$170)/12)*(1+V_dVol),0))</f>
        <v>0</v>
      </c>
      <c r="AJ194" s="48">
        <f>IF(AJ$8=1,N(Reales!AJ29),IF(AJ$171=1,IF(AND(AND(31&gt;Corte,31&lt;=Corte+n_Ventana),ISNUMBER(Detalle_24m!AJ$31)),Detalle_24m!AJ$31,INDEX(Vol_V,18,AJ$170)/12)*(1+V_dVol),0))</f>
        <v>0</v>
      </c>
      <c r="AK194" s="48">
        <f>IF(AK$8=1,N(Reales!AK29),IF(AK$171=1,IF(AND(AND(32&gt;Corte,32&lt;=Corte+n_Ventana),ISNUMBER(Detalle_24m!AK$31)),Detalle_24m!AK$31,INDEX(Vol_V,18,AK$170)/12)*(1+V_dVol),0))</f>
        <v>0</v>
      </c>
      <c r="AL194" s="48">
        <f>IF(AL$8=1,N(Reales!AL29),IF(AL$171=1,IF(AND(AND(33&gt;Corte,33&lt;=Corte+n_Ventana),ISNUMBER(Detalle_24m!AL$31)),Detalle_24m!AL$31,INDEX(Vol_V,18,AL$170)/12)*(1+V_dVol),0))</f>
        <v>0</v>
      </c>
      <c r="AM194" s="48">
        <f>IF(AM$8=1,N(Reales!AM29),IF(AM$171=1,IF(AND(AND(34&gt;Corte,34&lt;=Corte+n_Ventana),ISNUMBER(Detalle_24m!AM$31)),Detalle_24m!AM$31,INDEX(Vol_V,18,AM$170)/12)*(1+V_dVol),0))</f>
        <v>0</v>
      </c>
      <c r="AN194" s="48">
        <f>IF(AN$8=1,N(Reales!AN29),IF(AN$171=1,IF(AND(AND(35&gt;Corte,35&lt;=Corte+n_Ventana),ISNUMBER(Detalle_24m!AN$31)),Detalle_24m!AN$31,INDEX(Vol_V,18,AN$170)/12)*(1+V_dVol),0))</f>
        <v>0</v>
      </c>
      <c r="AO194" s="48">
        <f>IF(AO$8=1,N(Reales!AO29),IF(AO$171=1,IF(AND(AND(36&gt;Corte,36&lt;=Corte+n_Ventana),ISNUMBER(Detalle_24m!AO$31)),Detalle_24m!AO$31,INDEX(Vol_V,18,AO$170)/12)*(1+V_dVol),0))</f>
        <v>0</v>
      </c>
      <c r="AP194" s="48">
        <f>IF(AP$8=1,N(Reales!AP29),IF(AP$171=1,IF(AND(AND(37&gt;Corte,37&lt;=Corte+n_Ventana),ISNUMBER(Detalle_24m!AP$31)),Detalle_24m!AP$31,INDEX(Vol_V,18,AP$170)/12)*(1+V_dVol),0))</f>
        <v>0</v>
      </c>
      <c r="AQ194" s="48">
        <f>IF(AQ$8=1,N(Reales!AQ29),IF(AQ$171=1,IF(AND(AND(38&gt;Corte,38&lt;=Corte+n_Ventana),ISNUMBER(Detalle_24m!AQ$31)),Detalle_24m!AQ$31,INDEX(Vol_V,18,AQ$170)/12)*(1+V_dVol),0))</f>
        <v>0</v>
      </c>
      <c r="AR194" s="48">
        <f>IF(AR$8=1,N(Reales!AR29),IF(AR$171=1,IF(AND(AND(39&gt;Corte,39&lt;=Corte+n_Ventana),ISNUMBER(Detalle_24m!AR$31)),Detalle_24m!AR$31,INDEX(Vol_V,18,AR$170)/12)*(1+V_dVol),0))</f>
        <v>0</v>
      </c>
      <c r="AS194" s="48">
        <f>IF(AS$8=1,N(Reales!AS29),IF(AS$171=1,IF(AND(AND(40&gt;Corte,40&lt;=Corte+n_Ventana),ISNUMBER(Detalle_24m!AS$31)),Detalle_24m!AS$31,INDEX(Vol_V,18,AS$170)/12)*(1+V_dVol),0))</f>
        <v>0</v>
      </c>
      <c r="AT194" s="48">
        <f>IF(AT$8=1,N(Reales!AT29),IF(AT$171=1,IF(AND(AND(41&gt;Corte,41&lt;=Corte+n_Ventana),ISNUMBER(Detalle_24m!AT$31)),Detalle_24m!AT$31,INDEX(Vol_V,18,AT$170)/12)*(1+V_dVol),0))</f>
        <v>0</v>
      </c>
      <c r="AU194" s="48">
        <f>IF(AU$8=1,N(Reales!AU29),IF(AU$171=1,IF(AND(AND(42&gt;Corte,42&lt;=Corte+n_Ventana),ISNUMBER(Detalle_24m!AU$31)),Detalle_24m!AU$31,INDEX(Vol_V,18,AU$170)/12)*(1+V_dVol),0))</f>
        <v>0</v>
      </c>
      <c r="AV194" s="48">
        <f>IF(AV$8=1,N(Reales!AV29),IF(AV$171=1,IF(AND(AND(43&gt;Corte,43&lt;=Corte+n_Ventana),ISNUMBER(Detalle_24m!AV$31)),Detalle_24m!AV$31,INDEX(Vol_V,18,AV$170)/12)*(1+V_dVol),0))</f>
        <v>0</v>
      </c>
      <c r="AW194" s="48">
        <f>IF(AW$8=1,N(Reales!AW29),IF(AW$171=1,IF(AND(AND(44&gt;Corte,44&lt;=Corte+n_Ventana),ISNUMBER(Detalle_24m!AW$31)),Detalle_24m!AW$31,INDEX(Vol_V,18,AW$170)/12)*(1+V_dVol),0))</f>
        <v>0</v>
      </c>
      <c r="AX194" s="48">
        <f>IF(AX$8=1,N(Reales!AX29),IF(AX$171=1,IF(AND(AND(45&gt;Corte,45&lt;=Corte+n_Ventana),ISNUMBER(Detalle_24m!AX$31)),Detalle_24m!AX$31,INDEX(Vol_V,18,AX$170)/12)*(1+V_dVol),0))</f>
        <v>0</v>
      </c>
      <c r="AY194" s="48">
        <f>IF(AY$8=1,N(Reales!AY29),IF(AY$171=1,IF(AND(AND(46&gt;Corte,46&lt;=Corte+n_Ventana),ISNUMBER(Detalle_24m!AY$31)),Detalle_24m!AY$31,INDEX(Vol_V,18,AY$170)/12)*(1+V_dVol),0))</f>
        <v>0</v>
      </c>
      <c r="AZ194" s="48">
        <f>IF(AZ$8=1,N(Reales!AZ29),IF(AZ$171=1,IF(AND(AND(47&gt;Corte,47&lt;=Corte+n_Ventana),ISNUMBER(Detalle_24m!AZ$31)),Detalle_24m!AZ$31,INDEX(Vol_V,18,AZ$170)/12)*(1+V_dVol),0))</f>
        <v>0</v>
      </c>
      <c r="BA194" s="48">
        <f>IF(BA$8=1,N(Reales!BA29),IF(BA$171=1,IF(AND(AND(48&gt;Corte,48&lt;=Corte+n_Ventana),ISNUMBER(Detalle_24m!BA$31)),Detalle_24m!BA$31,INDEX(Vol_V,18,BA$170)/12)*(1+V_dVol),0))</f>
        <v>0</v>
      </c>
      <c r="BB194" s="48">
        <f>IF(BB$8=1,N(Reales!BB29),IF(BB$171=1,IF(AND(AND(49&gt;Corte,49&lt;=Corte+n_Ventana),ISNUMBER(Detalle_24m!BB$31)),Detalle_24m!BB$31,INDEX(Vol_V,18,BB$170)/12)*(1+V_dVol),0))</f>
        <v>0</v>
      </c>
      <c r="BC194" s="48">
        <f>IF(BC$8=1,N(Reales!BC29),IF(BC$171=1,IF(AND(AND(50&gt;Corte,50&lt;=Corte+n_Ventana),ISNUMBER(Detalle_24m!BC$31)),Detalle_24m!BC$31,INDEX(Vol_V,18,BC$170)/12)*(1+V_dVol),0))</f>
        <v>0</v>
      </c>
      <c r="BD194" s="48">
        <f>IF(BD$8=1,N(Reales!BD29),IF(BD$171=1,IF(AND(AND(51&gt;Corte,51&lt;=Corte+n_Ventana),ISNUMBER(Detalle_24m!BD$31)),Detalle_24m!BD$31,INDEX(Vol_V,18,BD$170)/12)*(1+V_dVol),0))</f>
        <v>0</v>
      </c>
      <c r="BE194" s="48">
        <f>IF(BE$8=1,N(Reales!BE29),IF(BE$171=1,IF(AND(AND(52&gt;Corte,52&lt;=Corte+n_Ventana),ISNUMBER(Detalle_24m!BE$31)),Detalle_24m!BE$31,INDEX(Vol_V,18,BE$170)/12)*(1+V_dVol),0))</f>
        <v>0</v>
      </c>
      <c r="BF194" s="48">
        <f>IF(BF$8=1,N(Reales!BF29),IF(BF$171=1,IF(AND(AND(53&gt;Corte,53&lt;=Corte+n_Ventana),ISNUMBER(Detalle_24m!BF$31)),Detalle_24m!BF$31,INDEX(Vol_V,18,BF$170)/12)*(1+V_dVol),0))</f>
        <v>0</v>
      </c>
      <c r="BG194" s="48">
        <f>IF(BG$8=1,N(Reales!BG29),IF(BG$171=1,IF(AND(AND(54&gt;Corte,54&lt;=Corte+n_Ventana),ISNUMBER(Detalle_24m!BG$31)),Detalle_24m!BG$31,INDEX(Vol_V,18,BG$170)/12)*(1+V_dVol),0))</f>
        <v>0</v>
      </c>
      <c r="BH194" s="48">
        <f>IF(BH$8=1,N(Reales!BH29),IF(BH$171=1,IF(AND(AND(55&gt;Corte,55&lt;=Corte+n_Ventana),ISNUMBER(Detalle_24m!BH$31)),Detalle_24m!BH$31,INDEX(Vol_V,18,BH$170)/12)*(1+V_dVol),0))</f>
        <v>0</v>
      </c>
      <c r="BI194" s="48">
        <f>IF(BI$8=1,N(Reales!BI29),IF(BI$171=1,IF(AND(AND(56&gt;Corte,56&lt;=Corte+n_Ventana),ISNUMBER(Detalle_24m!BI$31)),Detalle_24m!BI$31,INDEX(Vol_V,18,BI$170)/12)*(1+V_dVol),0))</f>
        <v>0</v>
      </c>
      <c r="BJ194" s="48">
        <f>IF(BJ$8=1,N(Reales!BJ29),IF(BJ$171=1,IF(AND(AND(57&gt;Corte,57&lt;=Corte+n_Ventana),ISNUMBER(Detalle_24m!BJ$31)),Detalle_24m!BJ$31,INDEX(Vol_V,18,BJ$170)/12)*(1+V_dVol),0))</f>
        <v>0</v>
      </c>
      <c r="BK194" s="48">
        <f>IF(BK$8=1,N(Reales!BK29),IF(BK$171=1,IF(AND(AND(58&gt;Corte,58&lt;=Corte+n_Ventana),ISNUMBER(Detalle_24m!BK$31)),Detalle_24m!BK$31,INDEX(Vol_V,18,BK$170)/12)*(1+V_dVol),0))</f>
        <v>0</v>
      </c>
      <c r="BL194" s="48">
        <f>IF(BL$8=1,N(Reales!BL29),IF(BL$171=1,IF(AND(AND(59&gt;Corte,59&lt;=Corte+n_Ventana),ISNUMBER(Detalle_24m!BL$31)),Detalle_24m!BL$31,INDEX(Vol_V,18,BL$170)/12)*(1+V_dVol),0))</f>
        <v>0</v>
      </c>
      <c r="BM194" s="48">
        <f>IF(BM$8=1,N(Reales!BM29),IF(BM$171=1,IF(AND(AND(60&gt;Corte,60&lt;=Corte+n_Ventana),ISNUMBER(Detalle_24m!BM$31)),Detalle_24m!BM$31,INDEX(Vol_V,18,BM$170)/12)*(1+V_dVol),0))</f>
        <v>0</v>
      </c>
      <c r="BN194" s="48">
        <f>IF(BN$8=1,N(Reales!BN29),IF(BN$171=1,IF(AND(AND(61&gt;Corte,61&lt;=Corte+n_Ventana),ISNUMBER(Detalle_24m!BN$31)),Detalle_24m!BN$31,INDEX(Vol_V,18,BN$170)/12)*(1+V_dVol),0))</f>
        <v>0</v>
      </c>
      <c r="BO194" s="48">
        <f>IF(BO$8=1,N(Reales!BO29),IF(BO$171=1,IF(AND(AND(62&gt;Corte,62&lt;=Corte+n_Ventana),ISNUMBER(Detalle_24m!BO$31)),Detalle_24m!BO$31,INDEX(Vol_V,18,BO$170)/12)*(1+V_dVol),0))</f>
        <v>0</v>
      </c>
      <c r="BP194" s="48">
        <f>IF(BP$8=1,N(Reales!BP29),IF(BP$171=1,IF(AND(AND(63&gt;Corte,63&lt;=Corte+n_Ventana),ISNUMBER(Detalle_24m!BP$31)),Detalle_24m!BP$31,INDEX(Vol_V,18,BP$170)/12)*(1+V_dVol),0))</f>
        <v>0</v>
      </c>
      <c r="BQ194" s="48">
        <f>IF(BQ$8=1,N(Reales!BQ29),IF(BQ$171=1,IF(AND(AND(64&gt;Corte,64&lt;=Corte+n_Ventana),ISNUMBER(Detalle_24m!BQ$31)),Detalle_24m!BQ$31,INDEX(Vol_V,18,BQ$170)/12)*(1+V_dVol),0))</f>
        <v>0</v>
      </c>
      <c r="BR194" s="48">
        <f>IF(BR$8=1,N(Reales!BR29),IF(BR$171=1,IF(AND(AND(65&gt;Corte,65&lt;=Corte+n_Ventana),ISNUMBER(Detalle_24m!BR$31)),Detalle_24m!BR$31,INDEX(Vol_V,18,BR$170)/12)*(1+V_dVol),0))</f>
        <v>0</v>
      </c>
      <c r="BS194" s="48">
        <f>IF(BS$8=1,N(Reales!BS29),IF(BS$171=1,IF(AND(AND(66&gt;Corte,66&lt;=Corte+n_Ventana),ISNUMBER(Detalle_24m!BS$31)),Detalle_24m!BS$31,INDEX(Vol_V,18,BS$170)/12)*(1+V_dVol),0))</f>
        <v>0</v>
      </c>
      <c r="BT194" s="48">
        <f>IF(BT$8=1,N(Reales!BT29),IF(BT$171=1,IF(AND(AND(67&gt;Corte,67&lt;=Corte+n_Ventana),ISNUMBER(Detalle_24m!BT$31)),Detalle_24m!BT$31,INDEX(Vol_V,18,BT$170)/12)*(1+V_dVol),0))</f>
        <v>0</v>
      </c>
      <c r="BU194" s="48">
        <f>IF(BU$8=1,N(Reales!BU29),IF(BU$171=1,IF(AND(AND(68&gt;Corte,68&lt;=Corte+n_Ventana),ISNUMBER(Detalle_24m!BU$31)),Detalle_24m!BU$31,INDEX(Vol_V,18,BU$170)/12)*(1+V_dVol),0))</f>
        <v>0</v>
      </c>
      <c r="BV194" s="48">
        <f>IF(BV$8=1,N(Reales!BV29),IF(BV$171=1,IF(AND(AND(69&gt;Corte,69&lt;=Corte+n_Ventana),ISNUMBER(Detalle_24m!BV$31)),Detalle_24m!BV$31,INDEX(Vol_V,18,BV$170)/12)*(1+V_dVol),0))</f>
        <v>0</v>
      </c>
      <c r="BW194" s="48">
        <f>IF(BW$8=1,N(Reales!BW29),IF(BW$171=1,IF(AND(AND(70&gt;Corte,70&lt;=Corte+n_Ventana),ISNUMBER(Detalle_24m!BW$31)),Detalle_24m!BW$31,INDEX(Vol_V,18,BW$170)/12)*(1+V_dVol),0))</f>
        <v>0</v>
      </c>
      <c r="BX194" s="48">
        <f>IF(BX$8=1,N(Reales!BX29),IF(BX$171=1,IF(AND(AND(71&gt;Corte,71&lt;=Corte+n_Ventana),ISNUMBER(Detalle_24m!BX$31)),Detalle_24m!BX$31,INDEX(Vol_V,18,BX$170)/12)*(1+V_dVol),0))</f>
        <v>0</v>
      </c>
      <c r="BY194" s="48">
        <f>IF(BY$8=1,N(Reales!BY29),IF(BY$171=1,IF(AND(AND(72&gt;Corte,72&lt;=Corte+n_Ventana),ISNUMBER(Detalle_24m!BY$31)),Detalle_24m!BY$31,INDEX(Vol_V,18,BY$170)/12)*(1+V_dVol),0))</f>
        <v>0</v>
      </c>
      <c r="BZ194" s="48">
        <f>IF(BZ$8=1,N(Reales!BZ29),IF(BZ$171=1,IF(AND(AND(73&gt;Corte,73&lt;=Corte+n_Ventana),ISNUMBER(Detalle_24m!BZ$31)),Detalle_24m!BZ$31,INDEX(Vol_V,18,BZ$170)/12)*(1+V_dVol),0))</f>
        <v>0</v>
      </c>
      <c r="CA194" s="48">
        <f>IF(CA$8=1,N(Reales!CA29),IF(CA$171=1,IF(AND(AND(74&gt;Corte,74&lt;=Corte+n_Ventana),ISNUMBER(Detalle_24m!CA$31)),Detalle_24m!CA$31,INDEX(Vol_V,18,CA$170)/12)*(1+V_dVol),0))</f>
        <v>0</v>
      </c>
      <c r="CB194" s="48">
        <f>IF(CB$8=1,N(Reales!CB29),IF(CB$171=1,IF(AND(AND(75&gt;Corte,75&lt;=Corte+n_Ventana),ISNUMBER(Detalle_24m!CB$31)),Detalle_24m!CB$31,INDEX(Vol_V,18,CB$170)/12)*(1+V_dVol),0))</f>
        <v>0</v>
      </c>
      <c r="CC194" s="48">
        <f>IF(CC$8=1,N(Reales!CC29),IF(CC$171=1,IF(AND(AND(76&gt;Corte,76&lt;=Corte+n_Ventana),ISNUMBER(Detalle_24m!CC$31)),Detalle_24m!CC$31,INDEX(Vol_V,18,CC$170)/12)*(1+V_dVol),0))</f>
        <v>0</v>
      </c>
      <c r="CD194" s="48">
        <f>IF(CD$8=1,N(Reales!CD29),IF(CD$171=1,IF(AND(AND(77&gt;Corte,77&lt;=Corte+n_Ventana),ISNUMBER(Detalle_24m!CD$31)),Detalle_24m!CD$31,INDEX(Vol_V,18,CD$170)/12)*(1+V_dVol),0))</f>
        <v>0</v>
      </c>
      <c r="CE194" s="48">
        <f>IF(CE$8=1,N(Reales!CE29),IF(CE$171=1,IF(AND(AND(78&gt;Corte,78&lt;=Corte+n_Ventana),ISNUMBER(Detalle_24m!CE$31)),Detalle_24m!CE$31,INDEX(Vol_V,18,CE$170)/12)*(1+V_dVol),0))</f>
        <v>0</v>
      </c>
      <c r="CF194" s="48">
        <f>IF(CF$8=1,N(Reales!CF29),IF(CF$171=1,IF(AND(AND(79&gt;Corte,79&lt;=Corte+n_Ventana),ISNUMBER(Detalle_24m!CF$31)),Detalle_24m!CF$31,INDEX(Vol_V,18,CF$170)/12)*(1+V_dVol),0))</f>
        <v>0</v>
      </c>
      <c r="CG194" s="48">
        <f>IF(CG$8=1,N(Reales!CG29),IF(CG$171=1,IF(AND(AND(80&gt;Corte,80&lt;=Corte+n_Ventana),ISNUMBER(Detalle_24m!CG$31)),Detalle_24m!CG$31,INDEX(Vol_V,18,CG$170)/12)*(1+V_dVol),0))</f>
        <v>0</v>
      </c>
      <c r="CH194" s="48">
        <f>IF(CH$8=1,N(Reales!CH29),IF(CH$171=1,IF(AND(AND(81&gt;Corte,81&lt;=Corte+n_Ventana),ISNUMBER(Detalle_24m!CH$31)),Detalle_24m!CH$31,INDEX(Vol_V,18,CH$170)/12)*(1+V_dVol),0))</f>
        <v>0</v>
      </c>
      <c r="CI194" s="48">
        <f>IF(CI$8=1,N(Reales!CI29),IF(CI$171=1,IF(AND(AND(82&gt;Corte,82&lt;=Corte+n_Ventana),ISNUMBER(Detalle_24m!CI$31)),Detalle_24m!CI$31,INDEX(Vol_V,18,CI$170)/12)*(1+V_dVol),0))</f>
        <v>0</v>
      </c>
      <c r="CJ194" s="48">
        <f>IF(CJ$8=1,N(Reales!CJ29),IF(CJ$171=1,IF(AND(AND(83&gt;Corte,83&lt;=Corte+n_Ventana),ISNUMBER(Detalle_24m!CJ$31)),Detalle_24m!CJ$31,INDEX(Vol_V,18,CJ$170)/12)*(1+V_dVol),0))</f>
        <v>0</v>
      </c>
      <c r="CK194" s="48">
        <f>IF(CK$8=1,N(Reales!CK29),IF(CK$171=1,IF(AND(AND(84&gt;Corte,84&lt;=Corte+n_Ventana),ISNUMBER(Detalle_24m!CK$31)),Detalle_24m!CK$31,INDEX(Vol_V,18,CK$170)/12)*(1+V_dVol),0))</f>
        <v>0</v>
      </c>
      <c r="CL194" s="48">
        <f>IF(CL$8=1,N(Reales!CL29),IF(CL$171=1,IF(AND(AND(85&gt;Corte,85&lt;=Corte+n_Ventana),ISNUMBER(Detalle_24m!CL$31)),Detalle_24m!CL$31,INDEX(Vol_V,18,CL$170)/12)*(1+V_dVol),0))</f>
        <v>0</v>
      </c>
      <c r="CM194" s="48">
        <f>IF(CM$8=1,N(Reales!CM29),IF(CM$171=1,IF(AND(AND(86&gt;Corte,86&lt;=Corte+n_Ventana),ISNUMBER(Detalle_24m!CM$31)),Detalle_24m!CM$31,INDEX(Vol_V,18,CM$170)/12)*(1+V_dVol),0))</f>
        <v>0</v>
      </c>
      <c r="CN194" s="48">
        <f>IF(CN$8=1,N(Reales!CN29),IF(CN$171=1,IF(AND(AND(87&gt;Corte,87&lt;=Corte+n_Ventana),ISNUMBER(Detalle_24m!CN$31)),Detalle_24m!CN$31,INDEX(Vol_V,18,CN$170)/12)*(1+V_dVol),0))</f>
        <v>0</v>
      </c>
      <c r="CO194" s="48">
        <f>IF(CO$8=1,N(Reales!CO29),IF(CO$171=1,IF(AND(AND(88&gt;Corte,88&lt;=Corte+n_Ventana),ISNUMBER(Detalle_24m!CO$31)),Detalle_24m!CO$31,INDEX(Vol_V,18,CO$170)/12)*(1+V_dVol),0))</f>
        <v>0</v>
      </c>
      <c r="CP194" s="48">
        <f>IF(CP$8=1,N(Reales!CP29),IF(CP$171=1,IF(AND(AND(89&gt;Corte,89&lt;=Corte+n_Ventana),ISNUMBER(Detalle_24m!CP$31)),Detalle_24m!CP$31,INDEX(Vol_V,18,CP$170)/12)*(1+V_dVol),0))</f>
        <v>0</v>
      </c>
      <c r="CQ194" s="48">
        <f>IF(CQ$8=1,N(Reales!CQ29),IF(CQ$171=1,IF(AND(AND(90&gt;Corte,90&lt;=Corte+n_Ventana),ISNUMBER(Detalle_24m!CQ$31)),Detalle_24m!CQ$31,INDEX(Vol_V,18,CQ$170)/12)*(1+V_dVol),0))</f>
        <v>0</v>
      </c>
      <c r="CR194" s="48">
        <f>IF(CR$8=1,N(Reales!CR29),IF(CR$171=1,IF(AND(AND(91&gt;Corte,91&lt;=Corte+n_Ventana),ISNUMBER(Detalle_24m!CR$31)),Detalle_24m!CR$31,INDEX(Vol_V,18,CR$170)/12)*(1+V_dVol),0))</f>
        <v>0</v>
      </c>
      <c r="CS194" s="48">
        <f>IF(CS$8=1,N(Reales!CS29),IF(CS$171=1,IF(AND(AND(92&gt;Corte,92&lt;=Corte+n_Ventana),ISNUMBER(Detalle_24m!CS$31)),Detalle_24m!CS$31,INDEX(Vol_V,18,CS$170)/12)*(1+V_dVol),0))</f>
        <v>0</v>
      </c>
      <c r="CT194" s="48">
        <f>IF(CT$8=1,N(Reales!CT29),IF(CT$171=1,IF(AND(AND(93&gt;Corte,93&lt;=Corte+n_Ventana),ISNUMBER(Detalle_24m!CT$31)),Detalle_24m!CT$31,INDEX(Vol_V,18,CT$170)/12)*(1+V_dVol),0))</f>
        <v>0</v>
      </c>
      <c r="CU194" s="48">
        <f>IF(CU$8=1,N(Reales!CU29),IF(CU$171=1,IF(AND(AND(94&gt;Corte,94&lt;=Corte+n_Ventana),ISNUMBER(Detalle_24m!CU$31)),Detalle_24m!CU$31,INDEX(Vol_V,18,CU$170)/12)*(1+V_dVol),0))</f>
        <v>0</v>
      </c>
      <c r="CV194" s="48">
        <f>IF(CV$8=1,N(Reales!CV29),IF(CV$171=1,IF(AND(AND(95&gt;Corte,95&lt;=Corte+n_Ventana),ISNUMBER(Detalle_24m!CV$31)),Detalle_24m!CV$31,INDEX(Vol_V,18,CV$170)/12)*(1+V_dVol),0))</f>
        <v>0</v>
      </c>
      <c r="CW194" s="48">
        <f>IF(CW$8=1,N(Reales!CW29),IF(CW$171=1,IF(AND(AND(96&gt;Corte,96&lt;=Corte+n_Ventana),ISNUMBER(Detalle_24m!CW$31)),Detalle_24m!CW$31,INDEX(Vol_V,18,CW$170)/12)*(1+V_dVol),0))</f>
        <v>0</v>
      </c>
      <c r="CX194" s="48">
        <f>IF(CX$8=1,N(Reales!CX29),IF(CX$171=1,IF(AND(AND(97&gt;Corte,97&lt;=Corte+n_Ventana),ISNUMBER(Detalle_24m!CX$31)),Detalle_24m!CX$31,INDEX(Vol_V,18,CX$170)/12)*(1+V_dVol),0))</f>
        <v>0</v>
      </c>
      <c r="CY194" s="48">
        <f>IF(CY$8=1,N(Reales!CY29),IF(CY$171=1,IF(AND(AND(98&gt;Corte,98&lt;=Corte+n_Ventana),ISNUMBER(Detalle_24m!CY$31)),Detalle_24m!CY$31,INDEX(Vol_V,18,CY$170)/12)*(1+V_dVol),0))</f>
        <v>0</v>
      </c>
      <c r="CZ194" s="48">
        <f>IF(CZ$8=1,N(Reales!CZ29),IF(CZ$171=1,IF(AND(AND(99&gt;Corte,99&lt;=Corte+n_Ventana),ISNUMBER(Detalle_24m!CZ$31)),Detalle_24m!CZ$31,INDEX(Vol_V,18,CZ$170)/12)*(1+V_dVol),0))</f>
        <v>0</v>
      </c>
      <c r="DA194" s="48">
        <f>IF(DA$8=1,N(Reales!DA29),IF(DA$171=1,IF(AND(AND(100&gt;Corte,100&lt;=Corte+n_Ventana),ISNUMBER(Detalle_24m!DA$31)),Detalle_24m!DA$31,INDEX(Vol_V,18,DA$170)/12)*(1+V_dVol),0))</f>
        <v>0</v>
      </c>
      <c r="DB194" s="48">
        <f>IF(DB$8=1,N(Reales!DB29),IF(DB$171=1,IF(AND(AND(101&gt;Corte,101&lt;=Corte+n_Ventana),ISNUMBER(Detalle_24m!DB$31)),Detalle_24m!DB$31,INDEX(Vol_V,18,DB$170)/12)*(1+V_dVol),0))</f>
        <v>0</v>
      </c>
      <c r="DC194" s="48">
        <f>IF(DC$8=1,N(Reales!DC29),IF(DC$171=1,IF(AND(AND(102&gt;Corte,102&lt;=Corte+n_Ventana),ISNUMBER(Detalle_24m!DC$31)),Detalle_24m!DC$31,INDEX(Vol_V,18,DC$170)/12)*(1+V_dVol),0))</f>
        <v>0</v>
      </c>
      <c r="DD194" s="48">
        <f>IF(DD$8=1,N(Reales!DD29),IF(DD$171=1,IF(AND(AND(103&gt;Corte,103&lt;=Corte+n_Ventana),ISNUMBER(Detalle_24m!DD$31)),Detalle_24m!DD$31,INDEX(Vol_V,18,DD$170)/12)*(1+V_dVol),0))</f>
        <v>0</v>
      </c>
      <c r="DE194" s="48">
        <f>IF(DE$8=1,N(Reales!DE29),IF(DE$171=1,IF(AND(AND(104&gt;Corte,104&lt;=Corte+n_Ventana),ISNUMBER(Detalle_24m!DE$31)),Detalle_24m!DE$31,INDEX(Vol_V,18,DE$170)/12)*(1+V_dVol),0))</f>
        <v>0</v>
      </c>
      <c r="DF194" s="48">
        <f>IF(DF$8=1,N(Reales!DF29),IF(DF$171=1,IF(AND(AND(105&gt;Corte,105&lt;=Corte+n_Ventana),ISNUMBER(Detalle_24m!DF$31)),Detalle_24m!DF$31,INDEX(Vol_V,18,DF$170)/12)*(1+V_dVol),0))</f>
        <v>0</v>
      </c>
      <c r="DG194" s="48">
        <f>IF(DG$8=1,N(Reales!DG29),IF(DG$171=1,IF(AND(AND(106&gt;Corte,106&lt;=Corte+n_Ventana),ISNUMBER(Detalle_24m!DG$31)),Detalle_24m!DG$31,INDEX(Vol_V,18,DG$170)/12)*(1+V_dVol),0))</f>
        <v>0</v>
      </c>
      <c r="DH194" s="48">
        <f>IF(DH$8=1,N(Reales!DH29),IF(DH$171=1,IF(AND(AND(107&gt;Corte,107&lt;=Corte+n_Ventana),ISNUMBER(Detalle_24m!DH$31)),Detalle_24m!DH$31,INDEX(Vol_V,18,DH$170)/12)*(1+V_dVol),0))</f>
        <v>0</v>
      </c>
      <c r="DI194" s="48">
        <f>IF(DI$8=1,N(Reales!DI29),IF(DI$171=1,IF(AND(AND(108&gt;Corte,108&lt;=Corte+n_Ventana),ISNUMBER(Detalle_24m!DI$31)),Detalle_24m!DI$31,INDEX(Vol_V,18,DI$170)/12)*(1+V_dVol),0))</f>
        <v>0</v>
      </c>
      <c r="DJ194" s="48">
        <f>IF(DJ$8=1,N(Reales!DJ29),IF(DJ$171=1,IF(AND(AND(109&gt;Corte,109&lt;=Corte+n_Ventana),ISNUMBER(Detalle_24m!DJ$31)),Detalle_24m!DJ$31,INDEX(Vol_V,18,DJ$170)/12)*(1+V_dVol),0))</f>
        <v>0</v>
      </c>
      <c r="DK194" s="48">
        <f>IF(DK$8=1,N(Reales!DK29),IF(DK$171=1,IF(AND(AND(110&gt;Corte,110&lt;=Corte+n_Ventana),ISNUMBER(Detalle_24m!DK$31)),Detalle_24m!DK$31,INDEX(Vol_V,18,DK$170)/12)*(1+V_dVol),0))</f>
        <v>0</v>
      </c>
      <c r="DL194" s="48">
        <f>IF(DL$8=1,N(Reales!DL29),IF(DL$171=1,IF(AND(AND(111&gt;Corte,111&lt;=Corte+n_Ventana),ISNUMBER(Detalle_24m!DL$31)),Detalle_24m!DL$31,INDEX(Vol_V,18,DL$170)/12)*(1+V_dVol),0))</f>
        <v>0</v>
      </c>
      <c r="DM194" s="48">
        <f>IF(DM$8=1,N(Reales!DM29),IF(DM$171=1,IF(AND(AND(112&gt;Corte,112&lt;=Corte+n_Ventana),ISNUMBER(Detalle_24m!DM$31)),Detalle_24m!DM$31,INDEX(Vol_V,18,DM$170)/12)*(1+V_dVol),0))</f>
        <v>0</v>
      </c>
      <c r="DN194" s="48">
        <f>IF(DN$8=1,N(Reales!DN29),IF(DN$171=1,IF(AND(AND(113&gt;Corte,113&lt;=Corte+n_Ventana),ISNUMBER(Detalle_24m!DN$31)),Detalle_24m!DN$31,INDEX(Vol_V,18,DN$170)/12)*(1+V_dVol),0))</f>
        <v>0</v>
      </c>
      <c r="DO194" s="48">
        <f>IF(DO$8=1,N(Reales!DO29),IF(DO$171=1,IF(AND(AND(114&gt;Corte,114&lt;=Corte+n_Ventana),ISNUMBER(Detalle_24m!DO$31)),Detalle_24m!DO$31,INDEX(Vol_V,18,DO$170)/12)*(1+V_dVol),0))</f>
        <v>0</v>
      </c>
      <c r="DP194" s="48">
        <f>IF(DP$8=1,N(Reales!DP29),IF(DP$171=1,IF(AND(AND(115&gt;Corte,115&lt;=Corte+n_Ventana),ISNUMBER(Detalle_24m!DP$31)),Detalle_24m!DP$31,INDEX(Vol_V,18,DP$170)/12)*(1+V_dVol),0))</f>
        <v>0</v>
      </c>
      <c r="DQ194" s="48">
        <f>IF(DQ$8=1,N(Reales!DQ29),IF(DQ$171=1,IF(AND(AND(116&gt;Corte,116&lt;=Corte+n_Ventana),ISNUMBER(Detalle_24m!DQ$31)),Detalle_24m!DQ$31,INDEX(Vol_V,18,DQ$170)/12)*(1+V_dVol),0))</f>
        <v>0</v>
      </c>
      <c r="DR194" s="48">
        <f>IF(DR$8=1,N(Reales!DR29),IF(DR$171=1,IF(AND(AND(117&gt;Corte,117&lt;=Corte+n_Ventana),ISNUMBER(Detalle_24m!DR$31)),Detalle_24m!DR$31,INDEX(Vol_V,18,DR$170)/12)*(1+V_dVol),0))</f>
        <v>0</v>
      </c>
      <c r="DS194" s="48">
        <f>IF(DS$8=1,N(Reales!DS29),IF(DS$171=1,IF(AND(AND(118&gt;Corte,118&lt;=Corte+n_Ventana),ISNUMBER(Detalle_24m!DS$31)),Detalle_24m!DS$31,INDEX(Vol_V,18,DS$170)/12)*(1+V_dVol),0))</f>
        <v>0</v>
      </c>
      <c r="DT194" s="48">
        <f>IF(DT$8=1,N(Reales!DT29),IF(DT$171=1,IF(AND(AND(119&gt;Corte,119&lt;=Corte+n_Ventana),ISNUMBER(Detalle_24m!DT$31)),Detalle_24m!DT$31,INDEX(Vol_V,18,DT$170)/12)*(1+V_dVol),0))</f>
        <v>0</v>
      </c>
      <c r="DU194" s="48">
        <f>IF(DU$8=1,N(Reales!DU29),IF(DU$171=1,IF(AND(AND(120&gt;Corte,120&lt;=Corte+n_Ventana),ISNUMBER(Detalle_24m!DU$31)),Detalle_24m!DU$31,INDEX(Vol_V,18,DU$170)/12)*(1+V_dVol),0))</f>
        <v>0</v>
      </c>
      <c r="DV194" s="48">
        <f>IF(DV$8=1,N(Reales!DV29),IF(DV$171=1,IF(AND(AND(121&gt;Corte,121&lt;=Corte+n_Ventana),ISNUMBER(Detalle_24m!DV$31)),Detalle_24m!DV$31,INDEX(Vol_V,18,DV$170)/12)*(1+V_dVol),0))</f>
        <v>0</v>
      </c>
      <c r="DW194" s="48">
        <f>IF(DW$8=1,N(Reales!DW29),IF(DW$171=1,IF(AND(AND(122&gt;Corte,122&lt;=Corte+n_Ventana),ISNUMBER(Detalle_24m!DW$31)),Detalle_24m!DW$31,INDEX(Vol_V,18,DW$170)/12)*(1+V_dVol),0))</f>
        <v>0</v>
      </c>
      <c r="DX194" s="48">
        <f>IF(DX$8=1,N(Reales!DX29),IF(DX$171=1,IF(AND(AND(123&gt;Corte,123&lt;=Corte+n_Ventana),ISNUMBER(Detalle_24m!DX$31)),Detalle_24m!DX$31,INDEX(Vol_V,18,DX$170)/12)*(1+V_dVol),0))</f>
        <v>0</v>
      </c>
      <c r="DY194" s="48">
        <f>IF(DY$8=1,N(Reales!DY29),IF(DY$171=1,IF(AND(AND(124&gt;Corte,124&lt;=Corte+n_Ventana),ISNUMBER(Detalle_24m!DY$31)),Detalle_24m!DY$31,INDEX(Vol_V,18,DY$170)/12)*(1+V_dVol),0))</f>
        <v>0</v>
      </c>
      <c r="DZ194" s="48">
        <f>IF(DZ$8=1,N(Reales!DZ29),IF(DZ$171=1,IF(AND(AND(125&gt;Corte,125&lt;=Corte+n_Ventana),ISNUMBER(Detalle_24m!DZ$31)),Detalle_24m!DZ$31,INDEX(Vol_V,18,DZ$170)/12)*(1+V_dVol),0))</f>
        <v>0</v>
      </c>
      <c r="EA194" s="48">
        <f>IF(EA$8=1,N(Reales!EA29),IF(EA$171=1,IF(AND(AND(126&gt;Corte,126&lt;=Corte+n_Ventana),ISNUMBER(Detalle_24m!EA$31)),Detalle_24m!EA$31,INDEX(Vol_V,18,EA$170)/12)*(1+V_dVol),0))</f>
        <v>0</v>
      </c>
      <c r="EB194" s="48">
        <f>IF(EB$8=1,N(Reales!EB29),IF(EB$171=1,IF(AND(AND(127&gt;Corte,127&lt;=Corte+n_Ventana),ISNUMBER(Detalle_24m!EB$31)),Detalle_24m!EB$31,INDEX(Vol_V,18,EB$170)/12)*(1+V_dVol),0))</f>
        <v>0</v>
      </c>
      <c r="EC194" s="48">
        <f>IF(EC$8=1,N(Reales!EC29),IF(EC$171=1,IF(AND(AND(128&gt;Corte,128&lt;=Corte+n_Ventana),ISNUMBER(Detalle_24m!EC$31)),Detalle_24m!EC$31,INDEX(Vol_V,18,EC$170)/12)*(1+V_dVol),0))</f>
        <v>0</v>
      </c>
      <c r="ED194" s="48">
        <f>IF(ED$8=1,N(Reales!ED29),IF(ED$171=1,IF(AND(AND(129&gt;Corte,129&lt;=Corte+n_Ventana),ISNUMBER(Detalle_24m!ED$31)),Detalle_24m!ED$31,INDEX(Vol_V,18,ED$170)/12)*(1+V_dVol),0))</f>
        <v>0</v>
      </c>
      <c r="EE194" s="48">
        <f>IF(EE$8=1,N(Reales!EE29),IF(EE$171=1,IF(AND(AND(130&gt;Corte,130&lt;=Corte+n_Ventana),ISNUMBER(Detalle_24m!EE$31)),Detalle_24m!EE$31,INDEX(Vol_V,18,EE$170)/12)*(1+V_dVol),0))</f>
        <v>0</v>
      </c>
      <c r="EF194" s="48">
        <f>IF(EF$8=1,N(Reales!EF29),IF(EF$171=1,IF(AND(AND(131&gt;Corte,131&lt;=Corte+n_Ventana),ISNUMBER(Detalle_24m!EF$31)),Detalle_24m!EF$31,INDEX(Vol_V,18,EF$170)/12)*(1+V_dVol),0))</f>
        <v>0</v>
      </c>
      <c r="EG194" s="48">
        <f>IF(EG$8=1,N(Reales!EG29),IF(EG$171=1,IF(AND(AND(132&gt;Corte,132&lt;=Corte+n_Ventana),ISNUMBER(Detalle_24m!EG$31)),Detalle_24m!EG$31,INDEX(Vol_V,18,EG$170)/12)*(1+V_dVol),0))</f>
        <v>0</v>
      </c>
      <c r="EH194" s="48">
        <f>IF(EH$8=1,N(Reales!EH29),IF(EH$171=1,IF(AND(AND(133&gt;Corte,133&lt;=Corte+n_Ventana),ISNUMBER(Detalle_24m!EH$31)),Detalle_24m!EH$31,INDEX(Vol_V,18,EH$170)/12)*(1+V_dVol),0))</f>
        <v>0</v>
      </c>
      <c r="EI194" s="48">
        <f>IF(EI$8=1,N(Reales!EI29),IF(EI$171=1,IF(AND(AND(134&gt;Corte,134&lt;=Corte+n_Ventana),ISNUMBER(Detalle_24m!EI$31)),Detalle_24m!EI$31,INDEX(Vol_V,18,EI$170)/12)*(1+V_dVol),0))</f>
        <v>0</v>
      </c>
      <c r="EJ194" s="48">
        <f>IF(EJ$8=1,N(Reales!EJ29),IF(EJ$171=1,IF(AND(AND(135&gt;Corte,135&lt;=Corte+n_Ventana),ISNUMBER(Detalle_24m!EJ$31)),Detalle_24m!EJ$31,INDEX(Vol_V,18,EJ$170)/12)*(1+V_dVol),0))</f>
        <v>0</v>
      </c>
      <c r="EK194" s="48">
        <f>IF(EK$8=1,N(Reales!EK29),IF(EK$171=1,IF(AND(AND(136&gt;Corte,136&lt;=Corte+n_Ventana),ISNUMBER(Detalle_24m!EK$31)),Detalle_24m!EK$31,INDEX(Vol_V,18,EK$170)/12)*(1+V_dVol),0))</f>
        <v>0</v>
      </c>
      <c r="EL194" s="48">
        <f>IF(EL$8=1,N(Reales!EL29),IF(EL$171=1,IF(AND(AND(137&gt;Corte,137&lt;=Corte+n_Ventana),ISNUMBER(Detalle_24m!EL$31)),Detalle_24m!EL$31,INDEX(Vol_V,18,EL$170)/12)*(1+V_dVol),0))</f>
        <v>0</v>
      </c>
      <c r="EM194" s="48">
        <f>IF(EM$8=1,N(Reales!EM29),IF(EM$171=1,IF(AND(AND(138&gt;Corte,138&lt;=Corte+n_Ventana),ISNUMBER(Detalle_24m!EM$31)),Detalle_24m!EM$31,INDEX(Vol_V,18,EM$170)/12)*(1+V_dVol),0))</f>
        <v>0</v>
      </c>
      <c r="EN194" s="48">
        <f>IF(EN$8=1,N(Reales!EN29),IF(EN$171=1,IF(AND(AND(139&gt;Corte,139&lt;=Corte+n_Ventana),ISNUMBER(Detalle_24m!EN$31)),Detalle_24m!EN$31,INDEX(Vol_V,18,EN$170)/12)*(1+V_dVol),0))</f>
        <v>0</v>
      </c>
      <c r="EO194" s="48">
        <f>IF(EO$8=1,N(Reales!EO29),IF(EO$171=1,IF(AND(AND(140&gt;Corte,140&lt;=Corte+n_Ventana),ISNUMBER(Detalle_24m!EO$31)),Detalle_24m!EO$31,INDEX(Vol_V,18,EO$170)/12)*(1+V_dVol),0))</f>
        <v>0</v>
      </c>
      <c r="EP194" s="48">
        <f>IF(EP$8=1,N(Reales!EP29),IF(EP$171=1,IF(AND(AND(141&gt;Corte,141&lt;=Corte+n_Ventana),ISNUMBER(Detalle_24m!EP$31)),Detalle_24m!EP$31,INDEX(Vol_V,18,EP$170)/12)*(1+V_dVol),0))</f>
        <v>0</v>
      </c>
      <c r="EQ194" s="48">
        <f>IF(EQ$8=1,N(Reales!EQ29),IF(EQ$171=1,IF(AND(AND(142&gt;Corte,142&lt;=Corte+n_Ventana),ISNUMBER(Detalle_24m!EQ$31)),Detalle_24m!EQ$31,INDEX(Vol_V,18,EQ$170)/12)*(1+V_dVol),0))</f>
        <v>0</v>
      </c>
      <c r="ER194" s="48">
        <f>IF(ER$8=1,N(Reales!ER29),IF(ER$171=1,IF(AND(AND(143&gt;Corte,143&lt;=Corte+n_Ventana),ISNUMBER(Detalle_24m!ER$31)),Detalle_24m!ER$31,INDEX(Vol_V,18,ER$170)/12)*(1+V_dVol),0))</f>
        <v>0</v>
      </c>
      <c r="ES194" s="48">
        <f>IF(ES$8=1,N(Reales!ES29),IF(ES$171=1,IF(AND(AND(144&gt;Corte,144&lt;=Corte+n_Ventana),ISNUMBER(Detalle_24m!ES$31)),Detalle_24m!ES$31,INDEX(Vol_V,18,ES$170)/12)*(1+V_dVol),0))</f>
        <v>0</v>
      </c>
    </row>
    <row r="195" spans="1:149" x14ac:dyDescent="0.3">
      <c r="A195" s="14" t="s">
        <v>1250</v>
      </c>
      <c r="B195" s="53" t="str">
        <f>IF(INDEX(Prod_Nombre,19)="","Producto 19",INDEX(Prod_Nombre,19))&amp;" — unidades"</f>
        <v>Producto 19 — unidades</v>
      </c>
      <c r="C195" s="18" t="s">
        <v>475</v>
      </c>
      <c r="E195" s="54">
        <f t="shared" si="604"/>
        <v>0</v>
      </c>
      <c r="F195" s="48">
        <f>IF(F$8=1,N(Reales!F30),IF(F$171=1,IF(AND(AND(1&gt;Corte,1&lt;=Corte+n_Ventana),ISNUMBER(Detalle_24m!F$32)),Detalle_24m!F$32,INDEX(Vol_V,19,F$170)/12)*(1+V_dVol),0))</f>
        <v>0</v>
      </c>
      <c r="G195" s="48">
        <f>IF(G$8=1,N(Reales!G30),IF(G$171=1,IF(AND(AND(2&gt;Corte,2&lt;=Corte+n_Ventana),ISNUMBER(Detalle_24m!G$32)),Detalle_24m!G$32,INDEX(Vol_V,19,G$170)/12)*(1+V_dVol),0))</f>
        <v>0</v>
      </c>
      <c r="H195" s="48">
        <f>IF(H$8=1,N(Reales!H30),IF(H$171=1,IF(AND(AND(3&gt;Corte,3&lt;=Corte+n_Ventana),ISNUMBER(Detalle_24m!H$32)),Detalle_24m!H$32,INDEX(Vol_V,19,H$170)/12)*(1+V_dVol),0))</f>
        <v>0</v>
      </c>
      <c r="I195" s="48">
        <f>IF(I$8=1,N(Reales!I30),IF(I$171=1,IF(AND(AND(4&gt;Corte,4&lt;=Corte+n_Ventana),ISNUMBER(Detalle_24m!I$32)),Detalle_24m!I$32,INDEX(Vol_V,19,I$170)/12)*(1+V_dVol),0))</f>
        <v>0</v>
      </c>
      <c r="J195" s="48">
        <f>IF(J$8=1,N(Reales!J30),IF(J$171=1,IF(AND(AND(5&gt;Corte,5&lt;=Corte+n_Ventana),ISNUMBER(Detalle_24m!J$32)),Detalle_24m!J$32,INDEX(Vol_V,19,J$170)/12)*(1+V_dVol),0))</f>
        <v>0</v>
      </c>
      <c r="K195" s="48">
        <f>IF(K$8=1,N(Reales!K30),IF(K$171=1,IF(AND(AND(6&gt;Corte,6&lt;=Corte+n_Ventana),ISNUMBER(Detalle_24m!K$32)),Detalle_24m!K$32,INDEX(Vol_V,19,K$170)/12)*(1+V_dVol),0))</f>
        <v>0</v>
      </c>
      <c r="L195" s="48">
        <f>IF(L$8=1,N(Reales!L30),IF(L$171=1,IF(AND(AND(7&gt;Corte,7&lt;=Corte+n_Ventana),ISNUMBER(Detalle_24m!L$32)),Detalle_24m!L$32,INDEX(Vol_V,19,L$170)/12)*(1+V_dVol),0))</f>
        <v>0</v>
      </c>
      <c r="M195" s="48">
        <f>IF(M$8=1,N(Reales!M30),IF(M$171=1,IF(AND(AND(8&gt;Corte,8&lt;=Corte+n_Ventana),ISNUMBER(Detalle_24m!M$32)),Detalle_24m!M$32,INDEX(Vol_V,19,M$170)/12)*(1+V_dVol),0))</f>
        <v>0</v>
      </c>
      <c r="N195" s="48">
        <f>IF(N$8=1,N(Reales!N30),IF(N$171=1,IF(AND(AND(9&gt;Corte,9&lt;=Corte+n_Ventana),ISNUMBER(Detalle_24m!N$32)),Detalle_24m!N$32,INDEX(Vol_V,19,N$170)/12)*(1+V_dVol),0))</f>
        <v>0</v>
      </c>
      <c r="O195" s="48">
        <f>IF(O$8=1,N(Reales!O30),IF(O$171=1,IF(AND(AND(10&gt;Corte,10&lt;=Corte+n_Ventana),ISNUMBER(Detalle_24m!O$32)),Detalle_24m!O$32,INDEX(Vol_V,19,O$170)/12)*(1+V_dVol),0))</f>
        <v>0</v>
      </c>
      <c r="P195" s="48">
        <f>IF(P$8=1,N(Reales!P30),IF(P$171=1,IF(AND(AND(11&gt;Corte,11&lt;=Corte+n_Ventana),ISNUMBER(Detalle_24m!P$32)),Detalle_24m!P$32,INDEX(Vol_V,19,P$170)/12)*(1+V_dVol),0))</f>
        <v>0</v>
      </c>
      <c r="Q195" s="48">
        <f>IF(Q$8=1,N(Reales!Q30),IF(Q$171=1,IF(AND(AND(12&gt;Corte,12&lt;=Corte+n_Ventana),ISNUMBER(Detalle_24m!Q$32)),Detalle_24m!Q$32,INDEX(Vol_V,19,Q$170)/12)*(1+V_dVol),0))</f>
        <v>0</v>
      </c>
      <c r="R195" s="48">
        <f>IF(R$8=1,N(Reales!R30),IF(R$171=1,IF(AND(AND(13&gt;Corte,13&lt;=Corte+n_Ventana),ISNUMBER(Detalle_24m!R$32)),Detalle_24m!R$32,INDEX(Vol_V,19,R$170)/12)*(1+V_dVol),0))</f>
        <v>0</v>
      </c>
      <c r="S195" s="48">
        <f>IF(S$8=1,N(Reales!S30),IF(S$171=1,IF(AND(AND(14&gt;Corte,14&lt;=Corte+n_Ventana),ISNUMBER(Detalle_24m!S$32)),Detalle_24m!S$32,INDEX(Vol_V,19,S$170)/12)*(1+V_dVol),0))</f>
        <v>0</v>
      </c>
      <c r="T195" s="48">
        <f>IF(T$8=1,N(Reales!T30),IF(T$171=1,IF(AND(AND(15&gt;Corte,15&lt;=Corte+n_Ventana),ISNUMBER(Detalle_24m!T$32)),Detalle_24m!T$32,INDEX(Vol_V,19,T$170)/12)*(1+V_dVol),0))</f>
        <v>0</v>
      </c>
      <c r="U195" s="48">
        <f>IF(U$8=1,N(Reales!U30),IF(U$171=1,IF(AND(AND(16&gt;Corte,16&lt;=Corte+n_Ventana),ISNUMBER(Detalle_24m!U$32)),Detalle_24m!U$32,INDEX(Vol_V,19,U$170)/12)*(1+V_dVol),0))</f>
        <v>0</v>
      </c>
      <c r="V195" s="48">
        <f>IF(V$8=1,N(Reales!V30),IF(V$171=1,IF(AND(AND(17&gt;Corte,17&lt;=Corte+n_Ventana),ISNUMBER(Detalle_24m!V$32)),Detalle_24m!V$32,INDEX(Vol_V,19,V$170)/12)*(1+V_dVol),0))</f>
        <v>0</v>
      </c>
      <c r="W195" s="48">
        <f>IF(W$8=1,N(Reales!W30),IF(W$171=1,IF(AND(AND(18&gt;Corte,18&lt;=Corte+n_Ventana),ISNUMBER(Detalle_24m!W$32)),Detalle_24m!W$32,INDEX(Vol_V,19,W$170)/12)*(1+V_dVol),0))</f>
        <v>0</v>
      </c>
      <c r="X195" s="48">
        <f>IF(X$8=1,N(Reales!X30),IF(X$171=1,IF(AND(AND(19&gt;Corte,19&lt;=Corte+n_Ventana),ISNUMBER(Detalle_24m!X$32)),Detalle_24m!X$32,INDEX(Vol_V,19,X$170)/12)*(1+V_dVol),0))</f>
        <v>0</v>
      </c>
      <c r="Y195" s="48">
        <f>IF(Y$8=1,N(Reales!Y30),IF(Y$171=1,IF(AND(AND(20&gt;Corte,20&lt;=Corte+n_Ventana),ISNUMBER(Detalle_24m!Y$32)),Detalle_24m!Y$32,INDEX(Vol_V,19,Y$170)/12)*(1+V_dVol),0))</f>
        <v>0</v>
      </c>
      <c r="Z195" s="48">
        <f>IF(Z$8=1,N(Reales!Z30),IF(Z$171=1,IF(AND(AND(21&gt;Corte,21&lt;=Corte+n_Ventana),ISNUMBER(Detalle_24m!Z$32)),Detalle_24m!Z$32,INDEX(Vol_V,19,Z$170)/12)*(1+V_dVol),0))</f>
        <v>0</v>
      </c>
      <c r="AA195" s="48">
        <f>IF(AA$8=1,N(Reales!AA30),IF(AA$171=1,IF(AND(AND(22&gt;Corte,22&lt;=Corte+n_Ventana),ISNUMBER(Detalle_24m!AA$32)),Detalle_24m!AA$32,INDEX(Vol_V,19,AA$170)/12)*(1+V_dVol),0))</f>
        <v>0</v>
      </c>
      <c r="AB195" s="48">
        <f>IF(AB$8=1,N(Reales!AB30),IF(AB$171=1,IF(AND(AND(23&gt;Corte,23&lt;=Corte+n_Ventana),ISNUMBER(Detalle_24m!AB$32)),Detalle_24m!AB$32,INDEX(Vol_V,19,AB$170)/12)*(1+V_dVol),0))</f>
        <v>0</v>
      </c>
      <c r="AC195" s="48">
        <f>IF(AC$8=1,N(Reales!AC30),IF(AC$171=1,IF(AND(AND(24&gt;Corte,24&lt;=Corte+n_Ventana),ISNUMBER(Detalle_24m!AC$32)),Detalle_24m!AC$32,INDEX(Vol_V,19,AC$170)/12)*(1+V_dVol),0))</f>
        <v>0</v>
      </c>
      <c r="AD195" s="48">
        <f>IF(AD$8=1,N(Reales!AD30),IF(AD$171=1,IF(AND(AND(25&gt;Corte,25&lt;=Corte+n_Ventana),ISNUMBER(Detalle_24m!AD$32)),Detalle_24m!AD$32,INDEX(Vol_V,19,AD$170)/12)*(1+V_dVol),0))</f>
        <v>0</v>
      </c>
      <c r="AE195" s="48">
        <f>IF(AE$8=1,N(Reales!AE30),IF(AE$171=1,IF(AND(AND(26&gt;Corte,26&lt;=Corte+n_Ventana),ISNUMBER(Detalle_24m!AE$32)),Detalle_24m!AE$32,INDEX(Vol_V,19,AE$170)/12)*(1+V_dVol),0))</f>
        <v>0</v>
      </c>
      <c r="AF195" s="48">
        <f>IF(AF$8=1,N(Reales!AF30),IF(AF$171=1,IF(AND(AND(27&gt;Corte,27&lt;=Corte+n_Ventana),ISNUMBER(Detalle_24m!AF$32)),Detalle_24m!AF$32,INDEX(Vol_V,19,AF$170)/12)*(1+V_dVol),0))</f>
        <v>0</v>
      </c>
      <c r="AG195" s="48">
        <f>IF(AG$8=1,N(Reales!AG30),IF(AG$171=1,IF(AND(AND(28&gt;Corte,28&lt;=Corte+n_Ventana),ISNUMBER(Detalle_24m!AG$32)),Detalle_24m!AG$32,INDEX(Vol_V,19,AG$170)/12)*(1+V_dVol),0))</f>
        <v>0</v>
      </c>
      <c r="AH195" s="48">
        <f>IF(AH$8=1,N(Reales!AH30),IF(AH$171=1,IF(AND(AND(29&gt;Corte,29&lt;=Corte+n_Ventana),ISNUMBER(Detalle_24m!AH$32)),Detalle_24m!AH$32,INDEX(Vol_V,19,AH$170)/12)*(1+V_dVol),0))</f>
        <v>0</v>
      </c>
      <c r="AI195" s="48">
        <f>IF(AI$8=1,N(Reales!AI30),IF(AI$171=1,IF(AND(AND(30&gt;Corte,30&lt;=Corte+n_Ventana),ISNUMBER(Detalle_24m!AI$32)),Detalle_24m!AI$32,INDEX(Vol_V,19,AI$170)/12)*(1+V_dVol),0))</f>
        <v>0</v>
      </c>
      <c r="AJ195" s="48">
        <f>IF(AJ$8=1,N(Reales!AJ30),IF(AJ$171=1,IF(AND(AND(31&gt;Corte,31&lt;=Corte+n_Ventana),ISNUMBER(Detalle_24m!AJ$32)),Detalle_24m!AJ$32,INDEX(Vol_V,19,AJ$170)/12)*(1+V_dVol),0))</f>
        <v>0</v>
      </c>
      <c r="AK195" s="48">
        <f>IF(AK$8=1,N(Reales!AK30),IF(AK$171=1,IF(AND(AND(32&gt;Corte,32&lt;=Corte+n_Ventana),ISNUMBER(Detalle_24m!AK$32)),Detalle_24m!AK$32,INDEX(Vol_V,19,AK$170)/12)*(1+V_dVol),0))</f>
        <v>0</v>
      </c>
      <c r="AL195" s="48">
        <f>IF(AL$8=1,N(Reales!AL30),IF(AL$171=1,IF(AND(AND(33&gt;Corte,33&lt;=Corte+n_Ventana),ISNUMBER(Detalle_24m!AL$32)),Detalle_24m!AL$32,INDEX(Vol_V,19,AL$170)/12)*(1+V_dVol),0))</f>
        <v>0</v>
      </c>
      <c r="AM195" s="48">
        <f>IF(AM$8=1,N(Reales!AM30),IF(AM$171=1,IF(AND(AND(34&gt;Corte,34&lt;=Corte+n_Ventana),ISNUMBER(Detalle_24m!AM$32)),Detalle_24m!AM$32,INDEX(Vol_V,19,AM$170)/12)*(1+V_dVol),0))</f>
        <v>0</v>
      </c>
      <c r="AN195" s="48">
        <f>IF(AN$8=1,N(Reales!AN30),IF(AN$171=1,IF(AND(AND(35&gt;Corte,35&lt;=Corte+n_Ventana),ISNUMBER(Detalle_24m!AN$32)),Detalle_24m!AN$32,INDEX(Vol_V,19,AN$170)/12)*(1+V_dVol),0))</f>
        <v>0</v>
      </c>
      <c r="AO195" s="48">
        <f>IF(AO$8=1,N(Reales!AO30),IF(AO$171=1,IF(AND(AND(36&gt;Corte,36&lt;=Corte+n_Ventana),ISNUMBER(Detalle_24m!AO$32)),Detalle_24m!AO$32,INDEX(Vol_V,19,AO$170)/12)*(1+V_dVol),0))</f>
        <v>0</v>
      </c>
      <c r="AP195" s="48">
        <f>IF(AP$8=1,N(Reales!AP30),IF(AP$171=1,IF(AND(AND(37&gt;Corte,37&lt;=Corte+n_Ventana),ISNUMBER(Detalle_24m!AP$32)),Detalle_24m!AP$32,INDEX(Vol_V,19,AP$170)/12)*(1+V_dVol),0))</f>
        <v>0</v>
      </c>
      <c r="AQ195" s="48">
        <f>IF(AQ$8=1,N(Reales!AQ30),IF(AQ$171=1,IF(AND(AND(38&gt;Corte,38&lt;=Corte+n_Ventana),ISNUMBER(Detalle_24m!AQ$32)),Detalle_24m!AQ$32,INDEX(Vol_V,19,AQ$170)/12)*(1+V_dVol),0))</f>
        <v>0</v>
      </c>
      <c r="AR195" s="48">
        <f>IF(AR$8=1,N(Reales!AR30),IF(AR$171=1,IF(AND(AND(39&gt;Corte,39&lt;=Corte+n_Ventana),ISNUMBER(Detalle_24m!AR$32)),Detalle_24m!AR$32,INDEX(Vol_V,19,AR$170)/12)*(1+V_dVol),0))</f>
        <v>0</v>
      </c>
      <c r="AS195" s="48">
        <f>IF(AS$8=1,N(Reales!AS30),IF(AS$171=1,IF(AND(AND(40&gt;Corte,40&lt;=Corte+n_Ventana),ISNUMBER(Detalle_24m!AS$32)),Detalle_24m!AS$32,INDEX(Vol_V,19,AS$170)/12)*(1+V_dVol),0))</f>
        <v>0</v>
      </c>
      <c r="AT195" s="48">
        <f>IF(AT$8=1,N(Reales!AT30),IF(AT$171=1,IF(AND(AND(41&gt;Corte,41&lt;=Corte+n_Ventana),ISNUMBER(Detalle_24m!AT$32)),Detalle_24m!AT$32,INDEX(Vol_V,19,AT$170)/12)*(1+V_dVol),0))</f>
        <v>0</v>
      </c>
      <c r="AU195" s="48">
        <f>IF(AU$8=1,N(Reales!AU30),IF(AU$171=1,IF(AND(AND(42&gt;Corte,42&lt;=Corte+n_Ventana),ISNUMBER(Detalle_24m!AU$32)),Detalle_24m!AU$32,INDEX(Vol_V,19,AU$170)/12)*(1+V_dVol),0))</f>
        <v>0</v>
      </c>
      <c r="AV195" s="48">
        <f>IF(AV$8=1,N(Reales!AV30),IF(AV$171=1,IF(AND(AND(43&gt;Corte,43&lt;=Corte+n_Ventana),ISNUMBER(Detalle_24m!AV$32)),Detalle_24m!AV$32,INDEX(Vol_V,19,AV$170)/12)*(1+V_dVol),0))</f>
        <v>0</v>
      </c>
      <c r="AW195" s="48">
        <f>IF(AW$8=1,N(Reales!AW30),IF(AW$171=1,IF(AND(AND(44&gt;Corte,44&lt;=Corte+n_Ventana),ISNUMBER(Detalle_24m!AW$32)),Detalle_24m!AW$32,INDEX(Vol_V,19,AW$170)/12)*(1+V_dVol),0))</f>
        <v>0</v>
      </c>
      <c r="AX195" s="48">
        <f>IF(AX$8=1,N(Reales!AX30),IF(AX$171=1,IF(AND(AND(45&gt;Corte,45&lt;=Corte+n_Ventana),ISNUMBER(Detalle_24m!AX$32)),Detalle_24m!AX$32,INDEX(Vol_V,19,AX$170)/12)*(1+V_dVol),0))</f>
        <v>0</v>
      </c>
      <c r="AY195" s="48">
        <f>IF(AY$8=1,N(Reales!AY30),IF(AY$171=1,IF(AND(AND(46&gt;Corte,46&lt;=Corte+n_Ventana),ISNUMBER(Detalle_24m!AY$32)),Detalle_24m!AY$32,INDEX(Vol_V,19,AY$170)/12)*(1+V_dVol),0))</f>
        <v>0</v>
      </c>
      <c r="AZ195" s="48">
        <f>IF(AZ$8=1,N(Reales!AZ30),IF(AZ$171=1,IF(AND(AND(47&gt;Corte,47&lt;=Corte+n_Ventana),ISNUMBER(Detalle_24m!AZ$32)),Detalle_24m!AZ$32,INDEX(Vol_V,19,AZ$170)/12)*(1+V_dVol),0))</f>
        <v>0</v>
      </c>
      <c r="BA195" s="48">
        <f>IF(BA$8=1,N(Reales!BA30),IF(BA$171=1,IF(AND(AND(48&gt;Corte,48&lt;=Corte+n_Ventana),ISNUMBER(Detalle_24m!BA$32)),Detalle_24m!BA$32,INDEX(Vol_V,19,BA$170)/12)*(1+V_dVol),0))</f>
        <v>0</v>
      </c>
      <c r="BB195" s="48">
        <f>IF(BB$8=1,N(Reales!BB30),IF(BB$171=1,IF(AND(AND(49&gt;Corte,49&lt;=Corte+n_Ventana),ISNUMBER(Detalle_24m!BB$32)),Detalle_24m!BB$32,INDEX(Vol_V,19,BB$170)/12)*(1+V_dVol),0))</f>
        <v>0</v>
      </c>
      <c r="BC195" s="48">
        <f>IF(BC$8=1,N(Reales!BC30),IF(BC$171=1,IF(AND(AND(50&gt;Corte,50&lt;=Corte+n_Ventana),ISNUMBER(Detalle_24m!BC$32)),Detalle_24m!BC$32,INDEX(Vol_V,19,BC$170)/12)*(1+V_dVol),0))</f>
        <v>0</v>
      </c>
      <c r="BD195" s="48">
        <f>IF(BD$8=1,N(Reales!BD30),IF(BD$171=1,IF(AND(AND(51&gt;Corte,51&lt;=Corte+n_Ventana),ISNUMBER(Detalle_24m!BD$32)),Detalle_24m!BD$32,INDEX(Vol_V,19,BD$170)/12)*(1+V_dVol),0))</f>
        <v>0</v>
      </c>
      <c r="BE195" s="48">
        <f>IF(BE$8=1,N(Reales!BE30),IF(BE$171=1,IF(AND(AND(52&gt;Corte,52&lt;=Corte+n_Ventana),ISNUMBER(Detalle_24m!BE$32)),Detalle_24m!BE$32,INDEX(Vol_V,19,BE$170)/12)*(1+V_dVol),0))</f>
        <v>0</v>
      </c>
      <c r="BF195" s="48">
        <f>IF(BF$8=1,N(Reales!BF30),IF(BF$171=1,IF(AND(AND(53&gt;Corte,53&lt;=Corte+n_Ventana),ISNUMBER(Detalle_24m!BF$32)),Detalle_24m!BF$32,INDEX(Vol_V,19,BF$170)/12)*(1+V_dVol),0))</f>
        <v>0</v>
      </c>
      <c r="BG195" s="48">
        <f>IF(BG$8=1,N(Reales!BG30),IF(BG$171=1,IF(AND(AND(54&gt;Corte,54&lt;=Corte+n_Ventana),ISNUMBER(Detalle_24m!BG$32)),Detalle_24m!BG$32,INDEX(Vol_V,19,BG$170)/12)*(1+V_dVol),0))</f>
        <v>0</v>
      </c>
      <c r="BH195" s="48">
        <f>IF(BH$8=1,N(Reales!BH30),IF(BH$171=1,IF(AND(AND(55&gt;Corte,55&lt;=Corte+n_Ventana),ISNUMBER(Detalle_24m!BH$32)),Detalle_24m!BH$32,INDEX(Vol_V,19,BH$170)/12)*(1+V_dVol),0))</f>
        <v>0</v>
      </c>
      <c r="BI195" s="48">
        <f>IF(BI$8=1,N(Reales!BI30),IF(BI$171=1,IF(AND(AND(56&gt;Corte,56&lt;=Corte+n_Ventana),ISNUMBER(Detalle_24m!BI$32)),Detalle_24m!BI$32,INDEX(Vol_V,19,BI$170)/12)*(1+V_dVol),0))</f>
        <v>0</v>
      </c>
      <c r="BJ195" s="48">
        <f>IF(BJ$8=1,N(Reales!BJ30),IF(BJ$171=1,IF(AND(AND(57&gt;Corte,57&lt;=Corte+n_Ventana),ISNUMBER(Detalle_24m!BJ$32)),Detalle_24m!BJ$32,INDEX(Vol_V,19,BJ$170)/12)*(1+V_dVol),0))</f>
        <v>0</v>
      </c>
      <c r="BK195" s="48">
        <f>IF(BK$8=1,N(Reales!BK30),IF(BK$171=1,IF(AND(AND(58&gt;Corte,58&lt;=Corte+n_Ventana),ISNUMBER(Detalle_24m!BK$32)),Detalle_24m!BK$32,INDEX(Vol_V,19,BK$170)/12)*(1+V_dVol),0))</f>
        <v>0</v>
      </c>
      <c r="BL195" s="48">
        <f>IF(BL$8=1,N(Reales!BL30),IF(BL$171=1,IF(AND(AND(59&gt;Corte,59&lt;=Corte+n_Ventana),ISNUMBER(Detalle_24m!BL$32)),Detalle_24m!BL$32,INDEX(Vol_V,19,BL$170)/12)*(1+V_dVol),0))</f>
        <v>0</v>
      </c>
      <c r="BM195" s="48">
        <f>IF(BM$8=1,N(Reales!BM30),IF(BM$171=1,IF(AND(AND(60&gt;Corte,60&lt;=Corte+n_Ventana),ISNUMBER(Detalle_24m!BM$32)),Detalle_24m!BM$32,INDEX(Vol_V,19,BM$170)/12)*(1+V_dVol),0))</f>
        <v>0</v>
      </c>
      <c r="BN195" s="48">
        <f>IF(BN$8=1,N(Reales!BN30),IF(BN$171=1,IF(AND(AND(61&gt;Corte,61&lt;=Corte+n_Ventana),ISNUMBER(Detalle_24m!BN$32)),Detalle_24m!BN$32,INDEX(Vol_V,19,BN$170)/12)*(1+V_dVol),0))</f>
        <v>0</v>
      </c>
      <c r="BO195" s="48">
        <f>IF(BO$8=1,N(Reales!BO30),IF(BO$171=1,IF(AND(AND(62&gt;Corte,62&lt;=Corte+n_Ventana),ISNUMBER(Detalle_24m!BO$32)),Detalle_24m!BO$32,INDEX(Vol_V,19,BO$170)/12)*(1+V_dVol),0))</f>
        <v>0</v>
      </c>
      <c r="BP195" s="48">
        <f>IF(BP$8=1,N(Reales!BP30),IF(BP$171=1,IF(AND(AND(63&gt;Corte,63&lt;=Corte+n_Ventana),ISNUMBER(Detalle_24m!BP$32)),Detalle_24m!BP$32,INDEX(Vol_V,19,BP$170)/12)*(1+V_dVol),0))</f>
        <v>0</v>
      </c>
      <c r="BQ195" s="48">
        <f>IF(BQ$8=1,N(Reales!BQ30),IF(BQ$171=1,IF(AND(AND(64&gt;Corte,64&lt;=Corte+n_Ventana),ISNUMBER(Detalle_24m!BQ$32)),Detalle_24m!BQ$32,INDEX(Vol_V,19,BQ$170)/12)*(1+V_dVol),0))</f>
        <v>0</v>
      </c>
      <c r="BR195" s="48">
        <f>IF(BR$8=1,N(Reales!BR30),IF(BR$171=1,IF(AND(AND(65&gt;Corte,65&lt;=Corte+n_Ventana),ISNUMBER(Detalle_24m!BR$32)),Detalle_24m!BR$32,INDEX(Vol_V,19,BR$170)/12)*(1+V_dVol),0))</f>
        <v>0</v>
      </c>
      <c r="BS195" s="48">
        <f>IF(BS$8=1,N(Reales!BS30),IF(BS$171=1,IF(AND(AND(66&gt;Corte,66&lt;=Corte+n_Ventana),ISNUMBER(Detalle_24m!BS$32)),Detalle_24m!BS$32,INDEX(Vol_V,19,BS$170)/12)*(1+V_dVol),0))</f>
        <v>0</v>
      </c>
      <c r="BT195" s="48">
        <f>IF(BT$8=1,N(Reales!BT30),IF(BT$171=1,IF(AND(AND(67&gt;Corte,67&lt;=Corte+n_Ventana),ISNUMBER(Detalle_24m!BT$32)),Detalle_24m!BT$32,INDEX(Vol_V,19,BT$170)/12)*(1+V_dVol),0))</f>
        <v>0</v>
      </c>
      <c r="BU195" s="48">
        <f>IF(BU$8=1,N(Reales!BU30),IF(BU$171=1,IF(AND(AND(68&gt;Corte,68&lt;=Corte+n_Ventana),ISNUMBER(Detalle_24m!BU$32)),Detalle_24m!BU$32,INDEX(Vol_V,19,BU$170)/12)*(1+V_dVol),0))</f>
        <v>0</v>
      </c>
      <c r="BV195" s="48">
        <f>IF(BV$8=1,N(Reales!BV30),IF(BV$171=1,IF(AND(AND(69&gt;Corte,69&lt;=Corte+n_Ventana),ISNUMBER(Detalle_24m!BV$32)),Detalle_24m!BV$32,INDEX(Vol_V,19,BV$170)/12)*(1+V_dVol),0))</f>
        <v>0</v>
      </c>
      <c r="BW195" s="48">
        <f>IF(BW$8=1,N(Reales!BW30),IF(BW$171=1,IF(AND(AND(70&gt;Corte,70&lt;=Corte+n_Ventana),ISNUMBER(Detalle_24m!BW$32)),Detalle_24m!BW$32,INDEX(Vol_V,19,BW$170)/12)*(1+V_dVol),0))</f>
        <v>0</v>
      </c>
      <c r="BX195" s="48">
        <f>IF(BX$8=1,N(Reales!BX30),IF(BX$171=1,IF(AND(AND(71&gt;Corte,71&lt;=Corte+n_Ventana),ISNUMBER(Detalle_24m!BX$32)),Detalle_24m!BX$32,INDEX(Vol_V,19,BX$170)/12)*(1+V_dVol),0))</f>
        <v>0</v>
      </c>
      <c r="BY195" s="48">
        <f>IF(BY$8=1,N(Reales!BY30),IF(BY$171=1,IF(AND(AND(72&gt;Corte,72&lt;=Corte+n_Ventana),ISNUMBER(Detalle_24m!BY$32)),Detalle_24m!BY$32,INDEX(Vol_V,19,BY$170)/12)*(1+V_dVol),0))</f>
        <v>0</v>
      </c>
      <c r="BZ195" s="48">
        <f>IF(BZ$8=1,N(Reales!BZ30),IF(BZ$171=1,IF(AND(AND(73&gt;Corte,73&lt;=Corte+n_Ventana),ISNUMBER(Detalle_24m!BZ$32)),Detalle_24m!BZ$32,INDEX(Vol_V,19,BZ$170)/12)*(1+V_dVol),0))</f>
        <v>0</v>
      </c>
      <c r="CA195" s="48">
        <f>IF(CA$8=1,N(Reales!CA30),IF(CA$171=1,IF(AND(AND(74&gt;Corte,74&lt;=Corte+n_Ventana),ISNUMBER(Detalle_24m!CA$32)),Detalle_24m!CA$32,INDEX(Vol_V,19,CA$170)/12)*(1+V_dVol),0))</f>
        <v>0</v>
      </c>
      <c r="CB195" s="48">
        <f>IF(CB$8=1,N(Reales!CB30),IF(CB$171=1,IF(AND(AND(75&gt;Corte,75&lt;=Corte+n_Ventana),ISNUMBER(Detalle_24m!CB$32)),Detalle_24m!CB$32,INDEX(Vol_V,19,CB$170)/12)*(1+V_dVol),0))</f>
        <v>0</v>
      </c>
      <c r="CC195" s="48">
        <f>IF(CC$8=1,N(Reales!CC30),IF(CC$171=1,IF(AND(AND(76&gt;Corte,76&lt;=Corte+n_Ventana),ISNUMBER(Detalle_24m!CC$32)),Detalle_24m!CC$32,INDEX(Vol_V,19,CC$170)/12)*(1+V_dVol),0))</f>
        <v>0</v>
      </c>
      <c r="CD195" s="48">
        <f>IF(CD$8=1,N(Reales!CD30),IF(CD$171=1,IF(AND(AND(77&gt;Corte,77&lt;=Corte+n_Ventana),ISNUMBER(Detalle_24m!CD$32)),Detalle_24m!CD$32,INDEX(Vol_V,19,CD$170)/12)*(1+V_dVol),0))</f>
        <v>0</v>
      </c>
      <c r="CE195" s="48">
        <f>IF(CE$8=1,N(Reales!CE30),IF(CE$171=1,IF(AND(AND(78&gt;Corte,78&lt;=Corte+n_Ventana),ISNUMBER(Detalle_24m!CE$32)),Detalle_24m!CE$32,INDEX(Vol_V,19,CE$170)/12)*(1+V_dVol),0))</f>
        <v>0</v>
      </c>
      <c r="CF195" s="48">
        <f>IF(CF$8=1,N(Reales!CF30),IF(CF$171=1,IF(AND(AND(79&gt;Corte,79&lt;=Corte+n_Ventana),ISNUMBER(Detalle_24m!CF$32)),Detalle_24m!CF$32,INDEX(Vol_V,19,CF$170)/12)*(1+V_dVol),0))</f>
        <v>0</v>
      </c>
      <c r="CG195" s="48">
        <f>IF(CG$8=1,N(Reales!CG30),IF(CG$171=1,IF(AND(AND(80&gt;Corte,80&lt;=Corte+n_Ventana),ISNUMBER(Detalle_24m!CG$32)),Detalle_24m!CG$32,INDEX(Vol_V,19,CG$170)/12)*(1+V_dVol),0))</f>
        <v>0</v>
      </c>
      <c r="CH195" s="48">
        <f>IF(CH$8=1,N(Reales!CH30),IF(CH$171=1,IF(AND(AND(81&gt;Corte,81&lt;=Corte+n_Ventana),ISNUMBER(Detalle_24m!CH$32)),Detalle_24m!CH$32,INDEX(Vol_V,19,CH$170)/12)*(1+V_dVol),0))</f>
        <v>0</v>
      </c>
      <c r="CI195" s="48">
        <f>IF(CI$8=1,N(Reales!CI30),IF(CI$171=1,IF(AND(AND(82&gt;Corte,82&lt;=Corte+n_Ventana),ISNUMBER(Detalle_24m!CI$32)),Detalle_24m!CI$32,INDEX(Vol_V,19,CI$170)/12)*(1+V_dVol),0))</f>
        <v>0</v>
      </c>
      <c r="CJ195" s="48">
        <f>IF(CJ$8=1,N(Reales!CJ30),IF(CJ$171=1,IF(AND(AND(83&gt;Corte,83&lt;=Corte+n_Ventana),ISNUMBER(Detalle_24m!CJ$32)),Detalle_24m!CJ$32,INDEX(Vol_V,19,CJ$170)/12)*(1+V_dVol),0))</f>
        <v>0</v>
      </c>
      <c r="CK195" s="48">
        <f>IF(CK$8=1,N(Reales!CK30),IF(CK$171=1,IF(AND(AND(84&gt;Corte,84&lt;=Corte+n_Ventana),ISNUMBER(Detalle_24m!CK$32)),Detalle_24m!CK$32,INDEX(Vol_V,19,CK$170)/12)*(1+V_dVol),0))</f>
        <v>0</v>
      </c>
      <c r="CL195" s="48">
        <f>IF(CL$8=1,N(Reales!CL30),IF(CL$171=1,IF(AND(AND(85&gt;Corte,85&lt;=Corte+n_Ventana),ISNUMBER(Detalle_24m!CL$32)),Detalle_24m!CL$32,INDEX(Vol_V,19,CL$170)/12)*(1+V_dVol),0))</f>
        <v>0</v>
      </c>
      <c r="CM195" s="48">
        <f>IF(CM$8=1,N(Reales!CM30),IF(CM$171=1,IF(AND(AND(86&gt;Corte,86&lt;=Corte+n_Ventana),ISNUMBER(Detalle_24m!CM$32)),Detalle_24m!CM$32,INDEX(Vol_V,19,CM$170)/12)*(1+V_dVol),0))</f>
        <v>0</v>
      </c>
      <c r="CN195" s="48">
        <f>IF(CN$8=1,N(Reales!CN30),IF(CN$171=1,IF(AND(AND(87&gt;Corte,87&lt;=Corte+n_Ventana),ISNUMBER(Detalle_24m!CN$32)),Detalle_24m!CN$32,INDEX(Vol_V,19,CN$170)/12)*(1+V_dVol),0))</f>
        <v>0</v>
      </c>
      <c r="CO195" s="48">
        <f>IF(CO$8=1,N(Reales!CO30),IF(CO$171=1,IF(AND(AND(88&gt;Corte,88&lt;=Corte+n_Ventana),ISNUMBER(Detalle_24m!CO$32)),Detalle_24m!CO$32,INDEX(Vol_V,19,CO$170)/12)*(1+V_dVol),0))</f>
        <v>0</v>
      </c>
      <c r="CP195" s="48">
        <f>IF(CP$8=1,N(Reales!CP30),IF(CP$171=1,IF(AND(AND(89&gt;Corte,89&lt;=Corte+n_Ventana),ISNUMBER(Detalle_24m!CP$32)),Detalle_24m!CP$32,INDEX(Vol_V,19,CP$170)/12)*(1+V_dVol),0))</f>
        <v>0</v>
      </c>
      <c r="CQ195" s="48">
        <f>IF(CQ$8=1,N(Reales!CQ30),IF(CQ$171=1,IF(AND(AND(90&gt;Corte,90&lt;=Corte+n_Ventana),ISNUMBER(Detalle_24m!CQ$32)),Detalle_24m!CQ$32,INDEX(Vol_V,19,CQ$170)/12)*(1+V_dVol),0))</f>
        <v>0</v>
      </c>
      <c r="CR195" s="48">
        <f>IF(CR$8=1,N(Reales!CR30),IF(CR$171=1,IF(AND(AND(91&gt;Corte,91&lt;=Corte+n_Ventana),ISNUMBER(Detalle_24m!CR$32)),Detalle_24m!CR$32,INDEX(Vol_V,19,CR$170)/12)*(1+V_dVol),0))</f>
        <v>0</v>
      </c>
      <c r="CS195" s="48">
        <f>IF(CS$8=1,N(Reales!CS30),IF(CS$171=1,IF(AND(AND(92&gt;Corte,92&lt;=Corte+n_Ventana),ISNUMBER(Detalle_24m!CS$32)),Detalle_24m!CS$32,INDEX(Vol_V,19,CS$170)/12)*(1+V_dVol),0))</f>
        <v>0</v>
      </c>
      <c r="CT195" s="48">
        <f>IF(CT$8=1,N(Reales!CT30),IF(CT$171=1,IF(AND(AND(93&gt;Corte,93&lt;=Corte+n_Ventana),ISNUMBER(Detalle_24m!CT$32)),Detalle_24m!CT$32,INDEX(Vol_V,19,CT$170)/12)*(1+V_dVol),0))</f>
        <v>0</v>
      </c>
      <c r="CU195" s="48">
        <f>IF(CU$8=1,N(Reales!CU30),IF(CU$171=1,IF(AND(AND(94&gt;Corte,94&lt;=Corte+n_Ventana),ISNUMBER(Detalle_24m!CU$32)),Detalle_24m!CU$32,INDEX(Vol_V,19,CU$170)/12)*(1+V_dVol),0))</f>
        <v>0</v>
      </c>
      <c r="CV195" s="48">
        <f>IF(CV$8=1,N(Reales!CV30),IF(CV$171=1,IF(AND(AND(95&gt;Corte,95&lt;=Corte+n_Ventana),ISNUMBER(Detalle_24m!CV$32)),Detalle_24m!CV$32,INDEX(Vol_V,19,CV$170)/12)*(1+V_dVol),0))</f>
        <v>0</v>
      </c>
      <c r="CW195" s="48">
        <f>IF(CW$8=1,N(Reales!CW30),IF(CW$171=1,IF(AND(AND(96&gt;Corte,96&lt;=Corte+n_Ventana),ISNUMBER(Detalle_24m!CW$32)),Detalle_24m!CW$32,INDEX(Vol_V,19,CW$170)/12)*(1+V_dVol),0))</f>
        <v>0</v>
      </c>
      <c r="CX195" s="48">
        <f>IF(CX$8=1,N(Reales!CX30),IF(CX$171=1,IF(AND(AND(97&gt;Corte,97&lt;=Corte+n_Ventana),ISNUMBER(Detalle_24m!CX$32)),Detalle_24m!CX$32,INDEX(Vol_V,19,CX$170)/12)*(1+V_dVol),0))</f>
        <v>0</v>
      </c>
      <c r="CY195" s="48">
        <f>IF(CY$8=1,N(Reales!CY30),IF(CY$171=1,IF(AND(AND(98&gt;Corte,98&lt;=Corte+n_Ventana),ISNUMBER(Detalle_24m!CY$32)),Detalle_24m!CY$32,INDEX(Vol_V,19,CY$170)/12)*(1+V_dVol),0))</f>
        <v>0</v>
      </c>
      <c r="CZ195" s="48">
        <f>IF(CZ$8=1,N(Reales!CZ30),IF(CZ$171=1,IF(AND(AND(99&gt;Corte,99&lt;=Corte+n_Ventana),ISNUMBER(Detalle_24m!CZ$32)),Detalle_24m!CZ$32,INDEX(Vol_V,19,CZ$170)/12)*(1+V_dVol),0))</f>
        <v>0</v>
      </c>
      <c r="DA195" s="48">
        <f>IF(DA$8=1,N(Reales!DA30),IF(DA$171=1,IF(AND(AND(100&gt;Corte,100&lt;=Corte+n_Ventana),ISNUMBER(Detalle_24m!DA$32)),Detalle_24m!DA$32,INDEX(Vol_V,19,DA$170)/12)*(1+V_dVol),0))</f>
        <v>0</v>
      </c>
      <c r="DB195" s="48">
        <f>IF(DB$8=1,N(Reales!DB30),IF(DB$171=1,IF(AND(AND(101&gt;Corte,101&lt;=Corte+n_Ventana),ISNUMBER(Detalle_24m!DB$32)),Detalle_24m!DB$32,INDEX(Vol_V,19,DB$170)/12)*(1+V_dVol),0))</f>
        <v>0</v>
      </c>
      <c r="DC195" s="48">
        <f>IF(DC$8=1,N(Reales!DC30),IF(DC$171=1,IF(AND(AND(102&gt;Corte,102&lt;=Corte+n_Ventana),ISNUMBER(Detalle_24m!DC$32)),Detalle_24m!DC$32,INDEX(Vol_V,19,DC$170)/12)*(1+V_dVol),0))</f>
        <v>0</v>
      </c>
      <c r="DD195" s="48">
        <f>IF(DD$8=1,N(Reales!DD30),IF(DD$171=1,IF(AND(AND(103&gt;Corte,103&lt;=Corte+n_Ventana),ISNUMBER(Detalle_24m!DD$32)),Detalle_24m!DD$32,INDEX(Vol_V,19,DD$170)/12)*(1+V_dVol),0))</f>
        <v>0</v>
      </c>
      <c r="DE195" s="48">
        <f>IF(DE$8=1,N(Reales!DE30),IF(DE$171=1,IF(AND(AND(104&gt;Corte,104&lt;=Corte+n_Ventana),ISNUMBER(Detalle_24m!DE$32)),Detalle_24m!DE$32,INDEX(Vol_V,19,DE$170)/12)*(1+V_dVol),0))</f>
        <v>0</v>
      </c>
      <c r="DF195" s="48">
        <f>IF(DF$8=1,N(Reales!DF30),IF(DF$171=1,IF(AND(AND(105&gt;Corte,105&lt;=Corte+n_Ventana),ISNUMBER(Detalle_24m!DF$32)),Detalle_24m!DF$32,INDEX(Vol_V,19,DF$170)/12)*(1+V_dVol),0))</f>
        <v>0</v>
      </c>
      <c r="DG195" s="48">
        <f>IF(DG$8=1,N(Reales!DG30),IF(DG$171=1,IF(AND(AND(106&gt;Corte,106&lt;=Corte+n_Ventana),ISNUMBER(Detalle_24m!DG$32)),Detalle_24m!DG$32,INDEX(Vol_V,19,DG$170)/12)*(1+V_dVol),0))</f>
        <v>0</v>
      </c>
      <c r="DH195" s="48">
        <f>IF(DH$8=1,N(Reales!DH30),IF(DH$171=1,IF(AND(AND(107&gt;Corte,107&lt;=Corte+n_Ventana),ISNUMBER(Detalle_24m!DH$32)),Detalle_24m!DH$32,INDEX(Vol_V,19,DH$170)/12)*(1+V_dVol),0))</f>
        <v>0</v>
      </c>
      <c r="DI195" s="48">
        <f>IF(DI$8=1,N(Reales!DI30),IF(DI$171=1,IF(AND(AND(108&gt;Corte,108&lt;=Corte+n_Ventana),ISNUMBER(Detalle_24m!DI$32)),Detalle_24m!DI$32,INDEX(Vol_V,19,DI$170)/12)*(1+V_dVol),0))</f>
        <v>0</v>
      </c>
      <c r="DJ195" s="48">
        <f>IF(DJ$8=1,N(Reales!DJ30),IF(DJ$171=1,IF(AND(AND(109&gt;Corte,109&lt;=Corte+n_Ventana),ISNUMBER(Detalle_24m!DJ$32)),Detalle_24m!DJ$32,INDEX(Vol_V,19,DJ$170)/12)*(1+V_dVol),0))</f>
        <v>0</v>
      </c>
      <c r="DK195" s="48">
        <f>IF(DK$8=1,N(Reales!DK30),IF(DK$171=1,IF(AND(AND(110&gt;Corte,110&lt;=Corte+n_Ventana),ISNUMBER(Detalle_24m!DK$32)),Detalle_24m!DK$32,INDEX(Vol_V,19,DK$170)/12)*(1+V_dVol),0))</f>
        <v>0</v>
      </c>
      <c r="DL195" s="48">
        <f>IF(DL$8=1,N(Reales!DL30),IF(DL$171=1,IF(AND(AND(111&gt;Corte,111&lt;=Corte+n_Ventana),ISNUMBER(Detalle_24m!DL$32)),Detalle_24m!DL$32,INDEX(Vol_V,19,DL$170)/12)*(1+V_dVol),0))</f>
        <v>0</v>
      </c>
      <c r="DM195" s="48">
        <f>IF(DM$8=1,N(Reales!DM30),IF(DM$171=1,IF(AND(AND(112&gt;Corte,112&lt;=Corte+n_Ventana),ISNUMBER(Detalle_24m!DM$32)),Detalle_24m!DM$32,INDEX(Vol_V,19,DM$170)/12)*(1+V_dVol),0))</f>
        <v>0</v>
      </c>
      <c r="DN195" s="48">
        <f>IF(DN$8=1,N(Reales!DN30),IF(DN$171=1,IF(AND(AND(113&gt;Corte,113&lt;=Corte+n_Ventana),ISNUMBER(Detalle_24m!DN$32)),Detalle_24m!DN$32,INDEX(Vol_V,19,DN$170)/12)*(1+V_dVol),0))</f>
        <v>0</v>
      </c>
      <c r="DO195" s="48">
        <f>IF(DO$8=1,N(Reales!DO30),IF(DO$171=1,IF(AND(AND(114&gt;Corte,114&lt;=Corte+n_Ventana),ISNUMBER(Detalle_24m!DO$32)),Detalle_24m!DO$32,INDEX(Vol_V,19,DO$170)/12)*(1+V_dVol),0))</f>
        <v>0</v>
      </c>
      <c r="DP195" s="48">
        <f>IF(DP$8=1,N(Reales!DP30),IF(DP$171=1,IF(AND(AND(115&gt;Corte,115&lt;=Corte+n_Ventana),ISNUMBER(Detalle_24m!DP$32)),Detalle_24m!DP$32,INDEX(Vol_V,19,DP$170)/12)*(1+V_dVol),0))</f>
        <v>0</v>
      </c>
      <c r="DQ195" s="48">
        <f>IF(DQ$8=1,N(Reales!DQ30),IF(DQ$171=1,IF(AND(AND(116&gt;Corte,116&lt;=Corte+n_Ventana),ISNUMBER(Detalle_24m!DQ$32)),Detalle_24m!DQ$32,INDEX(Vol_V,19,DQ$170)/12)*(1+V_dVol),0))</f>
        <v>0</v>
      </c>
      <c r="DR195" s="48">
        <f>IF(DR$8=1,N(Reales!DR30),IF(DR$171=1,IF(AND(AND(117&gt;Corte,117&lt;=Corte+n_Ventana),ISNUMBER(Detalle_24m!DR$32)),Detalle_24m!DR$32,INDEX(Vol_V,19,DR$170)/12)*(1+V_dVol),0))</f>
        <v>0</v>
      </c>
      <c r="DS195" s="48">
        <f>IF(DS$8=1,N(Reales!DS30),IF(DS$171=1,IF(AND(AND(118&gt;Corte,118&lt;=Corte+n_Ventana),ISNUMBER(Detalle_24m!DS$32)),Detalle_24m!DS$32,INDEX(Vol_V,19,DS$170)/12)*(1+V_dVol),0))</f>
        <v>0</v>
      </c>
      <c r="DT195" s="48">
        <f>IF(DT$8=1,N(Reales!DT30),IF(DT$171=1,IF(AND(AND(119&gt;Corte,119&lt;=Corte+n_Ventana),ISNUMBER(Detalle_24m!DT$32)),Detalle_24m!DT$32,INDEX(Vol_V,19,DT$170)/12)*(1+V_dVol),0))</f>
        <v>0</v>
      </c>
      <c r="DU195" s="48">
        <f>IF(DU$8=1,N(Reales!DU30),IF(DU$171=1,IF(AND(AND(120&gt;Corte,120&lt;=Corte+n_Ventana),ISNUMBER(Detalle_24m!DU$32)),Detalle_24m!DU$32,INDEX(Vol_V,19,DU$170)/12)*(1+V_dVol),0))</f>
        <v>0</v>
      </c>
      <c r="DV195" s="48">
        <f>IF(DV$8=1,N(Reales!DV30),IF(DV$171=1,IF(AND(AND(121&gt;Corte,121&lt;=Corte+n_Ventana),ISNUMBER(Detalle_24m!DV$32)),Detalle_24m!DV$32,INDEX(Vol_V,19,DV$170)/12)*(1+V_dVol),0))</f>
        <v>0</v>
      </c>
      <c r="DW195" s="48">
        <f>IF(DW$8=1,N(Reales!DW30),IF(DW$171=1,IF(AND(AND(122&gt;Corte,122&lt;=Corte+n_Ventana),ISNUMBER(Detalle_24m!DW$32)),Detalle_24m!DW$32,INDEX(Vol_V,19,DW$170)/12)*(1+V_dVol),0))</f>
        <v>0</v>
      </c>
      <c r="DX195" s="48">
        <f>IF(DX$8=1,N(Reales!DX30),IF(DX$171=1,IF(AND(AND(123&gt;Corte,123&lt;=Corte+n_Ventana),ISNUMBER(Detalle_24m!DX$32)),Detalle_24m!DX$32,INDEX(Vol_V,19,DX$170)/12)*(1+V_dVol),0))</f>
        <v>0</v>
      </c>
      <c r="DY195" s="48">
        <f>IF(DY$8=1,N(Reales!DY30),IF(DY$171=1,IF(AND(AND(124&gt;Corte,124&lt;=Corte+n_Ventana),ISNUMBER(Detalle_24m!DY$32)),Detalle_24m!DY$32,INDEX(Vol_V,19,DY$170)/12)*(1+V_dVol),0))</f>
        <v>0</v>
      </c>
      <c r="DZ195" s="48">
        <f>IF(DZ$8=1,N(Reales!DZ30),IF(DZ$171=1,IF(AND(AND(125&gt;Corte,125&lt;=Corte+n_Ventana),ISNUMBER(Detalle_24m!DZ$32)),Detalle_24m!DZ$32,INDEX(Vol_V,19,DZ$170)/12)*(1+V_dVol),0))</f>
        <v>0</v>
      </c>
      <c r="EA195" s="48">
        <f>IF(EA$8=1,N(Reales!EA30),IF(EA$171=1,IF(AND(AND(126&gt;Corte,126&lt;=Corte+n_Ventana),ISNUMBER(Detalle_24m!EA$32)),Detalle_24m!EA$32,INDEX(Vol_V,19,EA$170)/12)*(1+V_dVol),0))</f>
        <v>0</v>
      </c>
      <c r="EB195" s="48">
        <f>IF(EB$8=1,N(Reales!EB30),IF(EB$171=1,IF(AND(AND(127&gt;Corte,127&lt;=Corte+n_Ventana),ISNUMBER(Detalle_24m!EB$32)),Detalle_24m!EB$32,INDEX(Vol_V,19,EB$170)/12)*(1+V_dVol),0))</f>
        <v>0</v>
      </c>
      <c r="EC195" s="48">
        <f>IF(EC$8=1,N(Reales!EC30),IF(EC$171=1,IF(AND(AND(128&gt;Corte,128&lt;=Corte+n_Ventana),ISNUMBER(Detalle_24m!EC$32)),Detalle_24m!EC$32,INDEX(Vol_V,19,EC$170)/12)*(1+V_dVol),0))</f>
        <v>0</v>
      </c>
      <c r="ED195" s="48">
        <f>IF(ED$8=1,N(Reales!ED30),IF(ED$171=1,IF(AND(AND(129&gt;Corte,129&lt;=Corte+n_Ventana),ISNUMBER(Detalle_24m!ED$32)),Detalle_24m!ED$32,INDEX(Vol_V,19,ED$170)/12)*(1+V_dVol),0))</f>
        <v>0</v>
      </c>
      <c r="EE195" s="48">
        <f>IF(EE$8=1,N(Reales!EE30),IF(EE$171=1,IF(AND(AND(130&gt;Corte,130&lt;=Corte+n_Ventana),ISNUMBER(Detalle_24m!EE$32)),Detalle_24m!EE$32,INDEX(Vol_V,19,EE$170)/12)*(1+V_dVol),0))</f>
        <v>0</v>
      </c>
      <c r="EF195" s="48">
        <f>IF(EF$8=1,N(Reales!EF30),IF(EF$171=1,IF(AND(AND(131&gt;Corte,131&lt;=Corte+n_Ventana),ISNUMBER(Detalle_24m!EF$32)),Detalle_24m!EF$32,INDEX(Vol_V,19,EF$170)/12)*(1+V_dVol),0))</f>
        <v>0</v>
      </c>
      <c r="EG195" s="48">
        <f>IF(EG$8=1,N(Reales!EG30),IF(EG$171=1,IF(AND(AND(132&gt;Corte,132&lt;=Corte+n_Ventana),ISNUMBER(Detalle_24m!EG$32)),Detalle_24m!EG$32,INDEX(Vol_V,19,EG$170)/12)*(1+V_dVol),0))</f>
        <v>0</v>
      </c>
      <c r="EH195" s="48">
        <f>IF(EH$8=1,N(Reales!EH30),IF(EH$171=1,IF(AND(AND(133&gt;Corte,133&lt;=Corte+n_Ventana),ISNUMBER(Detalle_24m!EH$32)),Detalle_24m!EH$32,INDEX(Vol_V,19,EH$170)/12)*(1+V_dVol),0))</f>
        <v>0</v>
      </c>
      <c r="EI195" s="48">
        <f>IF(EI$8=1,N(Reales!EI30),IF(EI$171=1,IF(AND(AND(134&gt;Corte,134&lt;=Corte+n_Ventana),ISNUMBER(Detalle_24m!EI$32)),Detalle_24m!EI$32,INDEX(Vol_V,19,EI$170)/12)*(1+V_dVol),0))</f>
        <v>0</v>
      </c>
      <c r="EJ195" s="48">
        <f>IF(EJ$8=1,N(Reales!EJ30),IF(EJ$171=1,IF(AND(AND(135&gt;Corte,135&lt;=Corte+n_Ventana),ISNUMBER(Detalle_24m!EJ$32)),Detalle_24m!EJ$32,INDEX(Vol_V,19,EJ$170)/12)*(1+V_dVol),0))</f>
        <v>0</v>
      </c>
      <c r="EK195" s="48">
        <f>IF(EK$8=1,N(Reales!EK30),IF(EK$171=1,IF(AND(AND(136&gt;Corte,136&lt;=Corte+n_Ventana),ISNUMBER(Detalle_24m!EK$32)),Detalle_24m!EK$32,INDEX(Vol_V,19,EK$170)/12)*(1+V_dVol),0))</f>
        <v>0</v>
      </c>
      <c r="EL195" s="48">
        <f>IF(EL$8=1,N(Reales!EL30),IF(EL$171=1,IF(AND(AND(137&gt;Corte,137&lt;=Corte+n_Ventana),ISNUMBER(Detalle_24m!EL$32)),Detalle_24m!EL$32,INDEX(Vol_V,19,EL$170)/12)*(1+V_dVol),0))</f>
        <v>0</v>
      </c>
      <c r="EM195" s="48">
        <f>IF(EM$8=1,N(Reales!EM30),IF(EM$171=1,IF(AND(AND(138&gt;Corte,138&lt;=Corte+n_Ventana),ISNUMBER(Detalle_24m!EM$32)),Detalle_24m!EM$32,INDEX(Vol_V,19,EM$170)/12)*(1+V_dVol),0))</f>
        <v>0</v>
      </c>
      <c r="EN195" s="48">
        <f>IF(EN$8=1,N(Reales!EN30),IF(EN$171=1,IF(AND(AND(139&gt;Corte,139&lt;=Corte+n_Ventana),ISNUMBER(Detalle_24m!EN$32)),Detalle_24m!EN$32,INDEX(Vol_V,19,EN$170)/12)*(1+V_dVol),0))</f>
        <v>0</v>
      </c>
      <c r="EO195" s="48">
        <f>IF(EO$8=1,N(Reales!EO30),IF(EO$171=1,IF(AND(AND(140&gt;Corte,140&lt;=Corte+n_Ventana),ISNUMBER(Detalle_24m!EO$32)),Detalle_24m!EO$32,INDEX(Vol_V,19,EO$170)/12)*(1+V_dVol),0))</f>
        <v>0</v>
      </c>
      <c r="EP195" s="48">
        <f>IF(EP$8=1,N(Reales!EP30),IF(EP$171=1,IF(AND(AND(141&gt;Corte,141&lt;=Corte+n_Ventana),ISNUMBER(Detalle_24m!EP$32)),Detalle_24m!EP$32,INDEX(Vol_V,19,EP$170)/12)*(1+V_dVol),0))</f>
        <v>0</v>
      </c>
      <c r="EQ195" s="48">
        <f>IF(EQ$8=1,N(Reales!EQ30),IF(EQ$171=1,IF(AND(AND(142&gt;Corte,142&lt;=Corte+n_Ventana),ISNUMBER(Detalle_24m!EQ$32)),Detalle_24m!EQ$32,INDEX(Vol_V,19,EQ$170)/12)*(1+V_dVol),0))</f>
        <v>0</v>
      </c>
      <c r="ER195" s="48">
        <f>IF(ER$8=1,N(Reales!ER30),IF(ER$171=1,IF(AND(AND(143&gt;Corte,143&lt;=Corte+n_Ventana),ISNUMBER(Detalle_24m!ER$32)),Detalle_24m!ER$32,INDEX(Vol_V,19,ER$170)/12)*(1+V_dVol),0))</f>
        <v>0</v>
      </c>
      <c r="ES195" s="48">
        <f>IF(ES$8=1,N(Reales!ES30),IF(ES$171=1,IF(AND(AND(144&gt;Corte,144&lt;=Corte+n_Ventana),ISNUMBER(Detalle_24m!ES$32)),Detalle_24m!ES$32,INDEX(Vol_V,19,ES$170)/12)*(1+V_dVol),0))</f>
        <v>0</v>
      </c>
    </row>
    <row r="196" spans="1:149" x14ac:dyDescent="0.3">
      <c r="A196" s="14" t="s">
        <v>1251</v>
      </c>
      <c r="B196" s="53" t="str">
        <f>IF(INDEX(Prod_Nombre,20)="","Producto 20",INDEX(Prod_Nombre,20))&amp;" — unidades"</f>
        <v>Producto 20 — unidades</v>
      </c>
      <c r="C196" s="18" t="s">
        <v>475</v>
      </c>
      <c r="E196" s="54">
        <f t="shared" si="604"/>
        <v>0</v>
      </c>
      <c r="F196" s="48">
        <f>IF(F$8=1,N(Reales!F31),IF(F$171=1,IF(AND(AND(1&gt;Corte,1&lt;=Corte+n_Ventana),ISNUMBER(Detalle_24m!F$33)),Detalle_24m!F$33,INDEX(Vol_V,20,F$170)/12)*(1+V_dVol),0))</f>
        <v>0</v>
      </c>
      <c r="G196" s="48">
        <f>IF(G$8=1,N(Reales!G31),IF(G$171=1,IF(AND(AND(2&gt;Corte,2&lt;=Corte+n_Ventana),ISNUMBER(Detalle_24m!G$33)),Detalle_24m!G$33,INDEX(Vol_V,20,G$170)/12)*(1+V_dVol),0))</f>
        <v>0</v>
      </c>
      <c r="H196" s="48">
        <f>IF(H$8=1,N(Reales!H31),IF(H$171=1,IF(AND(AND(3&gt;Corte,3&lt;=Corte+n_Ventana),ISNUMBER(Detalle_24m!H$33)),Detalle_24m!H$33,INDEX(Vol_V,20,H$170)/12)*(1+V_dVol),0))</f>
        <v>0</v>
      </c>
      <c r="I196" s="48">
        <f>IF(I$8=1,N(Reales!I31),IF(I$171=1,IF(AND(AND(4&gt;Corte,4&lt;=Corte+n_Ventana),ISNUMBER(Detalle_24m!I$33)),Detalle_24m!I$33,INDEX(Vol_V,20,I$170)/12)*(1+V_dVol),0))</f>
        <v>0</v>
      </c>
      <c r="J196" s="48">
        <f>IF(J$8=1,N(Reales!J31),IF(J$171=1,IF(AND(AND(5&gt;Corte,5&lt;=Corte+n_Ventana),ISNUMBER(Detalle_24m!J$33)),Detalle_24m!J$33,INDEX(Vol_V,20,J$170)/12)*(1+V_dVol),0))</f>
        <v>0</v>
      </c>
      <c r="K196" s="48">
        <f>IF(K$8=1,N(Reales!K31),IF(K$171=1,IF(AND(AND(6&gt;Corte,6&lt;=Corte+n_Ventana),ISNUMBER(Detalle_24m!K$33)),Detalle_24m!K$33,INDEX(Vol_V,20,K$170)/12)*(1+V_dVol),0))</f>
        <v>0</v>
      </c>
      <c r="L196" s="48">
        <f>IF(L$8=1,N(Reales!L31),IF(L$171=1,IF(AND(AND(7&gt;Corte,7&lt;=Corte+n_Ventana),ISNUMBER(Detalle_24m!L$33)),Detalle_24m!L$33,INDEX(Vol_V,20,L$170)/12)*(1+V_dVol),0))</f>
        <v>0</v>
      </c>
      <c r="M196" s="48">
        <f>IF(M$8=1,N(Reales!M31),IF(M$171=1,IF(AND(AND(8&gt;Corte,8&lt;=Corte+n_Ventana),ISNUMBER(Detalle_24m!M$33)),Detalle_24m!M$33,INDEX(Vol_V,20,M$170)/12)*(1+V_dVol),0))</f>
        <v>0</v>
      </c>
      <c r="N196" s="48">
        <f>IF(N$8=1,N(Reales!N31),IF(N$171=1,IF(AND(AND(9&gt;Corte,9&lt;=Corte+n_Ventana),ISNUMBER(Detalle_24m!N$33)),Detalle_24m!N$33,INDEX(Vol_V,20,N$170)/12)*(1+V_dVol),0))</f>
        <v>0</v>
      </c>
      <c r="O196" s="48">
        <f>IF(O$8=1,N(Reales!O31),IF(O$171=1,IF(AND(AND(10&gt;Corte,10&lt;=Corte+n_Ventana),ISNUMBER(Detalle_24m!O$33)),Detalle_24m!O$33,INDEX(Vol_V,20,O$170)/12)*(1+V_dVol),0))</f>
        <v>0</v>
      </c>
      <c r="P196" s="48">
        <f>IF(P$8=1,N(Reales!P31),IF(P$171=1,IF(AND(AND(11&gt;Corte,11&lt;=Corte+n_Ventana),ISNUMBER(Detalle_24m!P$33)),Detalle_24m!P$33,INDEX(Vol_V,20,P$170)/12)*(1+V_dVol),0))</f>
        <v>0</v>
      </c>
      <c r="Q196" s="48">
        <f>IF(Q$8=1,N(Reales!Q31),IF(Q$171=1,IF(AND(AND(12&gt;Corte,12&lt;=Corte+n_Ventana),ISNUMBER(Detalle_24m!Q$33)),Detalle_24m!Q$33,INDEX(Vol_V,20,Q$170)/12)*(1+V_dVol),0))</f>
        <v>0</v>
      </c>
      <c r="R196" s="48">
        <f>IF(R$8=1,N(Reales!R31),IF(R$171=1,IF(AND(AND(13&gt;Corte,13&lt;=Corte+n_Ventana),ISNUMBER(Detalle_24m!R$33)),Detalle_24m!R$33,INDEX(Vol_V,20,R$170)/12)*(1+V_dVol),0))</f>
        <v>0</v>
      </c>
      <c r="S196" s="48">
        <f>IF(S$8=1,N(Reales!S31),IF(S$171=1,IF(AND(AND(14&gt;Corte,14&lt;=Corte+n_Ventana),ISNUMBER(Detalle_24m!S$33)),Detalle_24m!S$33,INDEX(Vol_V,20,S$170)/12)*(1+V_dVol),0))</f>
        <v>0</v>
      </c>
      <c r="T196" s="48">
        <f>IF(T$8=1,N(Reales!T31),IF(T$171=1,IF(AND(AND(15&gt;Corte,15&lt;=Corte+n_Ventana),ISNUMBER(Detalle_24m!T$33)),Detalle_24m!T$33,INDEX(Vol_V,20,T$170)/12)*(1+V_dVol),0))</f>
        <v>0</v>
      </c>
      <c r="U196" s="48">
        <f>IF(U$8=1,N(Reales!U31),IF(U$171=1,IF(AND(AND(16&gt;Corte,16&lt;=Corte+n_Ventana),ISNUMBER(Detalle_24m!U$33)),Detalle_24m!U$33,INDEX(Vol_V,20,U$170)/12)*(1+V_dVol),0))</f>
        <v>0</v>
      </c>
      <c r="V196" s="48">
        <f>IF(V$8=1,N(Reales!V31),IF(V$171=1,IF(AND(AND(17&gt;Corte,17&lt;=Corte+n_Ventana),ISNUMBER(Detalle_24m!V$33)),Detalle_24m!V$33,INDEX(Vol_V,20,V$170)/12)*(1+V_dVol),0))</f>
        <v>0</v>
      </c>
      <c r="W196" s="48">
        <f>IF(W$8=1,N(Reales!W31),IF(W$171=1,IF(AND(AND(18&gt;Corte,18&lt;=Corte+n_Ventana),ISNUMBER(Detalle_24m!W$33)),Detalle_24m!W$33,INDEX(Vol_V,20,W$170)/12)*(1+V_dVol),0))</f>
        <v>0</v>
      </c>
      <c r="X196" s="48">
        <f>IF(X$8=1,N(Reales!X31),IF(X$171=1,IF(AND(AND(19&gt;Corte,19&lt;=Corte+n_Ventana),ISNUMBER(Detalle_24m!X$33)),Detalle_24m!X$33,INDEX(Vol_V,20,X$170)/12)*(1+V_dVol),0))</f>
        <v>0</v>
      </c>
      <c r="Y196" s="48">
        <f>IF(Y$8=1,N(Reales!Y31),IF(Y$171=1,IF(AND(AND(20&gt;Corte,20&lt;=Corte+n_Ventana),ISNUMBER(Detalle_24m!Y$33)),Detalle_24m!Y$33,INDEX(Vol_V,20,Y$170)/12)*(1+V_dVol),0))</f>
        <v>0</v>
      </c>
      <c r="Z196" s="48">
        <f>IF(Z$8=1,N(Reales!Z31),IF(Z$171=1,IF(AND(AND(21&gt;Corte,21&lt;=Corte+n_Ventana),ISNUMBER(Detalle_24m!Z$33)),Detalle_24m!Z$33,INDEX(Vol_V,20,Z$170)/12)*(1+V_dVol),0))</f>
        <v>0</v>
      </c>
      <c r="AA196" s="48">
        <f>IF(AA$8=1,N(Reales!AA31),IF(AA$171=1,IF(AND(AND(22&gt;Corte,22&lt;=Corte+n_Ventana),ISNUMBER(Detalle_24m!AA$33)),Detalle_24m!AA$33,INDEX(Vol_V,20,AA$170)/12)*(1+V_dVol),0))</f>
        <v>0</v>
      </c>
      <c r="AB196" s="48">
        <f>IF(AB$8=1,N(Reales!AB31),IF(AB$171=1,IF(AND(AND(23&gt;Corte,23&lt;=Corte+n_Ventana),ISNUMBER(Detalle_24m!AB$33)),Detalle_24m!AB$33,INDEX(Vol_V,20,AB$170)/12)*(1+V_dVol),0))</f>
        <v>0</v>
      </c>
      <c r="AC196" s="48">
        <f>IF(AC$8=1,N(Reales!AC31),IF(AC$171=1,IF(AND(AND(24&gt;Corte,24&lt;=Corte+n_Ventana),ISNUMBER(Detalle_24m!AC$33)),Detalle_24m!AC$33,INDEX(Vol_V,20,AC$170)/12)*(1+V_dVol),0))</f>
        <v>0</v>
      </c>
      <c r="AD196" s="48">
        <f>IF(AD$8=1,N(Reales!AD31),IF(AD$171=1,IF(AND(AND(25&gt;Corte,25&lt;=Corte+n_Ventana),ISNUMBER(Detalle_24m!AD$33)),Detalle_24m!AD$33,INDEX(Vol_V,20,AD$170)/12)*(1+V_dVol),0))</f>
        <v>0</v>
      </c>
      <c r="AE196" s="48">
        <f>IF(AE$8=1,N(Reales!AE31),IF(AE$171=1,IF(AND(AND(26&gt;Corte,26&lt;=Corte+n_Ventana),ISNUMBER(Detalle_24m!AE$33)),Detalle_24m!AE$33,INDEX(Vol_V,20,AE$170)/12)*(1+V_dVol),0))</f>
        <v>0</v>
      </c>
      <c r="AF196" s="48">
        <f>IF(AF$8=1,N(Reales!AF31),IF(AF$171=1,IF(AND(AND(27&gt;Corte,27&lt;=Corte+n_Ventana),ISNUMBER(Detalle_24m!AF$33)),Detalle_24m!AF$33,INDEX(Vol_V,20,AF$170)/12)*(1+V_dVol),0))</f>
        <v>0</v>
      </c>
      <c r="AG196" s="48">
        <f>IF(AG$8=1,N(Reales!AG31),IF(AG$171=1,IF(AND(AND(28&gt;Corte,28&lt;=Corte+n_Ventana),ISNUMBER(Detalle_24m!AG$33)),Detalle_24m!AG$33,INDEX(Vol_V,20,AG$170)/12)*(1+V_dVol),0))</f>
        <v>0</v>
      </c>
      <c r="AH196" s="48">
        <f>IF(AH$8=1,N(Reales!AH31),IF(AH$171=1,IF(AND(AND(29&gt;Corte,29&lt;=Corte+n_Ventana),ISNUMBER(Detalle_24m!AH$33)),Detalle_24m!AH$33,INDEX(Vol_V,20,AH$170)/12)*(1+V_dVol),0))</f>
        <v>0</v>
      </c>
      <c r="AI196" s="48">
        <f>IF(AI$8=1,N(Reales!AI31),IF(AI$171=1,IF(AND(AND(30&gt;Corte,30&lt;=Corte+n_Ventana),ISNUMBER(Detalle_24m!AI$33)),Detalle_24m!AI$33,INDEX(Vol_V,20,AI$170)/12)*(1+V_dVol),0))</f>
        <v>0</v>
      </c>
      <c r="AJ196" s="48">
        <f>IF(AJ$8=1,N(Reales!AJ31),IF(AJ$171=1,IF(AND(AND(31&gt;Corte,31&lt;=Corte+n_Ventana),ISNUMBER(Detalle_24m!AJ$33)),Detalle_24m!AJ$33,INDEX(Vol_V,20,AJ$170)/12)*(1+V_dVol),0))</f>
        <v>0</v>
      </c>
      <c r="AK196" s="48">
        <f>IF(AK$8=1,N(Reales!AK31),IF(AK$171=1,IF(AND(AND(32&gt;Corte,32&lt;=Corte+n_Ventana),ISNUMBER(Detalle_24m!AK$33)),Detalle_24m!AK$33,INDEX(Vol_V,20,AK$170)/12)*(1+V_dVol),0))</f>
        <v>0</v>
      </c>
      <c r="AL196" s="48">
        <f>IF(AL$8=1,N(Reales!AL31),IF(AL$171=1,IF(AND(AND(33&gt;Corte,33&lt;=Corte+n_Ventana),ISNUMBER(Detalle_24m!AL$33)),Detalle_24m!AL$33,INDEX(Vol_V,20,AL$170)/12)*(1+V_dVol),0))</f>
        <v>0</v>
      </c>
      <c r="AM196" s="48">
        <f>IF(AM$8=1,N(Reales!AM31),IF(AM$171=1,IF(AND(AND(34&gt;Corte,34&lt;=Corte+n_Ventana),ISNUMBER(Detalle_24m!AM$33)),Detalle_24m!AM$33,INDEX(Vol_V,20,AM$170)/12)*(1+V_dVol),0))</f>
        <v>0</v>
      </c>
      <c r="AN196" s="48">
        <f>IF(AN$8=1,N(Reales!AN31),IF(AN$171=1,IF(AND(AND(35&gt;Corte,35&lt;=Corte+n_Ventana),ISNUMBER(Detalle_24m!AN$33)),Detalle_24m!AN$33,INDEX(Vol_V,20,AN$170)/12)*(1+V_dVol),0))</f>
        <v>0</v>
      </c>
      <c r="AO196" s="48">
        <f>IF(AO$8=1,N(Reales!AO31),IF(AO$171=1,IF(AND(AND(36&gt;Corte,36&lt;=Corte+n_Ventana),ISNUMBER(Detalle_24m!AO$33)),Detalle_24m!AO$33,INDEX(Vol_V,20,AO$170)/12)*(1+V_dVol),0))</f>
        <v>0</v>
      </c>
      <c r="AP196" s="48">
        <f>IF(AP$8=1,N(Reales!AP31),IF(AP$171=1,IF(AND(AND(37&gt;Corte,37&lt;=Corte+n_Ventana),ISNUMBER(Detalle_24m!AP$33)),Detalle_24m!AP$33,INDEX(Vol_V,20,AP$170)/12)*(1+V_dVol),0))</f>
        <v>0</v>
      </c>
      <c r="AQ196" s="48">
        <f>IF(AQ$8=1,N(Reales!AQ31),IF(AQ$171=1,IF(AND(AND(38&gt;Corte,38&lt;=Corte+n_Ventana),ISNUMBER(Detalle_24m!AQ$33)),Detalle_24m!AQ$33,INDEX(Vol_V,20,AQ$170)/12)*(1+V_dVol),0))</f>
        <v>0</v>
      </c>
      <c r="AR196" s="48">
        <f>IF(AR$8=1,N(Reales!AR31),IF(AR$171=1,IF(AND(AND(39&gt;Corte,39&lt;=Corte+n_Ventana),ISNUMBER(Detalle_24m!AR$33)),Detalle_24m!AR$33,INDEX(Vol_V,20,AR$170)/12)*(1+V_dVol),0))</f>
        <v>0</v>
      </c>
      <c r="AS196" s="48">
        <f>IF(AS$8=1,N(Reales!AS31),IF(AS$171=1,IF(AND(AND(40&gt;Corte,40&lt;=Corte+n_Ventana),ISNUMBER(Detalle_24m!AS$33)),Detalle_24m!AS$33,INDEX(Vol_V,20,AS$170)/12)*(1+V_dVol),0))</f>
        <v>0</v>
      </c>
      <c r="AT196" s="48">
        <f>IF(AT$8=1,N(Reales!AT31),IF(AT$171=1,IF(AND(AND(41&gt;Corte,41&lt;=Corte+n_Ventana),ISNUMBER(Detalle_24m!AT$33)),Detalle_24m!AT$33,INDEX(Vol_V,20,AT$170)/12)*(1+V_dVol),0))</f>
        <v>0</v>
      </c>
      <c r="AU196" s="48">
        <f>IF(AU$8=1,N(Reales!AU31),IF(AU$171=1,IF(AND(AND(42&gt;Corte,42&lt;=Corte+n_Ventana),ISNUMBER(Detalle_24m!AU$33)),Detalle_24m!AU$33,INDEX(Vol_V,20,AU$170)/12)*(1+V_dVol),0))</f>
        <v>0</v>
      </c>
      <c r="AV196" s="48">
        <f>IF(AV$8=1,N(Reales!AV31),IF(AV$171=1,IF(AND(AND(43&gt;Corte,43&lt;=Corte+n_Ventana),ISNUMBER(Detalle_24m!AV$33)),Detalle_24m!AV$33,INDEX(Vol_V,20,AV$170)/12)*(1+V_dVol),0))</f>
        <v>0</v>
      </c>
      <c r="AW196" s="48">
        <f>IF(AW$8=1,N(Reales!AW31),IF(AW$171=1,IF(AND(AND(44&gt;Corte,44&lt;=Corte+n_Ventana),ISNUMBER(Detalle_24m!AW$33)),Detalle_24m!AW$33,INDEX(Vol_V,20,AW$170)/12)*(1+V_dVol),0))</f>
        <v>0</v>
      </c>
      <c r="AX196" s="48">
        <f>IF(AX$8=1,N(Reales!AX31),IF(AX$171=1,IF(AND(AND(45&gt;Corte,45&lt;=Corte+n_Ventana),ISNUMBER(Detalle_24m!AX$33)),Detalle_24m!AX$33,INDEX(Vol_V,20,AX$170)/12)*(1+V_dVol),0))</f>
        <v>0</v>
      </c>
      <c r="AY196" s="48">
        <f>IF(AY$8=1,N(Reales!AY31),IF(AY$171=1,IF(AND(AND(46&gt;Corte,46&lt;=Corte+n_Ventana),ISNUMBER(Detalle_24m!AY$33)),Detalle_24m!AY$33,INDEX(Vol_V,20,AY$170)/12)*(1+V_dVol),0))</f>
        <v>0</v>
      </c>
      <c r="AZ196" s="48">
        <f>IF(AZ$8=1,N(Reales!AZ31),IF(AZ$171=1,IF(AND(AND(47&gt;Corte,47&lt;=Corte+n_Ventana),ISNUMBER(Detalle_24m!AZ$33)),Detalle_24m!AZ$33,INDEX(Vol_V,20,AZ$170)/12)*(1+V_dVol),0))</f>
        <v>0</v>
      </c>
      <c r="BA196" s="48">
        <f>IF(BA$8=1,N(Reales!BA31),IF(BA$171=1,IF(AND(AND(48&gt;Corte,48&lt;=Corte+n_Ventana),ISNUMBER(Detalle_24m!BA$33)),Detalle_24m!BA$33,INDEX(Vol_V,20,BA$170)/12)*(1+V_dVol),0))</f>
        <v>0</v>
      </c>
      <c r="BB196" s="48">
        <f>IF(BB$8=1,N(Reales!BB31),IF(BB$171=1,IF(AND(AND(49&gt;Corte,49&lt;=Corte+n_Ventana),ISNUMBER(Detalle_24m!BB$33)),Detalle_24m!BB$33,INDEX(Vol_V,20,BB$170)/12)*(1+V_dVol),0))</f>
        <v>0</v>
      </c>
      <c r="BC196" s="48">
        <f>IF(BC$8=1,N(Reales!BC31),IF(BC$171=1,IF(AND(AND(50&gt;Corte,50&lt;=Corte+n_Ventana),ISNUMBER(Detalle_24m!BC$33)),Detalle_24m!BC$33,INDEX(Vol_V,20,BC$170)/12)*(1+V_dVol),0))</f>
        <v>0</v>
      </c>
      <c r="BD196" s="48">
        <f>IF(BD$8=1,N(Reales!BD31),IF(BD$171=1,IF(AND(AND(51&gt;Corte,51&lt;=Corte+n_Ventana),ISNUMBER(Detalle_24m!BD$33)),Detalle_24m!BD$33,INDEX(Vol_V,20,BD$170)/12)*(1+V_dVol),0))</f>
        <v>0</v>
      </c>
      <c r="BE196" s="48">
        <f>IF(BE$8=1,N(Reales!BE31),IF(BE$171=1,IF(AND(AND(52&gt;Corte,52&lt;=Corte+n_Ventana),ISNUMBER(Detalle_24m!BE$33)),Detalle_24m!BE$33,INDEX(Vol_V,20,BE$170)/12)*(1+V_dVol),0))</f>
        <v>0</v>
      </c>
      <c r="BF196" s="48">
        <f>IF(BF$8=1,N(Reales!BF31),IF(BF$171=1,IF(AND(AND(53&gt;Corte,53&lt;=Corte+n_Ventana),ISNUMBER(Detalle_24m!BF$33)),Detalle_24m!BF$33,INDEX(Vol_V,20,BF$170)/12)*(1+V_dVol),0))</f>
        <v>0</v>
      </c>
      <c r="BG196" s="48">
        <f>IF(BG$8=1,N(Reales!BG31),IF(BG$171=1,IF(AND(AND(54&gt;Corte,54&lt;=Corte+n_Ventana),ISNUMBER(Detalle_24m!BG$33)),Detalle_24m!BG$33,INDEX(Vol_V,20,BG$170)/12)*(1+V_dVol),0))</f>
        <v>0</v>
      </c>
      <c r="BH196" s="48">
        <f>IF(BH$8=1,N(Reales!BH31),IF(BH$171=1,IF(AND(AND(55&gt;Corte,55&lt;=Corte+n_Ventana),ISNUMBER(Detalle_24m!BH$33)),Detalle_24m!BH$33,INDEX(Vol_V,20,BH$170)/12)*(1+V_dVol),0))</f>
        <v>0</v>
      </c>
      <c r="BI196" s="48">
        <f>IF(BI$8=1,N(Reales!BI31),IF(BI$171=1,IF(AND(AND(56&gt;Corte,56&lt;=Corte+n_Ventana),ISNUMBER(Detalle_24m!BI$33)),Detalle_24m!BI$33,INDEX(Vol_V,20,BI$170)/12)*(1+V_dVol),0))</f>
        <v>0</v>
      </c>
      <c r="BJ196" s="48">
        <f>IF(BJ$8=1,N(Reales!BJ31),IF(BJ$171=1,IF(AND(AND(57&gt;Corte,57&lt;=Corte+n_Ventana),ISNUMBER(Detalle_24m!BJ$33)),Detalle_24m!BJ$33,INDEX(Vol_V,20,BJ$170)/12)*(1+V_dVol),0))</f>
        <v>0</v>
      </c>
      <c r="BK196" s="48">
        <f>IF(BK$8=1,N(Reales!BK31),IF(BK$171=1,IF(AND(AND(58&gt;Corte,58&lt;=Corte+n_Ventana),ISNUMBER(Detalle_24m!BK$33)),Detalle_24m!BK$33,INDEX(Vol_V,20,BK$170)/12)*(1+V_dVol),0))</f>
        <v>0</v>
      </c>
      <c r="BL196" s="48">
        <f>IF(BL$8=1,N(Reales!BL31),IF(BL$171=1,IF(AND(AND(59&gt;Corte,59&lt;=Corte+n_Ventana),ISNUMBER(Detalle_24m!BL$33)),Detalle_24m!BL$33,INDEX(Vol_V,20,BL$170)/12)*(1+V_dVol),0))</f>
        <v>0</v>
      </c>
      <c r="BM196" s="48">
        <f>IF(BM$8=1,N(Reales!BM31),IF(BM$171=1,IF(AND(AND(60&gt;Corte,60&lt;=Corte+n_Ventana),ISNUMBER(Detalle_24m!BM$33)),Detalle_24m!BM$33,INDEX(Vol_V,20,BM$170)/12)*(1+V_dVol),0))</f>
        <v>0</v>
      </c>
      <c r="BN196" s="48">
        <f>IF(BN$8=1,N(Reales!BN31),IF(BN$171=1,IF(AND(AND(61&gt;Corte,61&lt;=Corte+n_Ventana),ISNUMBER(Detalle_24m!BN$33)),Detalle_24m!BN$33,INDEX(Vol_V,20,BN$170)/12)*(1+V_dVol),0))</f>
        <v>0</v>
      </c>
      <c r="BO196" s="48">
        <f>IF(BO$8=1,N(Reales!BO31),IF(BO$171=1,IF(AND(AND(62&gt;Corte,62&lt;=Corte+n_Ventana),ISNUMBER(Detalle_24m!BO$33)),Detalle_24m!BO$33,INDEX(Vol_V,20,BO$170)/12)*(1+V_dVol),0))</f>
        <v>0</v>
      </c>
      <c r="BP196" s="48">
        <f>IF(BP$8=1,N(Reales!BP31),IF(BP$171=1,IF(AND(AND(63&gt;Corte,63&lt;=Corte+n_Ventana),ISNUMBER(Detalle_24m!BP$33)),Detalle_24m!BP$33,INDEX(Vol_V,20,BP$170)/12)*(1+V_dVol),0))</f>
        <v>0</v>
      </c>
      <c r="BQ196" s="48">
        <f>IF(BQ$8=1,N(Reales!BQ31),IF(BQ$171=1,IF(AND(AND(64&gt;Corte,64&lt;=Corte+n_Ventana),ISNUMBER(Detalle_24m!BQ$33)),Detalle_24m!BQ$33,INDEX(Vol_V,20,BQ$170)/12)*(1+V_dVol),0))</f>
        <v>0</v>
      </c>
      <c r="BR196" s="48">
        <f>IF(BR$8=1,N(Reales!BR31),IF(BR$171=1,IF(AND(AND(65&gt;Corte,65&lt;=Corte+n_Ventana),ISNUMBER(Detalle_24m!BR$33)),Detalle_24m!BR$33,INDEX(Vol_V,20,BR$170)/12)*(1+V_dVol),0))</f>
        <v>0</v>
      </c>
      <c r="BS196" s="48">
        <f>IF(BS$8=1,N(Reales!BS31),IF(BS$171=1,IF(AND(AND(66&gt;Corte,66&lt;=Corte+n_Ventana),ISNUMBER(Detalle_24m!BS$33)),Detalle_24m!BS$33,INDEX(Vol_V,20,BS$170)/12)*(1+V_dVol),0))</f>
        <v>0</v>
      </c>
      <c r="BT196" s="48">
        <f>IF(BT$8=1,N(Reales!BT31),IF(BT$171=1,IF(AND(AND(67&gt;Corte,67&lt;=Corte+n_Ventana),ISNUMBER(Detalle_24m!BT$33)),Detalle_24m!BT$33,INDEX(Vol_V,20,BT$170)/12)*(1+V_dVol),0))</f>
        <v>0</v>
      </c>
      <c r="BU196" s="48">
        <f>IF(BU$8=1,N(Reales!BU31),IF(BU$171=1,IF(AND(AND(68&gt;Corte,68&lt;=Corte+n_Ventana),ISNUMBER(Detalle_24m!BU$33)),Detalle_24m!BU$33,INDEX(Vol_V,20,BU$170)/12)*(1+V_dVol),0))</f>
        <v>0</v>
      </c>
      <c r="BV196" s="48">
        <f>IF(BV$8=1,N(Reales!BV31),IF(BV$171=1,IF(AND(AND(69&gt;Corte,69&lt;=Corte+n_Ventana),ISNUMBER(Detalle_24m!BV$33)),Detalle_24m!BV$33,INDEX(Vol_V,20,BV$170)/12)*(1+V_dVol),0))</f>
        <v>0</v>
      </c>
      <c r="BW196" s="48">
        <f>IF(BW$8=1,N(Reales!BW31),IF(BW$171=1,IF(AND(AND(70&gt;Corte,70&lt;=Corte+n_Ventana),ISNUMBER(Detalle_24m!BW$33)),Detalle_24m!BW$33,INDEX(Vol_V,20,BW$170)/12)*(1+V_dVol),0))</f>
        <v>0</v>
      </c>
      <c r="BX196" s="48">
        <f>IF(BX$8=1,N(Reales!BX31),IF(BX$171=1,IF(AND(AND(71&gt;Corte,71&lt;=Corte+n_Ventana),ISNUMBER(Detalle_24m!BX$33)),Detalle_24m!BX$33,INDEX(Vol_V,20,BX$170)/12)*(1+V_dVol),0))</f>
        <v>0</v>
      </c>
      <c r="BY196" s="48">
        <f>IF(BY$8=1,N(Reales!BY31),IF(BY$171=1,IF(AND(AND(72&gt;Corte,72&lt;=Corte+n_Ventana),ISNUMBER(Detalle_24m!BY$33)),Detalle_24m!BY$33,INDEX(Vol_V,20,BY$170)/12)*(1+V_dVol),0))</f>
        <v>0</v>
      </c>
      <c r="BZ196" s="48">
        <f>IF(BZ$8=1,N(Reales!BZ31),IF(BZ$171=1,IF(AND(AND(73&gt;Corte,73&lt;=Corte+n_Ventana),ISNUMBER(Detalle_24m!BZ$33)),Detalle_24m!BZ$33,INDEX(Vol_V,20,BZ$170)/12)*(1+V_dVol),0))</f>
        <v>0</v>
      </c>
      <c r="CA196" s="48">
        <f>IF(CA$8=1,N(Reales!CA31),IF(CA$171=1,IF(AND(AND(74&gt;Corte,74&lt;=Corte+n_Ventana),ISNUMBER(Detalle_24m!CA$33)),Detalle_24m!CA$33,INDEX(Vol_V,20,CA$170)/12)*(1+V_dVol),0))</f>
        <v>0</v>
      </c>
      <c r="CB196" s="48">
        <f>IF(CB$8=1,N(Reales!CB31),IF(CB$171=1,IF(AND(AND(75&gt;Corte,75&lt;=Corte+n_Ventana),ISNUMBER(Detalle_24m!CB$33)),Detalle_24m!CB$33,INDEX(Vol_V,20,CB$170)/12)*(1+V_dVol),0))</f>
        <v>0</v>
      </c>
      <c r="CC196" s="48">
        <f>IF(CC$8=1,N(Reales!CC31),IF(CC$171=1,IF(AND(AND(76&gt;Corte,76&lt;=Corte+n_Ventana),ISNUMBER(Detalle_24m!CC$33)),Detalle_24m!CC$33,INDEX(Vol_V,20,CC$170)/12)*(1+V_dVol),0))</f>
        <v>0</v>
      </c>
      <c r="CD196" s="48">
        <f>IF(CD$8=1,N(Reales!CD31),IF(CD$171=1,IF(AND(AND(77&gt;Corte,77&lt;=Corte+n_Ventana),ISNUMBER(Detalle_24m!CD$33)),Detalle_24m!CD$33,INDEX(Vol_V,20,CD$170)/12)*(1+V_dVol),0))</f>
        <v>0</v>
      </c>
      <c r="CE196" s="48">
        <f>IF(CE$8=1,N(Reales!CE31),IF(CE$171=1,IF(AND(AND(78&gt;Corte,78&lt;=Corte+n_Ventana),ISNUMBER(Detalle_24m!CE$33)),Detalle_24m!CE$33,INDEX(Vol_V,20,CE$170)/12)*(1+V_dVol),0))</f>
        <v>0</v>
      </c>
      <c r="CF196" s="48">
        <f>IF(CF$8=1,N(Reales!CF31),IF(CF$171=1,IF(AND(AND(79&gt;Corte,79&lt;=Corte+n_Ventana),ISNUMBER(Detalle_24m!CF$33)),Detalle_24m!CF$33,INDEX(Vol_V,20,CF$170)/12)*(1+V_dVol),0))</f>
        <v>0</v>
      </c>
      <c r="CG196" s="48">
        <f>IF(CG$8=1,N(Reales!CG31),IF(CG$171=1,IF(AND(AND(80&gt;Corte,80&lt;=Corte+n_Ventana),ISNUMBER(Detalle_24m!CG$33)),Detalle_24m!CG$33,INDEX(Vol_V,20,CG$170)/12)*(1+V_dVol),0))</f>
        <v>0</v>
      </c>
      <c r="CH196" s="48">
        <f>IF(CH$8=1,N(Reales!CH31),IF(CH$171=1,IF(AND(AND(81&gt;Corte,81&lt;=Corte+n_Ventana),ISNUMBER(Detalle_24m!CH$33)),Detalle_24m!CH$33,INDEX(Vol_V,20,CH$170)/12)*(1+V_dVol),0))</f>
        <v>0</v>
      </c>
      <c r="CI196" s="48">
        <f>IF(CI$8=1,N(Reales!CI31),IF(CI$171=1,IF(AND(AND(82&gt;Corte,82&lt;=Corte+n_Ventana),ISNUMBER(Detalle_24m!CI$33)),Detalle_24m!CI$33,INDEX(Vol_V,20,CI$170)/12)*(1+V_dVol),0))</f>
        <v>0</v>
      </c>
      <c r="CJ196" s="48">
        <f>IF(CJ$8=1,N(Reales!CJ31),IF(CJ$171=1,IF(AND(AND(83&gt;Corte,83&lt;=Corte+n_Ventana),ISNUMBER(Detalle_24m!CJ$33)),Detalle_24m!CJ$33,INDEX(Vol_V,20,CJ$170)/12)*(1+V_dVol),0))</f>
        <v>0</v>
      </c>
      <c r="CK196" s="48">
        <f>IF(CK$8=1,N(Reales!CK31),IF(CK$171=1,IF(AND(AND(84&gt;Corte,84&lt;=Corte+n_Ventana),ISNUMBER(Detalle_24m!CK$33)),Detalle_24m!CK$33,INDEX(Vol_V,20,CK$170)/12)*(1+V_dVol),0))</f>
        <v>0</v>
      </c>
      <c r="CL196" s="48">
        <f>IF(CL$8=1,N(Reales!CL31),IF(CL$171=1,IF(AND(AND(85&gt;Corte,85&lt;=Corte+n_Ventana),ISNUMBER(Detalle_24m!CL$33)),Detalle_24m!CL$33,INDEX(Vol_V,20,CL$170)/12)*(1+V_dVol),0))</f>
        <v>0</v>
      </c>
      <c r="CM196" s="48">
        <f>IF(CM$8=1,N(Reales!CM31),IF(CM$171=1,IF(AND(AND(86&gt;Corte,86&lt;=Corte+n_Ventana),ISNUMBER(Detalle_24m!CM$33)),Detalle_24m!CM$33,INDEX(Vol_V,20,CM$170)/12)*(1+V_dVol),0))</f>
        <v>0</v>
      </c>
      <c r="CN196" s="48">
        <f>IF(CN$8=1,N(Reales!CN31),IF(CN$171=1,IF(AND(AND(87&gt;Corte,87&lt;=Corte+n_Ventana),ISNUMBER(Detalle_24m!CN$33)),Detalle_24m!CN$33,INDEX(Vol_V,20,CN$170)/12)*(1+V_dVol),0))</f>
        <v>0</v>
      </c>
      <c r="CO196" s="48">
        <f>IF(CO$8=1,N(Reales!CO31),IF(CO$171=1,IF(AND(AND(88&gt;Corte,88&lt;=Corte+n_Ventana),ISNUMBER(Detalle_24m!CO$33)),Detalle_24m!CO$33,INDEX(Vol_V,20,CO$170)/12)*(1+V_dVol),0))</f>
        <v>0</v>
      </c>
      <c r="CP196" s="48">
        <f>IF(CP$8=1,N(Reales!CP31),IF(CP$171=1,IF(AND(AND(89&gt;Corte,89&lt;=Corte+n_Ventana),ISNUMBER(Detalle_24m!CP$33)),Detalle_24m!CP$33,INDEX(Vol_V,20,CP$170)/12)*(1+V_dVol),0))</f>
        <v>0</v>
      </c>
      <c r="CQ196" s="48">
        <f>IF(CQ$8=1,N(Reales!CQ31),IF(CQ$171=1,IF(AND(AND(90&gt;Corte,90&lt;=Corte+n_Ventana),ISNUMBER(Detalle_24m!CQ$33)),Detalle_24m!CQ$33,INDEX(Vol_V,20,CQ$170)/12)*(1+V_dVol),0))</f>
        <v>0</v>
      </c>
      <c r="CR196" s="48">
        <f>IF(CR$8=1,N(Reales!CR31),IF(CR$171=1,IF(AND(AND(91&gt;Corte,91&lt;=Corte+n_Ventana),ISNUMBER(Detalle_24m!CR$33)),Detalle_24m!CR$33,INDEX(Vol_V,20,CR$170)/12)*(1+V_dVol),0))</f>
        <v>0</v>
      </c>
      <c r="CS196" s="48">
        <f>IF(CS$8=1,N(Reales!CS31),IF(CS$171=1,IF(AND(AND(92&gt;Corte,92&lt;=Corte+n_Ventana),ISNUMBER(Detalle_24m!CS$33)),Detalle_24m!CS$33,INDEX(Vol_V,20,CS$170)/12)*(1+V_dVol),0))</f>
        <v>0</v>
      </c>
      <c r="CT196" s="48">
        <f>IF(CT$8=1,N(Reales!CT31),IF(CT$171=1,IF(AND(AND(93&gt;Corte,93&lt;=Corte+n_Ventana),ISNUMBER(Detalle_24m!CT$33)),Detalle_24m!CT$33,INDEX(Vol_V,20,CT$170)/12)*(1+V_dVol),0))</f>
        <v>0</v>
      </c>
      <c r="CU196" s="48">
        <f>IF(CU$8=1,N(Reales!CU31),IF(CU$171=1,IF(AND(AND(94&gt;Corte,94&lt;=Corte+n_Ventana),ISNUMBER(Detalle_24m!CU$33)),Detalle_24m!CU$33,INDEX(Vol_V,20,CU$170)/12)*(1+V_dVol),0))</f>
        <v>0</v>
      </c>
      <c r="CV196" s="48">
        <f>IF(CV$8=1,N(Reales!CV31),IF(CV$171=1,IF(AND(AND(95&gt;Corte,95&lt;=Corte+n_Ventana),ISNUMBER(Detalle_24m!CV$33)),Detalle_24m!CV$33,INDEX(Vol_V,20,CV$170)/12)*(1+V_dVol),0))</f>
        <v>0</v>
      </c>
      <c r="CW196" s="48">
        <f>IF(CW$8=1,N(Reales!CW31),IF(CW$171=1,IF(AND(AND(96&gt;Corte,96&lt;=Corte+n_Ventana),ISNUMBER(Detalle_24m!CW$33)),Detalle_24m!CW$33,INDEX(Vol_V,20,CW$170)/12)*(1+V_dVol),0))</f>
        <v>0</v>
      </c>
      <c r="CX196" s="48">
        <f>IF(CX$8=1,N(Reales!CX31),IF(CX$171=1,IF(AND(AND(97&gt;Corte,97&lt;=Corte+n_Ventana),ISNUMBER(Detalle_24m!CX$33)),Detalle_24m!CX$33,INDEX(Vol_V,20,CX$170)/12)*(1+V_dVol),0))</f>
        <v>0</v>
      </c>
      <c r="CY196" s="48">
        <f>IF(CY$8=1,N(Reales!CY31),IF(CY$171=1,IF(AND(AND(98&gt;Corte,98&lt;=Corte+n_Ventana),ISNUMBER(Detalle_24m!CY$33)),Detalle_24m!CY$33,INDEX(Vol_V,20,CY$170)/12)*(1+V_dVol),0))</f>
        <v>0</v>
      </c>
      <c r="CZ196" s="48">
        <f>IF(CZ$8=1,N(Reales!CZ31),IF(CZ$171=1,IF(AND(AND(99&gt;Corte,99&lt;=Corte+n_Ventana),ISNUMBER(Detalle_24m!CZ$33)),Detalle_24m!CZ$33,INDEX(Vol_V,20,CZ$170)/12)*(1+V_dVol),0))</f>
        <v>0</v>
      </c>
      <c r="DA196" s="48">
        <f>IF(DA$8=1,N(Reales!DA31),IF(DA$171=1,IF(AND(AND(100&gt;Corte,100&lt;=Corte+n_Ventana),ISNUMBER(Detalle_24m!DA$33)),Detalle_24m!DA$33,INDEX(Vol_V,20,DA$170)/12)*(1+V_dVol),0))</f>
        <v>0</v>
      </c>
      <c r="DB196" s="48">
        <f>IF(DB$8=1,N(Reales!DB31),IF(DB$171=1,IF(AND(AND(101&gt;Corte,101&lt;=Corte+n_Ventana),ISNUMBER(Detalle_24m!DB$33)),Detalle_24m!DB$33,INDEX(Vol_V,20,DB$170)/12)*(1+V_dVol),0))</f>
        <v>0</v>
      </c>
      <c r="DC196" s="48">
        <f>IF(DC$8=1,N(Reales!DC31),IF(DC$171=1,IF(AND(AND(102&gt;Corte,102&lt;=Corte+n_Ventana),ISNUMBER(Detalle_24m!DC$33)),Detalle_24m!DC$33,INDEX(Vol_V,20,DC$170)/12)*(1+V_dVol),0))</f>
        <v>0</v>
      </c>
      <c r="DD196" s="48">
        <f>IF(DD$8=1,N(Reales!DD31),IF(DD$171=1,IF(AND(AND(103&gt;Corte,103&lt;=Corte+n_Ventana),ISNUMBER(Detalle_24m!DD$33)),Detalle_24m!DD$33,INDEX(Vol_V,20,DD$170)/12)*(1+V_dVol),0))</f>
        <v>0</v>
      </c>
      <c r="DE196" s="48">
        <f>IF(DE$8=1,N(Reales!DE31),IF(DE$171=1,IF(AND(AND(104&gt;Corte,104&lt;=Corte+n_Ventana),ISNUMBER(Detalle_24m!DE$33)),Detalle_24m!DE$33,INDEX(Vol_V,20,DE$170)/12)*(1+V_dVol),0))</f>
        <v>0</v>
      </c>
      <c r="DF196" s="48">
        <f>IF(DF$8=1,N(Reales!DF31),IF(DF$171=1,IF(AND(AND(105&gt;Corte,105&lt;=Corte+n_Ventana),ISNUMBER(Detalle_24m!DF$33)),Detalle_24m!DF$33,INDEX(Vol_V,20,DF$170)/12)*(1+V_dVol),0))</f>
        <v>0</v>
      </c>
      <c r="DG196" s="48">
        <f>IF(DG$8=1,N(Reales!DG31),IF(DG$171=1,IF(AND(AND(106&gt;Corte,106&lt;=Corte+n_Ventana),ISNUMBER(Detalle_24m!DG$33)),Detalle_24m!DG$33,INDEX(Vol_V,20,DG$170)/12)*(1+V_dVol),0))</f>
        <v>0</v>
      </c>
      <c r="DH196" s="48">
        <f>IF(DH$8=1,N(Reales!DH31),IF(DH$171=1,IF(AND(AND(107&gt;Corte,107&lt;=Corte+n_Ventana),ISNUMBER(Detalle_24m!DH$33)),Detalle_24m!DH$33,INDEX(Vol_V,20,DH$170)/12)*(1+V_dVol),0))</f>
        <v>0</v>
      </c>
      <c r="DI196" s="48">
        <f>IF(DI$8=1,N(Reales!DI31),IF(DI$171=1,IF(AND(AND(108&gt;Corte,108&lt;=Corte+n_Ventana),ISNUMBER(Detalle_24m!DI$33)),Detalle_24m!DI$33,INDEX(Vol_V,20,DI$170)/12)*(1+V_dVol),0))</f>
        <v>0</v>
      </c>
      <c r="DJ196" s="48">
        <f>IF(DJ$8=1,N(Reales!DJ31),IF(DJ$171=1,IF(AND(AND(109&gt;Corte,109&lt;=Corte+n_Ventana),ISNUMBER(Detalle_24m!DJ$33)),Detalle_24m!DJ$33,INDEX(Vol_V,20,DJ$170)/12)*(1+V_dVol),0))</f>
        <v>0</v>
      </c>
      <c r="DK196" s="48">
        <f>IF(DK$8=1,N(Reales!DK31),IF(DK$171=1,IF(AND(AND(110&gt;Corte,110&lt;=Corte+n_Ventana),ISNUMBER(Detalle_24m!DK$33)),Detalle_24m!DK$33,INDEX(Vol_V,20,DK$170)/12)*(1+V_dVol),0))</f>
        <v>0</v>
      </c>
      <c r="DL196" s="48">
        <f>IF(DL$8=1,N(Reales!DL31),IF(DL$171=1,IF(AND(AND(111&gt;Corte,111&lt;=Corte+n_Ventana),ISNUMBER(Detalle_24m!DL$33)),Detalle_24m!DL$33,INDEX(Vol_V,20,DL$170)/12)*(1+V_dVol),0))</f>
        <v>0</v>
      </c>
      <c r="DM196" s="48">
        <f>IF(DM$8=1,N(Reales!DM31),IF(DM$171=1,IF(AND(AND(112&gt;Corte,112&lt;=Corte+n_Ventana),ISNUMBER(Detalle_24m!DM$33)),Detalle_24m!DM$33,INDEX(Vol_V,20,DM$170)/12)*(1+V_dVol),0))</f>
        <v>0</v>
      </c>
      <c r="DN196" s="48">
        <f>IF(DN$8=1,N(Reales!DN31),IF(DN$171=1,IF(AND(AND(113&gt;Corte,113&lt;=Corte+n_Ventana),ISNUMBER(Detalle_24m!DN$33)),Detalle_24m!DN$33,INDEX(Vol_V,20,DN$170)/12)*(1+V_dVol),0))</f>
        <v>0</v>
      </c>
      <c r="DO196" s="48">
        <f>IF(DO$8=1,N(Reales!DO31),IF(DO$171=1,IF(AND(AND(114&gt;Corte,114&lt;=Corte+n_Ventana),ISNUMBER(Detalle_24m!DO$33)),Detalle_24m!DO$33,INDEX(Vol_V,20,DO$170)/12)*(1+V_dVol),0))</f>
        <v>0</v>
      </c>
      <c r="DP196" s="48">
        <f>IF(DP$8=1,N(Reales!DP31),IF(DP$171=1,IF(AND(AND(115&gt;Corte,115&lt;=Corte+n_Ventana),ISNUMBER(Detalle_24m!DP$33)),Detalle_24m!DP$33,INDEX(Vol_V,20,DP$170)/12)*(1+V_dVol),0))</f>
        <v>0</v>
      </c>
      <c r="DQ196" s="48">
        <f>IF(DQ$8=1,N(Reales!DQ31),IF(DQ$171=1,IF(AND(AND(116&gt;Corte,116&lt;=Corte+n_Ventana),ISNUMBER(Detalle_24m!DQ$33)),Detalle_24m!DQ$33,INDEX(Vol_V,20,DQ$170)/12)*(1+V_dVol),0))</f>
        <v>0</v>
      </c>
      <c r="DR196" s="48">
        <f>IF(DR$8=1,N(Reales!DR31),IF(DR$171=1,IF(AND(AND(117&gt;Corte,117&lt;=Corte+n_Ventana),ISNUMBER(Detalle_24m!DR$33)),Detalle_24m!DR$33,INDEX(Vol_V,20,DR$170)/12)*(1+V_dVol),0))</f>
        <v>0</v>
      </c>
      <c r="DS196" s="48">
        <f>IF(DS$8=1,N(Reales!DS31),IF(DS$171=1,IF(AND(AND(118&gt;Corte,118&lt;=Corte+n_Ventana),ISNUMBER(Detalle_24m!DS$33)),Detalle_24m!DS$33,INDEX(Vol_V,20,DS$170)/12)*(1+V_dVol),0))</f>
        <v>0</v>
      </c>
      <c r="DT196" s="48">
        <f>IF(DT$8=1,N(Reales!DT31),IF(DT$171=1,IF(AND(AND(119&gt;Corte,119&lt;=Corte+n_Ventana),ISNUMBER(Detalle_24m!DT$33)),Detalle_24m!DT$33,INDEX(Vol_V,20,DT$170)/12)*(1+V_dVol),0))</f>
        <v>0</v>
      </c>
      <c r="DU196" s="48">
        <f>IF(DU$8=1,N(Reales!DU31),IF(DU$171=1,IF(AND(AND(120&gt;Corte,120&lt;=Corte+n_Ventana),ISNUMBER(Detalle_24m!DU$33)),Detalle_24m!DU$33,INDEX(Vol_V,20,DU$170)/12)*(1+V_dVol),0))</f>
        <v>0</v>
      </c>
      <c r="DV196" s="48">
        <f>IF(DV$8=1,N(Reales!DV31),IF(DV$171=1,IF(AND(AND(121&gt;Corte,121&lt;=Corte+n_Ventana),ISNUMBER(Detalle_24m!DV$33)),Detalle_24m!DV$33,INDEX(Vol_V,20,DV$170)/12)*(1+V_dVol),0))</f>
        <v>0</v>
      </c>
      <c r="DW196" s="48">
        <f>IF(DW$8=1,N(Reales!DW31),IF(DW$171=1,IF(AND(AND(122&gt;Corte,122&lt;=Corte+n_Ventana),ISNUMBER(Detalle_24m!DW$33)),Detalle_24m!DW$33,INDEX(Vol_V,20,DW$170)/12)*(1+V_dVol),0))</f>
        <v>0</v>
      </c>
      <c r="DX196" s="48">
        <f>IF(DX$8=1,N(Reales!DX31),IF(DX$171=1,IF(AND(AND(123&gt;Corte,123&lt;=Corte+n_Ventana),ISNUMBER(Detalle_24m!DX$33)),Detalle_24m!DX$33,INDEX(Vol_V,20,DX$170)/12)*(1+V_dVol),0))</f>
        <v>0</v>
      </c>
      <c r="DY196" s="48">
        <f>IF(DY$8=1,N(Reales!DY31),IF(DY$171=1,IF(AND(AND(124&gt;Corte,124&lt;=Corte+n_Ventana),ISNUMBER(Detalle_24m!DY$33)),Detalle_24m!DY$33,INDEX(Vol_V,20,DY$170)/12)*(1+V_dVol),0))</f>
        <v>0</v>
      </c>
      <c r="DZ196" s="48">
        <f>IF(DZ$8=1,N(Reales!DZ31),IF(DZ$171=1,IF(AND(AND(125&gt;Corte,125&lt;=Corte+n_Ventana),ISNUMBER(Detalle_24m!DZ$33)),Detalle_24m!DZ$33,INDEX(Vol_V,20,DZ$170)/12)*(1+V_dVol),0))</f>
        <v>0</v>
      </c>
      <c r="EA196" s="48">
        <f>IF(EA$8=1,N(Reales!EA31),IF(EA$171=1,IF(AND(AND(126&gt;Corte,126&lt;=Corte+n_Ventana),ISNUMBER(Detalle_24m!EA$33)),Detalle_24m!EA$33,INDEX(Vol_V,20,EA$170)/12)*(1+V_dVol),0))</f>
        <v>0</v>
      </c>
      <c r="EB196" s="48">
        <f>IF(EB$8=1,N(Reales!EB31),IF(EB$171=1,IF(AND(AND(127&gt;Corte,127&lt;=Corte+n_Ventana),ISNUMBER(Detalle_24m!EB$33)),Detalle_24m!EB$33,INDEX(Vol_V,20,EB$170)/12)*(1+V_dVol),0))</f>
        <v>0</v>
      </c>
      <c r="EC196" s="48">
        <f>IF(EC$8=1,N(Reales!EC31),IF(EC$171=1,IF(AND(AND(128&gt;Corte,128&lt;=Corte+n_Ventana),ISNUMBER(Detalle_24m!EC$33)),Detalle_24m!EC$33,INDEX(Vol_V,20,EC$170)/12)*(1+V_dVol),0))</f>
        <v>0</v>
      </c>
      <c r="ED196" s="48">
        <f>IF(ED$8=1,N(Reales!ED31),IF(ED$171=1,IF(AND(AND(129&gt;Corte,129&lt;=Corte+n_Ventana),ISNUMBER(Detalle_24m!ED$33)),Detalle_24m!ED$33,INDEX(Vol_V,20,ED$170)/12)*(1+V_dVol),0))</f>
        <v>0</v>
      </c>
      <c r="EE196" s="48">
        <f>IF(EE$8=1,N(Reales!EE31),IF(EE$171=1,IF(AND(AND(130&gt;Corte,130&lt;=Corte+n_Ventana),ISNUMBER(Detalle_24m!EE$33)),Detalle_24m!EE$33,INDEX(Vol_V,20,EE$170)/12)*(1+V_dVol),0))</f>
        <v>0</v>
      </c>
      <c r="EF196" s="48">
        <f>IF(EF$8=1,N(Reales!EF31),IF(EF$171=1,IF(AND(AND(131&gt;Corte,131&lt;=Corte+n_Ventana),ISNUMBER(Detalle_24m!EF$33)),Detalle_24m!EF$33,INDEX(Vol_V,20,EF$170)/12)*(1+V_dVol),0))</f>
        <v>0</v>
      </c>
      <c r="EG196" s="48">
        <f>IF(EG$8=1,N(Reales!EG31),IF(EG$171=1,IF(AND(AND(132&gt;Corte,132&lt;=Corte+n_Ventana),ISNUMBER(Detalle_24m!EG$33)),Detalle_24m!EG$33,INDEX(Vol_V,20,EG$170)/12)*(1+V_dVol),0))</f>
        <v>0</v>
      </c>
      <c r="EH196" s="48">
        <f>IF(EH$8=1,N(Reales!EH31),IF(EH$171=1,IF(AND(AND(133&gt;Corte,133&lt;=Corte+n_Ventana),ISNUMBER(Detalle_24m!EH$33)),Detalle_24m!EH$33,INDEX(Vol_V,20,EH$170)/12)*(1+V_dVol),0))</f>
        <v>0</v>
      </c>
      <c r="EI196" s="48">
        <f>IF(EI$8=1,N(Reales!EI31),IF(EI$171=1,IF(AND(AND(134&gt;Corte,134&lt;=Corte+n_Ventana),ISNUMBER(Detalle_24m!EI$33)),Detalle_24m!EI$33,INDEX(Vol_V,20,EI$170)/12)*(1+V_dVol),0))</f>
        <v>0</v>
      </c>
      <c r="EJ196" s="48">
        <f>IF(EJ$8=1,N(Reales!EJ31),IF(EJ$171=1,IF(AND(AND(135&gt;Corte,135&lt;=Corte+n_Ventana),ISNUMBER(Detalle_24m!EJ$33)),Detalle_24m!EJ$33,INDEX(Vol_V,20,EJ$170)/12)*(1+V_dVol),0))</f>
        <v>0</v>
      </c>
      <c r="EK196" s="48">
        <f>IF(EK$8=1,N(Reales!EK31),IF(EK$171=1,IF(AND(AND(136&gt;Corte,136&lt;=Corte+n_Ventana),ISNUMBER(Detalle_24m!EK$33)),Detalle_24m!EK$33,INDEX(Vol_V,20,EK$170)/12)*(1+V_dVol),0))</f>
        <v>0</v>
      </c>
      <c r="EL196" s="48">
        <f>IF(EL$8=1,N(Reales!EL31),IF(EL$171=1,IF(AND(AND(137&gt;Corte,137&lt;=Corte+n_Ventana),ISNUMBER(Detalle_24m!EL$33)),Detalle_24m!EL$33,INDEX(Vol_V,20,EL$170)/12)*(1+V_dVol),0))</f>
        <v>0</v>
      </c>
      <c r="EM196" s="48">
        <f>IF(EM$8=1,N(Reales!EM31),IF(EM$171=1,IF(AND(AND(138&gt;Corte,138&lt;=Corte+n_Ventana),ISNUMBER(Detalle_24m!EM$33)),Detalle_24m!EM$33,INDEX(Vol_V,20,EM$170)/12)*(1+V_dVol),0))</f>
        <v>0</v>
      </c>
      <c r="EN196" s="48">
        <f>IF(EN$8=1,N(Reales!EN31),IF(EN$171=1,IF(AND(AND(139&gt;Corte,139&lt;=Corte+n_Ventana),ISNUMBER(Detalle_24m!EN$33)),Detalle_24m!EN$33,INDEX(Vol_V,20,EN$170)/12)*(1+V_dVol),0))</f>
        <v>0</v>
      </c>
      <c r="EO196" s="48">
        <f>IF(EO$8=1,N(Reales!EO31),IF(EO$171=1,IF(AND(AND(140&gt;Corte,140&lt;=Corte+n_Ventana),ISNUMBER(Detalle_24m!EO$33)),Detalle_24m!EO$33,INDEX(Vol_V,20,EO$170)/12)*(1+V_dVol),0))</f>
        <v>0</v>
      </c>
      <c r="EP196" s="48">
        <f>IF(EP$8=1,N(Reales!EP31),IF(EP$171=1,IF(AND(AND(141&gt;Corte,141&lt;=Corte+n_Ventana),ISNUMBER(Detalle_24m!EP$33)),Detalle_24m!EP$33,INDEX(Vol_V,20,EP$170)/12)*(1+V_dVol),0))</f>
        <v>0</v>
      </c>
      <c r="EQ196" s="48">
        <f>IF(EQ$8=1,N(Reales!EQ31),IF(EQ$171=1,IF(AND(AND(142&gt;Corte,142&lt;=Corte+n_Ventana),ISNUMBER(Detalle_24m!EQ$33)),Detalle_24m!EQ$33,INDEX(Vol_V,20,EQ$170)/12)*(1+V_dVol),0))</f>
        <v>0</v>
      </c>
      <c r="ER196" s="48">
        <f>IF(ER$8=1,N(Reales!ER31),IF(ER$171=1,IF(AND(AND(143&gt;Corte,143&lt;=Corte+n_Ventana),ISNUMBER(Detalle_24m!ER$33)),Detalle_24m!ER$33,INDEX(Vol_V,20,ER$170)/12)*(1+V_dVol),0))</f>
        <v>0</v>
      </c>
      <c r="ES196" s="48">
        <f>IF(ES$8=1,N(Reales!ES31),IF(ES$171=1,IF(AND(AND(144&gt;Corte,144&lt;=Corte+n_Ventana),ISNUMBER(Detalle_24m!ES$33)),Detalle_24m!ES$33,INDEX(Vol_V,20,ES$170)/12)*(1+V_dVol),0))</f>
        <v>0</v>
      </c>
    </row>
    <row r="197" spans="1:149" x14ac:dyDescent="0.3">
      <c r="A197" s="14" t="s">
        <v>1252</v>
      </c>
      <c r="B197" s="53" t="str">
        <f>IF(INDEX(Prod_Nombre,21)="","Producto 21",INDEX(Prod_Nombre,21))&amp;" — unidades"</f>
        <v>Producto 21 — unidades</v>
      </c>
      <c r="C197" s="18" t="s">
        <v>475</v>
      </c>
      <c r="E197" s="54">
        <f t="shared" si="604"/>
        <v>0</v>
      </c>
      <c r="F197" s="48">
        <f>IF(F$8=1,N(Reales!F32),IF(F$171=1,IF(AND(AND(1&gt;Corte,1&lt;=Corte+n_Ventana),ISNUMBER(Detalle_24m!F$34)),Detalle_24m!F$34,INDEX(Vol_V,21,F$170)/12)*(1+V_dVol),0))</f>
        <v>0</v>
      </c>
      <c r="G197" s="48">
        <f>IF(G$8=1,N(Reales!G32),IF(G$171=1,IF(AND(AND(2&gt;Corte,2&lt;=Corte+n_Ventana),ISNUMBER(Detalle_24m!G$34)),Detalle_24m!G$34,INDEX(Vol_V,21,G$170)/12)*(1+V_dVol),0))</f>
        <v>0</v>
      </c>
      <c r="H197" s="48">
        <f>IF(H$8=1,N(Reales!H32),IF(H$171=1,IF(AND(AND(3&gt;Corte,3&lt;=Corte+n_Ventana),ISNUMBER(Detalle_24m!H$34)),Detalle_24m!H$34,INDEX(Vol_V,21,H$170)/12)*(1+V_dVol),0))</f>
        <v>0</v>
      </c>
      <c r="I197" s="48">
        <f>IF(I$8=1,N(Reales!I32),IF(I$171=1,IF(AND(AND(4&gt;Corte,4&lt;=Corte+n_Ventana),ISNUMBER(Detalle_24m!I$34)),Detalle_24m!I$34,INDEX(Vol_V,21,I$170)/12)*(1+V_dVol),0))</f>
        <v>0</v>
      </c>
      <c r="J197" s="48">
        <f>IF(J$8=1,N(Reales!J32),IF(J$171=1,IF(AND(AND(5&gt;Corte,5&lt;=Corte+n_Ventana),ISNUMBER(Detalle_24m!J$34)),Detalle_24m!J$34,INDEX(Vol_V,21,J$170)/12)*(1+V_dVol),0))</f>
        <v>0</v>
      </c>
      <c r="K197" s="48">
        <f>IF(K$8=1,N(Reales!K32),IF(K$171=1,IF(AND(AND(6&gt;Corte,6&lt;=Corte+n_Ventana),ISNUMBER(Detalle_24m!K$34)),Detalle_24m!K$34,INDEX(Vol_V,21,K$170)/12)*(1+V_dVol),0))</f>
        <v>0</v>
      </c>
      <c r="L197" s="48">
        <f>IF(L$8=1,N(Reales!L32),IF(L$171=1,IF(AND(AND(7&gt;Corte,7&lt;=Corte+n_Ventana),ISNUMBER(Detalle_24m!L$34)),Detalle_24m!L$34,INDEX(Vol_V,21,L$170)/12)*(1+V_dVol),0))</f>
        <v>0</v>
      </c>
      <c r="M197" s="48">
        <f>IF(M$8=1,N(Reales!M32),IF(M$171=1,IF(AND(AND(8&gt;Corte,8&lt;=Corte+n_Ventana),ISNUMBER(Detalle_24m!M$34)),Detalle_24m!M$34,INDEX(Vol_V,21,M$170)/12)*(1+V_dVol),0))</f>
        <v>0</v>
      </c>
      <c r="N197" s="48">
        <f>IF(N$8=1,N(Reales!N32),IF(N$171=1,IF(AND(AND(9&gt;Corte,9&lt;=Corte+n_Ventana),ISNUMBER(Detalle_24m!N$34)),Detalle_24m!N$34,INDEX(Vol_V,21,N$170)/12)*(1+V_dVol),0))</f>
        <v>0</v>
      </c>
      <c r="O197" s="48">
        <f>IF(O$8=1,N(Reales!O32),IF(O$171=1,IF(AND(AND(10&gt;Corte,10&lt;=Corte+n_Ventana),ISNUMBER(Detalle_24m!O$34)),Detalle_24m!O$34,INDEX(Vol_V,21,O$170)/12)*(1+V_dVol),0))</f>
        <v>0</v>
      </c>
      <c r="P197" s="48">
        <f>IF(P$8=1,N(Reales!P32),IF(P$171=1,IF(AND(AND(11&gt;Corte,11&lt;=Corte+n_Ventana),ISNUMBER(Detalle_24m!P$34)),Detalle_24m!P$34,INDEX(Vol_V,21,P$170)/12)*(1+V_dVol),0))</f>
        <v>0</v>
      </c>
      <c r="Q197" s="48">
        <f>IF(Q$8=1,N(Reales!Q32),IF(Q$171=1,IF(AND(AND(12&gt;Corte,12&lt;=Corte+n_Ventana),ISNUMBER(Detalle_24m!Q$34)),Detalle_24m!Q$34,INDEX(Vol_V,21,Q$170)/12)*(1+V_dVol),0))</f>
        <v>0</v>
      </c>
      <c r="R197" s="48">
        <f>IF(R$8=1,N(Reales!R32),IF(R$171=1,IF(AND(AND(13&gt;Corte,13&lt;=Corte+n_Ventana),ISNUMBER(Detalle_24m!R$34)),Detalle_24m!R$34,INDEX(Vol_V,21,R$170)/12)*(1+V_dVol),0))</f>
        <v>0</v>
      </c>
      <c r="S197" s="48">
        <f>IF(S$8=1,N(Reales!S32),IF(S$171=1,IF(AND(AND(14&gt;Corte,14&lt;=Corte+n_Ventana),ISNUMBER(Detalle_24m!S$34)),Detalle_24m!S$34,INDEX(Vol_V,21,S$170)/12)*(1+V_dVol),0))</f>
        <v>0</v>
      </c>
      <c r="T197" s="48">
        <f>IF(T$8=1,N(Reales!T32),IF(T$171=1,IF(AND(AND(15&gt;Corte,15&lt;=Corte+n_Ventana),ISNUMBER(Detalle_24m!T$34)),Detalle_24m!T$34,INDEX(Vol_V,21,T$170)/12)*(1+V_dVol),0))</f>
        <v>0</v>
      </c>
      <c r="U197" s="48">
        <f>IF(U$8=1,N(Reales!U32),IF(U$171=1,IF(AND(AND(16&gt;Corte,16&lt;=Corte+n_Ventana),ISNUMBER(Detalle_24m!U$34)),Detalle_24m!U$34,INDEX(Vol_V,21,U$170)/12)*(1+V_dVol),0))</f>
        <v>0</v>
      </c>
      <c r="V197" s="48">
        <f>IF(V$8=1,N(Reales!V32),IF(V$171=1,IF(AND(AND(17&gt;Corte,17&lt;=Corte+n_Ventana),ISNUMBER(Detalle_24m!V$34)),Detalle_24m!V$34,INDEX(Vol_V,21,V$170)/12)*(1+V_dVol),0))</f>
        <v>0</v>
      </c>
      <c r="W197" s="48">
        <f>IF(W$8=1,N(Reales!W32),IF(W$171=1,IF(AND(AND(18&gt;Corte,18&lt;=Corte+n_Ventana),ISNUMBER(Detalle_24m!W$34)),Detalle_24m!W$34,INDEX(Vol_V,21,W$170)/12)*(1+V_dVol),0))</f>
        <v>0</v>
      </c>
      <c r="X197" s="48">
        <f>IF(X$8=1,N(Reales!X32),IF(X$171=1,IF(AND(AND(19&gt;Corte,19&lt;=Corte+n_Ventana),ISNUMBER(Detalle_24m!X$34)),Detalle_24m!X$34,INDEX(Vol_V,21,X$170)/12)*(1+V_dVol),0))</f>
        <v>0</v>
      </c>
      <c r="Y197" s="48">
        <f>IF(Y$8=1,N(Reales!Y32),IF(Y$171=1,IF(AND(AND(20&gt;Corte,20&lt;=Corte+n_Ventana),ISNUMBER(Detalle_24m!Y$34)),Detalle_24m!Y$34,INDEX(Vol_V,21,Y$170)/12)*(1+V_dVol),0))</f>
        <v>0</v>
      </c>
      <c r="Z197" s="48">
        <f>IF(Z$8=1,N(Reales!Z32),IF(Z$171=1,IF(AND(AND(21&gt;Corte,21&lt;=Corte+n_Ventana),ISNUMBER(Detalle_24m!Z$34)),Detalle_24m!Z$34,INDEX(Vol_V,21,Z$170)/12)*(1+V_dVol),0))</f>
        <v>0</v>
      </c>
      <c r="AA197" s="48">
        <f>IF(AA$8=1,N(Reales!AA32),IF(AA$171=1,IF(AND(AND(22&gt;Corte,22&lt;=Corte+n_Ventana),ISNUMBER(Detalle_24m!AA$34)),Detalle_24m!AA$34,INDEX(Vol_V,21,AA$170)/12)*(1+V_dVol),0))</f>
        <v>0</v>
      </c>
      <c r="AB197" s="48">
        <f>IF(AB$8=1,N(Reales!AB32),IF(AB$171=1,IF(AND(AND(23&gt;Corte,23&lt;=Corte+n_Ventana),ISNUMBER(Detalle_24m!AB$34)),Detalle_24m!AB$34,INDEX(Vol_V,21,AB$170)/12)*(1+V_dVol),0))</f>
        <v>0</v>
      </c>
      <c r="AC197" s="48">
        <f>IF(AC$8=1,N(Reales!AC32),IF(AC$171=1,IF(AND(AND(24&gt;Corte,24&lt;=Corte+n_Ventana),ISNUMBER(Detalle_24m!AC$34)),Detalle_24m!AC$34,INDEX(Vol_V,21,AC$170)/12)*(1+V_dVol),0))</f>
        <v>0</v>
      </c>
      <c r="AD197" s="48">
        <f>IF(AD$8=1,N(Reales!AD32),IF(AD$171=1,IF(AND(AND(25&gt;Corte,25&lt;=Corte+n_Ventana),ISNUMBER(Detalle_24m!AD$34)),Detalle_24m!AD$34,INDEX(Vol_V,21,AD$170)/12)*(1+V_dVol),0))</f>
        <v>0</v>
      </c>
      <c r="AE197" s="48">
        <f>IF(AE$8=1,N(Reales!AE32),IF(AE$171=1,IF(AND(AND(26&gt;Corte,26&lt;=Corte+n_Ventana),ISNUMBER(Detalle_24m!AE$34)),Detalle_24m!AE$34,INDEX(Vol_V,21,AE$170)/12)*(1+V_dVol),0))</f>
        <v>0</v>
      </c>
      <c r="AF197" s="48">
        <f>IF(AF$8=1,N(Reales!AF32),IF(AF$171=1,IF(AND(AND(27&gt;Corte,27&lt;=Corte+n_Ventana),ISNUMBER(Detalle_24m!AF$34)),Detalle_24m!AF$34,INDEX(Vol_V,21,AF$170)/12)*(1+V_dVol),0))</f>
        <v>0</v>
      </c>
      <c r="AG197" s="48">
        <f>IF(AG$8=1,N(Reales!AG32),IF(AG$171=1,IF(AND(AND(28&gt;Corte,28&lt;=Corte+n_Ventana),ISNUMBER(Detalle_24m!AG$34)),Detalle_24m!AG$34,INDEX(Vol_V,21,AG$170)/12)*(1+V_dVol),0))</f>
        <v>0</v>
      </c>
      <c r="AH197" s="48">
        <f>IF(AH$8=1,N(Reales!AH32),IF(AH$171=1,IF(AND(AND(29&gt;Corte,29&lt;=Corte+n_Ventana),ISNUMBER(Detalle_24m!AH$34)),Detalle_24m!AH$34,INDEX(Vol_V,21,AH$170)/12)*(1+V_dVol),0))</f>
        <v>0</v>
      </c>
      <c r="AI197" s="48">
        <f>IF(AI$8=1,N(Reales!AI32),IF(AI$171=1,IF(AND(AND(30&gt;Corte,30&lt;=Corte+n_Ventana),ISNUMBER(Detalle_24m!AI$34)),Detalle_24m!AI$34,INDEX(Vol_V,21,AI$170)/12)*(1+V_dVol),0))</f>
        <v>0</v>
      </c>
      <c r="AJ197" s="48">
        <f>IF(AJ$8=1,N(Reales!AJ32),IF(AJ$171=1,IF(AND(AND(31&gt;Corte,31&lt;=Corte+n_Ventana),ISNUMBER(Detalle_24m!AJ$34)),Detalle_24m!AJ$34,INDEX(Vol_V,21,AJ$170)/12)*(1+V_dVol),0))</f>
        <v>0</v>
      </c>
      <c r="AK197" s="48">
        <f>IF(AK$8=1,N(Reales!AK32),IF(AK$171=1,IF(AND(AND(32&gt;Corte,32&lt;=Corte+n_Ventana),ISNUMBER(Detalle_24m!AK$34)),Detalle_24m!AK$34,INDEX(Vol_V,21,AK$170)/12)*(1+V_dVol),0))</f>
        <v>0</v>
      </c>
      <c r="AL197" s="48">
        <f>IF(AL$8=1,N(Reales!AL32),IF(AL$171=1,IF(AND(AND(33&gt;Corte,33&lt;=Corte+n_Ventana),ISNUMBER(Detalle_24m!AL$34)),Detalle_24m!AL$34,INDEX(Vol_V,21,AL$170)/12)*(1+V_dVol),0))</f>
        <v>0</v>
      </c>
      <c r="AM197" s="48">
        <f>IF(AM$8=1,N(Reales!AM32),IF(AM$171=1,IF(AND(AND(34&gt;Corte,34&lt;=Corte+n_Ventana),ISNUMBER(Detalle_24m!AM$34)),Detalle_24m!AM$34,INDEX(Vol_V,21,AM$170)/12)*(1+V_dVol),0))</f>
        <v>0</v>
      </c>
      <c r="AN197" s="48">
        <f>IF(AN$8=1,N(Reales!AN32),IF(AN$171=1,IF(AND(AND(35&gt;Corte,35&lt;=Corte+n_Ventana),ISNUMBER(Detalle_24m!AN$34)),Detalle_24m!AN$34,INDEX(Vol_V,21,AN$170)/12)*(1+V_dVol),0))</f>
        <v>0</v>
      </c>
      <c r="AO197" s="48">
        <f>IF(AO$8=1,N(Reales!AO32),IF(AO$171=1,IF(AND(AND(36&gt;Corte,36&lt;=Corte+n_Ventana),ISNUMBER(Detalle_24m!AO$34)),Detalle_24m!AO$34,INDEX(Vol_V,21,AO$170)/12)*(1+V_dVol),0))</f>
        <v>0</v>
      </c>
      <c r="AP197" s="48">
        <f>IF(AP$8=1,N(Reales!AP32),IF(AP$171=1,IF(AND(AND(37&gt;Corte,37&lt;=Corte+n_Ventana),ISNUMBER(Detalle_24m!AP$34)),Detalle_24m!AP$34,INDEX(Vol_V,21,AP$170)/12)*(1+V_dVol),0))</f>
        <v>0</v>
      </c>
      <c r="AQ197" s="48">
        <f>IF(AQ$8=1,N(Reales!AQ32),IF(AQ$171=1,IF(AND(AND(38&gt;Corte,38&lt;=Corte+n_Ventana),ISNUMBER(Detalle_24m!AQ$34)),Detalle_24m!AQ$34,INDEX(Vol_V,21,AQ$170)/12)*(1+V_dVol),0))</f>
        <v>0</v>
      </c>
      <c r="AR197" s="48">
        <f>IF(AR$8=1,N(Reales!AR32),IF(AR$171=1,IF(AND(AND(39&gt;Corte,39&lt;=Corte+n_Ventana),ISNUMBER(Detalle_24m!AR$34)),Detalle_24m!AR$34,INDEX(Vol_V,21,AR$170)/12)*(1+V_dVol),0))</f>
        <v>0</v>
      </c>
      <c r="AS197" s="48">
        <f>IF(AS$8=1,N(Reales!AS32),IF(AS$171=1,IF(AND(AND(40&gt;Corte,40&lt;=Corte+n_Ventana),ISNUMBER(Detalle_24m!AS$34)),Detalle_24m!AS$34,INDEX(Vol_V,21,AS$170)/12)*(1+V_dVol),0))</f>
        <v>0</v>
      </c>
      <c r="AT197" s="48">
        <f>IF(AT$8=1,N(Reales!AT32),IF(AT$171=1,IF(AND(AND(41&gt;Corte,41&lt;=Corte+n_Ventana),ISNUMBER(Detalle_24m!AT$34)),Detalle_24m!AT$34,INDEX(Vol_V,21,AT$170)/12)*(1+V_dVol),0))</f>
        <v>0</v>
      </c>
      <c r="AU197" s="48">
        <f>IF(AU$8=1,N(Reales!AU32),IF(AU$171=1,IF(AND(AND(42&gt;Corte,42&lt;=Corte+n_Ventana),ISNUMBER(Detalle_24m!AU$34)),Detalle_24m!AU$34,INDEX(Vol_V,21,AU$170)/12)*(1+V_dVol),0))</f>
        <v>0</v>
      </c>
      <c r="AV197" s="48">
        <f>IF(AV$8=1,N(Reales!AV32),IF(AV$171=1,IF(AND(AND(43&gt;Corte,43&lt;=Corte+n_Ventana),ISNUMBER(Detalle_24m!AV$34)),Detalle_24m!AV$34,INDEX(Vol_V,21,AV$170)/12)*(1+V_dVol),0))</f>
        <v>0</v>
      </c>
      <c r="AW197" s="48">
        <f>IF(AW$8=1,N(Reales!AW32),IF(AW$171=1,IF(AND(AND(44&gt;Corte,44&lt;=Corte+n_Ventana),ISNUMBER(Detalle_24m!AW$34)),Detalle_24m!AW$34,INDEX(Vol_V,21,AW$170)/12)*(1+V_dVol),0))</f>
        <v>0</v>
      </c>
      <c r="AX197" s="48">
        <f>IF(AX$8=1,N(Reales!AX32),IF(AX$171=1,IF(AND(AND(45&gt;Corte,45&lt;=Corte+n_Ventana),ISNUMBER(Detalle_24m!AX$34)),Detalle_24m!AX$34,INDEX(Vol_V,21,AX$170)/12)*(1+V_dVol),0))</f>
        <v>0</v>
      </c>
      <c r="AY197" s="48">
        <f>IF(AY$8=1,N(Reales!AY32),IF(AY$171=1,IF(AND(AND(46&gt;Corte,46&lt;=Corte+n_Ventana),ISNUMBER(Detalle_24m!AY$34)),Detalle_24m!AY$34,INDEX(Vol_V,21,AY$170)/12)*(1+V_dVol),0))</f>
        <v>0</v>
      </c>
      <c r="AZ197" s="48">
        <f>IF(AZ$8=1,N(Reales!AZ32),IF(AZ$171=1,IF(AND(AND(47&gt;Corte,47&lt;=Corte+n_Ventana),ISNUMBER(Detalle_24m!AZ$34)),Detalle_24m!AZ$34,INDEX(Vol_V,21,AZ$170)/12)*(1+V_dVol),0))</f>
        <v>0</v>
      </c>
      <c r="BA197" s="48">
        <f>IF(BA$8=1,N(Reales!BA32),IF(BA$171=1,IF(AND(AND(48&gt;Corte,48&lt;=Corte+n_Ventana),ISNUMBER(Detalle_24m!BA$34)),Detalle_24m!BA$34,INDEX(Vol_V,21,BA$170)/12)*(1+V_dVol),0))</f>
        <v>0</v>
      </c>
      <c r="BB197" s="48">
        <f>IF(BB$8=1,N(Reales!BB32),IF(BB$171=1,IF(AND(AND(49&gt;Corte,49&lt;=Corte+n_Ventana),ISNUMBER(Detalle_24m!BB$34)),Detalle_24m!BB$34,INDEX(Vol_V,21,BB$170)/12)*(1+V_dVol),0))</f>
        <v>0</v>
      </c>
      <c r="BC197" s="48">
        <f>IF(BC$8=1,N(Reales!BC32),IF(BC$171=1,IF(AND(AND(50&gt;Corte,50&lt;=Corte+n_Ventana),ISNUMBER(Detalle_24m!BC$34)),Detalle_24m!BC$34,INDEX(Vol_V,21,BC$170)/12)*(1+V_dVol),0))</f>
        <v>0</v>
      </c>
      <c r="BD197" s="48">
        <f>IF(BD$8=1,N(Reales!BD32),IF(BD$171=1,IF(AND(AND(51&gt;Corte,51&lt;=Corte+n_Ventana),ISNUMBER(Detalle_24m!BD$34)),Detalle_24m!BD$34,INDEX(Vol_V,21,BD$170)/12)*(1+V_dVol),0))</f>
        <v>0</v>
      </c>
      <c r="BE197" s="48">
        <f>IF(BE$8=1,N(Reales!BE32),IF(BE$171=1,IF(AND(AND(52&gt;Corte,52&lt;=Corte+n_Ventana),ISNUMBER(Detalle_24m!BE$34)),Detalle_24m!BE$34,INDEX(Vol_V,21,BE$170)/12)*(1+V_dVol),0))</f>
        <v>0</v>
      </c>
      <c r="BF197" s="48">
        <f>IF(BF$8=1,N(Reales!BF32),IF(BF$171=1,IF(AND(AND(53&gt;Corte,53&lt;=Corte+n_Ventana),ISNUMBER(Detalle_24m!BF$34)),Detalle_24m!BF$34,INDEX(Vol_V,21,BF$170)/12)*(1+V_dVol),0))</f>
        <v>0</v>
      </c>
      <c r="BG197" s="48">
        <f>IF(BG$8=1,N(Reales!BG32),IF(BG$171=1,IF(AND(AND(54&gt;Corte,54&lt;=Corte+n_Ventana),ISNUMBER(Detalle_24m!BG$34)),Detalle_24m!BG$34,INDEX(Vol_V,21,BG$170)/12)*(1+V_dVol),0))</f>
        <v>0</v>
      </c>
      <c r="BH197" s="48">
        <f>IF(BH$8=1,N(Reales!BH32),IF(BH$171=1,IF(AND(AND(55&gt;Corte,55&lt;=Corte+n_Ventana),ISNUMBER(Detalle_24m!BH$34)),Detalle_24m!BH$34,INDEX(Vol_V,21,BH$170)/12)*(1+V_dVol),0))</f>
        <v>0</v>
      </c>
      <c r="BI197" s="48">
        <f>IF(BI$8=1,N(Reales!BI32),IF(BI$171=1,IF(AND(AND(56&gt;Corte,56&lt;=Corte+n_Ventana),ISNUMBER(Detalle_24m!BI$34)),Detalle_24m!BI$34,INDEX(Vol_V,21,BI$170)/12)*(1+V_dVol),0))</f>
        <v>0</v>
      </c>
      <c r="BJ197" s="48">
        <f>IF(BJ$8=1,N(Reales!BJ32),IF(BJ$171=1,IF(AND(AND(57&gt;Corte,57&lt;=Corte+n_Ventana),ISNUMBER(Detalle_24m!BJ$34)),Detalle_24m!BJ$34,INDEX(Vol_V,21,BJ$170)/12)*(1+V_dVol),0))</f>
        <v>0</v>
      </c>
      <c r="BK197" s="48">
        <f>IF(BK$8=1,N(Reales!BK32),IF(BK$171=1,IF(AND(AND(58&gt;Corte,58&lt;=Corte+n_Ventana),ISNUMBER(Detalle_24m!BK$34)),Detalle_24m!BK$34,INDEX(Vol_V,21,BK$170)/12)*(1+V_dVol),0))</f>
        <v>0</v>
      </c>
      <c r="BL197" s="48">
        <f>IF(BL$8=1,N(Reales!BL32),IF(BL$171=1,IF(AND(AND(59&gt;Corte,59&lt;=Corte+n_Ventana),ISNUMBER(Detalle_24m!BL$34)),Detalle_24m!BL$34,INDEX(Vol_V,21,BL$170)/12)*(1+V_dVol),0))</f>
        <v>0</v>
      </c>
      <c r="BM197" s="48">
        <f>IF(BM$8=1,N(Reales!BM32),IF(BM$171=1,IF(AND(AND(60&gt;Corte,60&lt;=Corte+n_Ventana),ISNUMBER(Detalle_24m!BM$34)),Detalle_24m!BM$34,INDEX(Vol_V,21,BM$170)/12)*(1+V_dVol),0))</f>
        <v>0</v>
      </c>
      <c r="BN197" s="48">
        <f>IF(BN$8=1,N(Reales!BN32),IF(BN$171=1,IF(AND(AND(61&gt;Corte,61&lt;=Corte+n_Ventana),ISNUMBER(Detalle_24m!BN$34)),Detalle_24m!BN$34,INDEX(Vol_V,21,BN$170)/12)*(1+V_dVol),0))</f>
        <v>0</v>
      </c>
      <c r="BO197" s="48">
        <f>IF(BO$8=1,N(Reales!BO32),IF(BO$171=1,IF(AND(AND(62&gt;Corte,62&lt;=Corte+n_Ventana),ISNUMBER(Detalle_24m!BO$34)),Detalle_24m!BO$34,INDEX(Vol_V,21,BO$170)/12)*(1+V_dVol),0))</f>
        <v>0</v>
      </c>
      <c r="BP197" s="48">
        <f>IF(BP$8=1,N(Reales!BP32),IF(BP$171=1,IF(AND(AND(63&gt;Corte,63&lt;=Corte+n_Ventana),ISNUMBER(Detalle_24m!BP$34)),Detalle_24m!BP$34,INDEX(Vol_V,21,BP$170)/12)*(1+V_dVol),0))</f>
        <v>0</v>
      </c>
      <c r="BQ197" s="48">
        <f>IF(BQ$8=1,N(Reales!BQ32),IF(BQ$171=1,IF(AND(AND(64&gt;Corte,64&lt;=Corte+n_Ventana),ISNUMBER(Detalle_24m!BQ$34)),Detalle_24m!BQ$34,INDEX(Vol_V,21,BQ$170)/12)*(1+V_dVol),0))</f>
        <v>0</v>
      </c>
      <c r="BR197" s="48">
        <f>IF(BR$8=1,N(Reales!BR32),IF(BR$171=1,IF(AND(AND(65&gt;Corte,65&lt;=Corte+n_Ventana),ISNUMBER(Detalle_24m!BR$34)),Detalle_24m!BR$34,INDEX(Vol_V,21,BR$170)/12)*(1+V_dVol),0))</f>
        <v>0</v>
      </c>
      <c r="BS197" s="48">
        <f>IF(BS$8=1,N(Reales!BS32),IF(BS$171=1,IF(AND(AND(66&gt;Corte,66&lt;=Corte+n_Ventana),ISNUMBER(Detalle_24m!BS$34)),Detalle_24m!BS$34,INDEX(Vol_V,21,BS$170)/12)*(1+V_dVol),0))</f>
        <v>0</v>
      </c>
      <c r="BT197" s="48">
        <f>IF(BT$8=1,N(Reales!BT32),IF(BT$171=1,IF(AND(AND(67&gt;Corte,67&lt;=Corte+n_Ventana),ISNUMBER(Detalle_24m!BT$34)),Detalle_24m!BT$34,INDEX(Vol_V,21,BT$170)/12)*(1+V_dVol),0))</f>
        <v>0</v>
      </c>
      <c r="BU197" s="48">
        <f>IF(BU$8=1,N(Reales!BU32),IF(BU$171=1,IF(AND(AND(68&gt;Corte,68&lt;=Corte+n_Ventana),ISNUMBER(Detalle_24m!BU$34)),Detalle_24m!BU$34,INDEX(Vol_V,21,BU$170)/12)*(1+V_dVol),0))</f>
        <v>0</v>
      </c>
      <c r="BV197" s="48">
        <f>IF(BV$8=1,N(Reales!BV32),IF(BV$171=1,IF(AND(AND(69&gt;Corte,69&lt;=Corte+n_Ventana),ISNUMBER(Detalle_24m!BV$34)),Detalle_24m!BV$34,INDEX(Vol_V,21,BV$170)/12)*(1+V_dVol),0))</f>
        <v>0</v>
      </c>
      <c r="BW197" s="48">
        <f>IF(BW$8=1,N(Reales!BW32),IF(BW$171=1,IF(AND(AND(70&gt;Corte,70&lt;=Corte+n_Ventana),ISNUMBER(Detalle_24m!BW$34)),Detalle_24m!BW$34,INDEX(Vol_V,21,BW$170)/12)*(1+V_dVol),0))</f>
        <v>0</v>
      </c>
      <c r="BX197" s="48">
        <f>IF(BX$8=1,N(Reales!BX32),IF(BX$171=1,IF(AND(AND(71&gt;Corte,71&lt;=Corte+n_Ventana),ISNUMBER(Detalle_24m!BX$34)),Detalle_24m!BX$34,INDEX(Vol_V,21,BX$170)/12)*(1+V_dVol),0))</f>
        <v>0</v>
      </c>
      <c r="BY197" s="48">
        <f>IF(BY$8=1,N(Reales!BY32),IF(BY$171=1,IF(AND(AND(72&gt;Corte,72&lt;=Corte+n_Ventana),ISNUMBER(Detalle_24m!BY$34)),Detalle_24m!BY$34,INDEX(Vol_V,21,BY$170)/12)*(1+V_dVol),0))</f>
        <v>0</v>
      </c>
      <c r="BZ197" s="48">
        <f>IF(BZ$8=1,N(Reales!BZ32),IF(BZ$171=1,IF(AND(AND(73&gt;Corte,73&lt;=Corte+n_Ventana),ISNUMBER(Detalle_24m!BZ$34)),Detalle_24m!BZ$34,INDEX(Vol_V,21,BZ$170)/12)*(1+V_dVol),0))</f>
        <v>0</v>
      </c>
      <c r="CA197" s="48">
        <f>IF(CA$8=1,N(Reales!CA32),IF(CA$171=1,IF(AND(AND(74&gt;Corte,74&lt;=Corte+n_Ventana),ISNUMBER(Detalle_24m!CA$34)),Detalle_24m!CA$34,INDEX(Vol_V,21,CA$170)/12)*(1+V_dVol),0))</f>
        <v>0</v>
      </c>
      <c r="CB197" s="48">
        <f>IF(CB$8=1,N(Reales!CB32),IF(CB$171=1,IF(AND(AND(75&gt;Corte,75&lt;=Corte+n_Ventana),ISNUMBER(Detalle_24m!CB$34)),Detalle_24m!CB$34,INDEX(Vol_V,21,CB$170)/12)*(1+V_dVol),0))</f>
        <v>0</v>
      </c>
      <c r="CC197" s="48">
        <f>IF(CC$8=1,N(Reales!CC32),IF(CC$171=1,IF(AND(AND(76&gt;Corte,76&lt;=Corte+n_Ventana),ISNUMBER(Detalle_24m!CC$34)),Detalle_24m!CC$34,INDEX(Vol_V,21,CC$170)/12)*(1+V_dVol),0))</f>
        <v>0</v>
      </c>
      <c r="CD197" s="48">
        <f>IF(CD$8=1,N(Reales!CD32),IF(CD$171=1,IF(AND(AND(77&gt;Corte,77&lt;=Corte+n_Ventana),ISNUMBER(Detalle_24m!CD$34)),Detalle_24m!CD$34,INDEX(Vol_V,21,CD$170)/12)*(1+V_dVol),0))</f>
        <v>0</v>
      </c>
      <c r="CE197" s="48">
        <f>IF(CE$8=1,N(Reales!CE32),IF(CE$171=1,IF(AND(AND(78&gt;Corte,78&lt;=Corte+n_Ventana),ISNUMBER(Detalle_24m!CE$34)),Detalle_24m!CE$34,INDEX(Vol_V,21,CE$170)/12)*(1+V_dVol),0))</f>
        <v>0</v>
      </c>
      <c r="CF197" s="48">
        <f>IF(CF$8=1,N(Reales!CF32),IF(CF$171=1,IF(AND(AND(79&gt;Corte,79&lt;=Corte+n_Ventana),ISNUMBER(Detalle_24m!CF$34)),Detalle_24m!CF$34,INDEX(Vol_V,21,CF$170)/12)*(1+V_dVol),0))</f>
        <v>0</v>
      </c>
      <c r="CG197" s="48">
        <f>IF(CG$8=1,N(Reales!CG32),IF(CG$171=1,IF(AND(AND(80&gt;Corte,80&lt;=Corte+n_Ventana),ISNUMBER(Detalle_24m!CG$34)),Detalle_24m!CG$34,INDEX(Vol_V,21,CG$170)/12)*(1+V_dVol),0))</f>
        <v>0</v>
      </c>
      <c r="CH197" s="48">
        <f>IF(CH$8=1,N(Reales!CH32),IF(CH$171=1,IF(AND(AND(81&gt;Corte,81&lt;=Corte+n_Ventana),ISNUMBER(Detalle_24m!CH$34)),Detalle_24m!CH$34,INDEX(Vol_V,21,CH$170)/12)*(1+V_dVol),0))</f>
        <v>0</v>
      </c>
      <c r="CI197" s="48">
        <f>IF(CI$8=1,N(Reales!CI32),IF(CI$171=1,IF(AND(AND(82&gt;Corte,82&lt;=Corte+n_Ventana),ISNUMBER(Detalle_24m!CI$34)),Detalle_24m!CI$34,INDEX(Vol_V,21,CI$170)/12)*(1+V_dVol),0))</f>
        <v>0</v>
      </c>
      <c r="CJ197" s="48">
        <f>IF(CJ$8=1,N(Reales!CJ32),IF(CJ$171=1,IF(AND(AND(83&gt;Corte,83&lt;=Corte+n_Ventana),ISNUMBER(Detalle_24m!CJ$34)),Detalle_24m!CJ$34,INDEX(Vol_V,21,CJ$170)/12)*(1+V_dVol),0))</f>
        <v>0</v>
      </c>
      <c r="CK197" s="48">
        <f>IF(CK$8=1,N(Reales!CK32),IF(CK$171=1,IF(AND(AND(84&gt;Corte,84&lt;=Corte+n_Ventana),ISNUMBER(Detalle_24m!CK$34)),Detalle_24m!CK$34,INDEX(Vol_V,21,CK$170)/12)*(1+V_dVol),0))</f>
        <v>0</v>
      </c>
      <c r="CL197" s="48">
        <f>IF(CL$8=1,N(Reales!CL32),IF(CL$171=1,IF(AND(AND(85&gt;Corte,85&lt;=Corte+n_Ventana),ISNUMBER(Detalle_24m!CL$34)),Detalle_24m!CL$34,INDEX(Vol_V,21,CL$170)/12)*(1+V_dVol),0))</f>
        <v>0</v>
      </c>
      <c r="CM197" s="48">
        <f>IF(CM$8=1,N(Reales!CM32),IF(CM$171=1,IF(AND(AND(86&gt;Corte,86&lt;=Corte+n_Ventana),ISNUMBER(Detalle_24m!CM$34)),Detalle_24m!CM$34,INDEX(Vol_V,21,CM$170)/12)*(1+V_dVol),0))</f>
        <v>0</v>
      </c>
      <c r="CN197" s="48">
        <f>IF(CN$8=1,N(Reales!CN32),IF(CN$171=1,IF(AND(AND(87&gt;Corte,87&lt;=Corte+n_Ventana),ISNUMBER(Detalle_24m!CN$34)),Detalle_24m!CN$34,INDEX(Vol_V,21,CN$170)/12)*(1+V_dVol),0))</f>
        <v>0</v>
      </c>
      <c r="CO197" s="48">
        <f>IF(CO$8=1,N(Reales!CO32),IF(CO$171=1,IF(AND(AND(88&gt;Corte,88&lt;=Corte+n_Ventana),ISNUMBER(Detalle_24m!CO$34)),Detalle_24m!CO$34,INDEX(Vol_V,21,CO$170)/12)*(1+V_dVol),0))</f>
        <v>0</v>
      </c>
      <c r="CP197" s="48">
        <f>IF(CP$8=1,N(Reales!CP32),IF(CP$171=1,IF(AND(AND(89&gt;Corte,89&lt;=Corte+n_Ventana),ISNUMBER(Detalle_24m!CP$34)),Detalle_24m!CP$34,INDEX(Vol_V,21,CP$170)/12)*(1+V_dVol),0))</f>
        <v>0</v>
      </c>
      <c r="CQ197" s="48">
        <f>IF(CQ$8=1,N(Reales!CQ32),IF(CQ$171=1,IF(AND(AND(90&gt;Corte,90&lt;=Corte+n_Ventana),ISNUMBER(Detalle_24m!CQ$34)),Detalle_24m!CQ$34,INDEX(Vol_V,21,CQ$170)/12)*(1+V_dVol),0))</f>
        <v>0</v>
      </c>
      <c r="CR197" s="48">
        <f>IF(CR$8=1,N(Reales!CR32),IF(CR$171=1,IF(AND(AND(91&gt;Corte,91&lt;=Corte+n_Ventana),ISNUMBER(Detalle_24m!CR$34)),Detalle_24m!CR$34,INDEX(Vol_V,21,CR$170)/12)*(1+V_dVol),0))</f>
        <v>0</v>
      </c>
      <c r="CS197" s="48">
        <f>IF(CS$8=1,N(Reales!CS32),IF(CS$171=1,IF(AND(AND(92&gt;Corte,92&lt;=Corte+n_Ventana),ISNUMBER(Detalle_24m!CS$34)),Detalle_24m!CS$34,INDEX(Vol_V,21,CS$170)/12)*(1+V_dVol),0))</f>
        <v>0</v>
      </c>
      <c r="CT197" s="48">
        <f>IF(CT$8=1,N(Reales!CT32),IF(CT$171=1,IF(AND(AND(93&gt;Corte,93&lt;=Corte+n_Ventana),ISNUMBER(Detalle_24m!CT$34)),Detalle_24m!CT$34,INDEX(Vol_V,21,CT$170)/12)*(1+V_dVol),0))</f>
        <v>0</v>
      </c>
      <c r="CU197" s="48">
        <f>IF(CU$8=1,N(Reales!CU32),IF(CU$171=1,IF(AND(AND(94&gt;Corte,94&lt;=Corte+n_Ventana),ISNUMBER(Detalle_24m!CU$34)),Detalle_24m!CU$34,INDEX(Vol_V,21,CU$170)/12)*(1+V_dVol),0))</f>
        <v>0</v>
      </c>
      <c r="CV197" s="48">
        <f>IF(CV$8=1,N(Reales!CV32),IF(CV$171=1,IF(AND(AND(95&gt;Corte,95&lt;=Corte+n_Ventana),ISNUMBER(Detalle_24m!CV$34)),Detalle_24m!CV$34,INDEX(Vol_V,21,CV$170)/12)*(1+V_dVol),0))</f>
        <v>0</v>
      </c>
      <c r="CW197" s="48">
        <f>IF(CW$8=1,N(Reales!CW32),IF(CW$171=1,IF(AND(AND(96&gt;Corte,96&lt;=Corte+n_Ventana),ISNUMBER(Detalle_24m!CW$34)),Detalle_24m!CW$34,INDEX(Vol_V,21,CW$170)/12)*(1+V_dVol),0))</f>
        <v>0</v>
      </c>
      <c r="CX197" s="48">
        <f>IF(CX$8=1,N(Reales!CX32),IF(CX$171=1,IF(AND(AND(97&gt;Corte,97&lt;=Corte+n_Ventana),ISNUMBER(Detalle_24m!CX$34)),Detalle_24m!CX$34,INDEX(Vol_V,21,CX$170)/12)*(1+V_dVol),0))</f>
        <v>0</v>
      </c>
      <c r="CY197" s="48">
        <f>IF(CY$8=1,N(Reales!CY32),IF(CY$171=1,IF(AND(AND(98&gt;Corte,98&lt;=Corte+n_Ventana),ISNUMBER(Detalle_24m!CY$34)),Detalle_24m!CY$34,INDEX(Vol_V,21,CY$170)/12)*(1+V_dVol),0))</f>
        <v>0</v>
      </c>
      <c r="CZ197" s="48">
        <f>IF(CZ$8=1,N(Reales!CZ32),IF(CZ$171=1,IF(AND(AND(99&gt;Corte,99&lt;=Corte+n_Ventana),ISNUMBER(Detalle_24m!CZ$34)),Detalle_24m!CZ$34,INDEX(Vol_V,21,CZ$170)/12)*(1+V_dVol),0))</f>
        <v>0</v>
      </c>
      <c r="DA197" s="48">
        <f>IF(DA$8=1,N(Reales!DA32),IF(DA$171=1,IF(AND(AND(100&gt;Corte,100&lt;=Corte+n_Ventana),ISNUMBER(Detalle_24m!DA$34)),Detalle_24m!DA$34,INDEX(Vol_V,21,DA$170)/12)*(1+V_dVol),0))</f>
        <v>0</v>
      </c>
      <c r="DB197" s="48">
        <f>IF(DB$8=1,N(Reales!DB32),IF(DB$171=1,IF(AND(AND(101&gt;Corte,101&lt;=Corte+n_Ventana),ISNUMBER(Detalle_24m!DB$34)),Detalle_24m!DB$34,INDEX(Vol_V,21,DB$170)/12)*(1+V_dVol),0))</f>
        <v>0</v>
      </c>
      <c r="DC197" s="48">
        <f>IF(DC$8=1,N(Reales!DC32),IF(DC$171=1,IF(AND(AND(102&gt;Corte,102&lt;=Corte+n_Ventana),ISNUMBER(Detalle_24m!DC$34)),Detalle_24m!DC$34,INDEX(Vol_V,21,DC$170)/12)*(1+V_dVol),0))</f>
        <v>0</v>
      </c>
      <c r="DD197" s="48">
        <f>IF(DD$8=1,N(Reales!DD32),IF(DD$171=1,IF(AND(AND(103&gt;Corte,103&lt;=Corte+n_Ventana),ISNUMBER(Detalle_24m!DD$34)),Detalle_24m!DD$34,INDEX(Vol_V,21,DD$170)/12)*(1+V_dVol),0))</f>
        <v>0</v>
      </c>
      <c r="DE197" s="48">
        <f>IF(DE$8=1,N(Reales!DE32),IF(DE$171=1,IF(AND(AND(104&gt;Corte,104&lt;=Corte+n_Ventana),ISNUMBER(Detalle_24m!DE$34)),Detalle_24m!DE$34,INDEX(Vol_V,21,DE$170)/12)*(1+V_dVol),0))</f>
        <v>0</v>
      </c>
      <c r="DF197" s="48">
        <f>IF(DF$8=1,N(Reales!DF32),IF(DF$171=1,IF(AND(AND(105&gt;Corte,105&lt;=Corte+n_Ventana),ISNUMBER(Detalle_24m!DF$34)),Detalle_24m!DF$34,INDEX(Vol_V,21,DF$170)/12)*(1+V_dVol),0))</f>
        <v>0</v>
      </c>
      <c r="DG197" s="48">
        <f>IF(DG$8=1,N(Reales!DG32),IF(DG$171=1,IF(AND(AND(106&gt;Corte,106&lt;=Corte+n_Ventana),ISNUMBER(Detalle_24m!DG$34)),Detalle_24m!DG$34,INDEX(Vol_V,21,DG$170)/12)*(1+V_dVol),0))</f>
        <v>0</v>
      </c>
      <c r="DH197" s="48">
        <f>IF(DH$8=1,N(Reales!DH32),IF(DH$171=1,IF(AND(AND(107&gt;Corte,107&lt;=Corte+n_Ventana),ISNUMBER(Detalle_24m!DH$34)),Detalle_24m!DH$34,INDEX(Vol_V,21,DH$170)/12)*(1+V_dVol),0))</f>
        <v>0</v>
      </c>
      <c r="DI197" s="48">
        <f>IF(DI$8=1,N(Reales!DI32),IF(DI$171=1,IF(AND(AND(108&gt;Corte,108&lt;=Corte+n_Ventana),ISNUMBER(Detalle_24m!DI$34)),Detalle_24m!DI$34,INDEX(Vol_V,21,DI$170)/12)*(1+V_dVol),0))</f>
        <v>0</v>
      </c>
      <c r="DJ197" s="48">
        <f>IF(DJ$8=1,N(Reales!DJ32),IF(DJ$171=1,IF(AND(AND(109&gt;Corte,109&lt;=Corte+n_Ventana),ISNUMBER(Detalle_24m!DJ$34)),Detalle_24m!DJ$34,INDEX(Vol_V,21,DJ$170)/12)*(1+V_dVol),0))</f>
        <v>0</v>
      </c>
      <c r="DK197" s="48">
        <f>IF(DK$8=1,N(Reales!DK32),IF(DK$171=1,IF(AND(AND(110&gt;Corte,110&lt;=Corte+n_Ventana),ISNUMBER(Detalle_24m!DK$34)),Detalle_24m!DK$34,INDEX(Vol_V,21,DK$170)/12)*(1+V_dVol),0))</f>
        <v>0</v>
      </c>
      <c r="DL197" s="48">
        <f>IF(DL$8=1,N(Reales!DL32),IF(DL$171=1,IF(AND(AND(111&gt;Corte,111&lt;=Corte+n_Ventana),ISNUMBER(Detalle_24m!DL$34)),Detalle_24m!DL$34,INDEX(Vol_V,21,DL$170)/12)*(1+V_dVol),0))</f>
        <v>0</v>
      </c>
      <c r="DM197" s="48">
        <f>IF(DM$8=1,N(Reales!DM32),IF(DM$171=1,IF(AND(AND(112&gt;Corte,112&lt;=Corte+n_Ventana),ISNUMBER(Detalle_24m!DM$34)),Detalle_24m!DM$34,INDEX(Vol_V,21,DM$170)/12)*(1+V_dVol),0))</f>
        <v>0</v>
      </c>
      <c r="DN197" s="48">
        <f>IF(DN$8=1,N(Reales!DN32),IF(DN$171=1,IF(AND(AND(113&gt;Corte,113&lt;=Corte+n_Ventana),ISNUMBER(Detalle_24m!DN$34)),Detalle_24m!DN$34,INDEX(Vol_V,21,DN$170)/12)*(1+V_dVol),0))</f>
        <v>0</v>
      </c>
      <c r="DO197" s="48">
        <f>IF(DO$8=1,N(Reales!DO32),IF(DO$171=1,IF(AND(AND(114&gt;Corte,114&lt;=Corte+n_Ventana),ISNUMBER(Detalle_24m!DO$34)),Detalle_24m!DO$34,INDEX(Vol_V,21,DO$170)/12)*(1+V_dVol),0))</f>
        <v>0</v>
      </c>
      <c r="DP197" s="48">
        <f>IF(DP$8=1,N(Reales!DP32),IF(DP$171=1,IF(AND(AND(115&gt;Corte,115&lt;=Corte+n_Ventana),ISNUMBER(Detalle_24m!DP$34)),Detalle_24m!DP$34,INDEX(Vol_V,21,DP$170)/12)*(1+V_dVol),0))</f>
        <v>0</v>
      </c>
      <c r="DQ197" s="48">
        <f>IF(DQ$8=1,N(Reales!DQ32),IF(DQ$171=1,IF(AND(AND(116&gt;Corte,116&lt;=Corte+n_Ventana),ISNUMBER(Detalle_24m!DQ$34)),Detalle_24m!DQ$34,INDEX(Vol_V,21,DQ$170)/12)*(1+V_dVol),0))</f>
        <v>0</v>
      </c>
      <c r="DR197" s="48">
        <f>IF(DR$8=1,N(Reales!DR32),IF(DR$171=1,IF(AND(AND(117&gt;Corte,117&lt;=Corte+n_Ventana),ISNUMBER(Detalle_24m!DR$34)),Detalle_24m!DR$34,INDEX(Vol_V,21,DR$170)/12)*(1+V_dVol),0))</f>
        <v>0</v>
      </c>
      <c r="DS197" s="48">
        <f>IF(DS$8=1,N(Reales!DS32),IF(DS$171=1,IF(AND(AND(118&gt;Corte,118&lt;=Corte+n_Ventana),ISNUMBER(Detalle_24m!DS$34)),Detalle_24m!DS$34,INDEX(Vol_V,21,DS$170)/12)*(1+V_dVol),0))</f>
        <v>0</v>
      </c>
      <c r="DT197" s="48">
        <f>IF(DT$8=1,N(Reales!DT32),IF(DT$171=1,IF(AND(AND(119&gt;Corte,119&lt;=Corte+n_Ventana),ISNUMBER(Detalle_24m!DT$34)),Detalle_24m!DT$34,INDEX(Vol_V,21,DT$170)/12)*(1+V_dVol),0))</f>
        <v>0</v>
      </c>
      <c r="DU197" s="48">
        <f>IF(DU$8=1,N(Reales!DU32),IF(DU$171=1,IF(AND(AND(120&gt;Corte,120&lt;=Corte+n_Ventana),ISNUMBER(Detalle_24m!DU$34)),Detalle_24m!DU$34,INDEX(Vol_V,21,DU$170)/12)*(1+V_dVol),0))</f>
        <v>0</v>
      </c>
      <c r="DV197" s="48">
        <f>IF(DV$8=1,N(Reales!DV32),IF(DV$171=1,IF(AND(AND(121&gt;Corte,121&lt;=Corte+n_Ventana),ISNUMBER(Detalle_24m!DV$34)),Detalle_24m!DV$34,INDEX(Vol_V,21,DV$170)/12)*(1+V_dVol),0))</f>
        <v>0</v>
      </c>
      <c r="DW197" s="48">
        <f>IF(DW$8=1,N(Reales!DW32),IF(DW$171=1,IF(AND(AND(122&gt;Corte,122&lt;=Corte+n_Ventana),ISNUMBER(Detalle_24m!DW$34)),Detalle_24m!DW$34,INDEX(Vol_V,21,DW$170)/12)*(1+V_dVol),0))</f>
        <v>0</v>
      </c>
      <c r="DX197" s="48">
        <f>IF(DX$8=1,N(Reales!DX32),IF(DX$171=1,IF(AND(AND(123&gt;Corte,123&lt;=Corte+n_Ventana),ISNUMBER(Detalle_24m!DX$34)),Detalle_24m!DX$34,INDEX(Vol_V,21,DX$170)/12)*(1+V_dVol),0))</f>
        <v>0</v>
      </c>
      <c r="DY197" s="48">
        <f>IF(DY$8=1,N(Reales!DY32),IF(DY$171=1,IF(AND(AND(124&gt;Corte,124&lt;=Corte+n_Ventana),ISNUMBER(Detalle_24m!DY$34)),Detalle_24m!DY$34,INDEX(Vol_V,21,DY$170)/12)*(1+V_dVol),0))</f>
        <v>0</v>
      </c>
      <c r="DZ197" s="48">
        <f>IF(DZ$8=1,N(Reales!DZ32),IF(DZ$171=1,IF(AND(AND(125&gt;Corte,125&lt;=Corte+n_Ventana),ISNUMBER(Detalle_24m!DZ$34)),Detalle_24m!DZ$34,INDEX(Vol_V,21,DZ$170)/12)*(1+V_dVol),0))</f>
        <v>0</v>
      </c>
      <c r="EA197" s="48">
        <f>IF(EA$8=1,N(Reales!EA32),IF(EA$171=1,IF(AND(AND(126&gt;Corte,126&lt;=Corte+n_Ventana),ISNUMBER(Detalle_24m!EA$34)),Detalle_24m!EA$34,INDEX(Vol_V,21,EA$170)/12)*(1+V_dVol),0))</f>
        <v>0</v>
      </c>
      <c r="EB197" s="48">
        <f>IF(EB$8=1,N(Reales!EB32),IF(EB$171=1,IF(AND(AND(127&gt;Corte,127&lt;=Corte+n_Ventana),ISNUMBER(Detalle_24m!EB$34)),Detalle_24m!EB$34,INDEX(Vol_V,21,EB$170)/12)*(1+V_dVol),0))</f>
        <v>0</v>
      </c>
      <c r="EC197" s="48">
        <f>IF(EC$8=1,N(Reales!EC32),IF(EC$171=1,IF(AND(AND(128&gt;Corte,128&lt;=Corte+n_Ventana),ISNUMBER(Detalle_24m!EC$34)),Detalle_24m!EC$34,INDEX(Vol_V,21,EC$170)/12)*(1+V_dVol),0))</f>
        <v>0</v>
      </c>
      <c r="ED197" s="48">
        <f>IF(ED$8=1,N(Reales!ED32),IF(ED$171=1,IF(AND(AND(129&gt;Corte,129&lt;=Corte+n_Ventana),ISNUMBER(Detalle_24m!ED$34)),Detalle_24m!ED$34,INDEX(Vol_V,21,ED$170)/12)*(1+V_dVol),0))</f>
        <v>0</v>
      </c>
      <c r="EE197" s="48">
        <f>IF(EE$8=1,N(Reales!EE32),IF(EE$171=1,IF(AND(AND(130&gt;Corte,130&lt;=Corte+n_Ventana),ISNUMBER(Detalle_24m!EE$34)),Detalle_24m!EE$34,INDEX(Vol_V,21,EE$170)/12)*(1+V_dVol),0))</f>
        <v>0</v>
      </c>
      <c r="EF197" s="48">
        <f>IF(EF$8=1,N(Reales!EF32),IF(EF$171=1,IF(AND(AND(131&gt;Corte,131&lt;=Corte+n_Ventana),ISNUMBER(Detalle_24m!EF$34)),Detalle_24m!EF$34,INDEX(Vol_V,21,EF$170)/12)*(1+V_dVol),0))</f>
        <v>0</v>
      </c>
      <c r="EG197" s="48">
        <f>IF(EG$8=1,N(Reales!EG32),IF(EG$171=1,IF(AND(AND(132&gt;Corte,132&lt;=Corte+n_Ventana),ISNUMBER(Detalle_24m!EG$34)),Detalle_24m!EG$34,INDEX(Vol_V,21,EG$170)/12)*(1+V_dVol),0))</f>
        <v>0</v>
      </c>
      <c r="EH197" s="48">
        <f>IF(EH$8=1,N(Reales!EH32),IF(EH$171=1,IF(AND(AND(133&gt;Corte,133&lt;=Corte+n_Ventana),ISNUMBER(Detalle_24m!EH$34)),Detalle_24m!EH$34,INDEX(Vol_V,21,EH$170)/12)*(1+V_dVol),0))</f>
        <v>0</v>
      </c>
      <c r="EI197" s="48">
        <f>IF(EI$8=1,N(Reales!EI32),IF(EI$171=1,IF(AND(AND(134&gt;Corte,134&lt;=Corte+n_Ventana),ISNUMBER(Detalle_24m!EI$34)),Detalle_24m!EI$34,INDEX(Vol_V,21,EI$170)/12)*(1+V_dVol),0))</f>
        <v>0</v>
      </c>
      <c r="EJ197" s="48">
        <f>IF(EJ$8=1,N(Reales!EJ32),IF(EJ$171=1,IF(AND(AND(135&gt;Corte,135&lt;=Corte+n_Ventana),ISNUMBER(Detalle_24m!EJ$34)),Detalle_24m!EJ$34,INDEX(Vol_V,21,EJ$170)/12)*(1+V_dVol),0))</f>
        <v>0</v>
      </c>
      <c r="EK197" s="48">
        <f>IF(EK$8=1,N(Reales!EK32),IF(EK$171=1,IF(AND(AND(136&gt;Corte,136&lt;=Corte+n_Ventana),ISNUMBER(Detalle_24m!EK$34)),Detalle_24m!EK$34,INDEX(Vol_V,21,EK$170)/12)*(1+V_dVol),0))</f>
        <v>0</v>
      </c>
      <c r="EL197" s="48">
        <f>IF(EL$8=1,N(Reales!EL32),IF(EL$171=1,IF(AND(AND(137&gt;Corte,137&lt;=Corte+n_Ventana),ISNUMBER(Detalle_24m!EL$34)),Detalle_24m!EL$34,INDEX(Vol_V,21,EL$170)/12)*(1+V_dVol),0))</f>
        <v>0</v>
      </c>
      <c r="EM197" s="48">
        <f>IF(EM$8=1,N(Reales!EM32),IF(EM$171=1,IF(AND(AND(138&gt;Corte,138&lt;=Corte+n_Ventana),ISNUMBER(Detalle_24m!EM$34)),Detalle_24m!EM$34,INDEX(Vol_V,21,EM$170)/12)*(1+V_dVol),0))</f>
        <v>0</v>
      </c>
      <c r="EN197" s="48">
        <f>IF(EN$8=1,N(Reales!EN32),IF(EN$171=1,IF(AND(AND(139&gt;Corte,139&lt;=Corte+n_Ventana),ISNUMBER(Detalle_24m!EN$34)),Detalle_24m!EN$34,INDEX(Vol_V,21,EN$170)/12)*(1+V_dVol),0))</f>
        <v>0</v>
      </c>
      <c r="EO197" s="48">
        <f>IF(EO$8=1,N(Reales!EO32),IF(EO$171=1,IF(AND(AND(140&gt;Corte,140&lt;=Corte+n_Ventana),ISNUMBER(Detalle_24m!EO$34)),Detalle_24m!EO$34,INDEX(Vol_V,21,EO$170)/12)*(1+V_dVol),0))</f>
        <v>0</v>
      </c>
      <c r="EP197" s="48">
        <f>IF(EP$8=1,N(Reales!EP32),IF(EP$171=1,IF(AND(AND(141&gt;Corte,141&lt;=Corte+n_Ventana),ISNUMBER(Detalle_24m!EP$34)),Detalle_24m!EP$34,INDEX(Vol_V,21,EP$170)/12)*(1+V_dVol),0))</f>
        <v>0</v>
      </c>
      <c r="EQ197" s="48">
        <f>IF(EQ$8=1,N(Reales!EQ32),IF(EQ$171=1,IF(AND(AND(142&gt;Corte,142&lt;=Corte+n_Ventana),ISNUMBER(Detalle_24m!EQ$34)),Detalle_24m!EQ$34,INDEX(Vol_V,21,EQ$170)/12)*(1+V_dVol),0))</f>
        <v>0</v>
      </c>
      <c r="ER197" s="48">
        <f>IF(ER$8=1,N(Reales!ER32),IF(ER$171=1,IF(AND(AND(143&gt;Corte,143&lt;=Corte+n_Ventana),ISNUMBER(Detalle_24m!ER$34)),Detalle_24m!ER$34,INDEX(Vol_V,21,ER$170)/12)*(1+V_dVol),0))</f>
        <v>0</v>
      </c>
      <c r="ES197" s="48">
        <f>IF(ES$8=1,N(Reales!ES32),IF(ES$171=1,IF(AND(AND(144&gt;Corte,144&lt;=Corte+n_Ventana),ISNUMBER(Detalle_24m!ES$34)),Detalle_24m!ES$34,INDEX(Vol_V,21,ES$170)/12)*(1+V_dVol),0))</f>
        <v>0</v>
      </c>
    </row>
    <row r="198" spans="1:149" x14ac:dyDescent="0.3">
      <c r="A198" s="14" t="s">
        <v>1253</v>
      </c>
      <c r="B198" s="53" t="str">
        <f>IF(INDEX(Prod_Nombre,22)="","Producto 22",INDEX(Prod_Nombre,22))&amp;" — unidades"</f>
        <v>Producto 22 — unidades</v>
      </c>
      <c r="C198" s="18" t="s">
        <v>475</v>
      </c>
      <c r="E198" s="54">
        <f t="shared" si="604"/>
        <v>0</v>
      </c>
      <c r="F198" s="48">
        <f>IF(F$8=1,N(Reales!F33),IF(F$171=1,IF(AND(AND(1&gt;Corte,1&lt;=Corte+n_Ventana),ISNUMBER(Detalle_24m!F$35)),Detalle_24m!F$35,INDEX(Vol_V,22,F$170)/12)*(1+V_dVol),0))</f>
        <v>0</v>
      </c>
      <c r="G198" s="48">
        <f>IF(G$8=1,N(Reales!G33),IF(G$171=1,IF(AND(AND(2&gt;Corte,2&lt;=Corte+n_Ventana),ISNUMBER(Detalle_24m!G$35)),Detalle_24m!G$35,INDEX(Vol_V,22,G$170)/12)*(1+V_dVol),0))</f>
        <v>0</v>
      </c>
      <c r="H198" s="48">
        <f>IF(H$8=1,N(Reales!H33),IF(H$171=1,IF(AND(AND(3&gt;Corte,3&lt;=Corte+n_Ventana),ISNUMBER(Detalle_24m!H$35)),Detalle_24m!H$35,INDEX(Vol_V,22,H$170)/12)*(1+V_dVol),0))</f>
        <v>0</v>
      </c>
      <c r="I198" s="48">
        <f>IF(I$8=1,N(Reales!I33),IF(I$171=1,IF(AND(AND(4&gt;Corte,4&lt;=Corte+n_Ventana),ISNUMBER(Detalle_24m!I$35)),Detalle_24m!I$35,INDEX(Vol_V,22,I$170)/12)*(1+V_dVol),0))</f>
        <v>0</v>
      </c>
      <c r="J198" s="48">
        <f>IF(J$8=1,N(Reales!J33),IF(J$171=1,IF(AND(AND(5&gt;Corte,5&lt;=Corte+n_Ventana),ISNUMBER(Detalle_24m!J$35)),Detalle_24m!J$35,INDEX(Vol_V,22,J$170)/12)*(1+V_dVol),0))</f>
        <v>0</v>
      </c>
      <c r="K198" s="48">
        <f>IF(K$8=1,N(Reales!K33),IF(K$171=1,IF(AND(AND(6&gt;Corte,6&lt;=Corte+n_Ventana),ISNUMBER(Detalle_24m!K$35)),Detalle_24m!K$35,INDEX(Vol_V,22,K$170)/12)*(1+V_dVol),0))</f>
        <v>0</v>
      </c>
      <c r="L198" s="48">
        <f>IF(L$8=1,N(Reales!L33),IF(L$171=1,IF(AND(AND(7&gt;Corte,7&lt;=Corte+n_Ventana),ISNUMBER(Detalle_24m!L$35)),Detalle_24m!L$35,INDEX(Vol_V,22,L$170)/12)*(1+V_dVol),0))</f>
        <v>0</v>
      </c>
      <c r="M198" s="48">
        <f>IF(M$8=1,N(Reales!M33),IF(M$171=1,IF(AND(AND(8&gt;Corte,8&lt;=Corte+n_Ventana),ISNUMBER(Detalle_24m!M$35)),Detalle_24m!M$35,INDEX(Vol_V,22,M$170)/12)*(1+V_dVol),0))</f>
        <v>0</v>
      </c>
      <c r="N198" s="48">
        <f>IF(N$8=1,N(Reales!N33),IF(N$171=1,IF(AND(AND(9&gt;Corte,9&lt;=Corte+n_Ventana),ISNUMBER(Detalle_24m!N$35)),Detalle_24m!N$35,INDEX(Vol_V,22,N$170)/12)*(1+V_dVol),0))</f>
        <v>0</v>
      </c>
      <c r="O198" s="48">
        <f>IF(O$8=1,N(Reales!O33),IF(O$171=1,IF(AND(AND(10&gt;Corte,10&lt;=Corte+n_Ventana),ISNUMBER(Detalle_24m!O$35)),Detalle_24m!O$35,INDEX(Vol_V,22,O$170)/12)*(1+V_dVol),0))</f>
        <v>0</v>
      </c>
      <c r="P198" s="48">
        <f>IF(P$8=1,N(Reales!P33),IF(P$171=1,IF(AND(AND(11&gt;Corte,11&lt;=Corte+n_Ventana),ISNUMBER(Detalle_24m!P$35)),Detalle_24m!P$35,INDEX(Vol_V,22,P$170)/12)*(1+V_dVol),0))</f>
        <v>0</v>
      </c>
      <c r="Q198" s="48">
        <f>IF(Q$8=1,N(Reales!Q33),IF(Q$171=1,IF(AND(AND(12&gt;Corte,12&lt;=Corte+n_Ventana),ISNUMBER(Detalle_24m!Q$35)),Detalle_24m!Q$35,INDEX(Vol_V,22,Q$170)/12)*(1+V_dVol),0))</f>
        <v>0</v>
      </c>
      <c r="R198" s="48">
        <f>IF(R$8=1,N(Reales!R33),IF(R$171=1,IF(AND(AND(13&gt;Corte,13&lt;=Corte+n_Ventana),ISNUMBER(Detalle_24m!R$35)),Detalle_24m!R$35,INDEX(Vol_V,22,R$170)/12)*(1+V_dVol),0))</f>
        <v>0</v>
      </c>
      <c r="S198" s="48">
        <f>IF(S$8=1,N(Reales!S33),IF(S$171=1,IF(AND(AND(14&gt;Corte,14&lt;=Corte+n_Ventana),ISNUMBER(Detalle_24m!S$35)),Detalle_24m!S$35,INDEX(Vol_V,22,S$170)/12)*(1+V_dVol),0))</f>
        <v>0</v>
      </c>
      <c r="T198" s="48">
        <f>IF(T$8=1,N(Reales!T33),IF(T$171=1,IF(AND(AND(15&gt;Corte,15&lt;=Corte+n_Ventana),ISNUMBER(Detalle_24m!T$35)),Detalle_24m!T$35,INDEX(Vol_V,22,T$170)/12)*(1+V_dVol),0))</f>
        <v>0</v>
      </c>
      <c r="U198" s="48">
        <f>IF(U$8=1,N(Reales!U33),IF(U$171=1,IF(AND(AND(16&gt;Corte,16&lt;=Corte+n_Ventana),ISNUMBER(Detalle_24m!U$35)),Detalle_24m!U$35,INDEX(Vol_V,22,U$170)/12)*(1+V_dVol),0))</f>
        <v>0</v>
      </c>
      <c r="V198" s="48">
        <f>IF(V$8=1,N(Reales!V33),IF(V$171=1,IF(AND(AND(17&gt;Corte,17&lt;=Corte+n_Ventana),ISNUMBER(Detalle_24m!V$35)),Detalle_24m!V$35,INDEX(Vol_V,22,V$170)/12)*(1+V_dVol),0))</f>
        <v>0</v>
      </c>
      <c r="W198" s="48">
        <f>IF(W$8=1,N(Reales!W33),IF(W$171=1,IF(AND(AND(18&gt;Corte,18&lt;=Corte+n_Ventana),ISNUMBER(Detalle_24m!W$35)),Detalle_24m!W$35,INDEX(Vol_V,22,W$170)/12)*(1+V_dVol),0))</f>
        <v>0</v>
      </c>
      <c r="X198" s="48">
        <f>IF(X$8=1,N(Reales!X33),IF(X$171=1,IF(AND(AND(19&gt;Corte,19&lt;=Corte+n_Ventana),ISNUMBER(Detalle_24m!X$35)),Detalle_24m!X$35,INDEX(Vol_V,22,X$170)/12)*(1+V_dVol),0))</f>
        <v>0</v>
      </c>
      <c r="Y198" s="48">
        <f>IF(Y$8=1,N(Reales!Y33),IF(Y$171=1,IF(AND(AND(20&gt;Corte,20&lt;=Corte+n_Ventana),ISNUMBER(Detalle_24m!Y$35)),Detalle_24m!Y$35,INDEX(Vol_V,22,Y$170)/12)*(1+V_dVol),0))</f>
        <v>0</v>
      </c>
      <c r="Z198" s="48">
        <f>IF(Z$8=1,N(Reales!Z33),IF(Z$171=1,IF(AND(AND(21&gt;Corte,21&lt;=Corte+n_Ventana),ISNUMBER(Detalle_24m!Z$35)),Detalle_24m!Z$35,INDEX(Vol_V,22,Z$170)/12)*(1+V_dVol),0))</f>
        <v>0</v>
      </c>
      <c r="AA198" s="48">
        <f>IF(AA$8=1,N(Reales!AA33),IF(AA$171=1,IF(AND(AND(22&gt;Corte,22&lt;=Corte+n_Ventana),ISNUMBER(Detalle_24m!AA$35)),Detalle_24m!AA$35,INDEX(Vol_V,22,AA$170)/12)*(1+V_dVol),0))</f>
        <v>0</v>
      </c>
      <c r="AB198" s="48">
        <f>IF(AB$8=1,N(Reales!AB33),IF(AB$171=1,IF(AND(AND(23&gt;Corte,23&lt;=Corte+n_Ventana),ISNUMBER(Detalle_24m!AB$35)),Detalle_24m!AB$35,INDEX(Vol_V,22,AB$170)/12)*(1+V_dVol),0))</f>
        <v>0</v>
      </c>
      <c r="AC198" s="48">
        <f>IF(AC$8=1,N(Reales!AC33),IF(AC$171=1,IF(AND(AND(24&gt;Corte,24&lt;=Corte+n_Ventana),ISNUMBER(Detalle_24m!AC$35)),Detalle_24m!AC$35,INDEX(Vol_V,22,AC$170)/12)*(1+V_dVol),0))</f>
        <v>0</v>
      </c>
      <c r="AD198" s="48">
        <f>IF(AD$8=1,N(Reales!AD33),IF(AD$171=1,IF(AND(AND(25&gt;Corte,25&lt;=Corte+n_Ventana),ISNUMBER(Detalle_24m!AD$35)),Detalle_24m!AD$35,INDEX(Vol_V,22,AD$170)/12)*(1+V_dVol),0))</f>
        <v>0</v>
      </c>
      <c r="AE198" s="48">
        <f>IF(AE$8=1,N(Reales!AE33),IF(AE$171=1,IF(AND(AND(26&gt;Corte,26&lt;=Corte+n_Ventana),ISNUMBER(Detalle_24m!AE$35)),Detalle_24m!AE$35,INDEX(Vol_V,22,AE$170)/12)*(1+V_dVol),0))</f>
        <v>0</v>
      </c>
      <c r="AF198" s="48">
        <f>IF(AF$8=1,N(Reales!AF33),IF(AF$171=1,IF(AND(AND(27&gt;Corte,27&lt;=Corte+n_Ventana),ISNUMBER(Detalle_24m!AF$35)),Detalle_24m!AF$35,INDEX(Vol_V,22,AF$170)/12)*(1+V_dVol),0))</f>
        <v>0</v>
      </c>
      <c r="AG198" s="48">
        <f>IF(AG$8=1,N(Reales!AG33),IF(AG$171=1,IF(AND(AND(28&gt;Corte,28&lt;=Corte+n_Ventana),ISNUMBER(Detalle_24m!AG$35)),Detalle_24m!AG$35,INDEX(Vol_V,22,AG$170)/12)*(1+V_dVol),0))</f>
        <v>0</v>
      </c>
      <c r="AH198" s="48">
        <f>IF(AH$8=1,N(Reales!AH33),IF(AH$171=1,IF(AND(AND(29&gt;Corte,29&lt;=Corte+n_Ventana),ISNUMBER(Detalle_24m!AH$35)),Detalle_24m!AH$35,INDEX(Vol_V,22,AH$170)/12)*(1+V_dVol),0))</f>
        <v>0</v>
      </c>
      <c r="AI198" s="48">
        <f>IF(AI$8=1,N(Reales!AI33),IF(AI$171=1,IF(AND(AND(30&gt;Corte,30&lt;=Corte+n_Ventana),ISNUMBER(Detalle_24m!AI$35)),Detalle_24m!AI$35,INDEX(Vol_V,22,AI$170)/12)*(1+V_dVol),0))</f>
        <v>0</v>
      </c>
      <c r="AJ198" s="48">
        <f>IF(AJ$8=1,N(Reales!AJ33),IF(AJ$171=1,IF(AND(AND(31&gt;Corte,31&lt;=Corte+n_Ventana),ISNUMBER(Detalle_24m!AJ$35)),Detalle_24m!AJ$35,INDEX(Vol_V,22,AJ$170)/12)*(1+V_dVol),0))</f>
        <v>0</v>
      </c>
      <c r="AK198" s="48">
        <f>IF(AK$8=1,N(Reales!AK33),IF(AK$171=1,IF(AND(AND(32&gt;Corte,32&lt;=Corte+n_Ventana),ISNUMBER(Detalle_24m!AK$35)),Detalle_24m!AK$35,INDEX(Vol_V,22,AK$170)/12)*(1+V_dVol),0))</f>
        <v>0</v>
      </c>
      <c r="AL198" s="48">
        <f>IF(AL$8=1,N(Reales!AL33),IF(AL$171=1,IF(AND(AND(33&gt;Corte,33&lt;=Corte+n_Ventana),ISNUMBER(Detalle_24m!AL$35)),Detalle_24m!AL$35,INDEX(Vol_V,22,AL$170)/12)*(1+V_dVol),0))</f>
        <v>0</v>
      </c>
      <c r="AM198" s="48">
        <f>IF(AM$8=1,N(Reales!AM33),IF(AM$171=1,IF(AND(AND(34&gt;Corte,34&lt;=Corte+n_Ventana),ISNUMBER(Detalle_24m!AM$35)),Detalle_24m!AM$35,INDEX(Vol_V,22,AM$170)/12)*(1+V_dVol),0))</f>
        <v>0</v>
      </c>
      <c r="AN198" s="48">
        <f>IF(AN$8=1,N(Reales!AN33),IF(AN$171=1,IF(AND(AND(35&gt;Corte,35&lt;=Corte+n_Ventana),ISNUMBER(Detalle_24m!AN$35)),Detalle_24m!AN$35,INDEX(Vol_V,22,AN$170)/12)*(1+V_dVol),0))</f>
        <v>0</v>
      </c>
      <c r="AO198" s="48">
        <f>IF(AO$8=1,N(Reales!AO33),IF(AO$171=1,IF(AND(AND(36&gt;Corte,36&lt;=Corte+n_Ventana),ISNUMBER(Detalle_24m!AO$35)),Detalle_24m!AO$35,INDEX(Vol_V,22,AO$170)/12)*(1+V_dVol),0))</f>
        <v>0</v>
      </c>
      <c r="AP198" s="48">
        <f>IF(AP$8=1,N(Reales!AP33),IF(AP$171=1,IF(AND(AND(37&gt;Corte,37&lt;=Corte+n_Ventana),ISNUMBER(Detalle_24m!AP$35)),Detalle_24m!AP$35,INDEX(Vol_V,22,AP$170)/12)*(1+V_dVol),0))</f>
        <v>0</v>
      </c>
      <c r="AQ198" s="48">
        <f>IF(AQ$8=1,N(Reales!AQ33),IF(AQ$171=1,IF(AND(AND(38&gt;Corte,38&lt;=Corte+n_Ventana),ISNUMBER(Detalle_24m!AQ$35)),Detalle_24m!AQ$35,INDEX(Vol_V,22,AQ$170)/12)*(1+V_dVol),0))</f>
        <v>0</v>
      </c>
      <c r="AR198" s="48">
        <f>IF(AR$8=1,N(Reales!AR33),IF(AR$171=1,IF(AND(AND(39&gt;Corte,39&lt;=Corte+n_Ventana),ISNUMBER(Detalle_24m!AR$35)),Detalle_24m!AR$35,INDEX(Vol_V,22,AR$170)/12)*(1+V_dVol),0))</f>
        <v>0</v>
      </c>
      <c r="AS198" s="48">
        <f>IF(AS$8=1,N(Reales!AS33),IF(AS$171=1,IF(AND(AND(40&gt;Corte,40&lt;=Corte+n_Ventana),ISNUMBER(Detalle_24m!AS$35)),Detalle_24m!AS$35,INDEX(Vol_V,22,AS$170)/12)*(1+V_dVol),0))</f>
        <v>0</v>
      </c>
      <c r="AT198" s="48">
        <f>IF(AT$8=1,N(Reales!AT33),IF(AT$171=1,IF(AND(AND(41&gt;Corte,41&lt;=Corte+n_Ventana),ISNUMBER(Detalle_24m!AT$35)),Detalle_24m!AT$35,INDEX(Vol_V,22,AT$170)/12)*(1+V_dVol),0))</f>
        <v>0</v>
      </c>
      <c r="AU198" s="48">
        <f>IF(AU$8=1,N(Reales!AU33),IF(AU$171=1,IF(AND(AND(42&gt;Corte,42&lt;=Corte+n_Ventana),ISNUMBER(Detalle_24m!AU$35)),Detalle_24m!AU$35,INDEX(Vol_V,22,AU$170)/12)*(1+V_dVol),0))</f>
        <v>0</v>
      </c>
      <c r="AV198" s="48">
        <f>IF(AV$8=1,N(Reales!AV33),IF(AV$171=1,IF(AND(AND(43&gt;Corte,43&lt;=Corte+n_Ventana),ISNUMBER(Detalle_24m!AV$35)),Detalle_24m!AV$35,INDEX(Vol_V,22,AV$170)/12)*(1+V_dVol),0))</f>
        <v>0</v>
      </c>
      <c r="AW198" s="48">
        <f>IF(AW$8=1,N(Reales!AW33),IF(AW$171=1,IF(AND(AND(44&gt;Corte,44&lt;=Corte+n_Ventana),ISNUMBER(Detalle_24m!AW$35)),Detalle_24m!AW$35,INDEX(Vol_V,22,AW$170)/12)*(1+V_dVol),0))</f>
        <v>0</v>
      </c>
      <c r="AX198" s="48">
        <f>IF(AX$8=1,N(Reales!AX33),IF(AX$171=1,IF(AND(AND(45&gt;Corte,45&lt;=Corte+n_Ventana),ISNUMBER(Detalle_24m!AX$35)),Detalle_24m!AX$35,INDEX(Vol_V,22,AX$170)/12)*(1+V_dVol),0))</f>
        <v>0</v>
      </c>
      <c r="AY198" s="48">
        <f>IF(AY$8=1,N(Reales!AY33),IF(AY$171=1,IF(AND(AND(46&gt;Corte,46&lt;=Corte+n_Ventana),ISNUMBER(Detalle_24m!AY$35)),Detalle_24m!AY$35,INDEX(Vol_V,22,AY$170)/12)*(1+V_dVol),0))</f>
        <v>0</v>
      </c>
      <c r="AZ198" s="48">
        <f>IF(AZ$8=1,N(Reales!AZ33),IF(AZ$171=1,IF(AND(AND(47&gt;Corte,47&lt;=Corte+n_Ventana),ISNUMBER(Detalle_24m!AZ$35)),Detalle_24m!AZ$35,INDEX(Vol_V,22,AZ$170)/12)*(1+V_dVol),0))</f>
        <v>0</v>
      </c>
      <c r="BA198" s="48">
        <f>IF(BA$8=1,N(Reales!BA33),IF(BA$171=1,IF(AND(AND(48&gt;Corte,48&lt;=Corte+n_Ventana),ISNUMBER(Detalle_24m!BA$35)),Detalle_24m!BA$35,INDEX(Vol_V,22,BA$170)/12)*(1+V_dVol),0))</f>
        <v>0</v>
      </c>
      <c r="BB198" s="48">
        <f>IF(BB$8=1,N(Reales!BB33),IF(BB$171=1,IF(AND(AND(49&gt;Corte,49&lt;=Corte+n_Ventana),ISNUMBER(Detalle_24m!BB$35)),Detalle_24m!BB$35,INDEX(Vol_V,22,BB$170)/12)*(1+V_dVol),0))</f>
        <v>0</v>
      </c>
      <c r="BC198" s="48">
        <f>IF(BC$8=1,N(Reales!BC33),IF(BC$171=1,IF(AND(AND(50&gt;Corte,50&lt;=Corte+n_Ventana),ISNUMBER(Detalle_24m!BC$35)),Detalle_24m!BC$35,INDEX(Vol_V,22,BC$170)/12)*(1+V_dVol),0))</f>
        <v>0</v>
      </c>
      <c r="BD198" s="48">
        <f>IF(BD$8=1,N(Reales!BD33),IF(BD$171=1,IF(AND(AND(51&gt;Corte,51&lt;=Corte+n_Ventana),ISNUMBER(Detalle_24m!BD$35)),Detalle_24m!BD$35,INDEX(Vol_V,22,BD$170)/12)*(1+V_dVol),0))</f>
        <v>0</v>
      </c>
      <c r="BE198" s="48">
        <f>IF(BE$8=1,N(Reales!BE33),IF(BE$171=1,IF(AND(AND(52&gt;Corte,52&lt;=Corte+n_Ventana),ISNUMBER(Detalle_24m!BE$35)),Detalle_24m!BE$35,INDEX(Vol_V,22,BE$170)/12)*(1+V_dVol),0))</f>
        <v>0</v>
      </c>
      <c r="BF198" s="48">
        <f>IF(BF$8=1,N(Reales!BF33),IF(BF$171=1,IF(AND(AND(53&gt;Corte,53&lt;=Corte+n_Ventana),ISNUMBER(Detalle_24m!BF$35)),Detalle_24m!BF$35,INDEX(Vol_V,22,BF$170)/12)*(1+V_dVol),0))</f>
        <v>0</v>
      </c>
      <c r="BG198" s="48">
        <f>IF(BG$8=1,N(Reales!BG33),IF(BG$171=1,IF(AND(AND(54&gt;Corte,54&lt;=Corte+n_Ventana),ISNUMBER(Detalle_24m!BG$35)),Detalle_24m!BG$35,INDEX(Vol_V,22,BG$170)/12)*(1+V_dVol),0))</f>
        <v>0</v>
      </c>
      <c r="BH198" s="48">
        <f>IF(BH$8=1,N(Reales!BH33),IF(BH$171=1,IF(AND(AND(55&gt;Corte,55&lt;=Corte+n_Ventana),ISNUMBER(Detalle_24m!BH$35)),Detalle_24m!BH$35,INDEX(Vol_V,22,BH$170)/12)*(1+V_dVol),0))</f>
        <v>0</v>
      </c>
      <c r="BI198" s="48">
        <f>IF(BI$8=1,N(Reales!BI33),IF(BI$171=1,IF(AND(AND(56&gt;Corte,56&lt;=Corte+n_Ventana),ISNUMBER(Detalle_24m!BI$35)),Detalle_24m!BI$35,INDEX(Vol_V,22,BI$170)/12)*(1+V_dVol),0))</f>
        <v>0</v>
      </c>
      <c r="BJ198" s="48">
        <f>IF(BJ$8=1,N(Reales!BJ33),IF(BJ$171=1,IF(AND(AND(57&gt;Corte,57&lt;=Corte+n_Ventana),ISNUMBER(Detalle_24m!BJ$35)),Detalle_24m!BJ$35,INDEX(Vol_V,22,BJ$170)/12)*(1+V_dVol),0))</f>
        <v>0</v>
      </c>
      <c r="BK198" s="48">
        <f>IF(BK$8=1,N(Reales!BK33),IF(BK$171=1,IF(AND(AND(58&gt;Corte,58&lt;=Corte+n_Ventana),ISNUMBER(Detalle_24m!BK$35)),Detalle_24m!BK$35,INDEX(Vol_V,22,BK$170)/12)*(1+V_dVol),0))</f>
        <v>0</v>
      </c>
      <c r="BL198" s="48">
        <f>IF(BL$8=1,N(Reales!BL33),IF(BL$171=1,IF(AND(AND(59&gt;Corte,59&lt;=Corte+n_Ventana),ISNUMBER(Detalle_24m!BL$35)),Detalle_24m!BL$35,INDEX(Vol_V,22,BL$170)/12)*(1+V_dVol),0))</f>
        <v>0</v>
      </c>
      <c r="BM198" s="48">
        <f>IF(BM$8=1,N(Reales!BM33),IF(BM$171=1,IF(AND(AND(60&gt;Corte,60&lt;=Corte+n_Ventana),ISNUMBER(Detalle_24m!BM$35)),Detalle_24m!BM$35,INDEX(Vol_V,22,BM$170)/12)*(1+V_dVol),0))</f>
        <v>0</v>
      </c>
      <c r="BN198" s="48">
        <f>IF(BN$8=1,N(Reales!BN33),IF(BN$171=1,IF(AND(AND(61&gt;Corte,61&lt;=Corte+n_Ventana),ISNUMBER(Detalle_24m!BN$35)),Detalle_24m!BN$35,INDEX(Vol_V,22,BN$170)/12)*(1+V_dVol),0))</f>
        <v>0</v>
      </c>
      <c r="BO198" s="48">
        <f>IF(BO$8=1,N(Reales!BO33),IF(BO$171=1,IF(AND(AND(62&gt;Corte,62&lt;=Corte+n_Ventana),ISNUMBER(Detalle_24m!BO$35)),Detalle_24m!BO$35,INDEX(Vol_V,22,BO$170)/12)*(1+V_dVol),0))</f>
        <v>0</v>
      </c>
      <c r="BP198" s="48">
        <f>IF(BP$8=1,N(Reales!BP33),IF(BP$171=1,IF(AND(AND(63&gt;Corte,63&lt;=Corte+n_Ventana),ISNUMBER(Detalle_24m!BP$35)),Detalle_24m!BP$35,INDEX(Vol_V,22,BP$170)/12)*(1+V_dVol),0))</f>
        <v>0</v>
      </c>
      <c r="BQ198" s="48">
        <f>IF(BQ$8=1,N(Reales!BQ33),IF(BQ$171=1,IF(AND(AND(64&gt;Corte,64&lt;=Corte+n_Ventana),ISNUMBER(Detalle_24m!BQ$35)),Detalle_24m!BQ$35,INDEX(Vol_V,22,BQ$170)/12)*(1+V_dVol),0))</f>
        <v>0</v>
      </c>
      <c r="BR198" s="48">
        <f>IF(BR$8=1,N(Reales!BR33),IF(BR$171=1,IF(AND(AND(65&gt;Corte,65&lt;=Corte+n_Ventana),ISNUMBER(Detalle_24m!BR$35)),Detalle_24m!BR$35,INDEX(Vol_V,22,BR$170)/12)*(1+V_dVol),0))</f>
        <v>0</v>
      </c>
      <c r="BS198" s="48">
        <f>IF(BS$8=1,N(Reales!BS33),IF(BS$171=1,IF(AND(AND(66&gt;Corte,66&lt;=Corte+n_Ventana),ISNUMBER(Detalle_24m!BS$35)),Detalle_24m!BS$35,INDEX(Vol_V,22,BS$170)/12)*(1+V_dVol),0))</f>
        <v>0</v>
      </c>
      <c r="BT198" s="48">
        <f>IF(BT$8=1,N(Reales!BT33),IF(BT$171=1,IF(AND(AND(67&gt;Corte,67&lt;=Corte+n_Ventana),ISNUMBER(Detalle_24m!BT$35)),Detalle_24m!BT$35,INDEX(Vol_V,22,BT$170)/12)*(1+V_dVol),0))</f>
        <v>0</v>
      </c>
      <c r="BU198" s="48">
        <f>IF(BU$8=1,N(Reales!BU33),IF(BU$171=1,IF(AND(AND(68&gt;Corte,68&lt;=Corte+n_Ventana),ISNUMBER(Detalle_24m!BU$35)),Detalle_24m!BU$35,INDEX(Vol_V,22,BU$170)/12)*(1+V_dVol),0))</f>
        <v>0</v>
      </c>
      <c r="BV198" s="48">
        <f>IF(BV$8=1,N(Reales!BV33),IF(BV$171=1,IF(AND(AND(69&gt;Corte,69&lt;=Corte+n_Ventana),ISNUMBER(Detalle_24m!BV$35)),Detalle_24m!BV$35,INDEX(Vol_V,22,BV$170)/12)*(1+V_dVol),0))</f>
        <v>0</v>
      </c>
      <c r="BW198" s="48">
        <f>IF(BW$8=1,N(Reales!BW33),IF(BW$171=1,IF(AND(AND(70&gt;Corte,70&lt;=Corte+n_Ventana),ISNUMBER(Detalle_24m!BW$35)),Detalle_24m!BW$35,INDEX(Vol_V,22,BW$170)/12)*(1+V_dVol),0))</f>
        <v>0</v>
      </c>
      <c r="BX198" s="48">
        <f>IF(BX$8=1,N(Reales!BX33),IF(BX$171=1,IF(AND(AND(71&gt;Corte,71&lt;=Corte+n_Ventana),ISNUMBER(Detalle_24m!BX$35)),Detalle_24m!BX$35,INDEX(Vol_V,22,BX$170)/12)*(1+V_dVol),0))</f>
        <v>0</v>
      </c>
      <c r="BY198" s="48">
        <f>IF(BY$8=1,N(Reales!BY33),IF(BY$171=1,IF(AND(AND(72&gt;Corte,72&lt;=Corte+n_Ventana),ISNUMBER(Detalle_24m!BY$35)),Detalle_24m!BY$35,INDEX(Vol_V,22,BY$170)/12)*(1+V_dVol),0))</f>
        <v>0</v>
      </c>
      <c r="BZ198" s="48">
        <f>IF(BZ$8=1,N(Reales!BZ33),IF(BZ$171=1,IF(AND(AND(73&gt;Corte,73&lt;=Corte+n_Ventana),ISNUMBER(Detalle_24m!BZ$35)),Detalle_24m!BZ$35,INDEX(Vol_V,22,BZ$170)/12)*(1+V_dVol),0))</f>
        <v>0</v>
      </c>
      <c r="CA198" s="48">
        <f>IF(CA$8=1,N(Reales!CA33),IF(CA$171=1,IF(AND(AND(74&gt;Corte,74&lt;=Corte+n_Ventana),ISNUMBER(Detalle_24m!CA$35)),Detalle_24m!CA$35,INDEX(Vol_V,22,CA$170)/12)*(1+V_dVol),0))</f>
        <v>0</v>
      </c>
      <c r="CB198" s="48">
        <f>IF(CB$8=1,N(Reales!CB33),IF(CB$171=1,IF(AND(AND(75&gt;Corte,75&lt;=Corte+n_Ventana),ISNUMBER(Detalle_24m!CB$35)),Detalle_24m!CB$35,INDEX(Vol_V,22,CB$170)/12)*(1+V_dVol),0))</f>
        <v>0</v>
      </c>
      <c r="CC198" s="48">
        <f>IF(CC$8=1,N(Reales!CC33),IF(CC$171=1,IF(AND(AND(76&gt;Corte,76&lt;=Corte+n_Ventana),ISNUMBER(Detalle_24m!CC$35)),Detalle_24m!CC$35,INDEX(Vol_V,22,CC$170)/12)*(1+V_dVol),0))</f>
        <v>0</v>
      </c>
      <c r="CD198" s="48">
        <f>IF(CD$8=1,N(Reales!CD33),IF(CD$171=1,IF(AND(AND(77&gt;Corte,77&lt;=Corte+n_Ventana),ISNUMBER(Detalle_24m!CD$35)),Detalle_24m!CD$35,INDEX(Vol_V,22,CD$170)/12)*(1+V_dVol),0))</f>
        <v>0</v>
      </c>
      <c r="CE198" s="48">
        <f>IF(CE$8=1,N(Reales!CE33),IF(CE$171=1,IF(AND(AND(78&gt;Corte,78&lt;=Corte+n_Ventana),ISNUMBER(Detalle_24m!CE$35)),Detalle_24m!CE$35,INDEX(Vol_V,22,CE$170)/12)*(1+V_dVol),0))</f>
        <v>0</v>
      </c>
      <c r="CF198" s="48">
        <f>IF(CF$8=1,N(Reales!CF33),IF(CF$171=1,IF(AND(AND(79&gt;Corte,79&lt;=Corte+n_Ventana),ISNUMBER(Detalle_24m!CF$35)),Detalle_24m!CF$35,INDEX(Vol_V,22,CF$170)/12)*(1+V_dVol),0))</f>
        <v>0</v>
      </c>
      <c r="CG198" s="48">
        <f>IF(CG$8=1,N(Reales!CG33),IF(CG$171=1,IF(AND(AND(80&gt;Corte,80&lt;=Corte+n_Ventana),ISNUMBER(Detalle_24m!CG$35)),Detalle_24m!CG$35,INDEX(Vol_V,22,CG$170)/12)*(1+V_dVol),0))</f>
        <v>0</v>
      </c>
      <c r="CH198" s="48">
        <f>IF(CH$8=1,N(Reales!CH33),IF(CH$171=1,IF(AND(AND(81&gt;Corte,81&lt;=Corte+n_Ventana),ISNUMBER(Detalle_24m!CH$35)),Detalle_24m!CH$35,INDEX(Vol_V,22,CH$170)/12)*(1+V_dVol),0))</f>
        <v>0</v>
      </c>
      <c r="CI198" s="48">
        <f>IF(CI$8=1,N(Reales!CI33),IF(CI$171=1,IF(AND(AND(82&gt;Corte,82&lt;=Corte+n_Ventana),ISNUMBER(Detalle_24m!CI$35)),Detalle_24m!CI$35,INDEX(Vol_V,22,CI$170)/12)*(1+V_dVol),0))</f>
        <v>0</v>
      </c>
      <c r="CJ198" s="48">
        <f>IF(CJ$8=1,N(Reales!CJ33),IF(CJ$171=1,IF(AND(AND(83&gt;Corte,83&lt;=Corte+n_Ventana),ISNUMBER(Detalle_24m!CJ$35)),Detalle_24m!CJ$35,INDEX(Vol_V,22,CJ$170)/12)*(1+V_dVol),0))</f>
        <v>0</v>
      </c>
      <c r="CK198" s="48">
        <f>IF(CK$8=1,N(Reales!CK33),IF(CK$171=1,IF(AND(AND(84&gt;Corte,84&lt;=Corte+n_Ventana),ISNUMBER(Detalle_24m!CK$35)),Detalle_24m!CK$35,INDEX(Vol_V,22,CK$170)/12)*(1+V_dVol),0))</f>
        <v>0</v>
      </c>
      <c r="CL198" s="48">
        <f>IF(CL$8=1,N(Reales!CL33),IF(CL$171=1,IF(AND(AND(85&gt;Corte,85&lt;=Corte+n_Ventana),ISNUMBER(Detalle_24m!CL$35)),Detalle_24m!CL$35,INDEX(Vol_V,22,CL$170)/12)*(1+V_dVol),0))</f>
        <v>0</v>
      </c>
      <c r="CM198" s="48">
        <f>IF(CM$8=1,N(Reales!CM33),IF(CM$171=1,IF(AND(AND(86&gt;Corte,86&lt;=Corte+n_Ventana),ISNUMBER(Detalle_24m!CM$35)),Detalle_24m!CM$35,INDEX(Vol_V,22,CM$170)/12)*(1+V_dVol),0))</f>
        <v>0</v>
      </c>
      <c r="CN198" s="48">
        <f>IF(CN$8=1,N(Reales!CN33),IF(CN$171=1,IF(AND(AND(87&gt;Corte,87&lt;=Corte+n_Ventana),ISNUMBER(Detalle_24m!CN$35)),Detalle_24m!CN$35,INDEX(Vol_V,22,CN$170)/12)*(1+V_dVol),0))</f>
        <v>0</v>
      </c>
      <c r="CO198" s="48">
        <f>IF(CO$8=1,N(Reales!CO33),IF(CO$171=1,IF(AND(AND(88&gt;Corte,88&lt;=Corte+n_Ventana),ISNUMBER(Detalle_24m!CO$35)),Detalle_24m!CO$35,INDEX(Vol_V,22,CO$170)/12)*(1+V_dVol),0))</f>
        <v>0</v>
      </c>
      <c r="CP198" s="48">
        <f>IF(CP$8=1,N(Reales!CP33),IF(CP$171=1,IF(AND(AND(89&gt;Corte,89&lt;=Corte+n_Ventana),ISNUMBER(Detalle_24m!CP$35)),Detalle_24m!CP$35,INDEX(Vol_V,22,CP$170)/12)*(1+V_dVol),0))</f>
        <v>0</v>
      </c>
      <c r="CQ198" s="48">
        <f>IF(CQ$8=1,N(Reales!CQ33),IF(CQ$171=1,IF(AND(AND(90&gt;Corte,90&lt;=Corte+n_Ventana),ISNUMBER(Detalle_24m!CQ$35)),Detalle_24m!CQ$35,INDEX(Vol_V,22,CQ$170)/12)*(1+V_dVol),0))</f>
        <v>0</v>
      </c>
      <c r="CR198" s="48">
        <f>IF(CR$8=1,N(Reales!CR33),IF(CR$171=1,IF(AND(AND(91&gt;Corte,91&lt;=Corte+n_Ventana),ISNUMBER(Detalle_24m!CR$35)),Detalle_24m!CR$35,INDEX(Vol_V,22,CR$170)/12)*(1+V_dVol),0))</f>
        <v>0</v>
      </c>
      <c r="CS198" s="48">
        <f>IF(CS$8=1,N(Reales!CS33),IF(CS$171=1,IF(AND(AND(92&gt;Corte,92&lt;=Corte+n_Ventana),ISNUMBER(Detalle_24m!CS$35)),Detalle_24m!CS$35,INDEX(Vol_V,22,CS$170)/12)*(1+V_dVol),0))</f>
        <v>0</v>
      </c>
      <c r="CT198" s="48">
        <f>IF(CT$8=1,N(Reales!CT33),IF(CT$171=1,IF(AND(AND(93&gt;Corte,93&lt;=Corte+n_Ventana),ISNUMBER(Detalle_24m!CT$35)),Detalle_24m!CT$35,INDEX(Vol_V,22,CT$170)/12)*(1+V_dVol),0))</f>
        <v>0</v>
      </c>
      <c r="CU198" s="48">
        <f>IF(CU$8=1,N(Reales!CU33),IF(CU$171=1,IF(AND(AND(94&gt;Corte,94&lt;=Corte+n_Ventana),ISNUMBER(Detalle_24m!CU$35)),Detalle_24m!CU$35,INDEX(Vol_V,22,CU$170)/12)*(1+V_dVol),0))</f>
        <v>0</v>
      </c>
      <c r="CV198" s="48">
        <f>IF(CV$8=1,N(Reales!CV33),IF(CV$171=1,IF(AND(AND(95&gt;Corte,95&lt;=Corte+n_Ventana),ISNUMBER(Detalle_24m!CV$35)),Detalle_24m!CV$35,INDEX(Vol_V,22,CV$170)/12)*(1+V_dVol),0))</f>
        <v>0</v>
      </c>
      <c r="CW198" s="48">
        <f>IF(CW$8=1,N(Reales!CW33),IF(CW$171=1,IF(AND(AND(96&gt;Corte,96&lt;=Corte+n_Ventana),ISNUMBER(Detalle_24m!CW$35)),Detalle_24m!CW$35,INDEX(Vol_V,22,CW$170)/12)*(1+V_dVol),0))</f>
        <v>0</v>
      </c>
      <c r="CX198" s="48">
        <f>IF(CX$8=1,N(Reales!CX33),IF(CX$171=1,IF(AND(AND(97&gt;Corte,97&lt;=Corte+n_Ventana),ISNUMBER(Detalle_24m!CX$35)),Detalle_24m!CX$35,INDEX(Vol_V,22,CX$170)/12)*(1+V_dVol),0))</f>
        <v>0</v>
      </c>
      <c r="CY198" s="48">
        <f>IF(CY$8=1,N(Reales!CY33),IF(CY$171=1,IF(AND(AND(98&gt;Corte,98&lt;=Corte+n_Ventana),ISNUMBER(Detalle_24m!CY$35)),Detalle_24m!CY$35,INDEX(Vol_V,22,CY$170)/12)*(1+V_dVol),0))</f>
        <v>0</v>
      </c>
      <c r="CZ198" s="48">
        <f>IF(CZ$8=1,N(Reales!CZ33),IF(CZ$171=1,IF(AND(AND(99&gt;Corte,99&lt;=Corte+n_Ventana),ISNUMBER(Detalle_24m!CZ$35)),Detalle_24m!CZ$35,INDEX(Vol_V,22,CZ$170)/12)*(1+V_dVol),0))</f>
        <v>0</v>
      </c>
      <c r="DA198" s="48">
        <f>IF(DA$8=1,N(Reales!DA33),IF(DA$171=1,IF(AND(AND(100&gt;Corte,100&lt;=Corte+n_Ventana),ISNUMBER(Detalle_24m!DA$35)),Detalle_24m!DA$35,INDEX(Vol_V,22,DA$170)/12)*(1+V_dVol),0))</f>
        <v>0</v>
      </c>
      <c r="DB198" s="48">
        <f>IF(DB$8=1,N(Reales!DB33),IF(DB$171=1,IF(AND(AND(101&gt;Corte,101&lt;=Corte+n_Ventana),ISNUMBER(Detalle_24m!DB$35)),Detalle_24m!DB$35,INDEX(Vol_V,22,DB$170)/12)*(1+V_dVol),0))</f>
        <v>0</v>
      </c>
      <c r="DC198" s="48">
        <f>IF(DC$8=1,N(Reales!DC33),IF(DC$171=1,IF(AND(AND(102&gt;Corte,102&lt;=Corte+n_Ventana),ISNUMBER(Detalle_24m!DC$35)),Detalle_24m!DC$35,INDEX(Vol_V,22,DC$170)/12)*(1+V_dVol),0))</f>
        <v>0</v>
      </c>
      <c r="DD198" s="48">
        <f>IF(DD$8=1,N(Reales!DD33),IF(DD$171=1,IF(AND(AND(103&gt;Corte,103&lt;=Corte+n_Ventana),ISNUMBER(Detalle_24m!DD$35)),Detalle_24m!DD$35,INDEX(Vol_V,22,DD$170)/12)*(1+V_dVol),0))</f>
        <v>0</v>
      </c>
      <c r="DE198" s="48">
        <f>IF(DE$8=1,N(Reales!DE33),IF(DE$171=1,IF(AND(AND(104&gt;Corte,104&lt;=Corte+n_Ventana),ISNUMBER(Detalle_24m!DE$35)),Detalle_24m!DE$35,INDEX(Vol_V,22,DE$170)/12)*(1+V_dVol),0))</f>
        <v>0</v>
      </c>
      <c r="DF198" s="48">
        <f>IF(DF$8=1,N(Reales!DF33),IF(DF$171=1,IF(AND(AND(105&gt;Corte,105&lt;=Corte+n_Ventana),ISNUMBER(Detalle_24m!DF$35)),Detalle_24m!DF$35,INDEX(Vol_V,22,DF$170)/12)*(1+V_dVol),0))</f>
        <v>0</v>
      </c>
      <c r="DG198" s="48">
        <f>IF(DG$8=1,N(Reales!DG33),IF(DG$171=1,IF(AND(AND(106&gt;Corte,106&lt;=Corte+n_Ventana),ISNUMBER(Detalle_24m!DG$35)),Detalle_24m!DG$35,INDEX(Vol_V,22,DG$170)/12)*(1+V_dVol),0))</f>
        <v>0</v>
      </c>
      <c r="DH198" s="48">
        <f>IF(DH$8=1,N(Reales!DH33),IF(DH$171=1,IF(AND(AND(107&gt;Corte,107&lt;=Corte+n_Ventana),ISNUMBER(Detalle_24m!DH$35)),Detalle_24m!DH$35,INDEX(Vol_V,22,DH$170)/12)*(1+V_dVol),0))</f>
        <v>0</v>
      </c>
      <c r="DI198" s="48">
        <f>IF(DI$8=1,N(Reales!DI33),IF(DI$171=1,IF(AND(AND(108&gt;Corte,108&lt;=Corte+n_Ventana),ISNUMBER(Detalle_24m!DI$35)),Detalle_24m!DI$35,INDEX(Vol_V,22,DI$170)/12)*(1+V_dVol),0))</f>
        <v>0</v>
      </c>
      <c r="DJ198" s="48">
        <f>IF(DJ$8=1,N(Reales!DJ33),IF(DJ$171=1,IF(AND(AND(109&gt;Corte,109&lt;=Corte+n_Ventana),ISNUMBER(Detalle_24m!DJ$35)),Detalle_24m!DJ$35,INDEX(Vol_V,22,DJ$170)/12)*(1+V_dVol),0))</f>
        <v>0</v>
      </c>
      <c r="DK198" s="48">
        <f>IF(DK$8=1,N(Reales!DK33),IF(DK$171=1,IF(AND(AND(110&gt;Corte,110&lt;=Corte+n_Ventana),ISNUMBER(Detalle_24m!DK$35)),Detalle_24m!DK$35,INDEX(Vol_V,22,DK$170)/12)*(1+V_dVol),0))</f>
        <v>0</v>
      </c>
      <c r="DL198" s="48">
        <f>IF(DL$8=1,N(Reales!DL33),IF(DL$171=1,IF(AND(AND(111&gt;Corte,111&lt;=Corte+n_Ventana),ISNUMBER(Detalle_24m!DL$35)),Detalle_24m!DL$35,INDEX(Vol_V,22,DL$170)/12)*(1+V_dVol),0))</f>
        <v>0</v>
      </c>
      <c r="DM198" s="48">
        <f>IF(DM$8=1,N(Reales!DM33),IF(DM$171=1,IF(AND(AND(112&gt;Corte,112&lt;=Corte+n_Ventana),ISNUMBER(Detalle_24m!DM$35)),Detalle_24m!DM$35,INDEX(Vol_V,22,DM$170)/12)*(1+V_dVol),0))</f>
        <v>0</v>
      </c>
      <c r="DN198" s="48">
        <f>IF(DN$8=1,N(Reales!DN33),IF(DN$171=1,IF(AND(AND(113&gt;Corte,113&lt;=Corte+n_Ventana),ISNUMBER(Detalle_24m!DN$35)),Detalle_24m!DN$35,INDEX(Vol_V,22,DN$170)/12)*(1+V_dVol),0))</f>
        <v>0</v>
      </c>
      <c r="DO198" s="48">
        <f>IF(DO$8=1,N(Reales!DO33),IF(DO$171=1,IF(AND(AND(114&gt;Corte,114&lt;=Corte+n_Ventana),ISNUMBER(Detalle_24m!DO$35)),Detalle_24m!DO$35,INDEX(Vol_V,22,DO$170)/12)*(1+V_dVol),0))</f>
        <v>0</v>
      </c>
      <c r="DP198" s="48">
        <f>IF(DP$8=1,N(Reales!DP33),IF(DP$171=1,IF(AND(AND(115&gt;Corte,115&lt;=Corte+n_Ventana),ISNUMBER(Detalle_24m!DP$35)),Detalle_24m!DP$35,INDEX(Vol_V,22,DP$170)/12)*(1+V_dVol),0))</f>
        <v>0</v>
      </c>
      <c r="DQ198" s="48">
        <f>IF(DQ$8=1,N(Reales!DQ33),IF(DQ$171=1,IF(AND(AND(116&gt;Corte,116&lt;=Corte+n_Ventana),ISNUMBER(Detalle_24m!DQ$35)),Detalle_24m!DQ$35,INDEX(Vol_V,22,DQ$170)/12)*(1+V_dVol),0))</f>
        <v>0</v>
      </c>
      <c r="DR198" s="48">
        <f>IF(DR$8=1,N(Reales!DR33),IF(DR$171=1,IF(AND(AND(117&gt;Corte,117&lt;=Corte+n_Ventana),ISNUMBER(Detalle_24m!DR$35)),Detalle_24m!DR$35,INDEX(Vol_V,22,DR$170)/12)*(1+V_dVol),0))</f>
        <v>0</v>
      </c>
      <c r="DS198" s="48">
        <f>IF(DS$8=1,N(Reales!DS33),IF(DS$171=1,IF(AND(AND(118&gt;Corte,118&lt;=Corte+n_Ventana),ISNUMBER(Detalle_24m!DS$35)),Detalle_24m!DS$35,INDEX(Vol_V,22,DS$170)/12)*(1+V_dVol),0))</f>
        <v>0</v>
      </c>
      <c r="DT198" s="48">
        <f>IF(DT$8=1,N(Reales!DT33),IF(DT$171=1,IF(AND(AND(119&gt;Corte,119&lt;=Corte+n_Ventana),ISNUMBER(Detalle_24m!DT$35)),Detalle_24m!DT$35,INDEX(Vol_V,22,DT$170)/12)*(1+V_dVol),0))</f>
        <v>0</v>
      </c>
      <c r="DU198" s="48">
        <f>IF(DU$8=1,N(Reales!DU33),IF(DU$171=1,IF(AND(AND(120&gt;Corte,120&lt;=Corte+n_Ventana),ISNUMBER(Detalle_24m!DU$35)),Detalle_24m!DU$35,INDEX(Vol_V,22,DU$170)/12)*(1+V_dVol),0))</f>
        <v>0</v>
      </c>
      <c r="DV198" s="48">
        <f>IF(DV$8=1,N(Reales!DV33),IF(DV$171=1,IF(AND(AND(121&gt;Corte,121&lt;=Corte+n_Ventana),ISNUMBER(Detalle_24m!DV$35)),Detalle_24m!DV$35,INDEX(Vol_V,22,DV$170)/12)*(1+V_dVol),0))</f>
        <v>0</v>
      </c>
      <c r="DW198" s="48">
        <f>IF(DW$8=1,N(Reales!DW33),IF(DW$171=1,IF(AND(AND(122&gt;Corte,122&lt;=Corte+n_Ventana),ISNUMBER(Detalle_24m!DW$35)),Detalle_24m!DW$35,INDEX(Vol_V,22,DW$170)/12)*(1+V_dVol),0))</f>
        <v>0</v>
      </c>
      <c r="DX198" s="48">
        <f>IF(DX$8=1,N(Reales!DX33),IF(DX$171=1,IF(AND(AND(123&gt;Corte,123&lt;=Corte+n_Ventana),ISNUMBER(Detalle_24m!DX$35)),Detalle_24m!DX$35,INDEX(Vol_V,22,DX$170)/12)*(1+V_dVol),0))</f>
        <v>0</v>
      </c>
      <c r="DY198" s="48">
        <f>IF(DY$8=1,N(Reales!DY33),IF(DY$171=1,IF(AND(AND(124&gt;Corte,124&lt;=Corte+n_Ventana),ISNUMBER(Detalle_24m!DY$35)),Detalle_24m!DY$35,INDEX(Vol_V,22,DY$170)/12)*(1+V_dVol),0))</f>
        <v>0</v>
      </c>
      <c r="DZ198" s="48">
        <f>IF(DZ$8=1,N(Reales!DZ33),IF(DZ$171=1,IF(AND(AND(125&gt;Corte,125&lt;=Corte+n_Ventana),ISNUMBER(Detalle_24m!DZ$35)),Detalle_24m!DZ$35,INDEX(Vol_V,22,DZ$170)/12)*(1+V_dVol),0))</f>
        <v>0</v>
      </c>
      <c r="EA198" s="48">
        <f>IF(EA$8=1,N(Reales!EA33),IF(EA$171=1,IF(AND(AND(126&gt;Corte,126&lt;=Corte+n_Ventana),ISNUMBER(Detalle_24m!EA$35)),Detalle_24m!EA$35,INDEX(Vol_V,22,EA$170)/12)*(1+V_dVol),0))</f>
        <v>0</v>
      </c>
      <c r="EB198" s="48">
        <f>IF(EB$8=1,N(Reales!EB33),IF(EB$171=1,IF(AND(AND(127&gt;Corte,127&lt;=Corte+n_Ventana),ISNUMBER(Detalle_24m!EB$35)),Detalle_24m!EB$35,INDEX(Vol_V,22,EB$170)/12)*(1+V_dVol),0))</f>
        <v>0</v>
      </c>
      <c r="EC198" s="48">
        <f>IF(EC$8=1,N(Reales!EC33),IF(EC$171=1,IF(AND(AND(128&gt;Corte,128&lt;=Corte+n_Ventana),ISNUMBER(Detalle_24m!EC$35)),Detalle_24m!EC$35,INDEX(Vol_V,22,EC$170)/12)*(1+V_dVol),0))</f>
        <v>0</v>
      </c>
      <c r="ED198" s="48">
        <f>IF(ED$8=1,N(Reales!ED33),IF(ED$171=1,IF(AND(AND(129&gt;Corte,129&lt;=Corte+n_Ventana),ISNUMBER(Detalle_24m!ED$35)),Detalle_24m!ED$35,INDEX(Vol_V,22,ED$170)/12)*(1+V_dVol),0))</f>
        <v>0</v>
      </c>
      <c r="EE198" s="48">
        <f>IF(EE$8=1,N(Reales!EE33),IF(EE$171=1,IF(AND(AND(130&gt;Corte,130&lt;=Corte+n_Ventana),ISNUMBER(Detalle_24m!EE$35)),Detalle_24m!EE$35,INDEX(Vol_V,22,EE$170)/12)*(1+V_dVol),0))</f>
        <v>0</v>
      </c>
      <c r="EF198" s="48">
        <f>IF(EF$8=1,N(Reales!EF33),IF(EF$171=1,IF(AND(AND(131&gt;Corte,131&lt;=Corte+n_Ventana),ISNUMBER(Detalle_24m!EF$35)),Detalle_24m!EF$35,INDEX(Vol_V,22,EF$170)/12)*(1+V_dVol),0))</f>
        <v>0</v>
      </c>
      <c r="EG198" s="48">
        <f>IF(EG$8=1,N(Reales!EG33),IF(EG$171=1,IF(AND(AND(132&gt;Corte,132&lt;=Corte+n_Ventana),ISNUMBER(Detalle_24m!EG$35)),Detalle_24m!EG$35,INDEX(Vol_V,22,EG$170)/12)*(1+V_dVol),0))</f>
        <v>0</v>
      </c>
      <c r="EH198" s="48">
        <f>IF(EH$8=1,N(Reales!EH33),IF(EH$171=1,IF(AND(AND(133&gt;Corte,133&lt;=Corte+n_Ventana),ISNUMBER(Detalle_24m!EH$35)),Detalle_24m!EH$35,INDEX(Vol_V,22,EH$170)/12)*(1+V_dVol),0))</f>
        <v>0</v>
      </c>
      <c r="EI198" s="48">
        <f>IF(EI$8=1,N(Reales!EI33),IF(EI$171=1,IF(AND(AND(134&gt;Corte,134&lt;=Corte+n_Ventana),ISNUMBER(Detalle_24m!EI$35)),Detalle_24m!EI$35,INDEX(Vol_V,22,EI$170)/12)*(1+V_dVol),0))</f>
        <v>0</v>
      </c>
      <c r="EJ198" s="48">
        <f>IF(EJ$8=1,N(Reales!EJ33),IF(EJ$171=1,IF(AND(AND(135&gt;Corte,135&lt;=Corte+n_Ventana),ISNUMBER(Detalle_24m!EJ$35)),Detalle_24m!EJ$35,INDEX(Vol_V,22,EJ$170)/12)*(1+V_dVol),0))</f>
        <v>0</v>
      </c>
      <c r="EK198" s="48">
        <f>IF(EK$8=1,N(Reales!EK33),IF(EK$171=1,IF(AND(AND(136&gt;Corte,136&lt;=Corte+n_Ventana),ISNUMBER(Detalle_24m!EK$35)),Detalle_24m!EK$35,INDEX(Vol_V,22,EK$170)/12)*(1+V_dVol),0))</f>
        <v>0</v>
      </c>
      <c r="EL198" s="48">
        <f>IF(EL$8=1,N(Reales!EL33),IF(EL$171=1,IF(AND(AND(137&gt;Corte,137&lt;=Corte+n_Ventana),ISNUMBER(Detalle_24m!EL$35)),Detalle_24m!EL$35,INDEX(Vol_V,22,EL$170)/12)*(1+V_dVol),0))</f>
        <v>0</v>
      </c>
      <c r="EM198" s="48">
        <f>IF(EM$8=1,N(Reales!EM33),IF(EM$171=1,IF(AND(AND(138&gt;Corte,138&lt;=Corte+n_Ventana),ISNUMBER(Detalle_24m!EM$35)),Detalle_24m!EM$35,INDEX(Vol_V,22,EM$170)/12)*(1+V_dVol),0))</f>
        <v>0</v>
      </c>
      <c r="EN198" s="48">
        <f>IF(EN$8=1,N(Reales!EN33),IF(EN$171=1,IF(AND(AND(139&gt;Corte,139&lt;=Corte+n_Ventana),ISNUMBER(Detalle_24m!EN$35)),Detalle_24m!EN$35,INDEX(Vol_V,22,EN$170)/12)*(1+V_dVol),0))</f>
        <v>0</v>
      </c>
      <c r="EO198" s="48">
        <f>IF(EO$8=1,N(Reales!EO33),IF(EO$171=1,IF(AND(AND(140&gt;Corte,140&lt;=Corte+n_Ventana),ISNUMBER(Detalle_24m!EO$35)),Detalle_24m!EO$35,INDEX(Vol_V,22,EO$170)/12)*(1+V_dVol),0))</f>
        <v>0</v>
      </c>
      <c r="EP198" s="48">
        <f>IF(EP$8=1,N(Reales!EP33),IF(EP$171=1,IF(AND(AND(141&gt;Corte,141&lt;=Corte+n_Ventana),ISNUMBER(Detalle_24m!EP$35)),Detalle_24m!EP$35,INDEX(Vol_V,22,EP$170)/12)*(1+V_dVol),0))</f>
        <v>0</v>
      </c>
      <c r="EQ198" s="48">
        <f>IF(EQ$8=1,N(Reales!EQ33),IF(EQ$171=1,IF(AND(AND(142&gt;Corte,142&lt;=Corte+n_Ventana),ISNUMBER(Detalle_24m!EQ$35)),Detalle_24m!EQ$35,INDEX(Vol_V,22,EQ$170)/12)*(1+V_dVol),0))</f>
        <v>0</v>
      </c>
      <c r="ER198" s="48">
        <f>IF(ER$8=1,N(Reales!ER33),IF(ER$171=1,IF(AND(AND(143&gt;Corte,143&lt;=Corte+n_Ventana),ISNUMBER(Detalle_24m!ER$35)),Detalle_24m!ER$35,INDEX(Vol_V,22,ER$170)/12)*(1+V_dVol),0))</f>
        <v>0</v>
      </c>
      <c r="ES198" s="48">
        <f>IF(ES$8=1,N(Reales!ES33),IF(ES$171=1,IF(AND(AND(144&gt;Corte,144&lt;=Corte+n_Ventana),ISNUMBER(Detalle_24m!ES$35)),Detalle_24m!ES$35,INDEX(Vol_V,22,ES$170)/12)*(1+V_dVol),0))</f>
        <v>0</v>
      </c>
    </row>
    <row r="199" spans="1:149" x14ac:dyDescent="0.3">
      <c r="A199" s="14" t="s">
        <v>1254</v>
      </c>
      <c r="B199" s="53" t="str">
        <f>IF(INDEX(Prod_Nombre,23)="","Producto 23",INDEX(Prod_Nombre,23))&amp;" — unidades"</f>
        <v>Producto 23 — unidades</v>
      </c>
      <c r="C199" s="18" t="s">
        <v>475</v>
      </c>
      <c r="E199" s="54">
        <f t="shared" si="604"/>
        <v>0</v>
      </c>
      <c r="F199" s="48">
        <f>IF(F$8=1,N(Reales!F34),IF(F$171=1,IF(AND(AND(1&gt;Corte,1&lt;=Corte+n_Ventana),ISNUMBER(Detalle_24m!F$36)),Detalle_24m!F$36,INDEX(Vol_V,23,F$170)/12)*(1+V_dVol),0))</f>
        <v>0</v>
      </c>
      <c r="G199" s="48">
        <f>IF(G$8=1,N(Reales!G34),IF(G$171=1,IF(AND(AND(2&gt;Corte,2&lt;=Corte+n_Ventana),ISNUMBER(Detalle_24m!G$36)),Detalle_24m!G$36,INDEX(Vol_V,23,G$170)/12)*(1+V_dVol),0))</f>
        <v>0</v>
      </c>
      <c r="H199" s="48">
        <f>IF(H$8=1,N(Reales!H34),IF(H$171=1,IF(AND(AND(3&gt;Corte,3&lt;=Corte+n_Ventana),ISNUMBER(Detalle_24m!H$36)),Detalle_24m!H$36,INDEX(Vol_V,23,H$170)/12)*(1+V_dVol),0))</f>
        <v>0</v>
      </c>
      <c r="I199" s="48">
        <f>IF(I$8=1,N(Reales!I34),IF(I$171=1,IF(AND(AND(4&gt;Corte,4&lt;=Corte+n_Ventana),ISNUMBER(Detalle_24m!I$36)),Detalle_24m!I$36,INDEX(Vol_V,23,I$170)/12)*(1+V_dVol),0))</f>
        <v>0</v>
      </c>
      <c r="J199" s="48">
        <f>IF(J$8=1,N(Reales!J34),IF(J$171=1,IF(AND(AND(5&gt;Corte,5&lt;=Corte+n_Ventana),ISNUMBER(Detalle_24m!J$36)),Detalle_24m!J$36,INDEX(Vol_V,23,J$170)/12)*(1+V_dVol),0))</f>
        <v>0</v>
      </c>
      <c r="K199" s="48">
        <f>IF(K$8=1,N(Reales!K34),IF(K$171=1,IF(AND(AND(6&gt;Corte,6&lt;=Corte+n_Ventana),ISNUMBER(Detalle_24m!K$36)),Detalle_24m!K$36,INDEX(Vol_V,23,K$170)/12)*(1+V_dVol),0))</f>
        <v>0</v>
      </c>
      <c r="L199" s="48">
        <f>IF(L$8=1,N(Reales!L34),IF(L$171=1,IF(AND(AND(7&gt;Corte,7&lt;=Corte+n_Ventana),ISNUMBER(Detalle_24m!L$36)),Detalle_24m!L$36,INDEX(Vol_V,23,L$170)/12)*(1+V_dVol),0))</f>
        <v>0</v>
      </c>
      <c r="M199" s="48">
        <f>IF(M$8=1,N(Reales!M34),IF(M$171=1,IF(AND(AND(8&gt;Corte,8&lt;=Corte+n_Ventana),ISNUMBER(Detalle_24m!M$36)),Detalle_24m!M$36,INDEX(Vol_V,23,M$170)/12)*(1+V_dVol),0))</f>
        <v>0</v>
      </c>
      <c r="N199" s="48">
        <f>IF(N$8=1,N(Reales!N34),IF(N$171=1,IF(AND(AND(9&gt;Corte,9&lt;=Corte+n_Ventana),ISNUMBER(Detalle_24m!N$36)),Detalle_24m!N$36,INDEX(Vol_V,23,N$170)/12)*(1+V_dVol),0))</f>
        <v>0</v>
      </c>
      <c r="O199" s="48">
        <f>IF(O$8=1,N(Reales!O34),IF(O$171=1,IF(AND(AND(10&gt;Corte,10&lt;=Corte+n_Ventana),ISNUMBER(Detalle_24m!O$36)),Detalle_24m!O$36,INDEX(Vol_V,23,O$170)/12)*(1+V_dVol),0))</f>
        <v>0</v>
      </c>
      <c r="P199" s="48">
        <f>IF(P$8=1,N(Reales!P34),IF(P$171=1,IF(AND(AND(11&gt;Corte,11&lt;=Corte+n_Ventana),ISNUMBER(Detalle_24m!P$36)),Detalle_24m!P$36,INDEX(Vol_V,23,P$170)/12)*(1+V_dVol),0))</f>
        <v>0</v>
      </c>
      <c r="Q199" s="48">
        <f>IF(Q$8=1,N(Reales!Q34),IF(Q$171=1,IF(AND(AND(12&gt;Corte,12&lt;=Corte+n_Ventana),ISNUMBER(Detalle_24m!Q$36)),Detalle_24m!Q$36,INDEX(Vol_V,23,Q$170)/12)*(1+V_dVol),0))</f>
        <v>0</v>
      </c>
      <c r="R199" s="48">
        <f>IF(R$8=1,N(Reales!R34),IF(R$171=1,IF(AND(AND(13&gt;Corte,13&lt;=Corte+n_Ventana),ISNUMBER(Detalle_24m!R$36)),Detalle_24m!R$36,INDEX(Vol_V,23,R$170)/12)*(1+V_dVol),0))</f>
        <v>0</v>
      </c>
      <c r="S199" s="48">
        <f>IF(S$8=1,N(Reales!S34),IF(S$171=1,IF(AND(AND(14&gt;Corte,14&lt;=Corte+n_Ventana),ISNUMBER(Detalle_24m!S$36)),Detalle_24m!S$36,INDEX(Vol_V,23,S$170)/12)*(1+V_dVol),0))</f>
        <v>0</v>
      </c>
      <c r="T199" s="48">
        <f>IF(T$8=1,N(Reales!T34),IF(T$171=1,IF(AND(AND(15&gt;Corte,15&lt;=Corte+n_Ventana),ISNUMBER(Detalle_24m!T$36)),Detalle_24m!T$36,INDEX(Vol_V,23,T$170)/12)*(1+V_dVol),0))</f>
        <v>0</v>
      </c>
      <c r="U199" s="48">
        <f>IF(U$8=1,N(Reales!U34),IF(U$171=1,IF(AND(AND(16&gt;Corte,16&lt;=Corte+n_Ventana),ISNUMBER(Detalle_24m!U$36)),Detalle_24m!U$36,INDEX(Vol_V,23,U$170)/12)*(1+V_dVol),0))</f>
        <v>0</v>
      </c>
      <c r="V199" s="48">
        <f>IF(V$8=1,N(Reales!V34),IF(V$171=1,IF(AND(AND(17&gt;Corte,17&lt;=Corte+n_Ventana),ISNUMBER(Detalle_24m!V$36)),Detalle_24m!V$36,INDEX(Vol_V,23,V$170)/12)*(1+V_dVol),0))</f>
        <v>0</v>
      </c>
      <c r="W199" s="48">
        <f>IF(W$8=1,N(Reales!W34),IF(W$171=1,IF(AND(AND(18&gt;Corte,18&lt;=Corte+n_Ventana),ISNUMBER(Detalle_24m!W$36)),Detalle_24m!W$36,INDEX(Vol_V,23,W$170)/12)*(1+V_dVol),0))</f>
        <v>0</v>
      </c>
      <c r="X199" s="48">
        <f>IF(X$8=1,N(Reales!X34),IF(X$171=1,IF(AND(AND(19&gt;Corte,19&lt;=Corte+n_Ventana),ISNUMBER(Detalle_24m!X$36)),Detalle_24m!X$36,INDEX(Vol_V,23,X$170)/12)*(1+V_dVol),0))</f>
        <v>0</v>
      </c>
      <c r="Y199" s="48">
        <f>IF(Y$8=1,N(Reales!Y34),IF(Y$171=1,IF(AND(AND(20&gt;Corte,20&lt;=Corte+n_Ventana),ISNUMBER(Detalle_24m!Y$36)),Detalle_24m!Y$36,INDEX(Vol_V,23,Y$170)/12)*(1+V_dVol),0))</f>
        <v>0</v>
      </c>
      <c r="Z199" s="48">
        <f>IF(Z$8=1,N(Reales!Z34),IF(Z$171=1,IF(AND(AND(21&gt;Corte,21&lt;=Corte+n_Ventana),ISNUMBER(Detalle_24m!Z$36)),Detalle_24m!Z$36,INDEX(Vol_V,23,Z$170)/12)*(1+V_dVol),0))</f>
        <v>0</v>
      </c>
      <c r="AA199" s="48">
        <f>IF(AA$8=1,N(Reales!AA34),IF(AA$171=1,IF(AND(AND(22&gt;Corte,22&lt;=Corte+n_Ventana),ISNUMBER(Detalle_24m!AA$36)),Detalle_24m!AA$36,INDEX(Vol_V,23,AA$170)/12)*(1+V_dVol),0))</f>
        <v>0</v>
      </c>
      <c r="AB199" s="48">
        <f>IF(AB$8=1,N(Reales!AB34),IF(AB$171=1,IF(AND(AND(23&gt;Corte,23&lt;=Corte+n_Ventana),ISNUMBER(Detalle_24m!AB$36)),Detalle_24m!AB$36,INDEX(Vol_V,23,AB$170)/12)*(1+V_dVol),0))</f>
        <v>0</v>
      </c>
      <c r="AC199" s="48">
        <f>IF(AC$8=1,N(Reales!AC34),IF(AC$171=1,IF(AND(AND(24&gt;Corte,24&lt;=Corte+n_Ventana),ISNUMBER(Detalle_24m!AC$36)),Detalle_24m!AC$36,INDEX(Vol_V,23,AC$170)/12)*(1+V_dVol),0))</f>
        <v>0</v>
      </c>
      <c r="AD199" s="48">
        <f>IF(AD$8=1,N(Reales!AD34),IF(AD$171=1,IF(AND(AND(25&gt;Corte,25&lt;=Corte+n_Ventana),ISNUMBER(Detalle_24m!AD$36)),Detalle_24m!AD$36,INDEX(Vol_V,23,AD$170)/12)*(1+V_dVol),0))</f>
        <v>0</v>
      </c>
      <c r="AE199" s="48">
        <f>IF(AE$8=1,N(Reales!AE34),IF(AE$171=1,IF(AND(AND(26&gt;Corte,26&lt;=Corte+n_Ventana),ISNUMBER(Detalle_24m!AE$36)),Detalle_24m!AE$36,INDEX(Vol_V,23,AE$170)/12)*(1+V_dVol),0))</f>
        <v>0</v>
      </c>
      <c r="AF199" s="48">
        <f>IF(AF$8=1,N(Reales!AF34),IF(AF$171=1,IF(AND(AND(27&gt;Corte,27&lt;=Corte+n_Ventana),ISNUMBER(Detalle_24m!AF$36)),Detalle_24m!AF$36,INDEX(Vol_V,23,AF$170)/12)*(1+V_dVol),0))</f>
        <v>0</v>
      </c>
      <c r="AG199" s="48">
        <f>IF(AG$8=1,N(Reales!AG34),IF(AG$171=1,IF(AND(AND(28&gt;Corte,28&lt;=Corte+n_Ventana),ISNUMBER(Detalle_24m!AG$36)),Detalle_24m!AG$36,INDEX(Vol_V,23,AG$170)/12)*(1+V_dVol),0))</f>
        <v>0</v>
      </c>
      <c r="AH199" s="48">
        <f>IF(AH$8=1,N(Reales!AH34),IF(AH$171=1,IF(AND(AND(29&gt;Corte,29&lt;=Corte+n_Ventana),ISNUMBER(Detalle_24m!AH$36)),Detalle_24m!AH$36,INDEX(Vol_V,23,AH$170)/12)*(1+V_dVol),0))</f>
        <v>0</v>
      </c>
      <c r="AI199" s="48">
        <f>IF(AI$8=1,N(Reales!AI34),IF(AI$171=1,IF(AND(AND(30&gt;Corte,30&lt;=Corte+n_Ventana),ISNUMBER(Detalle_24m!AI$36)),Detalle_24m!AI$36,INDEX(Vol_V,23,AI$170)/12)*(1+V_dVol),0))</f>
        <v>0</v>
      </c>
      <c r="AJ199" s="48">
        <f>IF(AJ$8=1,N(Reales!AJ34),IF(AJ$171=1,IF(AND(AND(31&gt;Corte,31&lt;=Corte+n_Ventana),ISNUMBER(Detalle_24m!AJ$36)),Detalle_24m!AJ$36,INDEX(Vol_V,23,AJ$170)/12)*(1+V_dVol),0))</f>
        <v>0</v>
      </c>
      <c r="AK199" s="48">
        <f>IF(AK$8=1,N(Reales!AK34),IF(AK$171=1,IF(AND(AND(32&gt;Corte,32&lt;=Corte+n_Ventana),ISNUMBER(Detalle_24m!AK$36)),Detalle_24m!AK$36,INDEX(Vol_V,23,AK$170)/12)*(1+V_dVol),0))</f>
        <v>0</v>
      </c>
      <c r="AL199" s="48">
        <f>IF(AL$8=1,N(Reales!AL34),IF(AL$171=1,IF(AND(AND(33&gt;Corte,33&lt;=Corte+n_Ventana),ISNUMBER(Detalle_24m!AL$36)),Detalle_24m!AL$36,INDEX(Vol_V,23,AL$170)/12)*(1+V_dVol),0))</f>
        <v>0</v>
      </c>
      <c r="AM199" s="48">
        <f>IF(AM$8=1,N(Reales!AM34),IF(AM$171=1,IF(AND(AND(34&gt;Corte,34&lt;=Corte+n_Ventana),ISNUMBER(Detalle_24m!AM$36)),Detalle_24m!AM$36,INDEX(Vol_V,23,AM$170)/12)*(1+V_dVol),0))</f>
        <v>0</v>
      </c>
      <c r="AN199" s="48">
        <f>IF(AN$8=1,N(Reales!AN34),IF(AN$171=1,IF(AND(AND(35&gt;Corte,35&lt;=Corte+n_Ventana),ISNUMBER(Detalle_24m!AN$36)),Detalle_24m!AN$36,INDEX(Vol_V,23,AN$170)/12)*(1+V_dVol),0))</f>
        <v>0</v>
      </c>
      <c r="AO199" s="48">
        <f>IF(AO$8=1,N(Reales!AO34),IF(AO$171=1,IF(AND(AND(36&gt;Corte,36&lt;=Corte+n_Ventana),ISNUMBER(Detalle_24m!AO$36)),Detalle_24m!AO$36,INDEX(Vol_V,23,AO$170)/12)*(1+V_dVol),0))</f>
        <v>0</v>
      </c>
      <c r="AP199" s="48">
        <f>IF(AP$8=1,N(Reales!AP34),IF(AP$171=1,IF(AND(AND(37&gt;Corte,37&lt;=Corte+n_Ventana),ISNUMBER(Detalle_24m!AP$36)),Detalle_24m!AP$36,INDEX(Vol_V,23,AP$170)/12)*(1+V_dVol),0))</f>
        <v>0</v>
      </c>
      <c r="AQ199" s="48">
        <f>IF(AQ$8=1,N(Reales!AQ34),IF(AQ$171=1,IF(AND(AND(38&gt;Corte,38&lt;=Corte+n_Ventana),ISNUMBER(Detalle_24m!AQ$36)),Detalle_24m!AQ$36,INDEX(Vol_V,23,AQ$170)/12)*(1+V_dVol),0))</f>
        <v>0</v>
      </c>
      <c r="AR199" s="48">
        <f>IF(AR$8=1,N(Reales!AR34),IF(AR$171=1,IF(AND(AND(39&gt;Corte,39&lt;=Corte+n_Ventana),ISNUMBER(Detalle_24m!AR$36)),Detalle_24m!AR$36,INDEX(Vol_V,23,AR$170)/12)*(1+V_dVol),0))</f>
        <v>0</v>
      </c>
      <c r="AS199" s="48">
        <f>IF(AS$8=1,N(Reales!AS34),IF(AS$171=1,IF(AND(AND(40&gt;Corte,40&lt;=Corte+n_Ventana),ISNUMBER(Detalle_24m!AS$36)),Detalle_24m!AS$36,INDEX(Vol_V,23,AS$170)/12)*(1+V_dVol),0))</f>
        <v>0</v>
      </c>
      <c r="AT199" s="48">
        <f>IF(AT$8=1,N(Reales!AT34),IF(AT$171=1,IF(AND(AND(41&gt;Corte,41&lt;=Corte+n_Ventana),ISNUMBER(Detalle_24m!AT$36)),Detalle_24m!AT$36,INDEX(Vol_V,23,AT$170)/12)*(1+V_dVol),0))</f>
        <v>0</v>
      </c>
      <c r="AU199" s="48">
        <f>IF(AU$8=1,N(Reales!AU34),IF(AU$171=1,IF(AND(AND(42&gt;Corte,42&lt;=Corte+n_Ventana),ISNUMBER(Detalle_24m!AU$36)),Detalle_24m!AU$36,INDEX(Vol_V,23,AU$170)/12)*(1+V_dVol),0))</f>
        <v>0</v>
      </c>
      <c r="AV199" s="48">
        <f>IF(AV$8=1,N(Reales!AV34),IF(AV$171=1,IF(AND(AND(43&gt;Corte,43&lt;=Corte+n_Ventana),ISNUMBER(Detalle_24m!AV$36)),Detalle_24m!AV$36,INDEX(Vol_V,23,AV$170)/12)*(1+V_dVol),0))</f>
        <v>0</v>
      </c>
      <c r="AW199" s="48">
        <f>IF(AW$8=1,N(Reales!AW34),IF(AW$171=1,IF(AND(AND(44&gt;Corte,44&lt;=Corte+n_Ventana),ISNUMBER(Detalle_24m!AW$36)),Detalle_24m!AW$36,INDEX(Vol_V,23,AW$170)/12)*(1+V_dVol),0))</f>
        <v>0</v>
      </c>
      <c r="AX199" s="48">
        <f>IF(AX$8=1,N(Reales!AX34),IF(AX$171=1,IF(AND(AND(45&gt;Corte,45&lt;=Corte+n_Ventana),ISNUMBER(Detalle_24m!AX$36)),Detalle_24m!AX$36,INDEX(Vol_V,23,AX$170)/12)*(1+V_dVol),0))</f>
        <v>0</v>
      </c>
      <c r="AY199" s="48">
        <f>IF(AY$8=1,N(Reales!AY34),IF(AY$171=1,IF(AND(AND(46&gt;Corte,46&lt;=Corte+n_Ventana),ISNUMBER(Detalle_24m!AY$36)),Detalle_24m!AY$36,INDEX(Vol_V,23,AY$170)/12)*(1+V_dVol),0))</f>
        <v>0</v>
      </c>
      <c r="AZ199" s="48">
        <f>IF(AZ$8=1,N(Reales!AZ34),IF(AZ$171=1,IF(AND(AND(47&gt;Corte,47&lt;=Corte+n_Ventana),ISNUMBER(Detalle_24m!AZ$36)),Detalle_24m!AZ$36,INDEX(Vol_V,23,AZ$170)/12)*(1+V_dVol),0))</f>
        <v>0</v>
      </c>
      <c r="BA199" s="48">
        <f>IF(BA$8=1,N(Reales!BA34),IF(BA$171=1,IF(AND(AND(48&gt;Corte,48&lt;=Corte+n_Ventana),ISNUMBER(Detalle_24m!BA$36)),Detalle_24m!BA$36,INDEX(Vol_V,23,BA$170)/12)*(1+V_dVol),0))</f>
        <v>0</v>
      </c>
      <c r="BB199" s="48">
        <f>IF(BB$8=1,N(Reales!BB34),IF(BB$171=1,IF(AND(AND(49&gt;Corte,49&lt;=Corte+n_Ventana),ISNUMBER(Detalle_24m!BB$36)),Detalle_24m!BB$36,INDEX(Vol_V,23,BB$170)/12)*(1+V_dVol),0))</f>
        <v>0</v>
      </c>
      <c r="BC199" s="48">
        <f>IF(BC$8=1,N(Reales!BC34),IF(BC$171=1,IF(AND(AND(50&gt;Corte,50&lt;=Corte+n_Ventana),ISNUMBER(Detalle_24m!BC$36)),Detalle_24m!BC$36,INDEX(Vol_V,23,BC$170)/12)*(1+V_dVol),0))</f>
        <v>0</v>
      </c>
      <c r="BD199" s="48">
        <f>IF(BD$8=1,N(Reales!BD34),IF(BD$171=1,IF(AND(AND(51&gt;Corte,51&lt;=Corte+n_Ventana),ISNUMBER(Detalle_24m!BD$36)),Detalle_24m!BD$36,INDEX(Vol_V,23,BD$170)/12)*(1+V_dVol),0))</f>
        <v>0</v>
      </c>
      <c r="BE199" s="48">
        <f>IF(BE$8=1,N(Reales!BE34),IF(BE$171=1,IF(AND(AND(52&gt;Corte,52&lt;=Corte+n_Ventana),ISNUMBER(Detalle_24m!BE$36)),Detalle_24m!BE$36,INDEX(Vol_V,23,BE$170)/12)*(1+V_dVol),0))</f>
        <v>0</v>
      </c>
      <c r="BF199" s="48">
        <f>IF(BF$8=1,N(Reales!BF34),IF(BF$171=1,IF(AND(AND(53&gt;Corte,53&lt;=Corte+n_Ventana),ISNUMBER(Detalle_24m!BF$36)),Detalle_24m!BF$36,INDEX(Vol_V,23,BF$170)/12)*(1+V_dVol),0))</f>
        <v>0</v>
      </c>
      <c r="BG199" s="48">
        <f>IF(BG$8=1,N(Reales!BG34),IF(BG$171=1,IF(AND(AND(54&gt;Corte,54&lt;=Corte+n_Ventana),ISNUMBER(Detalle_24m!BG$36)),Detalle_24m!BG$36,INDEX(Vol_V,23,BG$170)/12)*(1+V_dVol),0))</f>
        <v>0</v>
      </c>
      <c r="BH199" s="48">
        <f>IF(BH$8=1,N(Reales!BH34),IF(BH$171=1,IF(AND(AND(55&gt;Corte,55&lt;=Corte+n_Ventana),ISNUMBER(Detalle_24m!BH$36)),Detalle_24m!BH$36,INDEX(Vol_V,23,BH$170)/12)*(1+V_dVol),0))</f>
        <v>0</v>
      </c>
      <c r="BI199" s="48">
        <f>IF(BI$8=1,N(Reales!BI34),IF(BI$171=1,IF(AND(AND(56&gt;Corte,56&lt;=Corte+n_Ventana),ISNUMBER(Detalle_24m!BI$36)),Detalle_24m!BI$36,INDEX(Vol_V,23,BI$170)/12)*(1+V_dVol),0))</f>
        <v>0</v>
      </c>
      <c r="BJ199" s="48">
        <f>IF(BJ$8=1,N(Reales!BJ34),IF(BJ$171=1,IF(AND(AND(57&gt;Corte,57&lt;=Corte+n_Ventana),ISNUMBER(Detalle_24m!BJ$36)),Detalle_24m!BJ$36,INDEX(Vol_V,23,BJ$170)/12)*(1+V_dVol),0))</f>
        <v>0</v>
      </c>
      <c r="BK199" s="48">
        <f>IF(BK$8=1,N(Reales!BK34),IF(BK$171=1,IF(AND(AND(58&gt;Corte,58&lt;=Corte+n_Ventana),ISNUMBER(Detalle_24m!BK$36)),Detalle_24m!BK$36,INDEX(Vol_V,23,BK$170)/12)*(1+V_dVol),0))</f>
        <v>0</v>
      </c>
      <c r="BL199" s="48">
        <f>IF(BL$8=1,N(Reales!BL34),IF(BL$171=1,IF(AND(AND(59&gt;Corte,59&lt;=Corte+n_Ventana),ISNUMBER(Detalle_24m!BL$36)),Detalle_24m!BL$36,INDEX(Vol_V,23,BL$170)/12)*(1+V_dVol),0))</f>
        <v>0</v>
      </c>
      <c r="BM199" s="48">
        <f>IF(BM$8=1,N(Reales!BM34),IF(BM$171=1,IF(AND(AND(60&gt;Corte,60&lt;=Corte+n_Ventana),ISNUMBER(Detalle_24m!BM$36)),Detalle_24m!BM$36,INDEX(Vol_V,23,BM$170)/12)*(1+V_dVol),0))</f>
        <v>0</v>
      </c>
      <c r="BN199" s="48">
        <f>IF(BN$8=1,N(Reales!BN34),IF(BN$171=1,IF(AND(AND(61&gt;Corte,61&lt;=Corte+n_Ventana),ISNUMBER(Detalle_24m!BN$36)),Detalle_24m!BN$36,INDEX(Vol_V,23,BN$170)/12)*(1+V_dVol),0))</f>
        <v>0</v>
      </c>
      <c r="BO199" s="48">
        <f>IF(BO$8=1,N(Reales!BO34),IF(BO$171=1,IF(AND(AND(62&gt;Corte,62&lt;=Corte+n_Ventana),ISNUMBER(Detalle_24m!BO$36)),Detalle_24m!BO$36,INDEX(Vol_V,23,BO$170)/12)*(1+V_dVol),0))</f>
        <v>0</v>
      </c>
      <c r="BP199" s="48">
        <f>IF(BP$8=1,N(Reales!BP34),IF(BP$171=1,IF(AND(AND(63&gt;Corte,63&lt;=Corte+n_Ventana),ISNUMBER(Detalle_24m!BP$36)),Detalle_24m!BP$36,INDEX(Vol_V,23,BP$170)/12)*(1+V_dVol),0))</f>
        <v>0</v>
      </c>
      <c r="BQ199" s="48">
        <f>IF(BQ$8=1,N(Reales!BQ34),IF(BQ$171=1,IF(AND(AND(64&gt;Corte,64&lt;=Corte+n_Ventana),ISNUMBER(Detalle_24m!BQ$36)),Detalle_24m!BQ$36,INDEX(Vol_V,23,BQ$170)/12)*(1+V_dVol),0))</f>
        <v>0</v>
      </c>
      <c r="BR199" s="48">
        <f>IF(BR$8=1,N(Reales!BR34),IF(BR$171=1,IF(AND(AND(65&gt;Corte,65&lt;=Corte+n_Ventana),ISNUMBER(Detalle_24m!BR$36)),Detalle_24m!BR$36,INDEX(Vol_V,23,BR$170)/12)*(1+V_dVol),0))</f>
        <v>0</v>
      </c>
      <c r="BS199" s="48">
        <f>IF(BS$8=1,N(Reales!BS34),IF(BS$171=1,IF(AND(AND(66&gt;Corte,66&lt;=Corte+n_Ventana),ISNUMBER(Detalle_24m!BS$36)),Detalle_24m!BS$36,INDEX(Vol_V,23,BS$170)/12)*(1+V_dVol),0))</f>
        <v>0</v>
      </c>
      <c r="BT199" s="48">
        <f>IF(BT$8=1,N(Reales!BT34),IF(BT$171=1,IF(AND(AND(67&gt;Corte,67&lt;=Corte+n_Ventana),ISNUMBER(Detalle_24m!BT$36)),Detalle_24m!BT$36,INDEX(Vol_V,23,BT$170)/12)*(1+V_dVol),0))</f>
        <v>0</v>
      </c>
      <c r="BU199" s="48">
        <f>IF(BU$8=1,N(Reales!BU34),IF(BU$171=1,IF(AND(AND(68&gt;Corte,68&lt;=Corte+n_Ventana),ISNUMBER(Detalle_24m!BU$36)),Detalle_24m!BU$36,INDEX(Vol_V,23,BU$170)/12)*(1+V_dVol),0))</f>
        <v>0</v>
      </c>
      <c r="BV199" s="48">
        <f>IF(BV$8=1,N(Reales!BV34),IF(BV$171=1,IF(AND(AND(69&gt;Corte,69&lt;=Corte+n_Ventana),ISNUMBER(Detalle_24m!BV$36)),Detalle_24m!BV$36,INDEX(Vol_V,23,BV$170)/12)*(1+V_dVol),0))</f>
        <v>0</v>
      </c>
      <c r="BW199" s="48">
        <f>IF(BW$8=1,N(Reales!BW34),IF(BW$171=1,IF(AND(AND(70&gt;Corte,70&lt;=Corte+n_Ventana),ISNUMBER(Detalle_24m!BW$36)),Detalle_24m!BW$36,INDEX(Vol_V,23,BW$170)/12)*(1+V_dVol),0))</f>
        <v>0</v>
      </c>
      <c r="BX199" s="48">
        <f>IF(BX$8=1,N(Reales!BX34),IF(BX$171=1,IF(AND(AND(71&gt;Corte,71&lt;=Corte+n_Ventana),ISNUMBER(Detalle_24m!BX$36)),Detalle_24m!BX$36,INDEX(Vol_V,23,BX$170)/12)*(1+V_dVol),0))</f>
        <v>0</v>
      </c>
      <c r="BY199" s="48">
        <f>IF(BY$8=1,N(Reales!BY34),IF(BY$171=1,IF(AND(AND(72&gt;Corte,72&lt;=Corte+n_Ventana),ISNUMBER(Detalle_24m!BY$36)),Detalle_24m!BY$36,INDEX(Vol_V,23,BY$170)/12)*(1+V_dVol),0))</f>
        <v>0</v>
      </c>
      <c r="BZ199" s="48">
        <f>IF(BZ$8=1,N(Reales!BZ34),IF(BZ$171=1,IF(AND(AND(73&gt;Corte,73&lt;=Corte+n_Ventana),ISNUMBER(Detalle_24m!BZ$36)),Detalle_24m!BZ$36,INDEX(Vol_V,23,BZ$170)/12)*(1+V_dVol),0))</f>
        <v>0</v>
      </c>
      <c r="CA199" s="48">
        <f>IF(CA$8=1,N(Reales!CA34),IF(CA$171=1,IF(AND(AND(74&gt;Corte,74&lt;=Corte+n_Ventana),ISNUMBER(Detalle_24m!CA$36)),Detalle_24m!CA$36,INDEX(Vol_V,23,CA$170)/12)*(1+V_dVol),0))</f>
        <v>0</v>
      </c>
      <c r="CB199" s="48">
        <f>IF(CB$8=1,N(Reales!CB34),IF(CB$171=1,IF(AND(AND(75&gt;Corte,75&lt;=Corte+n_Ventana),ISNUMBER(Detalle_24m!CB$36)),Detalle_24m!CB$36,INDEX(Vol_V,23,CB$170)/12)*(1+V_dVol),0))</f>
        <v>0</v>
      </c>
      <c r="CC199" s="48">
        <f>IF(CC$8=1,N(Reales!CC34),IF(CC$171=1,IF(AND(AND(76&gt;Corte,76&lt;=Corte+n_Ventana),ISNUMBER(Detalle_24m!CC$36)),Detalle_24m!CC$36,INDEX(Vol_V,23,CC$170)/12)*(1+V_dVol),0))</f>
        <v>0</v>
      </c>
      <c r="CD199" s="48">
        <f>IF(CD$8=1,N(Reales!CD34),IF(CD$171=1,IF(AND(AND(77&gt;Corte,77&lt;=Corte+n_Ventana),ISNUMBER(Detalle_24m!CD$36)),Detalle_24m!CD$36,INDEX(Vol_V,23,CD$170)/12)*(1+V_dVol),0))</f>
        <v>0</v>
      </c>
      <c r="CE199" s="48">
        <f>IF(CE$8=1,N(Reales!CE34),IF(CE$171=1,IF(AND(AND(78&gt;Corte,78&lt;=Corte+n_Ventana),ISNUMBER(Detalle_24m!CE$36)),Detalle_24m!CE$36,INDEX(Vol_V,23,CE$170)/12)*(1+V_dVol),0))</f>
        <v>0</v>
      </c>
      <c r="CF199" s="48">
        <f>IF(CF$8=1,N(Reales!CF34),IF(CF$171=1,IF(AND(AND(79&gt;Corte,79&lt;=Corte+n_Ventana),ISNUMBER(Detalle_24m!CF$36)),Detalle_24m!CF$36,INDEX(Vol_V,23,CF$170)/12)*(1+V_dVol),0))</f>
        <v>0</v>
      </c>
      <c r="CG199" s="48">
        <f>IF(CG$8=1,N(Reales!CG34),IF(CG$171=1,IF(AND(AND(80&gt;Corte,80&lt;=Corte+n_Ventana),ISNUMBER(Detalle_24m!CG$36)),Detalle_24m!CG$36,INDEX(Vol_V,23,CG$170)/12)*(1+V_dVol),0))</f>
        <v>0</v>
      </c>
      <c r="CH199" s="48">
        <f>IF(CH$8=1,N(Reales!CH34),IF(CH$171=1,IF(AND(AND(81&gt;Corte,81&lt;=Corte+n_Ventana),ISNUMBER(Detalle_24m!CH$36)),Detalle_24m!CH$36,INDEX(Vol_V,23,CH$170)/12)*(1+V_dVol),0))</f>
        <v>0</v>
      </c>
      <c r="CI199" s="48">
        <f>IF(CI$8=1,N(Reales!CI34),IF(CI$171=1,IF(AND(AND(82&gt;Corte,82&lt;=Corte+n_Ventana),ISNUMBER(Detalle_24m!CI$36)),Detalle_24m!CI$36,INDEX(Vol_V,23,CI$170)/12)*(1+V_dVol),0))</f>
        <v>0</v>
      </c>
      <c r="CJ199" s="48">
        <f>IF(CJ$8=1,N(Reales!CJ34),IF(CJ$171=1,IF(AND(AND(83&gt;Corte,83&lt;=Corte+n_Ventana),ISNUMBER(Detalle_24m!CJ$36)),Detalle_24m!CJ$36,INDEX(Vol_V,23,CJ$170)/12)*(1+V_dVol),0))</f>
        <v>0</v>
      </c>
      <c r="CK199" s="48">
        <f>IF(CK$8=1,N(Reales!CK34),IF(CK$171=1,IF(AND(AND(84&gt;Corte,84&lt;=Corte+n_Ventana),ISNUMBER(Detalle_24m!CK$36)),Detalle_24m!CK$36,INDEX(Vol_V,23,CK$170)/12)*(1+V_dVol),0))</f>
        <v>0</v>
      </c>
      <c r="CL199" s="48">
        <f>IF(CL$8=1,N(Reales!CL34),IF(CL$171=1,IF(AND(AND(85&gt;Corte,85&lt;=Corte+n_Ventana),ISNUMBER(Detalle_24m!CL$36)),Detalle_24m!CL$36,INDEX(Vol_V,23,CL$170)/12)*(1+V_dVol),0))</f>
        <v>0</v>
      </c>
      <c r="CM199" s="48">
        <f>IF(CM$8=1,N(Reales!CM34),IF(CM$171=1,IF(AND(AND(86&gt;Corte,86&lt;=Corte+n_Ventana),ISNUMBER(Detalle_24m!CM$36)),Detalle_24m!CM$36,INDEX(Vol_V,23,CM$170)/12)*(1+V_dVol),0))</f>
        <v>0</v>
      </c>
      <c r="CN199" s="48">
        <f>IF(CN$8=1,N(Reales!CN34),IF(CN$171=1,IF(AND(AND(87&gt;Corte,87&lt;=Corte+n_Ventana),ISNUMBER(Detalle_24m!CN$36)),Detalle_24m!CN$36,INDEX(Vol_V,23,CN$170)/12)*(1+V_dVol),0))</f>
        <v>0</v>
      </c>
      <c r="CO199" s="48">
        <f>IF(CO$8=1,N(Reales!CO34),IF(CO$171=1,IF(AND(AND(88&gt;Corte,88&lt;=Corte+n_Ventana),ISNUMBER(Detalle_24m!CO$36)),Detalle_24m!CO$36,INDEX(Vol_V,23,CO$170)/12)*(1+V_dVol),0))</f>
        <v>0</v>
      </c>
      <c r="CP199" s="48">
        <f>IF(CP$8=1,N(Reales!CP34),IF(CP$171=1,IF(AND(AND(89&gt;Corte,89&lt;=Corte+n_Ventana),ISNUMBER(Detalle_24m!CP$36)),Detalle_24m!CP$36,INDEX(Vol_V,23,CP$170)/12)*(1+V_dVol),0))</f>
        <v>0</v>
      </c>
      <c r="CQ199" s="48">
        <f>IF(CQ$8=1,N(Reales!CQ34),IF(CQ$171=1,IF(AND(AND(90&gt;Corte,90&lt;=Corte+n_Ventana),ISNUMBER(Detalle_24m!CQ$36)),Detalle_24m!CQ$36,INDEX(Vol_V,23,CQ$170)/12)*(1+V_dVol),0))</f>
        <v>0</v>
      </c>
      <c r="CR199" s="48">
        <f>IF(CR$8=1,N(Reales!CR34),IF(CR$171=1,IF(AND(AND(91&gt;Corte,91&lt;=Corte+n_Ventana),ISNUMBER(Detalle_24m!CR$36)),Detalle_24m!CR$36,INDEX(Vol_V,23,CR$170)/12)*(1+V_dVol),0))</f>
        <v>0</v>
      </c>
      <c r="CS199" s="48">
        <f>IF(CS$8=1,N(Reales!CS34),IF(CS$171=1,IF(AND(AND(92&gt;Corte,92&lt;=Corte+n_Ventana),ISNUMBER(Detalle_24m!CS$36)),Detalle_24m!CS$36,INDEX(Vol_V,23,CS$170)/12)*(1+V_dVol),0))</f>
        <v>0</v>
      </c>
      <c r="CT199" s="48">
        <f>IF(CT$8=1,N(Reales!CT34),IF(CT$171=1,IF(AND(AND(93&gt;Corte,93&lt;=Corte+n_Ventana),ISNUMBER(Detalle_24m!CT$36)),Detalle_24m!CT$36,INDEX(Vol_V,23,CT$170)/12)*(1+V_dVol),0))</f>
        <v>0</v>
      </c>
      <c r="CU199" s="48">
        <f>IF(CU$8=1,N(Reales!CU34),IF(CU$171=1,IF(AND(AND(94&gt;Corte,94&lt;=Corte+n_Ventana),ISNUMBER(Detalle_24m!CU$36)),Detalle_24m!CU$36,INDEX(Vol_V,23,CU$170)/12)*(1+V_dVol),0))</f>
        <v>0</v>
      </c>
      <c r="CV199" s="48">
        <f>IF(CV$8=1,N(Reales!CV34),IF(CV$171=1,IF(AND(AND(95&gt;Corte,95&lt;=Corte+n_Ventana),ISNUMBER(Detalle_24m!CV$36)),Detalle_24m!CV$36,INDEX(Vol_V,23,CV$170)/12)*(1+V_dVol),0))</f>
        <v>0</v>
      </c>
      <c r="CW199" s="48">
        <f>IF(CW$8=1,N(Reales!CW34),IF(CW$171=1,IF(AND(AND(96&gt;Corte,96&lt;=Corte+n_Ventana),ISNUMBER(Detalle_24m!CW$36)),Detalle_24m!CW$36,INDEX(Vol_V,23,CW$170)/12)*(1+V_dVol),0))</f>
        <v>0</v>
      </c>
      <c r="CX199" s="48">
        <f>IF(CX$8=1,N(Reales!CX34),IF(CX$171=1,IF(AND(AND(97&gt;Corte,97&lt;=Corte+n_Ventana),ISNUMBER(Detalle_24m!CX$36)),Detalle_24m!CX$36,INDEX(Vol_V,23,CX$170)/12)*(1+V_dVol),0))</f>
        <v>0</v>
      </c>
      <c r="CY199" s="48">
        <f>IF(CY$8=1,N(Reales!CY34),IF(CY$171=1,IF(AND(AND(98&gt;Corte,98&lt;=Corte+n_Ventana),ISNUMBER(Detalle_24m!CY$36)),Detalle_24m!CY$36,INDEX(Vol_V,23,CY$170)/12)*(1+V_dVol),0))</f>
        <v>0</v>
      </c>
      <c r="CZ199" s="48">
        <f>IF(CZ$8=1,N(Reales!CZ34),IF(CZ$171=1,IF(AND(AND(99&gt;Corte,99&lt;=Corte+n_Ventana),ISNUMBER(Detalle_24m!CZ$36)),Detalle_24m!CZ$36,INDEX(Vol_V,23,CZ$170)/12)*(1+V_dVol),0))</f>
        <v>0</v>
      </c>
      <c r="DA199" s="48">
        <f>IF(DA$8=1,N(Reales!DA34),IF(DA$171=1,IF(AND(AND(100&gt;Corte,100&lt;=Corte+n_Ventana),ISNUMBER(Detalle_24m!DA$36)),Detalle_24m!DA$36,INDEX(Vol_V,23,DA$170)/12)*(1+V_dVol),0))</f>
        <v>0</v>
      </c>
      <c r="DB199" s="48">
        <f>IF(DB$8=1,N(Reales!DB34),IF(DB$171=1,IF(AND(AND(101&gt;Corte,101&lt;=Corte+n_Ventana),ISNUMBER(Detalle_24m!DB$36)),Detalle_24m!DB$36,INDEX(Vol_V,23,DB$170)/12)*(1+V_dVol),0))</f>
        <v>0</v>
      </c>
      <c r="DC199" s="48">
        <f>IF(DC$8=1,N(Reales!DC34),IF(DC$171=1,IF(AND(AND(102&gt;Corte,102&lt;=Corte+n_Ventana),ISNUMBER(Detalle_24m!DC$36)),Detalle_24m!DC$36,INDEX(Vol_V,23,DC$170)/12)*(1+V_dVol),0))</f>
        <v>0</v>
      </c>
      <c r="DD199" s="48">
        <f>IF(DD$8=1,N(Reales!DD34),IF(DD$171=1,IF(AND(AND(103&gt;Corte,103&lt;=Corte+n_Ventana),ISNUMBER(Detalle_24m!DD$36)),Detalle_24m!DD$36,INDEX(Vol_V,23,DD$170)/12)*(1+V_dVol),0))</f>
        <v>0</v>
      </c>
      <c r="DE199" s="48">
        <f>IF(DE$8=1,N(Reales!DE34),IF(DE$171=1,IF(AND(AND(104&gt;Corte,104&lt;=Corte+n_Ventana),ISNUMBER(Detalle_24m!DE$36)),Detalle_24m!DE$36,INDEX(Vol_V,23,DE$170)/12)*(1+V_dVol),0))</f>
        <v>0</v>
      </c>
      <c r="DF199" s="48">
        <f>IF(DF$8=1,N(Reales!DF34),IF(DF$171=1,IF(AND(AND(105&gt;Corte,105&lt;=Corte+n_Ventana),ISNUMBER(Detalle_24m!DF$36)),Detalle_24m!DF$36,INDEX(Vol_V,23,DF$170)/12)*(1+V_dVol),0))</f>
        <v>0</v>
      </c>
      <c r="DG199" s="48">
        <f>IF(DG$8=1,N(Reales!DG34),IF(DG$171=1,IF(AND(AND(106&gt;Corte,106&lt;=Corte+n_Ventana),ISNUMBER(Detalle_24m!DG$36)),Detalle_24m!DG$36,INDEX(Vol_V,23,DG$170)/12)*(1+V_dVol),0))</f>
        <v>0</v>
      </c>
      <c r="DH199" s="48">
        <f>IF(DH$8=1,N(Reales!DH34),IF(DH$171=1,IF(AND(AND(107&gt;Corte,107&lt;=Corte+n_Ventana),ISNUMBER(Detalle_24m!DH$36)),Detalle_24m!DH$36,INDEX(Vol_V,23,DH$170)/12)*(1+V_dVol),0))</f>
        <v>0</v>
      </c>
      <c r="DI199" s="48">
        <f>IF(DI$8=1,N(Reales!DI34),IF(DI$171=1,IF(AND(AND(108&gt;Corte,108&lt;=Corte+n_Ventana),ISNUMBER(Detalle_24m!DI$36)),Detalle_24m!DI$36,INDEX(Vol_V,23,DI$170)/12)*(1+V_dVol),0))</f>
        <v>0</v>
      </c>
      <c r="DJ199" s="48">
        <f>IF(DJ$8=1,N(Reales!DJ34),IF(DJ$171=1,IF(AND(AND(109&gt;Corte,109&lt;=Corte+n_Ventana),ISNUMBER(Detalle_24m!DJ$36)),Detalle_24m!DJ$36,INDEX(Vol_V,23,DJ$170)/12)*(1+V_dVol),0))</f>
        <v>0</v>
      </c>
      <c r="DK199" s="48">
        <f>IF(DK$8=1,N(Reales!DK34),IF(DK$171=1,IF(AND(AND(110&gt;Corte,110&lt;=Corte+n_Ventana),ISNUMBER(Detalle_24m!DK$36)),Detalle_24m!DK$36,INDEX(Vol_V,23,DK$170)/12)*(1+V_dVol),0))</f>
        <v>0</v>
      </c>
      <c r="DL199" s="48">
        <f>IF(DL$8=1,N(Reales!DL34),IF(DL$171=1,IF(AND(AND(111&gt;Corte,111&lt;=Corte+n_Ventana),ISNUMBER(Detalle_24m!DL$36)),Detalle_24m!DL$36,INDEX(Vol_V,23,DL$170)/12)*(1+V_dVol),0))</f>
        <v>0</v>
      </c>
      <c r="DM199" s="48">
        <f>IF(DM$8=1,N(Reales!DM34),IF(DM$171=1,IF(AND(AND(112&gt;Corte,112&lt;=Corte+n_Ventana),ISNUMBER(Detalle_24m!DM$36)),Detalle_24m!DM$36,INDEX(Vol_V,23,DM$170)/12)*(1+V_dVol),0))</f>
        <v>0</v>
      </c>
      <c r="DN199" s="48">
        <f>IF(DN$8=1,N(Reales!DN34),IF(DN$171=1,IF(AND(AND(113&gt;Corte,113&lt;=Corte+n_Ventana),ISNUMBER(Detalle_24m!DN$36)),Detalle_24m!DN$36,INDEX(Vol_V,23,DN$170)/12)*(1+V_dVol),0))</f>
        <v>0</v>
      </c>
      <c r="DO199" s="48">
        <f>IF(DO$8=1,N(Reales!DO34),IF(DO$171=1,IF(AND(AND(114&gt;Corte,114&lt;=Corte+n_Ventana),ISNUMBER(Detalle_24m!DO$36)),Detalle_24m!DO$36,INDEX(Vol_V,23,DO$170)/12)*(1+V_dVol),0))</f>
        <v>0</v>
      </c>
      <c r="DP199" s="48">
        <f>IF(DP$8=1,N(Reales!DP34),IF(DP$171=1,IF(AND(AND(115&gt;Corte,115&lt;=Corte+n_Ventana),ISNUMBER(Detalle_24m!DP$36)),Detalle_24m!DP$36,INDEX(Vol_V,23,DP$170)/12)*(1+V_dVol),0))</f>
        <v>0</v>
      </c>
      <c r="DQ199" s="48">
        <f>IF(DQ$8=1,N(Reales!DQ34),IF(DQ$171=1,IF(AND(AND(116&gt;Corte,116&lt;=Corte+n_Ventana),ISNUMBER(Detalle_24m!DQ$36)),Detalle_24m!DQ$36,INDEX(Vol_V,23,DQ$170)/12)*(1+V_dVol),0))</f>
        <v>0</v>
      </c>
      <c r="DR199" s="48">
        <f>IF(DR$8=1,N(Reales!DR34),IF(DR$171=1,IF(AND(AND(117&gt;Corte,117&lt;=Corte+n_Ventana),ISNUMBER(Detalle_24m!DR$36)),Detalle_24m!DR$36,INDEX(Vol_V,23,DR$170)/12)*(1+V_dVol),0))</f>
        <v>0</v>
      </c>
      <c r="DS199" s="48">
        <f>IF(DS$8=1,N(Reales!DS34),IF(DS$171=1,IF(AND(AND(118&gt;Corte,118&lt;=Corte+n_Ventana),ISNUMBER(Detalle_24m!DS$36)),Detalle_24m!DS$36,INDEX(Vol_V,23,DS$170)/12)*(1+V_dVol),0))</f>
        <v>0</v>
      </c>
      <c r="DT199" s="48">
        <f>IF(DT$8=1,N(Reales!DT34),IF(DT$171=1,IF(AND(AND(119&gt;Corte,119&lt;=Corte+n_Ventana),ISNUMBER(Detalle_24m!DT$36)),Detalle_24m!DT$36,INDEX(Vol_V,23,DT$170)/12)*(1+V_dVol),0))</f>
        <v>0</v>
      </c>
      <c r="DU199" s="48">
        <f>IF(DU$8=1,N(Reales!DU34),IF(DU$171=1,IF(AND(AND(120&gt;Corte,120&lt;=Corte+n_Ventana),ISNUMBER(Detalle_24m!DU$36)),Detalle_24m!DU$36,INDEX(Vol_V,23,DU$170)/12)*(1+V_dVol),0))</f>
        <v>0</v>
      </c>
      <c r="DV199" s="48">
        <f>IF(DV$8=1,N(Reales!DV34),IF(DV$171=1,IF(AND(AND(121&gt;Corte,121&lt;=Corte+n_Ventana),ISNUMBER(Detalle_24m!DV$36)),Detalle_24m!DV$36,INDEX(Vol_V,23,DV$170)/12)*(1+V_dVol),0))</f>
        <v>0</v>
      </c>
      <c r="DW199" s="48">
        <f>IF(DW$8=1,N(Reales!DW34),IF(DW$171=1,IF(AND(AND(122&gt;Corte,122&lt;=Corte+n_Ventana),ISNUMBER(Detalle_24m!DW$36)),Detalle_24m!DW$36,INDEX(Vol_V,23,DW$170)/12)*(1+V_dVol),0))</f>
        <v>0</v>
      </c>
      <c r="DX199" s="48">
        <f>IF(DX$8=1,N(Reales!DX34),IF(DX$171=1,IF(AND(AND(123&gt;Corte,123&lt;=Corte+n_Ventana),ISNUMBER(Detalle_24m!DX$36)),Detalle_24m!DX$36,INDEX(Vol_V,23,DX$170)/12)*(1+V_dVol),0))</f>
        <v>0</v>
      </c>
      <c r="DY199" s="48">
        <f>IF(DY$8=1,N(Reales!DY34),IF(DY$171=1,IF(AND(AND(124&gt;Corte,124&lt;=Corte+n_Ventana),ISNUMBER(Detalle_24m!DY$36)),Detalle_24m!DY$36,INDEX(Vol_V,23,DY$170)/12)*(1+V_dVol),0))</f>
        <v>0</v>
      </c>
      <c r="DZ199" s="48">
        <f>IF(DZ$8=1,N(Reales!DZ34),IF(DZ$171=1,IF(AND(AND(125&gt;Corte,125&lt;=Corte+n_Ventana),ISNUMBER(Detalle_24m!DZ$36)),Detalle_24m!DZ$36,INDEX(Vol_V,23,DZ$170)/12)*(1+V_dVol),0))</f>
        <v>0</v>
      </c>
      <c r="EA199" s="48">
        <f>IF(EA$8=1,N(Reales!EA34),IF(EA$171=1,IF(AND(AND(126&gt;Corte,126&lt;=Corte+n_Ventana),ISNUMBER(Detalle_24m!EA$36)),Detalle_24m!EA$36,INDEX(Vol_V,23,EA$170)/12)*(1+V_dVol),0))</f>
        <v>0</v>
      </c>
      <c r="EB199" s="48">
        <f>IF(EB$8=1,N(Reales!EB34),IF(EB$171=1,IF(AND(AND(127&gt;Corte,127&lt;=Corte+n_Ventana),ISNUMBER(Detalle_24m!EB$36)),Detalle_24m!EB$36,INDEX(Vol_V,23,EB$170)/12)*(1+V_dVol),0))</f>
        <v>0</v>
      </c>
      <c r="EC199" s="48">
        <f>IF(EC$8=1,N(Reales!EC34),IF(EC$171=1,IF(AND(AND(128&gt;Corte,128&lt;=Corte+n_Ventana),ISNUMBER(Detalle_24m!EC$36)),Detalle_24m!EC$36,INDEX(Vol_V,23,EC$170)/12)*(1+V_dVol),0))</f>
        <v>0</v>
      </c>
      <c r="ED199" s="48">
        <f>IF(ED$8=1,N(Reales!ED34),IF(ED$171=1,IF(AND(AND(129&gt;Corte,129&lt;=Corte+n_Ventana),ISNUMBER(Detalle_24m!ED$36)),Detalle_24m!ED$36,INDEX(Vol_V,23,ED$170)/12)*(1+V_dVol),0))</f>
        <v>0</v>
      </c>
      <c r="EE199" s="48">
        <f>IF(EE$8=1,N(Reales!EE34),IF(EE$171=1,IF(AND(AND(130&gt;Corte,130&lt;=Corte+n_Ventana),ISNUMBER(Detalle_24m!EE$36)),Detalle_24m!EE$36,INDEX(Vol_V,23,EE$170)/12)*(1+V_dVol),0))</f>
        <v>0</v>
      </c>
      <c r="EF199" s="48">
        <f>IF(EF$8=1,N(Reales!EF34),IF(EF$171=1,IF(AND(AND(131&gt;Corte,131&lt;=Corte+n_Ventana),ISNUMBER(Detalle_24m!EF$36)),Detalle_24m!EF$36,INDEX(Vol_V,23,EF$170)/12)*(1+V_dVol),0))</f>
        <v>0</v>
      </c>
      <c r="EG199" s="48">
        <f>IF(EG$8=1,N(Reales!EG34),IF(EG$171=1,IF(AND(AND(132&gt;Corte,132&lt;=Corte+n_Ventana),ISNUMBER(Detalle_24m!EG$36)),Detalle_24m!EG$36,INDEX(Vol_V,23,EG$170)/12)*(1+V_dVol),0))</f>
        <v>0</v>
      </c>
      <c r="EH199" s="48">
        <f>IF(EH$8=1,N(Reales!EH34),IF(EH$171=1,IF(AND(AND(133&gt;Corte,133&lt;=Corte+n_Ventana),ISNUMBER(Detalle_24m!EH$36)),Detalle_24m!EH$36,INDEX(Vol_V,23,EH$170)/12)*(1+V_dVol),0))</f>
        <v>0</v>
      </c>
      <c r="EI199" s="48">
        <f>IF(EI$8=1,N(Reales!EI34),IF(EI$171=1,IF(AND(AND(134&gt;Corte,134&lt;=Corte+n_Ventana),ISNUMBER(Detalle_24m!EI$36)),Detalle_24m!EI$36,INDEX(Vol_V,23,EI$170)/12)*(1+V_dVol),0))</f>
        <v>0</v>
      </c>
      <c r="EJ199" s="48">
        <f>IF(EJ$8=1,N(Reales!EJ34),IF(EJ$171=1,IF(AND(AND(135&gt;Corte,135&lt;=Corte+n_Ventana),ISNUMBER(Detalle_24m!EJ$36)),Detalle_24m!EJ$36,INDEX(Vol_V,23,EJ$170)/12)*(1+V_dVol),0))</f>
        <v>0</v>
      </c>
      <c r="EK199" s="48">
        <f>IF(EK$8=1,N(Reales!EK34),IF(EK$171=1,IF(AND(AND(136&gt;Corte,136&lt;=Corte+n_Ventana),ISNUMBER(Detalle_24m!EK$36)),Detalle_24m!EK$36,INDEX(Vol_V,23,EK$170)/12)*(1+V_dVol),0))</f>
        <v>0</v>
      </c>
      <c r="EL199" s="48">
        <f>IF(EL$8=1,N(Reales!EL34),IF(EL$171=1,IF(AND(AND(137&gt;Corte,137&lt;=Corte+n_Ventana),ISNUMBER(Detalle_24m!EL$36)),Detalle_24m!EL$36,INDEX(Vol_V,23,EL$170)/12)*(1+V_dVol),0))</f>
        <v>0</v>
      </c>
      <c r="EM199" s="48">
        <f>IF(EM$8=1,N(Reales!EM34),IF(EM$171=1,IF(AND(AND(138&gt;Corte,138&lt;=Corte+n_Ventana),ISNUMBER(Detalle_24m!EM$36)),Detalle_24m!EM$36,INDEX(Vol_V,23,EM$170)/12)*(1+V_dVol),0))</f>
        <v>0</v>
      </c>
      <c r="EN199" s="48">
        <f>IF(EN$8=1,N(Reales!EN34),IF(EN$171=1,IF(AND(AND(139&gt;Corte,139&lt;=Corte+n_Ventana),ISNUMBER(Detalle_24m!EN$36)),Detalle_24m!EN$36,INDEX(Vol_V,23,EN$170)/12)*(1+V_dVol),0))</f>
        <v>0</v>
      </c>
      <c r="EO199" s="48">
        <f>IF(EO$8=1,N(Reales!EO34),IF(EO$171=1,IF(AND(AND(140&gt;Corte,140&lt;=Corte+n_Ventana),ISNUMBER(Detalle_24m!EO$36)),Detalle_24m!EO$36,INDEX(Vol_V,23,EO$170)/12)*(1+V_dVol),0))</f>
        <v>0</v>
      </c>
      <c r="EP199" s="48">
        <f>IF(EP$8=1,N(Reales!EP34),IF(EP$171=1,IF(AND(AND(141&gt;Corte,141&lt;=Corte+n_Ventana),ISNUMBER(Detalle_24m!EP$36)),Detalle_24m!EP$36,INDEX(Vol_V,23,EP$170)/12)*(1+V_dVol),0))</f>
        <v>0</v>
      </c>
      <c r="EQ199" s="48">
        <f>IF(EQ$8=1,N(Reales!EQ34),IF(EQ$171=1,IF(AND(AND(142&gt;Corte,142&lt;=Corte+n_Ventana),ISNUMBER(Detalle_24m!EQ$36)),Detalle_24m!EQ$36,INDEX(Vol_V,23,EQ$170)/12)*(1+V_dVol),0))</f>
        <v>0</v>
      </c>
      <c r="ER199" s="48">
        <f>IF(ER$8=1,N(Reales!ER34),IF(ER$171=1,IF(AND(AND(143&gt;Corte,143&lt;=Corte+n_Ventana),ISNUMBER(Detalle_24m!ER$36)),Detalle_24m!ER$36,INDEX(Vol_V,23,ER$170)/12)*(1+V_dVol),0))</f>
        <v>0</v>
      </c>
      <c r="ES199" s="48">
        <f>IF(ES$8=1,N(Reales!ES34),IF(ES$171=1,IF(AND(AND(144&gt;Corte,144&lt;=Corte+n_Ventana),ISNUMBER(Detalle_24m!ES$36)),Detalle_24m!ES$36,INDEX(Vol_V,23,ES$170)/12)*(1+V_dVol),0))</f>
        <v>0</v>
      </c>
    </row>
    <row r="200" spans="1:149" x14ac:dyDescent="0.3">
      <c r="A200" s="14" t="s">
        <v>1255</v>
      </c>
      <c r="B200" s="53" t="str">
        <f>IF(INDEX(Prod_Nombre,24)="","Producto 24",INDEX(Prod_Nombre,24))&amp;" — unidades"</f>
        <v>Producto 24 — unidades</v>
      </c>
      <c r="C200" s="18" t="s">
        <v>475</v>
      </c>
      <c r="E200" s="54">
        <f t="shared" si="604"/>
        <v>0</v>
      </c>
      <c r="F200" s="48">
        <f>IF(F$8=1,N(Reales!F35),IF(F$171=1,IF(AND(AND(1&gt;Corte,1&lt;=Corte+n_Ventana),ISNUMBER(Detalle_24m!F$37)),Detalle_24m!F$37,INDEX(Vol_V,24,F$170)/12)*(1+V_dVol),0))</f>
        <v>0</v>
      </c>
      <c r="G200" s="48">
        <f>IF(G$8=1,N(Reales!G35),IF(G$171=1,IF(AND(AND(2&gt;Corte,2&lt;=Corte+n_Ventana),ISNUMBER(Detalle_24m!G$37)),Detalle_24m!G$37,INDEX(Vol_V,24,G$170)/12)*(1+V_dVol),0))</f>
        <v>0</v>
      </c>
      <c r="H200" s="48">
        <f>IF(H$8=1,N(Reales!H35),IF(H$171=1,IF(AND(AND(3&gt;Corte,3&lt;=Corte+n_Ventana),ISNUMBER(Detalle_24m!H$37)),Detalle_24m!H$37,INDEX(Vol_V,24,H$170)/12)*(1+V_dVol),0))</f>
        <v>0</v>
      </c>
      <c r="I200" s="48">
        <f>IF(I$8=1,N(Reales!I35),IF(I$171=1,IF(AND(AND(4&gt;Corte,4&lt;=Corte+n_Ventana),ISNUMBER(Detalle_24m!I$37)),Detalle_24m!I$37,INDEX(Vol_V,24,I$170)/12)*(1+V_dVol),0))</f>
        <v>0</v>
      </c>
      <c r="J200" s="48">
        <f>IF(J$8=1,N(Reales!J35),IF(J$171=1,IF(AND(AND(5&gt;Corte,5&lt;=Corte+n_Ventana),ISNUMBER(Detalle_24m!J$37)),Detalle_24m!J$37,INDEX(Vol_V,24,J$170)/12)*(1+V_dVol),0))</f>
        <v>0</v>
      </c>
      <c r="K200" s="48">
        <f>IF(K$8=1,N(Reales!K35),IF(K$171=1,IF(AND(AND(6&gt;Corte,6&lt;=Corte+n_Ventana),ISNUMBER(Detalle_24m!K$37)),Detalle_24m!K$37,INDEX(Vol_V,24,K$170)/12)*(1+V_dVol),0))</f>
        <v>0</v>
      </c>
      <c r="L200" s="48">
        <f>IF(L$8=1,N(Reales!L35),IF(L$171=1,IF(AND(AND(7&gt;Corte,7&lt;=Corte+n_Ventana),ISNUMBER(Detalle_24m!L$37)),Detalle_24m!L$37,INDEX(Vol_V,24,L$170)/12)*(1+V_dVol),0))</f>
        <v>0</v>
      </c>
      <c r="M200" s="48">
        <f>IF(M$8=1,N(Reales!M35),IF(M$171=1,IF(AND(AND(8&gt;Corte,8&lt;=Corte+n_Ventana),ISNUMBER(Detalle_24m!M$37)),Detalle_24m!M$37,INDEX(Vol_V,24,M$170)/12)*(1+V_dVol),0))</f>
        <v>0</v>
      </c>
      <c r="N200" s="48">
        <f>IF(N$8=1,N(Reales!N35),IF(N$171=1,IF(AND(AND(9&gt;Corte,9&lt;=Corte+n_Ventana),ISNUMBER(Detalle_24m!N$37)),Detalle_24m!N$37,INDEX(Vol_V,24,N$170)/12)*(1+V_dVol),0))</f>
        <v>0</v>
      </c>
      <c r="O200" s="48">
        <f>IF(O$8=1,N(Reales!O35),IF(O$171=1,IF(AND(AND(10&gt;Corte,10&lt;=Corte+n_Ventana),ISNUMBER(Detalle_24m!O$37)),Detalle_24m!O$37,INDEX(Vol_V,24,O$170)/12)*(1+V_dVol),0))</f>
        <v>0</v>
      </c>
      <c r="P200" s="48">
        <f>IF(P$8=1,N(Reales!P35),IF(P$171=1,IF(AND(AND(11&gt;Corte,11&lt;=Corte+n_Ventana),ISNUMBER(Detalle_24m!P$37)),Detalle_24m!P$37,INDEX(Vol_V,24,P$170)/12)*(1+V_dVol),0))</f>
        <v>0</v>
      </c>
      <c r="Q200" s="48">
        <f>IF(Q$8=1,N(Reales!Q35),IF(Q$171=1,IF(AND(AND(12&gt;Corte,12&lt;=Corte+n_Ventana),ISNUMBER(Detalle_24m!Q$37)),Detalle_24m!Q$37,INDEX(Vol_V,24,Q$170)/12)*(1+V_dVol),0))</f>
        <v>0</v>
      </c>
      <c r="R200" s="48">
        <f>IF(R$8=1,N(Reales!R35),IF(R$171=1,IF(AND(AND(13&gt;Corte,13&lt;=Corte+n_Ventana),ISNUMBER(Detalle_24m!R$37)),Detalle_24m!R$37,INDEX(Vol_V,24,R$170)/12)*(1+V_dVol),0))</f>
        <v>0</v>
      </c>
      <c r="S200" s="48">
        <f>IF(S$8=1,N(Reales!S35),IF(S$171=1,IF(AND(AND(14&gt;Corte,14&lt;=Corte+n_Ventana),ISNUMBER(Detalle_24m!S$37)),Detalle_24m!S$37,INDEX(Vol_V,24,S$170)/12)*(1+V_dVol),0))</f>
        <v>0</v>
      </c>
      <c r="T200" s="48">
        <f>IF(T$8=1,N(Reales!T35),IF(T$171=1,IF(AND(AND(15&gt;Corte,15&lt;=Corte+n_Ventana),ISNUMBER(Detalle_24m!T$37)),Detalle_24m!T$37,INDEX(Vol_V,24,T$170)/12)*(1+V_dVol),0))</f>
        <v>0</v>
      </c>
      <c r="U200" s="48">
        <f>IF(U$8=1,N(Reales!U35),IF(U$171=1,IF(AND(AND(16&gt;Corte,16&lt;=Corte+n_Ventana),ISNUMBER(Detalle_24m!U$37)),Detalle_24m!U$37,INDEX(Vol_V,24,U$170)/12)*(1+V_dVol),0))</f>
        <v>0</v>
      </c>
      <c r="V200" s="48">
        <f>IF(V$8=1,N(Reales!V35),IF(V$171=1,IF(AND(AND(17&gt;Corte,17&lt;=Corte+n_Ventana),ISNUMBER(Detalle_24m!V$37)),Detalle_24m!V$37,INDEX(Vol_V,24,V$170)/12)*(1+V_dVol),0))</f>
        <v>0</v>
      </c>
      <c r="W200" s="48">
        <f>IF(W$8=1,N(Reales!W35),IF(W$171=1,IF(AND(AND(18&gt;Corte,18&lt;=Corte+n_Ventana),ISNUMBER(Detalle_24m!W$37)),Detalle_24m!W$37,INDEX(Vol_V,24,W$170)/12)*(1+V_dVol),0))</f>
        <v>0</v>
      </c>
      <c r="X200" s="48">
        <f>IF(X$8=1,N(Reales!X35),IF(X$171=1,IF(AND(AND(19&gt;Corte,19&lt;=Corte+n_Ventana),ISNUMBER(Detalle_24m!X$37)),Detalle_24m!X$37,INDEX(Vol_V,24,X$170)/12)*(1+V_dVol),0))</f>
        <v>0</v>
      </c>
      <c r="Y200" s="48">
        <f>IF(Y$8=1,N(Reales!Y35),IF(Y$171=1,IF(AND(AND(20&gt;Corte,20&lt;=Corte+n_Ventana),ISNUMBER(Detalle_24m!Y$37)),Detalle_24m!Y$37,INDEX(Vol_V,24,Y$170)/12)*(1+V_dVol),0))</f>
        <v>0</v>
      </c>
      <c r="Z200" s="48">
        <f>IF(Z$8=1,N(Reales!Z35),IF(Z$171=1,IF(AND(AND(21&gt;Corte,21&lt;=Corte+n_Ventana),ISNUMBER(Detalle_24m!Z$37)),Detalle_24m!Z$37,INDEX(Vol_V,24,Z$170)/12)*(1+V_dVol),0))</f>
        <v>0</v>
      </c>
      <c r="AA200" s="48">
        <f>IF(AA$8=1,N(Reales!AA35),IF(AA$171=1,IF(AND(AND(22&gt;Corte,22&lt;=Corte+n_Ventana),ISNUMBER(Detalle_24m!AA$37)),Detalle_24m!AA$37,INDEX(Vol_V,24,AA$170)/12)*(1+V_dVol),0))</f>
        <v>0</v>
      </c>
      <c r="AB200" s="48">
        <f>IF(AB$8=1,N(Reales!AB35),IF(AB$171=1,IF(AND(AND(23&gt;Corte,23&lt;=Corte+n_Ventana),ISNUMBER(Detalle_24m!AB$37)),Detalle_24m!AB$37,INDEX(Vol_V,24,AB$170)/12)*(1+V_dVol),0))</f>
        <v>0</v>
      </c>
      <c r="AC200" s="48">
        <f>IF(AC$8=1,N(Reales!AC35),IF(AC$171=1,IF(AND(AND(24&gt;Corte,24&lt;=Corte+n_Ventana),ISNUMBER(Detalle_24m!AC$37)),Detalle_24m!AC$37,INDEX(Vol_V,24,AC$170)/12)*(1+V_dVol),0))</f>
        <v>0</v>
      </c>
      <c r="AD200" s="48">
        <f>IF(AD$8=1,N(Reales!AD35),IF(AD$171=1,IF(AND(AND(25&gt;Corte,25&lt;=Corte+n_Ventana),ISNUMBER(Detalle_24m!AD$37)),Detalle_24m!AD$37,INDEX(Vol_V,24,AD$170)/12)*(1+V_dVol),0))</f>
        <v>0</v>
      </c>
      <c r="AE200" s="48">
        <f>IF(AE$8=1,N(Reales!AE35),IF(AE$171=1,IF(AND(AND(26&gt;Corte,26&lt;=Corte+n_Ventana),ISNUMBER(Detalle_24m!AE$37)),Detalle_24m!AE$37,INDEX(Vol_V,24,AE$170)/12)*(1+V_dVol),0))</f>
        <v>0</v>
      </c>
      <c r="AF200" s="48">
        <f>IF(AF$8=1,N(Reales!AF35),IF(AF$171=1,IF(AND(AND(27&gt;Corte,27&lt;=Corte+n_Ventana),ISNUMBER(Detalle_24m!AF$37)),Detalle_24m!AF$37,INDEX(Vol_V,24,AF$170)/12)*(1+V_dVol),0))</f>
        <v>0</v>
      </c>
      <c r="AG200" s="48">
        <f>IF(AG$8=1,N(Reales!AG35),IF(AG$171=1,IF(AND(AND(28&gt;Corte,28&lt;=Corte+n_Ventana),ISNUMBER(Detalle_24m!AG$37)),Detalle_24m!AG$37,INDEX(Vol_V,24,AG$170)/12)*(1+V_dVol),0))</f>
        <v>0</v>
      </c>
      <c r="AH200" s="48">
        <f>IF(AH$8=1,N(Reales!AH35),IF(AH$171=1,IF(AND(AND(29&gt;Corte,29&lt;=Corte+n_Ventana),ISNUMBER(Detalle_24m!AH$37)),Detalle_24m!AH$37,INDEX(Vol_V,24,AH$170)/12)*(1+V_dVol),0))</f>
        <v>0</v>
      </c>
      <c r="AI200" s="48">
        <f>IF(AI$8=1,N(Reales!AI35),IF(AI$171=1,IF(AND(AND(30&gt;Corte,30&lt;=Corte+n_Ventana),ISNUMBER(Detalle_24m!AI$37)),Detalle_24m!AI$37,INDEX(Vol_V,24,AI$170)/12)*(1+V_dVol),0))</f>
        <v>0</v>
      </c>
      <c r="AJ200" s="48">
        <f>IF(AJ$8=1,N(Reales!AJ35),IF(AJ$171=1,IF(AND(AND(31&gt;Corte,31&lt;=Corte+n_Ventana),ISNUMBER(Detalle_24m!AJ$37)),Detalle_24m!AJ$37,INDEX(Vol_V,24,AJ$170)/12)*(1+V_dVol),0))</f>
        <v>0</v>
      </c>
      <c r="AK200" s="48">
        <f>IF(AK$8=1,N(Reales!AK35),IF(AK$171=1,IF(AND(AND(32&gt;Corte,32&lt;=Corte+n_Ventana),ISNUMBER(Detalle_24m!AK$37)),Detalle_24m!AK$37,INDEX(Vol_V,24,AK$170)/12)*(1+V_dVol),0))</f>
        <v>0</v>
      </c>
      <c r="AL200" s="48">
        <f>IF(AL$8=1,N(Reales!AL35),IF(AL$171=1,IF(AND(AND(33&gt;Corte,33&lt;=Corte+n_Ventana),ISNUMBER(Detalle_24m!AL$37)),Detalle_24m!AL$37,INDEX(Vol_V,24,AL$170)/12)*(1+V_dVol),0))</f>
        <v>0</v>
      </c>
      <c r="AM200" s="48">
        <f>IF(AM$8=1,N(Reales!AM35),IF(AM$171=1,IF(AND(AND(34&gt;Corte,34&lt;=Corte+n_Ventana),ISNUMBER(Detalle_24m!AM$37)),Detalle_24m!AM$37,INDEX(Vol_V,24,AM$170)/12)*(1+V_dVol),0))</f>
        <v>0</v>
      </c>
      <c r="AN200" s="48">
        <f>IF(AN$8=1,N(Reales!AN35),IF(AN$171=1,IF(AND(AND(35&gt;Corte,35&lt;=Corte+n_Ventana),ISNUMBER(Detalle_24m!AN$37)),Detalle_24m!AN$37,INDEX(Vol_V,24,AN$170)/12)*(1+V_dVol),0))</f>
        <v>0</v>
      </c>
      <c r="AO200" s="48">
        <f>IF(AO$8=1,N(Reales!AO35),IF(AO$171=1,IF(AND(AND(36&gt;Corte,36&lt;=Corte+n_Ventana),ISNUMBER(Detalle_24m!AO$37)),Detalle_24m!AO$37,INDEX(Vol_V,24,AO$170)/12)*(1+V_dVol),0))</f>
        <v>0</v>
      </c>
      <c r="AP200" s="48">
        <f>IF(AP$8=1,N(Reales!AP35),IF(AP$171=1,IF(AND(AND(37&gt;Corte,37&lt;=Corte+n_Ventana),ISNUMBER(Detalle_24m!AP$37)),Detalle_24m!AP$37,INDEX(Vol_V,24,AP$170)/12)*(1+V_dVol),0))</f>
        <v>0</v>
      </c>
      <c r="AQ200" s="48">
        <f>IF(AQ$8=1,N(Reales!AQ35),IF(AQ$171=1,IF(AND(AND(38&gt;Corte,38&lt;=Corte+n_Ventana),ISNUMBER(Detalle_24m!AQ$37)),Detalle_24m!AQ$37,INDEX(Vol_V,24,AQ$170)/12)*(1+V_dVol),0))</f>
        <v>0</v>
      </c>
      <c r="AR200" s="48">
        <f>IF(AR$8=1,N(Reales!AR35),IF(AR$171=1,IF(AND(AND(39&gt;Corte,39&lt;=Corte+n_Ventana),ISNUMBER(Detalle_24m!AR$37)),Detalle_24m!AR$37,INDEX(Vol_V,24,AR$170)/12)*(1+V_dVol),0))</f>
        <v>0</v>
      </c>
      <c r="AS200" s="48">
        <f>IF(AS$8=1,N(Reales!AS35),IF(AS$171=1,IF(AND(AND(40&gt;Corte,40&lt;=Corte+n_Ventana),ISNUMBER(Detalle_24m!AS$37)),Detalle_24m!AS$37,INDEX(Vol_V,24,AS$170)/12)*(1+V_dVol),0))</f>
        <v>0</v>
      </c>
      <c r="AT200" s="48">
        <f>IF(AT$8=1,N(Reales!AT35),IF(AT$171=1,IF(AND(AND(41&gt;Corte,41&lt;=Corte+n_Ventana),ISNUMBER(Detalle_24m!AT$37)),Detalle_24m!AT$37,INDEX(Vol_V,24,AT$170)/12)*(1+V_dVol),0))</f>
        <v>0</v>
      </c>
      <c r="AU200" s="48">
        <f>IF(AU$8=1,N(Reales!AU35),IF(AU$171=1,IF(AND(AND(42&gt;Corte,42&lt;=Corte+n_Ventana),ISNUMBER(Detalle_24m!AU$37)),Detalle_24m!AU$37,INDEX(Vol_V,24,AU$170)/12)*(1+V_dVol),0))</f>
        <v>0</v>
      </c>
      <c r="AV200" s="48">
        <f>IF(AV$8=1,N(Reales!AV35),IF(AV$171=1,IF(AND(AND(43&gt;Corte,43&lt;=Corte+n_Ventana),ISNUMBER(Detalle_24m!AV$37)),Detalle_24m!AV$37,INDEX(Vol_V,24,AV$170)/12)*(1+V_dVol),0))</f>
        <v>0</v>
      </c>
      <c r="AW200" s="48">
        <f>IF(AW$8=1,N(Reales!AW35),IF(AW$171=1,IF(AND(AND(44&gt;Corte,44&lt;=Corte+n_Ventana),ISNUMBER(Detalle_24m!AW$37)),Detalle_24m!AW$37,INDEX(Vol_V,24,AW$170)/12)*(1+V_dVol),0))</f>
        <v>0</v>
      </c>
      <c r="AX200" s="48">
        <f>IF(AX$8=1,N(Reales!AX35),IF(AX$171=1,IF(AND(AND(45&gt;Corte,45&lt;=Corte+n_Ventana),ISNUMBER(Detalle_24m!AX$37)),Detalle_24m!AX$37,INDEX(Vol_V,24,AX$170)/12)*(1+V_dVol),0))</f>
        <v>0</v>
      </c>
      <c r="AY200" s="48">
        <f>IF(AY$8=1,N(Reales!AY35),IF(AY$171=1,IF(AND(AND(46&gt;Corte,46&lt;=Corte+n_Ventana),ISNUMBER(Detalle_24m!AY$37)),Detalle_24m!AY$37,INDEX(Vol_V,24,AY$170)/12)*(1+V_dVol),0))</f>
        <v>0</v>
      </c>
      <c r="AZ200" s="48">
        <f>IF(AZ$8=1,N(Reales!AZ35),IF(AZ$171=1,IF(AND(AND(47&gt;Corte,47&lt;=Corte+n_Ventana),ISNUMBER(Detalle_24m!AZ$37)),Detalle_24m!AZ$37,INDEX(Vol_V,24,AZ$170)/12)*(1+V_dVol),0))</f>
        <v>0</v>
      </c>
      <c r="BA200" s="48">
        <f>IF(BA$8=1,N(Reales!BA35),IF(BA$171=1,IF(AND(AND(48&gt;Corte,48&lt;=Corte+n_Ventana),ISNUMBER(Detalle_24m!BA$37)),Detalle_24m!BA$37,INDEX(Vol_V,24,BA$170)/12)*(1+V_dVol),0))</f>
        <v>0</v>
      </c>
      <c r="BB200" s="48">
        <f>IF(BB$8=1,N(Reales!BB35),IF(BB$171=1,IF(AND(AND(49&gt;Corte,49&lt;=Corte+n_Ventana),ISNUMBER(Detalle_24m!BB$37)),Detalle_24m!BB$37,INDEX(Vol_V,24,BB$170)/12)*(1+V_dVol),0))</f>
        <v>0</v>
      </c>
      <c r="BC200" s="48">
        <f>IF(BC$8=1,N(Reales!BC35),IF(BC$171=1,IF(AND(AND(50&gt;Corte,50&lt;=Corte+n_Ventana),ISNUMBER(Detalle_24m!BC$37)),Detalle_24m!BC$37,INDEX(Vol_V,24,BC$170)/12)*(1+V_dVol),0))</f>
        <v>0</v>
      </c>
      <c r="BD200" s="48">
        <f>IF(BD$8=1,N(Reales!BD35),IF(BD$171=1,IF(AND(AND(51&gt;Corte,51&lt;=Corte+n_Ventana),ISNUMBER(Detalle_24m!BD$37)),Detalle_24m!BD$37,INDEX(Vol_V,24,BD$170)/12)*(1+V_dVol),0))</f>
        <v>0</v>
      </c>
      <c r="BE200" s="48">
        <f>IF(BE$8=1,N(Reales!BE35),IF(BE$171=1,IF(AND(AND(52&gt;Corte,52&lt;=Corte+n_Ventana),ISNUMBER(Detalle_24m!BE$37)),Detalle_24m!BE$37,INDEX(Vol_V,24,BE$170)/12)*(1+V_dVol),0))</f>
        <v>0</v>
      </c>
      <c r="BF200" s="48">
        <f>IF(BF$8=1,N(Reales!BF35),IF(BF$171=1,IF(AND(AND(53&gt;Corte,53&lt;=Corte+n_Ventana),ISNUMBER(Detalle_24m!BF$37)),Detalle_24m!BF$37,INDEX(Vol_V,24,BF$170)/12)*(1+V_dVol),0))</f>
        <v>0</v>
      </c>
      <c r="BG200" s="48">
        <f>IF(BG$8=1,N(Reales!BG35),IF(BG$171=1,IF(AND(AND(54&gt;Corte,54&lt;=Corte+n_Ventana),ISNUMBER(Detalle_24m!BG$37)),Detalle_24m!BG$37,INDEX(Vol_V,24,BG$170)/12)*(1+V_dVol),0))</f>
        <v>0</v>
      </c>
      <c r="BH200" s="48">
        <f>IF(BH$8=1,N(Reales!BH35),IF(BH$171=1,IF(AND(AND(55&gt;Corte,55&lt;=Corte+n_Ventana),ISNUMBER(Detalle_24m!BH$37)),Detalle_24m!BH$37,INDEX(Vol_V,24,BH$170)/12)*(1+V_dVol),0))</f>
        <v>0</v>
      </c>
      <c r="BI200" s="48">
        <f>IF(BI$8=1,N(Reales!BI35),IF(BI$171=1,IF(AND(AND(56&gt;Corte,56&lt;=Corte+n_Ventana),ISNUMBER(Detalle_24m!BI$37)),Detalle_24m!BI$37,INDEX(Vol_V,24,BI$170)/12)*(1+V_dVol),0))</f>
        <v>0</v>
      </c>
      <c r="BJ200" s="48">
        <f>IF(BJ$8=1,N(Reales!BJ35),IF(BJ$171=1,IF(AND(AND(57&gt;Corte,57&lt;=Corte+n_Ventana),ISNUMBER(Detalle_24m!BJ$37)),Detalle_24m!BJ$37,INDEX(Vol_V,24,BJ$170)/12)*(1+V_dVol),0))</f>
        <v>0</v>
      </c>
      <c r="BK200" s="48">
        <f>IF(BK$8=1,N(Reales!BK35),IF(BK$171=1,IF(AND(AND(58&gt;Corte,58&lt;=Corte+n_Ventana),ISNUMBER(Detalle_24m!BK$37)),Detalle_24m!BK$37,INDEX(Vol_V,24,BK$170)/12)*(1+V_dVol),0))</f>
        <v>0</v>
      </c>
      <c r="BL200" s="48">
        <f>IF(BL$8=1,N(Reales!BL35),IF(BL$171=1,IF(AND(AND(59&gt;Corte,59&lt;=Corte+n_Ventana),ISNUMBER(Detalle_24m!BL$37)),Detalle_24m!BL$37,INDEX(Vol_V,24,BL$170)/12)*(1+V_dVol),0))</f>
        <v>0</v>
      </c>
      <c r="BM200" s="48">
        <f>IF(BM$8=1,N(Reales!BM35),IF(BM$171=1,IF(AND(AND(60&gt;Corte,60&lt;=Corte+n_Ventana),ISNUMBER(Detalle_24m!BM$37)),Detalle_24m!BM$37,INDEX(Vol_V,24,BM$170)/12)*(1+V_dVol),0))</f>
        <v>0</v>
      </c>
      <c r="BN200" s="48">
        <f>IF(BN$8=1,N(Reales!BN35),IF(BN$171=1,IF(AND(AND(61&gt;Corte,61&lt;=Corte+n_Ventana),ISNUMBER(Detalle_24m!BN$37)),Detalle_24m!BN$37,INDEX(Vol_V,24,BN$170)/12)*(1+V_dVol),0))</f>
        <v>0</v>
      </c>
      <c r="BO200" s="48">
        <f>IF(BO$8=1,N(Reales!BO35),IF(BO$171=1,IF(AND(AND(62&gt;Corte,62&lt;=Corte+n_Ventana),ISNUMBER(Detalle_24m!BO$37)),Detalle_24m!BO$37,INDEX(Vol_V,24,BO$170)/12)*(1+V_dVol),0))</f>
        <v>0</v>
      </c>
      <c r="BP200" s="48">
        <f>IF(BP$8=1,N(Reales!BP35),IF(BP$171=1,IF(AND(AND(63&gt;Corte,63&lt;=Corte+n_Ventana),ISNUMBER(Detalle_24m!BP$37)),Detalle_24m!BP$37,INDEX(Vol_V,24,BP$170)/12)*(1+V_dVol),0))</f>
        <v>0</v>
      </c>
      <c r="BQ200" s="48">
        <f>IF(BQ$8=1,N(Reales!BQ35),IF(BQ$171=1,IF(AND(AND(64&gt;Corte,64&lt;=Corte+n_Ventana),ISNUMBER(Detalle_24m!BQ$37)),Detalle_24m!BQ$37,INDEX(Vol_V,24,BQ$170)/12)*(1+V_dVol),0))</f>
        <v>0</v>
      </c>
      <c r="BR200" s="48">
        <f>IF(BR$8=1,N(Reales!BR35),IF(BR$171=1,IF(AND(AND(65&gt;Corte,65&lt;=Corte+n_Ventana),ISNUMBER(Detalle_24m!BR$37)),Detalle_24m!BR$37,INDEX(Vol_V,24,BR$170)/12)*(1+V_dVol),0))</f>
        <v>0</v>
      </c>
      <c r="BS200" s="48">
        <f>IF(BS$8=1,N(Reales!BS35),IF(BS$171=1,IF(AND(AND(66&gt;Corte,66&lt;=Corte+n_Ventana),ISNUMBER(Detalle_24m!BS$37)),Detalle_24m!BS$37,INDEX(Vol_V,24,BS$170)/12)*(1+V_dVol),0))</f>
        <v>0</v>
      </c>
      <c r="BT200" s="48">
        <f>IF(BT$8=1,N(Reales!BT35),IF(BT$171=1,IF(AND(AND(67&gt;Corte,67&lt;=Corte+n_Ventana),ISNUMBER(Detalle_24m!BT$37)),Detalle_24m!BT$37,INDEX(Vol_V,24,BT$170)/12)*(1+V_dVol),0))</f>
        <v>0</v>
      </c>
      <c r="BU200" s="48">
        <f>IF(BU$8=1,N(Reales!BU35),IF(BU$171=1,IF(AND(AND(68&gt;Corte,68&lt;=Corte+n_Ventana),ISNUMBER(Detalle_24m!BU$37)),Detalle_24m!BU$37,INDEX(Vol_V,24,BU$170)/12)*(1+V_dVol),0))</f>
        <v>0</v>
      </c>
      <c r="BV200" s="48">
        <f>IF(BV$8=1,N(Reales!BV35),IF(BV$171=1,IF(AND(AND(69&gt;Corte,69&lt;=Corte+n_Ventana),ISNUMBER(Detalle_24m!BV$37)),Detalle_24m!BV$37,INDEX(Vol_V,24,BV$170)/12)*(1+V_dVol),0))</f>
        <v>0</v>
      </c>
      <c r="BW200" s="48">
        <f>IF(BW$8=1,N(Reales!BW35),IF(BW$171=1,IF(AND(AND(70&gt;Corte,70&lt;=Corte+n_Ventana),ISNUMBER(Detalle_24m!BW$37)),Detalle_24m!BW$37,INDEX(Vol_V,24,BW$170)/12)*(1+V_dVol),0))</f>
        <v>0</v>
      </c>
      <c r="BX200" s="48">
        <f>IF(BX$8=1,N(Reales!BX35),IF(BX$171=1,IF(AND(AND(71&gt;Corte,71&lt;=Corte+n_Ventana),ISNUMBER(Detalle_24m!BX$37)),Detalle_24m!BX$37,INDEX(Vol_V,24,BX$170)/12)*(1+V_dVol),0))</f>
        <v>0</v>
      </c>
      <c r="BY200" s="48">
        <f>IF(BY$8=1,N(Reales!BY35),IF(BY$171=1,IF(AND(AND(72&gt;Corte,72&lt;=Corte+n_Ventana),ISNUMBER(Detalle_24m!BY$37)),Detalle_24m!BY$37,INDEX(Vol_V,24,BY$170)/12)*(1+V_dVol),0))</f>
        <v>0</v>
      </c>
      <c r="BZ200" s="48">
        <f>IF(BZ$8=1,N(Reales!BZ35),IF(BZ$171=1,IF(AND(AND(73&gt;Corte,73&lt;=Corte+n_Ventana),ISNUMBER(Detalle_24m!BZ$37)),Detalle_24m!BZ$37,INDEX(Vol_V,24,BZ$170)/12)*(1+V_dVol),0))</f>
        <v>0</v>
      </c>
      <c r="CA200" s="48">
        <f>IF(CA$8=1,N(Reales!CA35),IF(CA$171=1,IF(AND(AND(74&gt;Corte,74&lt;=Corte+n_Ventana),ISNUMBER(Detalle_24m!CA$37)),Detalle_24m!CA$37,INDEX(Vol_V,24,CA$170)/12)*(1+V_dVol),0))</f>
        <v>0</v>
      </c>
      <c r="CB200" s="48">
        <f>IF(CB$8=1,N(Reales!CB35),IF(CB$171=1,IF(AND(AND(75&gt;Corte,75&lt;=Corte+n_Ventana),ISNUMBER(Detalle_24m!CB$37)),Detalle_24m!CB$37,INDEX(Vol_V,24,CB$170)/12)*(1+V_dVol),0))</f>
        <v>0</v>
      </c>
      <c r="CC200" s="48">
        <f>IF(CC$8=1,N(Reales!CC35),IF(CC$171=1,IF(AND(AND(76&gt;Corte,76&lt;=Corte+n_Ventana),ISNUMBER(Detalle_24m!CC$37)),Detalle_24m!CC$37,INDEX(Vol_V,24,CC$170)/12)*(1+V_dVol),0))</f>
        <v>0</v>
      </c>
      <c r="CD200" s="48">
        <f>IF(CD$8=1,N(Reales!CD35),IF(CD$171=1,IF(AND(AND(77&gt;Corte,77&lt;=Corte+n_Ventana),ISNUMBER(Detalle_24m!CD$37)),Detalle_24m!CD$37,INDEX(Vol_V,24,CD$170)/12)*(1+V_dVol),0))</f>
        <v>0</v>
      </c>
      <c r="CE200" s="48">
        <f>IF(CE$8=1,N(Reales!CE35),IF(CE$171=1,IF(AND(AND(78&gt;Corte,78&lt;=Corte+n_Ventana),ISNUMBER(Detalle_24m!CE$37)),Detalle_24m!CE$37,INDEX(Vol_V,24,CE$170)/12)*(1+V_dVol),0))</f>
        <v>0</v>
      </c>
      <c r="CF200" s="48">
        <f>IF(CF$8=1,N(Reales!CF35),IF(CF$171=1,IF(AND(AND(79&gt;Corte,79&lt;=Corte+n_Ventana),ISNUMBER(Detalle_24m!CF$37)),Detalle_24m!CF$37,INDEX(Vol_V,24,CF$170)/12)*(1+V_dVol),0))</f>
        <v>0</v>
      </c>
      <c r="CG200" s="48">
        <f>IF(CG$8=1,N(Reales!CG35),IF(CG$171=1,IF(AND(AND(80&gt;Corte,80&lt;=Corte+n_Ventana),ISNUMBER(Detalle_24m!CG$37)),Detalle_24m!CG$37,INDEX(Vol_V,24,CG$170)/12)*(1+V_dVol),0))</f>
        <v>0</v>
      </c>
      <c r="CH200" s="48">
        <f>IF(CH$8=1,N(Reales!CH35),IF(CH$171=1,IF(AND(AND(81&gt;Corte,81&lt;=Corte+n_Ventana),ISNUMBER(Detalle_24m!CH$37)),Detalle_24m!CH$37,INDEX(Vol_V,24,CH$170)/12)*(1+V_dVol),0))</f>
        <v>0</v>
      </c>
      <c r="CI200" s="48">
        <f>IF(CI$8=1,N(Reales!CI35),IF(CI$171=1,IF(AND(AND(82&gt;Corte,82&lt;=Corte+n_Ventana),ISNUMBER(Detalle_24m!CI$37)),Detalle_24m!CI$37,INDEX(Vol_V,24,CI$170)/12)*(1+V_dVol),0))</f>
        <v>0</v>
      </c>
      <c r="CJ200" s="48">
        <f>IF(CJ$8=1,N(Reales!CJ35),IF(CJ$171=1,IF(AND(AND(83&gt;Corte,83&lt;=Corte+n_Ventana),ISNUMBER(Detalle_24m!CJ$37)),Detalle_24m!CJ$37,INDEX(Vol_V,24,CJ$170)/12)*(1+V_dVol),0))</f>
        <v>0</v>
      </c>
      <c r="CK200" s="48">
        <f>IF(CK$8=1,N(Reales!CK35),IF(CK$171=1,IF(AND(AND(84&gt;Corte,84&lt;=Corte+n_Ventana),ISNUMBER(Detalle_24m!CK$37)),Detalle_24m!CK$37,INDEX(Vol_V,24,CK$170)/12)*(1+V_dVol),0))</f>
        <v>0</v>
      </c>
      <c r="CL200" s="48">
        <f>IF(CL$8=1,N(Reales!CL35),IF(CL$171=1,IF(AND(AND(85&gt;Corte,85&lt;=Corte+n_Ventana),ISNUMBER(Detalle_24m!CL$37)),Detalle_24m!CL$37,INDEX(Vol_V,24,CL$170)/12)*(1+V_dVol),0))</f>
        <v>0</v>
      </c>
      <c r="CM200" s="48">
        <f>IF(CM$8=1,N(Reales!CM35),IF(CM$171=1,IF(AND(AND(86&gt;Corte,86&lt;=Corte+n_Ventana),ISNUMBER(Detalle_24m!CM$37)),Detalle_24m!CM$37,INDEX(Vol_V,24,CM$170)/12)*(1+V_dVol),0))</f>
        <v>0</v>
      </c>
      <c r="CN200" s="48">
        <f>IF(CN$8=1,N(Reales!CN35),IF(CN$171=1,IF(AND(AND(87&gt;Corte,87&lt;=Corte+n_Ventana),ISNUMBER(Detalle_24m!CN$37)),Detalle_24m!CN$37,INDEX(Vol_V,24,CN$170)/12)*(1+V_dVol),0))</f>
        <v>0</v>
      </c>
      <c r="CO200" s="48">
        <f>IF(CO$8=1,N(Reales!CO35),IF(CO$171=1,IF(AND(AND(88&gt;Corte,88&lt;=Corte+n_Ventana),ISNUMBER(Detalle_24m!CO$37)),Detalle_24m!CO$37,INDEX(Vol_V,24,CO$170)/12)*(1+V_dVol),0))</f>
        <v>0</v>
      </c>
      <c r="CP200" s="48">
        <f>IF(CP$8=1,N(Reales!CP35),IF(CP$171=1,IF(AND(AND(89&gt;Corte,89&lt;=Corte+n_Ventana),ISNUMBER(Detalle_24m!CP$37)),Detalle_24m!CP$37,INDEX(Vol_V,24,CP$170)/12)*(1+V_dVol),0))</f>
        <v>0</v>
      </c>
      <c r="CQ200" s="48">
        <f>IF(CQ$8=1,N(Reales!CQ35),IF(CQ$171=1,IF(AND(AND(90&gt;Corte,90&lt;=Corte+n_Ventana),ISNUMBER(Detalle_24m!CQ$37)),Detalle_24m!CQ$37,INDEX(Vol_V,24,CQ$170)/12)*(1+V_dVol),0))</f>
        <v>0</v>
      </c>
      <c r="CR200" s="48">
        <f>IF(CR$8=1,N(Reales!CR35),IF(CR$171=1,IF(AND(AND(91&gt;Corte,91&lt;=Corte+n_Ventana),ISNUMBER(Detalle_24m!CR$37)),Detalle_24m!CR$37,INDEX(Vol_V,24,CR$170)/12)*(1+V_dVol),0))</f>
        <v>0</v>
      </c>
      <c r="CS200" s="48">
        <f>IF(CS$8=1,N(Reales!CS35),IF(CS$171=1,IF(AND(AND(92&gt;Corte,92&lt;=Corte+n_Ventana),ISNUMBER(Detalle_24m!CS$37)),Detalle_24m!CS$37,INDEX(Vol_V,24,CS$170)/12)*(1+V_dVol),0))</f>
        <v>0</v>
      </c>
      <c r="CT200" s="48">
        <f>IF(CT$8=1,N(Reales!CT35),IF(CT$171=1,IF(AND(AND(93&gt;Corte,93&lt;=Corte+n_Ventana),ISNUMBER(Detalle_24m!CT$37)),Detalle_24m!CT$37,INDEX(Vol_V,24,CT$170)/12)*(1+V_dVol),0))</f>
        <v>0</v>
      </c>
      <c r="CU200" s="48">
        <f>IF(CU$8=1,N(Reales!CU35),IF(CU$171=1,IF(AND(AND(94&gt;Corte,94&lt;=Corte+n_Ventana),ISNUMBER(Detalle_24m!CU$37)),Detalle_24m!CU$37,INDEX(Vol_V,24,CU$170)/12)*(1+V_dVol),0))</f>
        <v>0</v>
      </c>
      <c r="CV200" s="48">
        <f>IF(CV$8=1,N(Reales!CV35),IF(CV$171=1,IF(AND(AND(95&gt;Corte,95&lt;=Corte+n_Ventana),ISNUMBER(Detalle_24m!CV$37)),Detalle_24m!CV$37,INDEX(Vol_V,24,CV$170)/12)*(1+V_dVol),0))</f>
        <v>0</v>
      </c>
      <c r="CW200" s="48">
        <f>IF(CW$8=1,N(Reales!CW35),IF(CW$171=1,IF(AND(AND(96&gt;Corte,96&lt;=Corte+n_Ventana),ISNUMBER(Detalle_24m!CW$37)),Detalle_24m!CW$37,INDEX(Vol_V,24,CW$170)/12)*(1+V_dVol),0))</f>
        <v>0</v>
      </c>
      <c r="CX200" s="48">
        <f>IF(CX$8=1,N(Reales!CX35),IF(CX$171=1,IF(AND(AND(97&gt;Corte,97&lt;=Corte+n_Ventana),ISNUMBER(Detalle_24m!CX$37)),Detalle_24m!CX$37,INDEX(Vol_V,24,CX$170)/12)*(1+V_dVol),0))</f>
        <v>0</v>
      </c>
      <c r="CY200" s="48">
        <f>IF(CY$8=1,N(Reales!CY35),IF(CY$171=1,IF(AND(AND(98&gt;Corte,98&lt;=Corte+n_Ventana),ISNUMBER(Detalle_24m!CY$37)),Detalle_24m!CY$37,INDEX(Vol_V,24,CY$170)/12)*(1+V_dVol),0))</f>
        <v>0</v>
      </c>
      <c r="CZ200" s="48">
        <f>IF(CZ$8=1,N(Reales!CZ35),IF(CZ$171=1,IF(AND(AND(99&gt;Corte,99&lt;=Corte+n_Ventana),ISNUMBER(Detalle_24m!CZ$37)),Detalle_24m!CZ$37,INDEX(Vol_V,24,CZ$170)/12)*(1+V_dVol),0))</f>
        <v>0</v>
      </c>
      <c r="DA200" s="48">
        <f>IF(DA$8=1,N(Reales!DA35),IF(DA$171=1,IF(AND(AND(100&gt;Corte,100&lt;=Corte+n_Ventana),ISNUMBER(Detalle_24m!DA$37)),Detalle_24m!DA$37,INDEX(Vol_V,24,DA$170)/12)*(1+V_dVol),0))</f>
        <v>0</v>
      </c>
      <c r="DB200" s="48">
        <f>IF(DB$8=1,N(Reales!DB35),IF(DB$171=1,IF(AND(AND(101&gt;Corte,101&lt;=Corte+n_Ventana),ISNUMBER(Detalle_24m!DB$37)),Detalle_24m!DB$37,INDEX(Vol_V,24,DB$170)/12)*(1+V_dVol),0))</f>
        <v>0</v>
      </c>
      <c r="DC200" s="48">
        <f>IF(DC$8=1,N(Reales!DC35),IF(DC$171=1,IF(AND(AND(102&gt;Corte,102&lt;=Corte+n_Ventana),ISNUMBER(Detalle_24m!DC$37)),Detalle_24m!DC$37,INDEX(Vol_V,24,DC$170)/12)*(1+V_dVol),0))</f>
        <v>0</v>
      </c>
      <c r="DD200" s="48">
        <f>IF(DD$8=1,N(Reales!DD35),IF(DD$171=1,IF(AND(AND(103&gt;Corte,103&lt;=Corte+n_Ventana),ISNUMBER(Detalle_24m!DD$37)),Detalle_24m!DD$37,INDEX(Vol_V,24,DD$170)/12)*(1+V_dVol),0))</f>
        <v>0</v>
      </c>
      <c r="DE200" s="48">
        <f>IF(DE$8=1,N(Reales!DE35),IF(DE$171=1,IF(AND(AND(104&gt;Corte,104&lt;=Corte+n_Ventana),ISNUMBER(Detalle_24m!DE$37)),Detalle_24m!DE$37,INDEX(Vol_V,24,DE$170)/12)*(1+V_dVol),0))</f>
        <v>0</v>
      </c>
      <c r="DF200" s="48">
        <f>IF(DF$8=1,N(Reales!DF35),IF(DF$171=1,IF(AND(AND(105&gt;Corte,105&lt;=Corte+n_Ventana),ISNUMBER(Detalle_24m!DF$37)),Detalle_24m!DF$37,INDEX(Vol_V,24,DF$170)/12)*(1+V_dVol),0))</f>
        <v>0</v>
      </c>
      <c r="DG200" s="48">
        <f>IF(DG$8=1,N(Reales!DG35),IF(DG$171=1,IF(AND(AND(106&gt;Corte,106&lt;=Corte+n_Ventana),ISNUMBER(Detalle_24m!DG$37)),Detalle_24m!DG$37,INDEX(Vol_V,24,DG$170)/12)*(1+V_dVol),0))</f>
        <v>0</v>
      </c>
      <c r="DH200" s="48">
        <f>IF(DH$8=1,N(Reales!DH35),IF(DH$171=1,IF(AND(AND(107&gt;Corte,107&lt;=Corte+n_Ventana),ISNUMBER(Detalle_24m!DH$37)),Detalle_24m!DH$37,INDEX(Vol_V,24,DH$170)/12)*(1+V_dVol),0))</f>
        <v>0</v>
      </c>
      <c r="DI200" s="48">
        <f>IF(DI$8=1,N(Reales!DI35),IF(DI$171=1,IF(AND(AND(108&gt;Corte,108&lt;=Corte+n_Ventana),ISNUMBER(Detalle_24m!DI$37)),Detalle_24m!DI$37,INDEX(Vol_V,24,DI$170)/12)*(1+V_dVol),0))</f>
        <v>0</v>
      </c>
      <c r="DJ200" s="48">
        <f>IF(DJ$8=1,N(Reales!DJ35),IF(DJ$171=1,IF(AND(AND(109&gt;Corte,109&lt;=Corte+n_Ventana),ISNUMBER(Detalle_24m!DJ$37)),Detalle_24m!DJ$37,INDEX(Vol_V,24,DJ$170)/12)*(1+V_dVol),0))</f>
        <v>0</v>
      </c>
      <c r="DK200" s="48">
        <f>IF(DK$8=1,N(Reales!DK35),IF(DK$171=1,IF(AND(AND(110&gt;Corte,110&lt;=Corte+n_Ventana),ISNUMBER(Detalle_24m!DK$37)),Detalle_24m!DK$37,INDEX(Vol_V,24,DK$170)/12)*(1+V_dVol),0))</f>
        <v>0</v>
      </c>
      <c r="DL200" s="48">
        <f>IF(DL$8=1,N(Reales!DL35),IF(DL$171=1,IF(AND(AND(111&gt;Corte,111&lt;=Corte+n_Ventana),ISNUMBER(Detalle_24m!DL$37)),Detalle_24m!DL$37,INDEX(Vol_V,24,DL$170)/12)*(1+V_dVol),0))</f>
        <v>0</v>
      </c>
      <c r="DM200" s="48">
        <f>IF(DM$8=1,N(Reales!DM35),IF(DM$171=1,IF(AND(AND(112&gt;Corte,112&lt;=Corte+n_Ventana),ISNUMBER(Detalle_24m!DM$37)),Detalle_24m!DM$37,INDEX(Vol_V,24,DM$170)/12)*(1+V_dVol),0))</f>
        <v>0</v>
      </c>
      <c r="DN200" s="48">
        <f>IF(DN$8=1,N(Reales!DN35),IF(DN$171=1,IF(AND(AND(113&gt;Corte,113&lt;=Corte+n_Ventana),ISNUMBER(Detalle_24m!DN$37)),Detalle_24m!DN$37,INDEX(Vol_V,24,DN$170)/12)*(1+V_dVol),0))</f>
        <v>0</v>
      </c>
      <c r="DO200" s="48">
        <f>IF(DO$8=1,N(Reales!DO35),IF(DO$171=1,IF(AND(AND(114&gt;Corte,114&lt;=Corte+n_Ventana),ISNUMBER(Detalle_24m!DO$37)),Detalle_24m!DO$37,INDEX(Vol_V,24,DO$170)/12)*(1+V_dVol),0))</f>
        <v>0</v>
      </c>
      <c r="DP200" s="48">
        <f>IF(DP$8=1,N(Reales!DP35),IF(DP$171=1,IF(AND(AND(115&gt;Corte,115&lt;=Corte+n_Ventana),ISNUMBER(Detalle_24m!DP$37)),Detalle_24m!DP$37,INDEX(Vol_V,24,DP$170)/12)*(1+V_dVol),0))</f>
        <v>0</v>
      </c>
      <c r="DQ200" s="48">
        <f>IF(DQ$8=1,N(Reales!DQ35),IF(DQ$171=1,IF(AND(AND(116&gt;Corte,116&lt;=Corte+n_Ventana),ISNUMBER(Detalle_24m!DQ$37)),Detalle_24m!DQ$37,INDEX(Vol_V,24,DQ$170)/12)*(1+V_dVol),0))</f>
        <v>0</v>
      </c>
      <c r="DR200" s="48">
        <f>IF(DR$8=1,N(Reales!DR35),IF(DR$171=1,IF(AND(AND(117&gt;Corte,117&lt;=Corte+n_Ventana),ISNUMBER(Detalle_24m!DR$37)),Detalle_24m!DR$37,INDEX(Vol_V,24,DR$170)/12)*(1+V_dVol),0))</f>
        <v>0</v>
      </c>
      <c r="DS200" s="48">
        <f>IF(DS$8=1,N(Reales!DS35),IF(DS$171=1,IF(AND(AND(118&gt;Corte,118&lt;=Corte+n_Ventana),ISNUMBER(Detalle_24m!DS$37)),Detalle_24m!DS$37,INDEX(Vol_V,24,DS$170)/12)*(1+V_dVol),0))</f>
        <v>0</v>
      </c>
      <c r="DT200" s="48">
        <f>IF(DT$8=1,N(Reales!DT35),IF(DT$171=1,IF(AND(AND(119&gt;Corte,119&lt;=Corte+n_Ventana),ISNUMBER(Detalle_24m!DT$37)),Detalle_24m!DT$37,INDEX(Vol_V,24,DT$170)/12)*(1+V_dVol),0))</f>
        <v>0</v>
      </c>
      <c r="DU200" s="48">
        <f>IF(DU$8=1,N(Reales!DU35),IF(DU$171=1,IF(AND(AND(120&gt;Corte,120&lt;=Corte+n_Ventana),ISNUMBER(Detalle_24m!DU$37)),Detalle_24m!DU$37,INDEX(Vol_V,24,DU$170)/12)*(1+V_dVol),0))</f>
        <v>0</v>
      </c>
      <c r="DV200" s="48">
        <f>IF(DV$8=1,N(Reales!DV35),IF(DV$171=1,IF(AND(AND(121&gt;Corte,121&lt;=Corte+n_Ventana),ISNUMBER(Detalle_24m!DV$37)),Detalle_24m!DV$37,INDEX(Vol_V,24,DV$170)/12)*(1+V_dVol),0))</f>
        <v>0</v>
      </c>
      <c r="DW200" s="48">
        <f>IF(DW$8=1,N(Reales!DW35),IF(DW$171=1,IF(AND(AND(122&gt;Corte,122&lt;=Corte+n_Ventana),ISNUMBER(Detalle_24m!DW$37)),Detalle_24m!DW$37,INDEX(Vol_V,24,DW$170)/12)*(1+V_dVol),0))</f>
        <v>0</v>
      </c>
      <c r="DX200" s="48">
        <f>IF(DX$8=1,N(Reales!DX35),IF(DX$171=1,IF(AND(AND(123&gt;Corte,123&lt;=Corte+n_Ventana),ISNUMBER(Detalle_24m!DX$37)),Detalle_24m!DX$37,INDEX(Vol_V,24,DX$170)/12)*(1+V_dVol),0))</f>
        <v>0</v>
      </c>
      <c r="DY200" s="48">
        <f>IF(DY$8=1,N(Reales!DY35),IF(DY$171=1,IF(AND(AND(124&gt;Corte,124&lt;=Corte+n_Ventana),ISNUMBER(Detalle_24m!DY$37)),Detalle_24m!DY$37,INDEX(Vol_V,24,DY$170)/12)*(1+V_dVol),0))</f>
        <v>0</v>
      </c>
      <c r="DZ200" s="48">
        <f>IF(DZ$8=1,N(Reales!DZ35),IF(DZ$171=1,IF(AND(AND(125&gt;Corte,125&lt;=Corte+n_Ventana),ISNUMBER(Detalle_24m!DZ$37)),Detalle_24m!DZ$37,INDEX(Vol_V,24,DZ$170)/12)*(1+V_dVol),0))</f>
        <v>0</v>
      </c>
      <c r="EA200" s="48">
        <f>IF(EA$8=1,N(Reales!EA35),IF(EA$171=1,IF(AND(AND(126&gt;Corte,126&lt;=Corte+n_Ventana),ISNUMBER(Detalle_24m!EA$37)),Detalle_24m!EA$37,INDEX(Vol_V,24,EA$170)/12)*(1+V_dVol),0))</f>
        <v>0</v>
      </c>
      <c r="EB200" s="48">
        <f>IF(EB$8=1,N(Reales!EB35),IF(EB$171=1,IF(AND(AND(127&gt;Corte,127&lt;=Corte+n_Ventana),ISNUMBER(Detalle_24m!EB$37)),Detalle_24m!EB$37,INDEX(Vol_V,24,EB$170)/12)*(1+V_dVol),0))</f>
        <v>0</v>
      </c>
      <c r="EC200" s="48">
        <f>IF(EC$8=1,N(Reales!EC35),IF(EC$171=1,IF(AND(AND(128&gt;Corte,128&lt;=Corte+n_Ventana),ISNUMBER(Detalle_24m!EC$37)),Detalle_24m!EC$37,INDEX(Vol_V,24,EC$170)/12)*(1+V_dVol),0))</f>
        <v>0</v>
      </c>
      <c r="ED200" s="48">
        <f>IF(ED$8=1,N(Reales!ED35),IF(ED$171=1,IF(AND(AND(129&gt;Corte,129&lt;=Corte+n_Ventana),ISNUMBER(Detalle_24m!ED$37)),Detalle_24m!ED$37,INDEX(Vol_V,24,ED$170)/12)*(1+V_dVol),0))</f>
        <v>0</v>
      </c>
      <c r="EE200" s="48">
        <f>IF(EE$8=1,N(Reales!EE35),IF(EE$171=1,IF(AND(AND(130&gt;Corte,130&lt;=Corte+n_Ventana),ISNUMBER(Detalle_24m!EE$37)),Detalle_24m!EE$37,INDEX(Vol_V,24,EE$170)/12)*(1+V_dVol),0))</f>
        <v>0</v>
      </c>
      <c r="EF200" s="48">
        <f>IF(EF$8=1,N(Reales!EF35),IF(EF$171=1,IF(AND(AND(131&gt;Corte,131&lt;=Corte+n_Ventana),ISNUMBER(Detalle_24m!EF$37)),Detalle_24m!EF$37,INDEX(Vol_V,24,EF$170)/12)*(1+V_dVol),0))</f>
        <v>0</v>
      </c>
      <c r="EG200" s="48">
        <f>IF(EG$8=1,N(Reales!EG35),IF(EG$171=1,IF(AND(AND(132&gt;Corte,132&lt;=Corte+n_Ventana),ISNUMBER(Detalle_24m!EG$37)),Detalle_24m!EG$37,INDEX(Vol_V,24,EG$170)/12)*(1+V_dVol),0))</f>
        <v>0</v>
      </c>
      <c r="EH200" s="48">
        <f>IF(EH$8=1,N(Reales!EH35),IF(EH$171=1,IF(AND(AND(133&gt;Corte,133&lt;=Corte+n_Ventana),ISNUMBER(Detalle_24m!EH$37)),Detalle_24m!EH$37,INDEX(Vol_V,24,EH$170)/12)*(1+V_dVol),0))</f>
        <v>0</v>
      </c>
      <c r="EI200" s="48">
        <f>IF(EI$8=1,N(Reales!EI35),IF(EI$171=1,IF(AND(AND(134&gt;Corte,134&lt;=Corte+n_Ventana),ISNUMBER(Detalle_24m!EI$37)),Detalle_24m!EI$37,INDEX(Vol_V,24,EI$170)/12)*(1+V_dVol),0))</f>
        <v>0</v>
      </c>
      <c r="EJ200" s="48">
        <f>IF(EJ$8=1,N(Reales!EJ35),IF(EJ$171=1,IF(AND(AND(135&gt;Corte,135&lt;=Corte+n_Ventana),ISNUMBER(Detalle_24m!EJ$37)),Detalle_24m!EJ$37,INDEX(Vol_V,24,EJ$170)/12)*(1+V_dVol),0))</f>
        <v>0</v>
      </c>
      <c r="EK200" s="48">
        <f>IF(EK$8=1,N(Reales!EK35),IF(EK$171=1,IF(AND(AND(136&gt;Corte,136&lt;=Corte+n_Ventana),ISNUMBER(Detalle_24m!EK$37)),Detalle_24m!EK$37,INDEX(Vol_V,24,EK$170)/12)*(1+V_dVol),0))</f>
        <v>0</v>
      </c>
      <c r="EL200" s="48">
        <f>IF(EL$8=1,N(Reales!EL35),IF(EL$171=1,IF(AND(AND(137&gt;Corte,137&lt;=Corte+n_Ventana),ISNUMBER(Detalle_24m!EL$37)),Detalle_24m!EL$37,INDEX(Vol_V,24,EL$170)/12)*(1+V_dVol),0))</f>
        <v>0</v>
      </c>
      <c r="EM200" s="48">
        <f>IF(EM$8=1,N(Reales!EM35),IF(EM$171=1,IF(AND(AND(138&gt;Corte,138&lt;=Corte+n_Ventana),ISNUMBER(Detalle_24m!EM$37)),Detalle_24m!EM$37,INDEX(Vol_V,24,EM$170)/12)*(1+V_dVol),0))</f>
        <v>0</v>
      </c>
      <c r="EN200" s="48">
        <f>IF(EN$8=1,N(Reales!EN35),IF(EN$171=1,IF(AND(AND(139&gt;Corte,139&lt;=Corte+n_Ventana),ISNUMBER(Detalle_24m!EN$37)),Detalle_24m!EN$37,INDEX(Vol_V,24,EN$170)/12)*(1+V_dVol),0))</f>
        <v>0</v>
      </c>
      <c r="EO200" s="48">
        <f>IF(EO$8=1,N(Reales!EO35),IF(EO$171=1,IF(AND(AND(140&gt;Corte,140&lt;=Corte+n_Ventana),ISNUMBER(Detalle_24m!EO$37)),Detalle_24m!EO$37,INDEX(Vol_V,24,EO$170)/12)*(1+V_dVol),0))</f>
        <v>0</v>
      </c>
      <c r="EP200" s="48">
        <f>IF(EP$8=1,N(Reales!EP35),IF(EP$171=1,IF(AND(AND(141&gt;Corte,141&lt;=Corte+n_Ventana),ISNUMBER(Detalle_24m!EP$37)),Detalle_24m!EP$37,INDEX(Vol_V,24,EP$170)/12)*(1+V_dVol),0))</f>
        <v>0</v>
      </c>
      <c r="EQ200" s="48">
        <f>IF(EQ$8=1,N(Reales!EQ35),IF(EQ$171=1,IF(AND(AND(142&gt;Corte,142&lt;=Corte+n_Ventana),ISNUMBER(Detalle_24m!EQ$37)),Detalle_24m!EQ$37,INDEX(Vol_V,24,EQ$170)/12)*(1+V_dVol),0))</f>
        <v>0</v>
      </c>
      <c r="ER200" s="48">
        <f>IF(ER$8=1,N(Reales!ER35),IF(ER$171=1,IF(AND(AND(143&gt;Corte,143&lt;=Corte+n_Ventana),ISNUMBER(Detalle_24m!ER$37)),Detalle_24m!ER$37,INDEX(Vol_V,24,ER$170)/12)*(1+V_dVol),0))</f>
        <v>0</v>
      </c>
      <c r="ES200" s="48">
        <f>IF(ES$8=1,N(Reales!ES35),IF(ES$171=1,IF(AND(AND(144&gt;Corte,144&lt;=Corte+n_Ventana),ISNUMBER(Detalle_24m!ES$37)),Detalle_24m!ES$37,INDEX(Vol_V,24,ES$170)/12)*(1+V_dVol),0))</f>
        <v>0</v>
      </c>
    </row>
    <row r="201" spans="1:149" x14ac:dyDescent="0.3">
      <c r="A201" s="14" t="s">
        <v>1256</v>
      </c>
      <c r="B201" s="53" t="str">
        <f>IF(INDEX(Prod_Nombre,25)="","Producto 25",INDEX(Prod_Nombre,25))&amp;" — unidades"</f>
        <v>Producto 25 — unidades</v>
      </c>
      <c r="C201" s="18" t="s">
        <v>475</v>
      </c>
      <c r="E201" s="54">
        <f t="shared" si="604"/>
        <v>0</v>
      </c>
      <c r="F201" s="48">
        <f>IF(F$8=1,N(Reales!F36),IF(F$171=1,IF(AND(AND(1&gt;Corte,1&lt;=Corte+n_Ventana),ISNUMBER(Detalle_24m!F$38)),Detalle_24m!F$38,INDEX(Vol_V,25,F$170)/12)*(1+V_dVol),0))</f>
        <v>0</v>
      </c>
      <c r="G201" s="48">
        <f>IF(G$8=1,N(Reales!G36),IF(G$171=1,IF(AND(AND(2&gt;Corte,2&lt;=Corte+n_Ventana),ISNUMBER(Detalle_24m!G$38)),Detalle_24m!G$38,INDEX(Vol_V,25,G$170)/12)*(1+V_dVol),0))</f>
        <v>0</v>
      </c>
      <c r="H201" s="48">
        <f>IF(H$8=1,N(Reales!H36),IF(H$171=1,IF(AND(AND(3&gt;Corte,3&lt;=Corte+n_Ventana),ISNUMBER(Detalle_24m!H$38)),Detalle_24m!H$38,INDEX(Vol_V,25,H$170)/12)*(1+V_dVol),0))</f>
        <v>0</v>
      </c>
      <c r="I201" s="48">
        <f>IF(I$8=1,N(Reales!I36),IF(I$171=1,IF(AND(AND(4&gt;Corte,4&lt;=Corte+n_Ventana),ISNUMBER(Detalle_24m!I$38)),Detalle_24m!I$38,INDEX(Vol_V,25,I$170)/12)*(1+V_dVol),0))</f>
        <v>0</v>
      </c>
      <c r="J201" s="48">
        <f>IF(J$8=1,N(Reales!J36),IF(J$171=1,IF(AND(AND(5&gt;Corte,5&lt;=Corte+n_Ventana),ISNUMBER(Detalle_24m!J$38)),Detalle_24m!J$38,INDEX(Vol_V,25,J$170)/12)*(1+V_dVol),0))</f>
        <v>0</v>
      </c>
      <c r="K201" s="48">
        <f>IF(K$8=1,N(Reales!K36),IF(K$171=1,IF(AND(AND(6&gt;Corte,6&lt;=Corte+n_Ventana),ISNUMBER(Detalle_24m!K$38)),Detalle_24m!K$38,INDEX(Vol_V,25,K$170)/12)*(1+V_dVol),0))</f>
        <v>0</v>
      </c>
      <c r="L201" s="48">
        <f>IF(L$8=1,N(Reales!L36),IF(L$171=1,IF(AND(AND(7&gt;Corte,7&lt;=Corte+n_Ventana),ISNUMBER(Detalle_24m!L$38)),Detalle_24m!L$38,INDEX(Vol_V,25,L$170)/12)*(1+V_dVol),0))</f>
        <v>0</v>
      </c>
      <c r="M201" s="48">
        <f>IF(M$8=1,N(Reales!M36),IF(M$171=1,IF(AND(AND(8&gt;Corte,8&lt;=Corte+n_Ventana),ISNUMBER(Detalle_24m!M$38)),Detalle_24m!M$38,INDEX(Vol_V,25,M$170)/12)*(1+V_dVol),0))</f>
        <v>0</v>
      </c>
      <c r="N201" s="48">
        <f>IF(N$8=1,N(Reales!N36),IF(N$171=1,IF(AND(AND(9&gt;Corte,9&lt;=Corte+n_Ventana),ISNUMBER(Detalle_24m!N$38)),Detalle_24m!N$38,INDEX(Vol_V,25,N$170)/12)*(1+V_dVol),0))</f>
        <v>0</v>
      </c>
      <c r="O201" s="48">
        <f>IF(O$8=1,N(Reales!O36),IF(O$171=1,IF(AND(AND(10&gt;Corte,10&lt;=Corte+n_Ventana),ISNUMBER(Detalle_24m!O$38)),Detalle_24m!O$38,INDEX(Vol_V,25,O$170)/12)*(1+V_dVol),0))</f>
        <v>0</v>
      </c>
      <c r="P201" s="48">
        <f>IF(P$8=1,N(Reales!P36),IF(P$171=1,IF(AND(AND(11&gt;Corte,11&lt;=Corte+n_Ventana),ISNUMBER(Detalle_24m!P$38)),Detalle_24m!P$38,INDEX(Vol_V,25,P$170)/12)*(1+V_dVol),0))</f>
        <v>0</v>
      </c>
      <c r="Q201" s="48">
        <f>IF(Q$8=1,N(Reales!Q36),IF(Q$171=1,IF(AND(AND(12&gt;Corte,12&lt;=Corte+n_Ventana),ISNUMBER(Detalle_24m!Q$38)),Detalle_24m!Q$38,INDEX(Vol_V,25,Q$170)/12)*(1+V_dVol),0))</f>
        <v>0</v>
      </c>
      <c r="R201" s="48">
        <f>IF(R$8=1,N(Reales!R36),IF(R$171=1,IF(AND(AND(13&gt;Corte,13&lt;=Corte+n_Ventana),ISNUMBER(Detalle_24m!R$38)),Detalle_24m!R$38,INDEX(Vol_V,25,R$170)/12)*(1+V_dVol),0))</f>
        <v>0</v>
      </c>
      <c r="S201" s="48">
        <f>IF(S$8=1,N(Reales!S36),IF(S$171=1,IF(AND(AND(14&gt;Corte,14&lt;=Corte+n_Ventana),ISNUMBER(Detalle_24m!S$38)),Detalle_24m!S$38,INDEX(Vol_V,25,S$170)/12)*(1+V_dVol),0))</f>
        <v>0</v>
      </c>
      <c r="T201" s="48">
        <f>IF(T$8=1,N(Reales!T36),IF(T$171=1,IF(AND(AND(15&gt;Corte,15&lt;=Corte+n_Ventana),ISNUMBER(Detalle_24m!T$38)),Detalle_24m!T$38,INDEX(Vol_V,25,T$170)/12)*(1+V_dVol),0))</f>
        <v>0</v>
      </c>
      <c r="U201" s="48">
        <f>IF(U$8=1,N(Reales!U36),IF(U$171=1,IF(AND(AND(16&gt;Corte,16&lt;=Corte+n_Ventana),ISNUMBER(Detalle_24m!U$38)),Detalle_24m!U$38,INDEX(Vol_V,25,U$170)/12)*(1+V_dVol),0))</f>
        <v>0</v>
      </c>
      <c r="V201" s="48">
        <f>IF(V$8=1,N(Reales!V36),IF(V$171=1,IF(AND(AND(17&gt;Corte,17&lt;=Corte+n_Ventana),ISNUMBER(Detalle_24m!V$38)),Detalle_24m!V$38,INDEX(Vol_V,25,V$170)/12)*(1+V_dVol),0))</f>
        <v>0</v>
      </c>
      <c r="W201" s="48">
        <f>IF(W$8=1,N(Reales!W36),IF(W$171=1,IF(AND(AND(18&gt;Corte,18&lt;=Corte+n_Ventana),ISNUMBER(Detalle_24m!W$38)),Detalle_24m!W$38,INDEX(Vol_V,25,W$170)/12)*(1+V_dVol),0))</f>
        <v>0</v>
      </c>
      <c r="X201" s="48">
        <f>IF(X$8=1,N(Reales!X36),IF(X$171=1,IF(AND(AND(19&gt;Corte,19&lt;=Corte+n_Ventana),ISNUMBER(Detalle_24m!X$38)),Detalle_24m!X$38,INDEX(Vol_V,25,X$170)/12)*(1+V_dVol),0))</f>
        <v>0</v>
      </c>
      <c r="Y201" s="48">
        <f>IF(Y$8=1,N(Reales!Y36),IF(Y$171=1,IF(AND(AND(20&gt;Corte,20&lt;=Corte+n_Ventana),ISNUMBER(Detalle_24m!Y$38)),Detalle_24m!Y$38,INDEX(Vol_V,25,Y$170)/12)*(1+V_dVol),0))</f>
        <v>0</v>
      </c>
      <c r="Z201" s="48">
        <f>IF(Z$8=1,N(Reales!Z36),IF(Z$171=1,IF(AND(AND(21&gt;Corte,21&lt;=Corte+n_Ventana),ISNUMBER(Detalle_24m!Z$38)),Detalle_24m!Z$38,INDEX(Vol_V,25,Z$170)/12)*(1+V_dVol),0))</f>
        <v>0</v>
      </c>
      <c r="AA201" s="48">
        <f>IF(AA$8=1,N(Reales!AA36),IF(AA$171=1,IF(AND(AND(22&gt;Corte,22&lt;=Corte+n_Ventana),ISNUMBER(Detalle_24m!AA$38)),Detalle_24m!AA$38,INDEX(Vol_V,25,AA$170)/12)*(1+V_dVol),0))</f>
        <v>0</v>
      </c>
      <c r="AB201" s="48">
        <f>IF(AB$8=1,N(Reales!AB36),IF(AB$171=1,IF(AND(AND(23&gt;Corte,23&lt;=Corte+n_Ventana),ISNUMBER(Detalle_24m!AB$38)),Detalle_24m!AB$38,INDEX(Vol_V,25,AB$170)/12)*(1+V_dVol),0))</f>
        <v>0</v>
      </c>
      <c r="AC201" s="48">
        <f>IF(AC$8=1,N(Reales!AC36),IF(AC$171=1,IF(AND(AND(24&gt;Corte,24&lt;=Corte+n_Ventana),ISNUMBER(Detalle_24m!AC$38)),Detalle_24m!AC$38,INDEX(Vol_V,25,AC$170)/12)*(1+V_dVol),0))</f>
        <v>0</v>
      </c>
      <c r="AD201" s="48">
        <f>IF(AD$8=1,N(Reales!AD36),IF(AD$171=1,IF(AND(AND(25&gt;Corte,25&lt;=Corte+n_Ventana),ISNUMBER(Detalle_24m!AD$38)),Detalle_24m!AD$38,INDEX(Vol_V,25,AD$170)/12)*(1+V_dVol),0))</f>
        <v>0</v>
      </c>
      <c r="AE201" s="48">
        <f>IF(AE$8=1,N(Reales!AE36),IF(AE$171=1,IF(AND(AND(26&gt;Corte,26&lt;=Corte+n_Ventana),ISNUMBER(Detalle_24m!AE$38)),Detalle_24m!AE$38,INDEX(Vol_V,25,AE$170)/12)*(1+V_dVol),0))</f>
        <v>0</v>
      </c>
      <c r="AF201" s="48">
        <f>IF(AF$8=1,N(Reales!AF36),IF(AF$171=1,IF(AND(AND(27&gt;Corte,27&lt;=Corte+n_Ventana),ISNUMBER(Detalle_24m!AF$38)),Detalle_24m!AF$38,INDEX(Vol_V,25,AF$170)/12)*(1+V_dVol),0))</f>
        <v>0</v>
      </c>
      <c r="AG201" s="48">
        <f>IF(AG$8=1,N(Reales!AG36),IF(AG$171=1,IF(AND(AND(28&gt;Corte,28&lt;=Corte+n_Ventana),ISNUMBER(Detalle_24m!AG$38)),Detalle_24m!AG$38,INDEX(Vol_V,25,AG$170)/12)*(1+V_dVol),0))</f>
        <v>0</v>
      </c>
      <c r="AH201" s="48">
        <f>IF(AH$8=1,N(Reales!AH36),IF(AH$171=1,IF(AND(AND(29&gt;Corte,29&lt;=Corte+n_Ventana),ISNUMBER(Detalle_24m!AH$38)),Detalle_24m!AH$38,INDEX(Vol_V,25,AH$170)/12)*(1+V_dVol),0))</f>
        <v>0</v>
      </c>
      <c r="AI201" s="48">
        <f>IF(AI$8=1,N(Reales!AI36),IF(AI$171=1,IF(AND(AND(30&gt;Corte,30&lt;=Corte+n_Ventana),ISNUMBER(Detalle_24m!AI$38)),Detalle_24m!AI$38,INDEX(Vol_V,25,AI$170)/12)*(1+V_dVol),0))</f>
        <v>0</v>
      </c>
      <c r="AJ201" s="48">
        <f>IF(AJ$8=1,N(Reales!AJ36),IF(AJ$171=1,IF(AND(AND(31&gt;Corte,31&lt;=Corte+n_Ventana),ISNUMBER(Detalle_24m!AJ$38)),Detalle_24m!AJ$38,INDEX(Vol_V,25,AJ$170)/12)*(1+V_dVol),0))</f>
        <v>0</v>
      </c>
      <c r="AK201" s="48">
        <f>IF(AK$8=1,N(Reales!AK36),IF(AK$171=1,IF(AND(AND(32&gt;Corte,32&lt;=Corte+n_Ventana),ISNUMBER(Detalle_24m!AK$38)),Detalle_24m!AK$38,INDEX(Vol_V,25,AK$170)/12)*(1+V_dVol),0))</f>
        <v>0</v>
      </c>
      <c r="AL201" s="48">
        <f>IF(AL$8=1,N(Reales!AL36),IF(AL$171=1,IF(AND(AND(33&gt;Corte,33&lt;=Corte+n_Ventana),ISNUMBER(Detalle_24m!AL$38)),Detalle_24m!AL$38,INDEX(Vol_V,25,AL$170)/12)*(1+V_dVol),0))</f>
        <v>0</v>
      </c>
      <c r="AM201" s="48">
        <f>IF(AM$8=1,N(Reales!AM36),IF(AM$171=1,IF(AND(AND(34&gt;Corte,34&lt;=Corte+n_Ventana),ISNUMBER(Detalle_24m!AM$38)),Detalle_24m!AM$38,INDEX(Vol_V,25,AM$170)/12)*(1+V_dVol),0))</f>
        <v>0</v>
      </c>
      <c r="AN201" s="48">
        <f>IF(AN$8=1,N(Reales!AN36),IF(AN$171=1,IF(AND(AND(35&gt;Corte,35&lt;=Corte+n_Ventana),ISNUMBER(Detalle_24m!AN$38)),Detalle_24m!AN$38,INDEX(Vol_V,25,AN$170)/12)*(1+V_dVol),0))</f>
        <v>0</v>
      </c>
      <c r="AO201" s="48">
        <f>IF(AO$8=1,N(Reales!AO36),IF(AO$171=1,IF(AND(AND(36&gt;Corte,36&lt;=Corte+n_Ventana),ISNUMBER(Detalle_24m!AO$38)),Detalle_24m!AO$38,INDEX(Vol_V,25,AO$170)/12)*(1+V_dVol),0))</f>
        <v>0</v>
      </c>
      <c r="AP201" s="48">
        <f>IF(AP$8=1,N(Reales!AP36),IF(AP$171=1,IF(AND(AND(37&gt;Corte,37&lt;=Corte+n_Ventana),ISNUMBER(Detalle_24m!AP$38)),Detalle_24m!AP$38,INDEX(Vol_V,25,AP$170)/12)*(1+V_dVol),0))</f>
        <v>0</v>
      </c>
      <c r="AQ201" s="48">
        <f>IF(AQ$8=1,N(Reales!AQ36),IF(AQ$171=1,IF(AND(AND(38&gt;Corte,38&lt;=Corte+n_Ventana),ISNUMBER(Detalle_24m!AQ$38)),Detalle_24m!AQ$38,INDEX(Vol_V,25,AQ$170)/12)*(1+V_dVol),0))</f>
        <v>0</v>
      </c>
      <c r="AR201" s="48">
        <f>IF(AR$8=1,N(Reales!AR36),IF(AR$171=1,IF(AND(AND(39&gt;Corte,39&lt;=Corte+n_Ventana),ISNUMBER(Detalle_24m!AR$38)),Detalle_24m!AR$38,INDEX(Vol_V,25,AR$170)/12)*(1+V_dVol),0))</f>
        <v>0</v>
      </c>
      <c r="AS201" s="48">
        <f>IF(AS$8=1,N(Reales!AS36),IF(AS$171=1,IF(AND(AND(40&gt;Corte,40&lt;=Corte+n_Ventana),ISNUMBER(Detalle_24m!AS$38)),Detalle_24m!AS$38,INDEX(Vol_V,25,AS$170)/12)*(1+V_dVol),0))</f>
        <v>0</v>
      </c>
      <c r="AT201" s="48">
        <f>IF(AT$8=1,N(Reales!AT36),IF(AT$171=1,IF(AND(AND(41&gt;Corte,41&lt;=Corte+n_Ventana),ISNUMBER(Detalle_24m!AT$38)),Detalle_24m!AT$38,INDEX(Vol_V,25,AT$170)/12)*(1+V_dVol),0))</f>
        <v>0</v>
      </c>
      <c r="AU201" s="48">
        <f>IF(AU$8=1,N(Reales!AU36),IF(AU$171=1,IF(AND(AND(42&gt;Corte,42&lt;=Corte+n_Ventana),ISNUMBER(Detalle_24m!AU$38)),Detalle_24m!AU$38,INDEX(Vol_V,25,AU$170)/12)*(1+V_dVol),0))</f>
        <v>0</v>
      </c>
      <c r="AV201" s="48">
        <f>IF(AV$8=1,N(Reales!AV36),IF(AV$171=1,IF(AND(AND(43&gt;Corte,43&lt;=Corte+n_Ventana),ISNUMBER(Detalle_24m!AV$38)),Detalle_24m!AV$38,INDEX(Vol_V,25,AV$170)/12)*(1+V_dVol),0))</f>
        <v>0</v>
      </c>
      <c r="AW201" s="48">
        <f>IF(AW$8=1,N(Reales!AW36),IF(AW$171=1,IF(AND(AND(44&gt;Corte,44&lt;=Corte+n_Ventana),ISNUMBER(Detalle_24m!AW$38)),Detalle_24m!AW$38,INDEX(Vol_V,25,AW$170)/12)*(1+V_dVol),0))</f>
        <v>0</v>
      </c>
      <c r="AX201" s="48">
        <f>IF(AX$8=1,N(Reales!AX36),IF(AX$171=1,IF(AND(AND(45&gt;Corte,45&lt;=Corte+n_Ventana),ISNUMBER(Detalle_24m!AX$38)),Detalle_24m!AX$38,INDEX(Vol_V,25,AX$170)/12)*(1+V_dVol),0))</f>
        <v>0</v>
      </c>
      <c r="AY201" s="48">
        <f>IF(AY$8=1,N(Reales!AY36),IF(AY$171=1,IF(AND(AND(46&gt;Corte,46&lt;=Corte+n_Ventana),ISNUMBER(Detalle_24m!AY$38)),Detalle_24m!AY$38,INDEX(Vol_V,25,AY$170)/12)*(1+V_dVol),0))</f>
        <v>0</v>
      </c>
      <c r="AZ201" s="48">
        <f>IF(AZ$8=1,N(Reales!AZ36),IF(AZ$171=1,IF(AND(AND(47&gt;Corte,47&lt;=Corte+n_Ventana),ISNUMBER(Detalle_24m!AZ$38)),Detalle_24m!AZ$38,INDEX(Vol_V,25,AZ$170)/12)*(1+V_dVol),0))</f>
        <v>0</v>
      </c>
      <c r="BA201" s="48">
        <f>IF(BA$8=1,N(Reales!BA36),IF(BA$171=1,IF(AND(AND(48&gt;Corte,48&lt;=Corte+n_Ventana),ISNUMBER(Detalle_24m!BA$38)),Detalle_24m!BA$38,INDEX(Vol_V,25,BA$170)/12)*(1+V_dVol),0))</f>
        <v>0</v>
      </c>
      <c r="BB201" s="48">
        <f>IF(BB$8=1,N(Reales!BB36),IF(BB$171=1,IF(AND(AND(49&gt;Corte,49&lt;=Corte+n_Ventana),ISNUMBER(Detalle_24m!BB$38)),Detalle_24m!BB$38,INDEX(Vol_V,25,BB$170)/12)*(1+V_dVol),0))</f>
        <v>0</v>
      </c>
      <c r="BC201" s="48">
        <f>IF(BC$8=1,N(Reales!BC36),IF(BC$171=1,IF(AND(AND(50&gt;Corte,50&lt;=Corte+n_Ventana),ISNUMBER(Detalle_24m!BC$38)),Detalle_24m!BC$38,INDEX(Vol_V,25,BC$170)/12)*(1+V_dVol),0))</f>
        <v>0</v>
      </c>
      <c r="BD201" s="48">
        <f>IF(BD$8=1,N(Reales!BD36),IF(BD$171=1,IF(AND(AND(51&gt;Corte,51&lt;=Corte+n_Ventana),ISNUMBER(Detalle_24m!BD$38)),Detalle_24m!BD$38,INDEX(Vol_V,25,BD$170)/12)*(1+V_dVol),0))</f>
        <v>0</v>
      </c>
      <c r="BE201" s="48">
        <f>IF(BE$8=1,N(Reales!BE36),IF(BE$171=1,IF(AND(AND(52&gt;Corte,52&lt;=Corte+n_Ventana),ISNUMBER(Detalle_24m!BE$38)),Detalle_24m!BE$38,INDEX(Vol_V,25,BE$170)/12)*(1+V_dVol),0))</f>
        <v>0</v>
      </c>
      <c r="BF201" s="48">
        <f>IF(BF$8=1,N(Reales!BF36),IF(BF$171=1,IF(AND(AND(53&gt;Corte,53&lt;=Corte+n_Ventana),ISNUMBER(Detalle_24m!BF$38)),Detalle_24m!BF$38,INDEX(Vol_V,25,BF$170)/12)*(1+V_dVol),0))</f>
        <v>0</v>
      </c>
      <c r="BG201" s="48">
        <f>IF(BG$8=1,N(Reales!BG36),IF(BG$171=1,IF(AND(AND(54&gt;Corte,54&lt;=Corte+n_Ventana),ISNUMBER(Detalle_24m!BG$38)),Detalle_24m!BG$38,INDEX(Vol_V,25,BG$170)/12)*(1+V_dVol),0))</f>
        <v>0</v>
      </c>
      <c r="BH201" s="48">
        <f>IF(BH$8=1,N(Reales!BH36),IF(BH$171=1,IF(AND(AND(55&gt;Corte,55&lt;=Corte+n_Ventana),ISNUMBER(Detalle_24m!BH$38)),Detalle_24m!BH$38,INDEX(Vol_V,25,BH$170)/12)*(1+V_dVol),0))</f>
        <v>0</v>
      </c>
      <c r="BI201" s="48">
        <f>IF(BI$8=1,N(Reales!BI36),IF(BI$171=1,IF(AND(AND(56&gt;Corte,56&lt;=Corte+n_Ventana),ISNUMBER(Detalle_24m!BI$38)),Detalle_24m!BI$38,INDEX(Vol_V,25,BI$170)/12)*(1+V_dVol),0))</f>
        <v>0</v>
      </c>
      <c r="BJ201" s="48">
        <f>IF(BJ$8=1,N(Reales!BJ36),IF(BJ$171=1,IF(AND(AND(57&gt;Corte,57&lt;=Corte+n_Ventana),ISNUMBER(Detalle_24m!BJ$38)),Detalle_24m!BJ$38,INDEX(Vol_V,25,BJ$170)/12)*(1+V_dVol),0))</f>
        <v>0</v>
      </c>
      <c r="BK201" s="48">
        <f>IF(BK$8=1,N(Reales!BK36),IF(BK$171=1,IF(AND(AND(58&gt;Corte,58&lt;=Corte+n_Ventana),ISNUMBER(Detalle_24m!BK$38)),Detalle_24m!BK$38,INDEX(Vol_V,25,BK$170)/12)*(1+V_dVol),0))</f>
        <v>0</v>
      </c>
      <c r="BL201" s="48">
        <f>IF(BL$8=1,N(Reales!BL36),IF(BL$171=1,IF(AND(AND(59&gt;Corte,59&lt;=Corte+n_Ventana),ISNUMBER(Detalle_24m!BL$38)),Detalle_24m!BL$38,INDEX(Vol_V,25,BL$170)/12)*(1+V_dVol),0))</f>
        <v>0</v>
      </c>
      <c r="BM201" s="48">
        <f>IF(BM$8=1,N(Reales!BM36),IF(BM$171=1,IF(AND(AND(60&gt;Corte,60&lt;=Corte+n_Ventana),ISNUMBER(Detalle_24m!BM$38)),Detalle_24m!BM$38,INDEX(Vol_V,25,BM$170)/12)*(1+V_dVol),0))</f>
        <v>0</v>
      </c>
      <c r="BN201" s="48">
        <f>IF(BN$8=1,N(Reales!BN36),IF(BN$171=1,IF(AND(AND(61&gt;Corte,61&lt;=Corte+n_Ventana),ISNUMBER(Detalle_24m!BN$38)),Detalle_24m!BN$38,INDEX(Vol_V,25,BN$170)/12)*(1+V_dVol),0))</f>
        <v>0</v>
      </c>
      <c r="BO201" s="48">
        <f>IF(BO$8=1,N(Reales!BO36),IF(BO$171=1,IF(AND(AND(62&gt;Corte,62&lt;=Corte+n_Ventana),ISNUMBER(Detalle_24m!BO$38)),Detalle_24m!BO$38,INDEX(Vol_V,25,BO$170)/12)*(1+V_dVol),0))</f>
        <v>0</v>
      </c>
      <c r="BP201" s="48">
        <f>IF(BP$8=1,N(Reales!BP36),IF(BP$171=1,IF(AND(AND(63&gt;Corte,63&lt;=Corte+n_Ventana),ISNUMBER(Detalle_24m!BP$38)),Detalle_24m!BP$38,INDEX(Vol_V,25,BP$170)/12)*(1+V_dVol),0))</f>
        <v>0</v>
      </c>
      <c r="BQ201" s="48">
        <f>IF(BQ$8=1,N(Reales!BQ36),IF(BQ$171=1,IF(AND(AND(64&gt;Corte,64&lt;=Corte+n_Ventana),ISNUMBER(Detalle_24m!BQ$38)),Detalle_24m!BQ$38,INDEX(Vol_V,25,BQ$170)/12)*(1+V_dVol),0))</f>
        <v>0</v>
      </c>
      <c r="BR201" s="48">
        <f>IF(BR$8=1,N(Reales!BR36),IF(BR$171=1,IF(AND(AND(65&gt;Corte,65&lt;=Corte+n_Ventana),ISNUMBER(Detalle_24m!BR$38)),Detalle_24m!BR$38,INDEX(Vol_V,25,BR$170)/12)*(1+V_dVol),0))</f>
        <v>0</v>
      </c>
      <c r="BS201" s="48">
        <f>IF(BS$8=1,N(Reales!BS36),IF(BS$171=1,IF(AND(AND(66&gt;Corte,66&lt;=Corte+n_Ventana),ISNUMBER(Detalle_24m!BS$38)),Detalle_24m!BS$38,INDEX(Vol_V,25,BS$170)/12)*(1+V_dVol),0))</f>
        <v>0</v>
      </c>
      <c r="BT201" s="48">
        <f>IF(BT$8=1,N(Reales!BT36),IF(BT$171=1,IF(AND(AND(67&gt;Corte,67&lt;=Corte+n_Ventana),ISNUMBER(Detalle_24m!BT$38)),Detalle_24m!BT$38,INDEX(Vol_V,25,BT$170)/12)*(1+V_dVol),0))</f>
        <v>0</v>
      </c>
      <c r="BU201" s="48">
        <f>IF(BU$8=1,N(Reales!BU36),IF(BU$171=1,IF(AND(AND(68&gt;Corte,68&lt;=Corte+n_Ventana),ISNUMBER(Detalle_24m!BU$38)),Detalle_24m!BU$38,INDEX(Vol_V,25,BU$170)/12)*(1+V_dVol),0))</f>
        <v>0</v>
      </c>
      <c r="BV201" s="48">
        <f>IF(BV$8=1,N(Reales!BV36),IF(BV$171=1,IF(AND(AND(69&gt;Corte,69&lt;=Corte+n_Ventana),ISNUMBER(Detalle_24m!BV$38)),Detalle_24m!BV$38,INDEX(Vol_V,25,BV$170)/12)*(1+V_dVol),0))</f>
        <v>0</v>
      </c>
      <c r="BW201" s="48">
        <f>IF(BW$8=1,N(Reales!BW36),IF(BW$171=1,IF(AND(AND(70&gt;Corte,70&lt;=Corte+n_Ventana),ISNUMBER(Detalle_24m!BW$38)),Detalle_24m!BW$38,INDEX(Vol_V,25,BW$170)/12)*(1+V_dVol),0))</f>
        <v>0</v>
      </c>
      <c r="BX201" s="48">
        <f>IF(BX$8=1,N(Reales!BX36),IF(BX$171=1,IF(AND(AND(71&gt;Corte,71&lt;=Corte+n_Ventana),ISNUMBER(Detalle_24m!BX$38)),Detalle_24m!BX$38,INDEX(Vol_V,25,BX$170)/12)*(1+V_dVol),0))</f>
        <v>0</v>
      </c>
      <c r="BY201" s="48">
        <f>IF(BY$8=1,N(Reales!BY36),IF(BY$171=1,IF(AND(AND(72&gt;Corte,72&lt;=Corte+n_Ventana),ISNUMBER(Detalle_24m!BY$38)),Detalle_24m!BY$38,INDEX(Vol_V,25,BY$170)/12)*(1+V_dVol),0))</f>
        <v>0</v>
      </c>
      <c r="BZ201" s="48">
        <f>IF(BZ$8=1,N(Reales!BZ36),IF(BZ$171=1,IF(AND(AND(73&gt;Corte,73&lt;=Corte+n_Ventana),ISNUMBER(Detalle_24m!BZ$38)),Detalle_24m!BZ$38,INDEX(Vol_V,25,BZ$170)/12)*(1+V_dVol),0))</f>
        <v>0</v>
      </c>
      <c r="CA201" s="48">
        <f>IF(CA$8=1,N(Reales!CA36),IF(CA$171=1,IF(AND(AND(74&gt;Corte,74&lt;=Corte+n_Ventana),ISNUMBER(Detalle_24m!CA$38)),Detalle_24m!CA$38,INDEX(Vol_V,25,CA$170)/12)*(1+V_dVol),0))</f>
        <v>0</v>
      </c>
      <c r="CB201" s="48">
        <f>IF(CB$8=1,N(Reales!CB36),IF(CB$171=1,IF(AND(AND(75&gt;Corte,75&lt;=Corte+n_Ventana),ISNUMBER(Detalle_24m!CB$38)),Detalle_24m!CB$38,INDEX(Vol_V,25,CB$170)/12)*(1+V_dVol),0))</f>
        <v>0</v>
      </c>
      <c r="CC201" s="48">
        <f>IF(CC$8=1,N(Reales!CC36),IF(CC$171=1,IF(AND(AND(76&gt;Corte,76&lt;=Corte+n_Ventana),ISNUMBER(Detalle_24m!CC$38)),Detalle_24m!CC$38,INDEX(Vol_V,25,CC$170)/12)*(1+V_dVol),0))</f>
        <v>0</v>
      </c>
      <c r="CD201" s="48">
        <f>IF(CD$8=1,N(Reales!CD36),IF(CD$171=1,IF(AND(AND(77&gt;Corte,77&lt;=Corte+n_Ventana),ISNUMBER(Detalle_24m!CD$38)),Detalle_24m!CD$38,INDEX(Vol_V,25,CD$170)/12)*(1+V_dVol),0))</f>
        <v>0</v>
      </c>
      <c r="CE201" s="48">
        <f>IF(CE$8=1,N(Reales!CE36),IF(CE$171=1,IF(AND(AND(78&gt;Corte,78&lt;=Corte+n_Ventana),ISNUMBER(Detalle_24m!CE$38)),Detalle_24m!CE$38,INDEX(Vol_V,25,CE$170)/12)*(1+V_dVol),0))</f>
        <v>0</v>
      </c>
      <c r="CF201" s="48">
        <f>IF(CF$8=1,N(Reales!CF36),IF(CF$171=1,IF(AND(AND(79&gt;Corte,79&lt;=Corte+n_Ventana),ISNUMBER(Detalle_24m!CF$38)),Detalle_24m!CF$38,INDEX(Vol_V,25,CF$170)/12)*(1+V_dVol),0))</f>
        <v>0</v>
      </c>
      <c r="CG201" s="48">
        <f>IF(CG$8=1,N(Reales!CG36),IF(CG$171=1,IF(AND(AND(80&gt;Corte,80&lt;=Corte+n_Ventana),ISNUMBER(Detalle_24m!CG$38)),Detalle_24m!CG$38,INDEX(Vol_V,25,CG$170)/12)*(1+V_dVol),0))</f>
        <v>0</v>
      </c>
      <c r="CH201" s="48">
        <f>IF(CH$8=1,N(Reales!CH36),IF(CH$171=1,IF(AND(AND(81&gt;Corte,81&lt;=Corte+n_Ventana),ISNUMBER(Detalle_24m!CH$38)),Detalle_24m!CH$38,INDEX(Vol_V,25,CH$170)/12)*(1+V_dVol),0))</f>
        <v>0</v>
      </c>
      <c r="CI201" s="48">
        <f>IF(CI$8=1,N(Reales!CI36),IF(CI$171=1,IF(AND(AND(82&gt;Corte,82&lt;=Corte+n_Ventana),ISNUMBER(Detalle_24m!CI$38)),Detalle_24m!CI$38,INDEX(Vol_V,25,CI$170)/12)*(1+V_dVol),0))</f>
        <v>0</v>
      </c>
      <c r="CJ201" s="48">
        <f>IF(CJ$8=1,N(Reales!CJ36),IF(CJ$171=1,IF(AND(AND(83&gt;Corte,83&lt;=Corte+n_Ventana),ISNUMBER(Detalle_24m!CJ$38)),Detalle_24m!CJ$38,INDEX(Vol_V,25,CJ$170)/12)*(1+V_dVol),0))</f>
        <v>0</v>
      </c>
      <c r="CK201" s="48">
        <f>IF(CK$8=1,N(Reales!CK36),IF(CK$171=1,IF(AND(AND(84&gt;Corte,84&lt;=Corte+n_Ventana),ISNUMBER(Detalle_24m!CK$38)),Detalle_24m!CK$38,INDEX(Vol_V,25,CK$170)/12)*(1+V_dVol),0))</f>
        <v>0</v>
      </c>
      <c r="CL201" s="48">
        <f>IF(CL$8=1,N(Reales!CL36),IF(CL$171=1,IF(AND(AND(85&gt;Corte,85&lt;=Corte+n_Ventana),ISNUMBER(Detalle_24m!CL$38)),Detalle_24m!CL$38,INDEX(Vol_V,25,CL$170)/12)*(1+V_dVol),0))</f>
        <v>0</v>
      </c>
      <c r="CM201" s="48">
        <f>IF(CM$8=1,N(Reales!CM36),IF(CM$171=1,IF(AND(AND(86&gt;Corte,86&lt;=Corte+n_Ventana),ISNUMBER(Detalle_24m!CM$38)),Detalle_24m!CM$38,INDEX(Vol_V,25,CM$170)/12)*(1+V_dVol),0))</f>
        <v>0</v>
      </c>
      <c r="CN201" s="48">
        <f>IF(CN$8=1,N(Reales!CN36),IF(CN$171=1,IF(AND(AND(87&gt;Corte,87&lt;=Corte+n_Ventana),ISNUMBER(Detalle_24m!CN$38)),Detalle_24m!CN$38,INDEX(Vol_V,25,CN$170)/12)*(1+V_dVol),0))</f>
        <v>0</v>
      </c>
      <c r="CO201" s="48">
        <f>IF(CO$8=1,N(Reales!CO36),IF(CO$171=1,IF(AND(AND(88&gt;Corte,88&lt;=Corte+n_Ventana),ISNUMBER(Detalle_24m!CO$38)),Detalle_24m!CO$38,INDEX(Vol_V,25,CO$170)/12)*(1+V_dVol),0))</f>
        <v>0</v>
      </c>
      <c r="CP201" s="48">
        <f>IF(CP$8=1,N(Reales!CP36),IF(CP$171=1,IF(AND(AND(89&gt;Corte,89&lt;=Corte+n_Ventana),ISNUMBER(Detalle_24m!CP$38)),Detalle_24m!CP$38,INDEX(Vol_V,25,CP$170)/12)*(1+V_dVol),0))</f>
        <v>0</v>
      </c>
      <c r="CQ201" s="48">
        <f>IF(CQ$8=1,N(Reales!CQ36),IF(CQ$171=1,IF(AND(AND(90&gt;Corte,90&lt;=Corte+n_Ventana),ISNUMBER(Detalle_24m!CQ$38)),Detalle_24m!CQ$38,INDEX(Vol_V,25,CQ$170)/12)*(1+V_dVol),0))</f>
        <v>0</v>
      </c>
      <c r="CR201" s="48">
        <f>IF(CR$8=1,N(Reales!CR36),IF(CR$171=1,IF(AND(AND(91&gt;Corte,91&lt;=Corte+n_Ventana),ISNUMBER(Detalle_24m!CR$38)),Detalle_24m!CR$38,INDEX(Vol_V,25,CR$170)/12)*(1+V_dVol),0))</f>
        <v>0</v>
      </c>
      <c r="CS201" s="48">
        <f>IF(CS$8=1,N(Reales!CS36),IF(CS$171=1,IF(AND(AND(92&gt;Corte,92&lt;=Corte+n_Ventana),ISNUMBER(Detalle_24m!CS$38)),Detalle_24m!CS$38,INDEX(Vol_V,25,CS$170)/12)*(1+V_dVol),0))</f>
        <v>0</v>
      </c>
      <c r="CT201" s="48">
        <f>IF(CT$8=1,N(Reales!CT36),IF(CT$171=1,IF(AND(AND(93&gt;Corte,93&lt;=Corte+n_Ventana),ISNUMBER(Detalle_24m!CT$38)),Detalle_24m!CT$38,INDEX(Vol_V,25,CT$170)/12)*(1+V_dVol),0))</f>
        <v>0</v>
      </c>
      <c r="CU201" s="48">
        <f>IF(CU$8=1,N(Reales!CU36),IF(CU$171=1,IF(AND(AND(94&gt;Corte,94&lt;=Corte+n_Ventana),ISNUMBER(Detalle_24m!CU$38)),Detalle_24m!CU$38,INDEX(Vol_V,25,CU$170)/12)*(1+V_dVol),0))</f>
        <v>0</v>
      </c>
      <c r="CV201" s="48">
        <f>IF(CV$8=1,N(Reales!CV36),IF(CV$171=1,IF(AND(AND(95&gt;Corte,95&lt;=Corte+n_Ventana),ISNUMBER(Detalle_24m!CV$38)),Detalle_24m!CV$38,INDEX(Vol_V,25,CV$170)/12)*(1+V_dVol),0))</f>
        <v>0</v>
      </c>
      <c r="CW201" s="48">
        <f>IF(CW$8=1,N(Reales!CW36),IF(CW$171=1,IF(AND(AND(96&gt;Corte,96&lt;=Corte+n_Ventana),ISNUMBER(Detalle_24m!CW$38)),Detalle_24m!CW$38,INDEX(Vol_V,25,CW$170)/12)*(1+V_dVol),0))</f>
        <v>0</v>
      </c>
      <c r="CX201" s="48">
        <f>IF(CX$8=1,N(Reales!CX36),IF(CX$171=1,IF(AND(AND(97&gt;Corte,97&lt;=Corte+n_Ventana),ISNUMBER(Detalle_24m!CX$38)),Detalle_24m!CX$38,INDEX(Vol_V,25,CX$170)/12)*(1+V_dVol),0))</f>
        <v>0</v>
      </c>
      <c r="CY201" s="48">
        <f>IF(CY$8=1,N(Reales!CY36),IF(CY$171=1,IF(AND(AND(98&gt;Corte,98&lt;=Corte+n_Ventana),ISNUMBER(Detalle_24m!CY$38)),Detalle_24m!CY$38,INDEX(Vol_V,25,CY$170)/12)*(1+V_dVol),0))</f>
        <v>0</v>
      </c>
      <c r="CZ201" s="48">
        <f>IF(CZ$8=1,N(Reales!CZ36),IF(CZ$171=1,IF(AND(AND(99&gt;Corte,99&lt;=Corte+n_Ventana),ISNUMBER(Detalle_24m!CZ$38)),Detalle_24m!CZ$38,INDEX(Vol_V,25,CZ$170)/12)*(1+V_dVol),0))</f>
        <v>0</v>
      </c>
      <c r="DA201" s="48">
        <f>IF(DA$8=1,N(Reales!DA36),IF(DA$171=1,IF(AND(AND(100&gt;Corte,100&lt;=Corte+n_Ventana),ISNUMBER(Detalle_24m!DA$38)),Detalle_24m!DA$38,INDEX(Vol_V,25,DA$170)/12)*(1+V_dVol),0))</f>
        <v>0</v>
      </c>
      <c r="DB201" s="48">
        <f>IF(DB$8=1,N(Reales!DB36),IF(DB$171=1,IF(AND(AND(101&gt;Corte,101&lt;=Corte+n_Ventana),ISNUMBER(Detalle_24m!DB$38)),Detalle_24m!DB$38,INDEX(Vol_V,25,DB$170)/12)*(1+V_dVol),0))</f>
        <v>0</v>
      </c>
      <c r="DC201" s="48">
        <f>IF(DC$8=1,N(Reales!DC36),IF(DC$171=1,IF(AND(AND(102&gt;Corte,102&lt;=Corte+n_Ventana),ISNUMBER(Detalle_24m!DC$38)),Detalle_24m!DC$38,INDEX(Vol_V,25,DC$170)/12)*(1+V_dVol),0))</f>
        <v>0</v>
      </c>
      <c r="DD201" s="48">
        <f>IF(DD$8=1,N(Reales!DD36),IF(DD$171=1,IF(AND(AND(103&gt;Corte,103&lt;=Corte+n_Ventana),ISNUMBER(Detalle_24m!DD$38)),Detalle_24m!DD$38,INDEX(Vol_V,25,DD$170)/12)*(1+V_dVol),0))</f>
        <v>0</v>
      </c>
      <c r="DE201" s="48">
        <f>IF(DE$8=1,N(Reales!DE36),IF(DE$171=1,IF(AND(AND(104&gt;Corte,104&lt;=Corte+n_Ventana),ISNUMBER(Detalle_24m!DE$38)),Detalle_24m!DE$38,INDEX(Vol_V,25,DE$170)/12)*(1+V_dVol),0))</f>
        <v>0</v>
      </c>
      <c r="DF201" s="48">
        <f>IF(DF$8=1,N(Reales!DF36),IF(DF$171=1,IF(AND(AND(105&gt;Corte,105&lt;=Corte+n_Ventana),ISNUMBER(Detalle_24m!DF$38)),Detalle_24m!DF$38,INDEX(Vol_V,25,DF$170)/12)*(1+V_dVol),0))</f>
        <v>0</v>
      </c>
      <c r="DG201" s="48">
        <f>IF(DG$8=1,N(Reales!DG36),IF(DG$171=1,IF(AND(AND(106&gt;Corte,106&lt;=Corte+n_Ventana),ISNUMBER(Detalle_24m!DG$38)),Detalle_24m!DG$38,INDEX(Vol_V,25,DG$170)/12)*(1+V_dVol),0))</f>
        <v>0</v>
      </c>
      <c r="DH201" s="48">
        <f>IF(DH$8=1,N(Reales!DH36),IF(DH$171=1,IF(AND(AND(107&gt;Corte,107&lt;=Corte+n_Ventana),ISNUMBER(Detalle_24m!DH$38)),Detalle_24m!DH$38,INDEX(Vol_V,25,DH$170)/12)*(1+V_dVol),0))</f>
        <v>0</v>
      </c>
      <c r="DI201" s="48">
        <f>IF(DI$8=1,N(Reales!DI36),IF(DI$171=1,IF(AND(AND(108&gt;Corte,108&lt;=Corte+n_Ventana),ISNUMBER(Detalle_24m!DI$38)),Detalle_24m!DI$38,INDEX(Vol_V,25,DI$170)/12)*(1+V_dVol),0))</f>
        <v>0</v>
      </c>
      <c r="DJ201" s="48">
        <f>IF(DJ$8=1,N(Reales!DJ36),IF(DJ$171=1,IF(AND(AND(109&gt;Corte,109&lt;=Corte+n_Ventana),ISNUMBER(Detalle_24m!DJ$38)),Detalle_24m!DJ$38,INDEX(Vol_V,25,DJ$170)/12)*(1+V_dVol),0))</f>
        <v>0</v>
      </c>
      <c r="DK201" s="48">
        <f>IF(DK$8=1,N(Reales!DK36),IF(DK$171=1,IF(AND(AND(110&gt;Corte,110&lt;=Corte+n_Ventana),ISNUMBER(Detalle_24m!DK$38)),Detalle_24m!DK$38,INDEX(Vol_V,25,DK$170)/12)*(1+V_dVol),0))</f>
        <v>0</v>
      </c>
      <c r="DL201" s="48">
        <f>IF(DL$8=1,N(Reales!DL36),IF(DL$171=1,IF(AND(AND(111&gt;Corte,111&lt;=Corte+n_Ventana),ISNUMBER(Detalle_24m!DL$38)),Detalle_24m!DL$38,INDEX(Vol_V,25,DL$170)/12)*(1+V_dVol),0))</f>
        <v>0</v>
      </c>
      <c r="DM201" s="48">
        <f>IF(DM$8=1,N(Reales!DM36),IF(DM$171=1,IF(AND(AND(112&gt;Corte,112&lt;=Corte+n_Ventana),ISNUMBER(Detalle_24m!DM$38)),Detalle_24m!DM$38,INDEX(Vol_V,25,DM$170)/12)*(1+V_dVol),0))</f>
        <v>0</v>
      </c>
      <c r="DN201" s="48">
        <f>IF(DN$8=1,N(Reales!DN36),IF(DN$171=1,IF(AND(AND(113&gt;Corte,113&lt;=Corte+n_Ventana),ISNUMBER(Detalle_24m!DN$38)),Detalle_24m!DN$38,INDEX(Vol_V,25,DN$170)/12)*(1+V_dVol),0))</f>
        <v>0</v>
      </c>
      <c r="DO201" s="48">
        <f>IF(DO$8=1,N(Reales!DO36),IF(DO$171=1,IF(AND(AND(114&gt;Corte,114&lt;=Corte+n_Ventana),ISNUMBER(Detalle_24m!DO$38)),Detalle_24m!DO$38,INDEX(Vol_V,25,DO$170)/12)*(1+V_dVol),0))</f>
        <v>0</v>
      </c>
      <c r="DP201" s="48">
        <f>IF(DP$8=1,N(Reales!DP36),IF(DP$171=1,IF(AND(AND(115&gt;Corte,115&lt;=Corte+n_Ventana),ISNUMBER(Detalle_24m!DP$38)),Detalle_24m!DP$38,INDEX(Vol_V,25,DP$170)/12)*(1+V_dVol),0))</f>
        <v>0</v>
      </c>
      <c r="DQ201" s="48">
        <f>IF(DQ$8=1,N(Reales!DQ36),IF(DQ$171=1,IF(AND(AND(116&gt;Corte,116&lt;=Corte+n_Ventana),ISNUMBER(Detalle_24m!DQ$38)),Detalle_24m!DQ$38,INDEX(Vol_V,25,DQ$170)/12)*(1+V_dVol),0))</f>
        <v>0</v>
      </c>
      <c r="DR201" s="48">
        <f>IF(DR$8=1,N(Reales!DR36),IF(DR$171=1,IF(AND(AND(117&gt;Corte,117&lt;=Corte+n_Ventana),ISNUMBER(Detalle_24m!DR$38)),Detalle_24m!DR$38,INDEX(Vol_V,25,DR$170)/12)*(1+V_dVol),0))</f>
        <v>0</v>
      </c>
      <c r="DS201" s="48">
        <f>IF(DS$8=1,N(Reales!DS36),IF(DS$171=1,IF(AND(AND(118&gt;Corte,118&lt;=Corte+n_Ventana),ISNUMBER(Detalle_24m!DS$38)),Detalle_24m!DS$38,INDEX(Vol_V,25,DS$170)/12)*(1+V_dVol),0))</f>
        <v>0</v>
      </c>
      <c r="DT201" s="48">
        <f>IF(DT$8=1,N(Reales!DT36),IF(DT$171=1,IF(AND(AND(119&gt;Corte,119&lt;=Corte+n_Ventana),ISNUMBER(Detalle_24m!DT$38)),Detalle_24m!DT$38,INDEX(Vol_V,25,DT$170)/12)*(1+V_dVol),0))</f>
        <v>0</v>
      </c>
      <c r="DU201" s="48">
        <f>IF(DU$8=1,N(Reales!DU36),IF(DU$171=1,IF(AND(AND(120&gt;Corte,120&lt;=Corte+n_Ventana),ISNUMBER(Detalle_24m!DU$38)),Detalle_24m!DU$38,INDEX(Vol_V,25,DU$170)/12)*(1+V_dVol),0))</f>
        <v>0</v>
      </c>
      <c r="DV201" s="48">
        <f>IF(DV$8=1,N(Reales!DV36),IF(DV$171=1,IF(AND(AND(121&gt;Corte,121&lt;=Corte+n_Ventana),ISNUMBER(Detalle_24m!DV$38)),Detalle_24m!DV$38,INDEX(Vol_V,25,DV$170)/12)*(1+V_dVol),0))</f>
        <v>0</v>
      </c>
      <c r="DW201" s="48">
        <f>IF(DW$8=1,N(Reales!DW36),IF(DW$171=1,IF(AND(AND(122&gt;Corte,122&lt;=Corte+n_Ventana),ISNUMBER(Detalle_24m!DW$38)),Detalle_24m!DW$38,INDEX(Vol_V,25,DW$170)/12)*(1+V_dVol),0))</f>
        <v>0</v>
      </c>
      <c r="DX201" s="48">
        <f>IF(DX$8=1,N(Reales!DX36),IF(DX$171=1,IF(AND(AND(123&gt;Corte,123&lt;=Corte+n_Ventana),ISNUMBER(Detalle_24m!DX$38)),Detalle_24m!DX$38,INDEX(Vol_V,25,DX$170)/12)*(1+V_dVol),0))</f>
        <v>0</v>
      </c>
      <c r="DY201" s="48">
        <f>IF(DY$8=1,N(Reales!DY36),IF(DY$171=1,IF(AND(AND(124&gt;Corte,124&lt;=Corte+n_Ventana),ISNUMBER(Detalle_24m!DY$38)),Detalle_24m!DY$38,INDEX(Vol_V,25,DY$170)/12)*(1+V_dVol),0))</f>
        <v>0</v>
      </c>
      <c r="DZ201" s="48">
        <f>IF(DZ$8=1,N(Reales!DZ36),IF(DZ$171=1,IF(AND(AND(125&gt;Corte,125&lt;=Corte+n_Ventana),ISNUMBER(Detalle_24m!DZ$38)),Detalle_24m!DZ$38,INDEX(Vol_V,25,DZ$170)/12)*(1+V_dVol),0))</f>
        <v>0</v>
      </c>
      <c r="EA201" s="48">
        <f>IF(EA$8=1,N(Reales!EA36),IF(EA$171=1,IF(AND(AND(126&gt;Corte,126&lt;=Corte+n_Ventana),ISNUMBER(Detalle_24m!EA$38)),Detalle_24m!EA$38,INDEX(Vol_V,25,EA$170)/12)*(1+V_dVol),0))</f>
        <v>0</v>
      </c>
      <c r="EB201" s="48">
        <f>IF(EB$8=1,N(Reales!EB36),IF(EB$171=1,IF(AND(AND(127&gt;Corte,127&lt;=Corte+n_Ventana),ISNUMBER(Detalle_24m!EB$38)),Detalle_24m!EB$38,INDEX(Vol_V,25,EB$170)/12)*(1+V_dVol),0))</f>
        <v>0</v>
      </c>
      <c r="EC201" s="48">
        <f>IF(EC$8=1,N(Reales!EC36),IF(EC$171=1,IF(AND(AND(128&gt;Corte,128&lt;=Corte+n_Ventana),ISNUMBER(Detalle_24m!EC$38)),Detalle_24m!EC$38,INDEX(Vol_V,25,EC$170)/12)*(1+V_dVol),0))</f>
        <v>0</v>
      </c>
      <c r="ED201" s="48">
        <f>IF(ED$8=1,N(Reales!ED36),IF(ED$171=1,IF(AND(AND(129&gt;Corte,129&lt;=Corte+n_Ventana),ISNUMBER(Detalle_24m!ED$38)),Detalle_24m!ED$38,INDEX(Vol_V,25,ED$170)/12)*(1+V_dVol),0))</f>
        <v>0</v>
      </c>
      <c r="EE201" s="48">
        <f>IF(EE$8=1,N(Reales!EE36),IF(EE$171=1,IF(AND(AND(130&gt;Corte,130&lt;=Corte+n_Ventana),ISNUMBER(Detalle_24m!EE$38)),Detalle_24m!EE$38,INDEX(Vol_V,25,EE$170)/12)*(1+V_dVol),0))</f>
        <v>0</v>
      </c>
      <c r="EF201" s="48">
        <f>IF(EF$8=1,N(Reales!EF36),IF(EF$171=1,IF(AND(AND(131&gt;Corte,131&lt;=Corte+n_Ventana),ISNUMBER(Detalle_24m!EF$38)),Detalle_24m!EF$38,INDEX(Vol_V,25,EF$170)/12)*(1+V_dVol),0))</f>
        <v>0</v>
      </c>
      <c r="EG201" s="48">
        <f>IF(EG$8=1,N(Reales!EG36),IF(EG$171=1,IF(AND(AND(132&gt;Corte,132&lt;=Corte+n_Ventana),ISNUMBER(Detalle_24m!EG$38)),Detalle_24m!EG$38,INDEX(Vol_V,25,EG$170)/12)*(1+V_dVol),0))</f>
        <v>0</v>
      </c>
      <c r="EH201" s="48">
        <f>IF(EH$8=1,N(Reales!EH36),IF(EH$171=1,IF(AND(AND(133&gt;Corte,133&lt;=Corte+n_Ventana),ISNUMBER(Detalle_24m!EH$38)),Detalle_24m!EH$38,INDEX(Vol_V,25,EH$170)/12)*(1+V_dVol),0))</f>
        <v>0</v>
      </c>
      <c r="EI201" s="48">
        <f>IF(EI$8=1,N(Reales!EI36),IF(EI$171=1,IF(AND(AND(134&gt;Corte,134&lt;=Corte+n_Ventana),ISNUMBER(Detalle_24m!EI$38)),Detalle_24m!EI$38,INDEX(Vol_V,25,EI$170)/12)*(1+V_dVol),0))</f>
        <v>0</v>
      </c>
      <c r="EJ201" s="48">
        <f>IF(EJ$8=1,N(Reales!EJ36),IF(EJ$171=1,IF(AND(AND(135&gt;Corte,135&lt;=Corte+n_Ventana),ISNUMBER(Detalle_24m!EJ$38)),Detalle_24m!EJ$38,INDEX(Vol_V,25,EJ$170)/12)*(1+V_dVol),0))</f>
        <v>0</v>
      </c>
      <c r="EK201" s="48">
        <f>IF(EK$8=1,N(Reales!EK36),IF(EK$171=1,IF(AND(AND(136&gt;Corte,136&lt;=Corte+n_Ventana),ISNUMBER(Detalle_24m!EK$38)),Detalle_24m!EK$38,INDEX(Vol_V,25,EK$170)/12)*(1+V_dVol),0))</f>
        <v>0</v>
      </c>
      <c r="EL201" s="48">
        <f>IF(EL$8=1,N(Reales!EL36),IF(EL$171=1,IF(AND(AND(137&gt;Corte,137&lt;=Corte+n_Ventana),ISNUMBER(Detalle_24m!EL$38)),Detalle_24m!EL$38,INDEX(Vol_V,25,EL$170)/12)*(1+V_dVol),0))</f>
        <v>0</v>
      </c>
      <c r="EM201" s="48">
        <f>IF(EM$8=1,N(Reales!EM36),IF(EM$171=1,IF(AND(AND(138&gt;Corte,138&lt;=Corte+n_Ventana),ISNUMBER(Detalle_24m!EM$38)),Detalle_24m!EM$38,INDEX(Vol_V,25,EM$170)/12)*(1+V_dVol),0))</f>
        <v>0</v>
      </c>
      <c r="EN201" s="48">
        <f>IF(EN$8=1,N(Reales!EN36),IF(EN$171=1,IF(AND(AND(139&gt;Corte,139&lt;=Corte+n_Ventana),ISNUMBER(Detalle_24m!EN$38)),Detalle_24m!EN$38,INDEX(Vol_V,25,EN$170)/12)*(1+V_dVol),0))</f>
        <v>0</v>
      </c>
      <c r="EO201" s="48">
        <f>IF(EO$8=1,N(Reales!EO36),IF(EO$171=1,IF(AND(AND(140&gt;Corte,140&lt;=Corte+n_Ventana),ISNUMBER(Detalle_24m!EO$38)),Detalle_24m!EO$38,INDEX(Vol_V,25,EO$170)/12)*(1+V_dVol),0))</f>
        <v>0</v>
      </c>
      <c r="EP201" s="48">
        <f>IF(EP$8=1,N(Reales!EP36),IF(EP$171=1,IF(AND(AND(141&gt;Corte,141&lt;=Corte+n_Ventana),ISNUMBER(Detalle_24m!EP$38)),Detalle_24m!EP$38,INDEX(Vol_V,25,EP$170)/12)*(1+V_dVol),0))</f>
        <v>0</v>
      </c>
      <c r="EQ201" s="48">
        <f>IF(EQ$8=1,N(Reales!EQ36),IF(EQ$171=1,IF(AND(AND(142&gt;Corte,142&lt;=Corte+n_Ventana),ISNUMBER(Detalle_24m!EQ$38)),Detalle_24m!EQ$38,INDEX(Vol_V,25,EQ$170)/12)*(1+V_dVol),0))</f>
        <v>0</v>
      </c>
      <c r="ER201" s="48">
        <f>IF(ER$8=1,N(Reales!ER36),IF(ER$171=1,IF(AND(AND(143&gt;Corte,143&lt;=Corte+n_Ventana),ISNUMBER(Detalle_24m!ER$38)),Detalle_24m!ER$38,INDEX(Vol_V,25,ER$170)/12)*(1+V_dVol),0))</f>
        <v>0</v>
      </c>
      <c r="ES201" s="48">
        <f>IF(ES$8=1,N(Reales!ES36),IF(ES$171=1,IF(AND(AND(144&gt;Corte,144&lt;=Corte+n_Ventana),ISNUMBER(Detalle_24m!ES$38)),Detalle_24m!ES$38,INDEX(Vol_V,25,ES$170)/12)*(1+V_dVol),0))</f>
        <v>0</v>
      </c>
    </row>
    <row r="202" spans="1:149" x14ac:dyDescent="0.3">
      <c r="A202" s="14" t="s">
        <v>1257</v>
      </c>
      <c r="B202" s="53" t="str">
        <f>IF(INDEX(Prod_Nombre,1)="","Producto 1",INDEX(Prod_Nombre,1))&amp;" — ventas USD"</f>
        <v>Gabinetes metálicos 153 kg — ventas USD</v>
      </c>
      <c r="C202" s="18" t="s">
        <v>439</v>
      </c>
      <c r="E202" s="54">
        <f t="shared" si="604"/>
        <v>54428264.108152941</v>
      </c>
      <c r="F202" s="48">
        <f>IF(F$8=1,IF(Reales!$C$38="PYG",IF(F$10&gt;0,N(Reales!F38)/F$10,0),N(Reales!F38)),F$177*IF(AND(AND(1&gt;Corte,1&lt;=Corte+n_Ventana),ISNUMBER(Detalle_24m!F$42)),Detalle_24m!F$42,INDEX(Precio_V,1)*INDEX(IdxPrecio_V,1,MIN(10,F$173)))*(1+V_dPrecio))</f>
        <v>270000</v>
      </c>
      <c r="G202" s="48">
        <f>IF(G$8=1,IF(Reales!$C$38="PYG",IF(G$10&gt;0,N(Reales!G38)/G$10,0),N(Reales!G38)),G$177*IF(AND(AND(2&gt;Corte,2&lt;=Corte+n_Ventana),ISNUMBER(Detalle_24m!G$42)),Detalle_24m!G$42,INDEX(Precio_V,1)*INDEX(IdxPrecio_V,1,MIN(10,G$173)))*(1+V_dPrecio))</f>
        <v>270000</v>
      </c>
      <c r="H202" s="48">
        <f>IF(H$8=1,IF(Reales!$C$38="PYG",IF(H$10&gt;0,N(Reales!H38)/H$10,0),N(Reales!H38)),H$177*IF(AND(AND(3&gt;Corte,3&lt;=Corte+n_Ventana),ISNUMBER(Detalle_24m!H$42)),Detalle_24m!H$42,INDEX(Precio_V,1)*INDEX(IdxPrecio_V,1,MIN(10,H$173)))*(1+V_dPrecio))</f>
        <v>270000</v>
      </c>
      <c r="I202" s="48">
        <f>IF(I$8=1,IF(Reales!$C$38="PYG",IF(I$10&gt;0,N(Reales!I38)/I$10,0),N(Reales!I38)),I$177*IF(AND(AND(4&gt;Corte,4&lt;=Corte+n_Ventana),ISNUMBER(Detalle_24m!I$42)),Detalle_24m!I$42,INDEX(Precio_V,1)*INDEX(IdxPrecio_V,1,MIN(10,I$173)))*(1+V_dPrecio))</f>
        <v>270000</v>
      </c>
      <c r="J202" s="48">
        <f>IF(J$8=1,IF(Reales!$C$38="PYG",IF(J$10&gt;0,N(Reales!J38)/J$10,0),N(Reales!J38)),J$177*IF(AND(AND(5&gt;Corte,5&lt;=Corte+n_Ventana),ISNUMBER(Detalle_24m!J$42)),Detalle_24m!J$42,INDEX(Precio_V,1)*INDEX(IdxPrecio_V,1,MIN(10,J$173)))*(1+V_dPrecio))</f>
        <v>270000</v>
      </c>
      <c r="K202" s="48">
        <f>IF(K$8=1,IF(Reales!$C$38="PYG",IF(K$10&gt;0,N(Reales!K38)/K$10,0),N(Reales!K38)),K$177*IF(AND(AND(6&gt;Corte,6&lt;=Corte+n_Ventana),ISNUMBER(Detalle_24m!K$42)),Detalle_24m!K$42,INDEX(Precio_V,1)*INDEX(IdxPrecio_V,1,MIN(10,K$173)))*(1+V_dPrecio))</f>
        <v>270000</v>
      </c>
      <c r="L202" s="48">
        <f>IF(L$8=1,IF(Reales!$C$38="PYG",IF(L$10&gt;0,N(Reales!L38)/L$10,0),N(Reales!L38)),L$177*IF(AND(AND(7&gt;Corte,7&lt;=Corte+n_Ventana),ISNUMBER(Detalle_24m!L$42)),Detalle_24m!L$42,INDEX(Precio_V,1)*INDEX(IdxPrecio_V,1,MIN(10,L$173)))*(1+V_dPrecio))</f>
        <v>270000</v>
      </c>
      <c r="M202" s="48">
        <f>IF(M$8=1,IF(Reales!$C$38="PYG",IF(M$10&gt;0,N(Reales!M38)/M$10,0),N(Reales!M38)),M$177*IF(AND(AND(8&gt;Corte,8&lt;=Corte+n_Ventana),ISNUMBER(Detalle_24m!M$42)),Detalle_24m!M$42,INDEX(Precio_V,1)*INDEX(IdxPrecio_V,1,MIN(10,M$173)))*(1+V_dPrecio))</f>
        <v>270000</v>
      </c>
      <c r="N202" s="48">
        <f>IF(N$8=1,IF(Reales!$C$38="PYG",IF(N$10&gt;0,N(Reales!N38)/N$10,0),N(Reales!N38)),N$177*IF(AND(AND(9&gt;Corte,9&lt;=Corte+n_Ventana),ISNUMBER(Detalle_24m!N$42)),Detalle_24m!N$42,INDEX(Precio_V,1)*INDEX(IdxPrecio_V,1,MIN(10,N$173)))*(1+V_dPrecio))</f>
        <v>270000</v>
      </c>
      <c r="O202" s="48">
        <f>IF(O$8=1,IF(Reales!$C$38="PYG",IF(O$10&gt;0,N(Reales!O38)/O$10,0),N(Reales!O38)),O$177*IF(AND(AND(10&gt;Corte,10&lt;=Corte+n_Ventana),ISNUMBER(Detalle_24m!O$42)),Detalle_24m!O$42,INDEX(Precio_V,1)*INDEX(IdxPrecio_V,1,MIN(10,O$173)))*(1+V_dPrecio))</f>
        <v>270000</v>
      </c>
      <c r="P202" s="48">
        <f>IF(P$8=1,IF(Reales!$C$38="PYG",IF(P$10&gt;0,N(Reales!P38)/P$10,0),N(Reales!P38)),P$177*IF(AND(AND(11&gt;Corte,11&lt;=Corte+n_Ventana),ISNUMBER(Detalle_24m!P$42)),Detalle_24m!P$42,INDEX(Precio_V,1)*INDEX(IdxPrecio_V,1,MIN(10,P$173)))*(1+V_dPrecio))</f>
        <v>270000</v>
      </c>
      <c r="Q202" s="48">
        <f>IF(Q$8=1,IF(Reales!$C$38="PYG",IF(Q$10&gt;0,N(Reales!Q38)/Q$10,0),N(Reales!Q38)),Q$177*IF(AND(AND(12&gt;Corte,12&lt;=Corte+n_Ventana),ISNUMBER(Detalle_24m!Q$42)),Detalle_24m!Q$42,INDEX(Precio_V,1)*INDEX(IdxPrecio_V,1,MIN(10,Q$173)))*(1+V_dPrecio))</f>
        <v>270000</v>
      </c>
      <c r="R202" s="48">
        <f>IF(R$8=1,IF(Reales!$C$38="PYG",IF(R$10&gt;0,N(Reales!R38)/R$10,0),N(Reales!R38)),R$177*IF(AND(AND(13&gt;Corte,13&lt;=Corte+n_Ventana),ISNUMBER(Detalle_24m!R$42)),Detalle_24m!R$42,INDEX(Precio_V,1)*INDEX(IdxPrecio_V,1,MIN(10,R$173)))*(1+V_dPrecio))</f>
        <v>340875</v>
      </c>
      <c r="S202" s="48">
        <f>IF(S$8=1,IF(Reales!$C$38="PYG",IF(S$10&gt;0,N(Reales!S38)/S$10,0),N(Reales!S38)),S$177*IF(AND(AND(14&gt;Corte,14&lt;=Corte+n_Ventana),ISNUMBER(Detalle_24m!S$42)),Detalle_24m!S$42,INDEX(Precio_V,1)*INDEX(IdxPrecio_V,1,MIN(10,S$173)))*(1+V_dPrecio))</f>
        <v>340875</v>
      </c>
      <c r="T202" s="48">
        <f>IF(T$8=1,IF(Reales!$C$38="PYG",IF(T$10&gt;0,N(Reales!T38)/T$10,0),N(Reales!T38)),T$177*IF(AND(AND(15&gt;Corte,15&lt;=Corte+n_Ventana),ISNUMBER(Detalle_24m!T$42)),Detalle_24m!T$42,INDEX(Precio_V,1)*INDEX(IdxPrecio_V,1,MIN(10,T$173)))*(1+V_dPrecio))</f>
        <v>340875</v>
      </c>
      <c r="U202" s="48">
        <f>IF(U$8=1,IF(Reales!$C$38="PYG",IF(U$10&gt;0,N(Reales!U38)/U$10,0),N(Reales!U38)),U$177*IF(AND(AND(16&gt;Corte,16&lt;=Corte+n_Ventana),ISNUMBER(Detalle_24m!U$42)),Detalle_24m!U$42,INDEX(Precio_V,1)*INDEX(IdxPrecio_V,1,MIN(10,U$173)))*(1+V_dPrecio))</f>
        <v>340875</v>
      </c>
      <c r="V202" s="48">
        <f>IF(V$8=1,IF(Reales!$C$38="PYG",IF(V$10&gt;0,N(Reales!V38)/V$10,0),N(Reales!V38)),V$177*IF(AND(AND(17&gt;Corte,17&lt;=Corte+n_Ventana),ISNUMBER(Detalle_24m!V$42)),Detalle_24m!V$42,INDEX(Precio_V,1)*INDEX(IdxPrecio_V,1,MIN(10,V$173)))*(1+V_dPrecio))</f>
        <v>340875</v>
      </c>
      <c r="W202" s="48">
        <f>IF(W$8=1,IF(Reales!$C$38="PYG",IF(W$10&gt;0,N(Reales!W38)/W$10,0),N(Reales!W38)),W$177*IF(AND(AND(18&gt;Corte,18&lt;=Corte+n_Ventana),ISNUMBER(Detalle_24m!W$42)),Detalle_24m!W$42,INDEX(Precio_V,1)*INDEX(IdxPrecio_V,1,MIN(10,W$173)))*(1+V_dPrecio))</f>
        <v>340875</v>
      </c>
      <c r="X202" s="48">
        <f>IF(X$8=1,IF(Reales!$C$38="PYG",IF(X$10&gt;0,N(Reales!X38)/X$10,0),N(Reales!X38)),X$177*IF(AND(AND(19&gt;Corte,19&lt;=Corte+n_Ventana),ISNUMBER(Detalle_24m!X$42)),Detalle_24m!X$42,INDEX(Precio_V,1)*INDEX(IdxPrecio_V,1,MIN(10,X$173)))*(1+V_dPrecio))</f>
        <v>340875</v>
      </c>
      <c r="Y202" s="48">
        <f>IF(Y$8=1,IF(Reales!$C$38="PYG",IF(Y$10&gt;0,N(Reales!Y38)/Y$10,0),N(Reales!Y38)),Y$177*IF(AND(AND(20&gt;Corte,20&lt;=Corte+n_Ventana),ISNUMBER(Detalle_24m!Y$42)),Detalle_24m!Y$42,INDEX(Precio_V,1)*INDEX(IdxPrecio_V,1,MIN(10,Y$173)))*(1+V_dPrecio))</f>
        <v>340875</v>
      </c>
      <c r="Z202" s="48">
        <f>IF(Z$8=1,IF(Reales!$C$38="PYG",IF(Z$10&gt;0,N(Reales!Z38)/Z$10,0),N(Reales!Z38)),Z$177*IF(AND(AND(21&gt;Corte,21&lt;=Corte+n_Ventana),ISNUMBER(Detalle_24m!Z$42)),Detalle_24m!Z$42,INDEX(Precio_V,1)*INDEX(IdxPrecio_V,1,MIN(10,Z$173)))*(1+V_dPrecio))</f>
        <v>340875</v>
      </c>
      <c r="AA202" s="48">
        <f>IF(AA$8=1,IF(Reales!$C$38="PYG",IF(AA$10&gt;0,N(Reales!AA38)/AA$10,0),N(Reales!AA38)),AA$177*IF(AND(AND(22&gt;Corte,22&lt;=Corte+n_Ventana),ISNUMBER(Detalle_24m!AA$42)),Detalle_24m!AA$42,INDEX(Precio_V,1)*INDEX(IdxPrecio_V,1,MIN(10,AA$173)))*(1+V_dPrecio))</f>
        <v>340875</v>
      </c>
      <c r="AB202" s="48">
        <f>IF(AB$8=1,IF(Reales!$C$38="PYG",IF(AB$10&gt;0,N(Reales!AB38)/AB$10,0),N(Reales!AB38)),AB$177*IF(AND(AND(23&gt;Corte,23&lt;=Corte+n_Ventana),ISNUMBER(Detalle_24m!AB$42)),Detalle_24m!AB$42,INDEX(Precio_V,1)*INDEX(IdxPrecio_V,1,MIN(10,AB$173)))*(1+V_dPrecio))</f>
        <v>340875</v>
      </c>
      <c r="AC202" s="48">
        <f>IF(AC$8=1,IF(Reales!$C$38="PYG",IF(AC$10&gt;0,N(Reales!AC38)/AC$10,0),N(Reales!AC38)),AC$177*IF(AND(AND(24&gt;Corte,24&lt;=Corte+n_Ventana),ISNUMBER(Detalle_24m!AC$42)),Detalle_24m!AC$42,INDEX(Precio_V,1)*INDEX(IdxPrecio_V,1,MIN(10,AC$173)))*(1+V_dPrecio))</f>
        <v>340875</v>
      </c>
      <c r="AD202" s="48">
        <f>IF(AD$8=1,IF(Reales!$C$38="PYG",IF(AD$10&gt;0,N(Reales!AD38)/AD$10,0),N(Reales!AD38)),AD$177*IF(AND(AND(25&gt;Corte,25&lt;=Corte+n_Ventana),ISNUMBER(Detalle_24m!AD$42)),Detalle_24m!AD$42,INDEX(Precio_V,1)*INDEX(IdxPrecio_V,1,MIN(10,AD$173)))*(1+V_dPrecio))</f>
        <v>413140.50000000006</v>
      </c>
      <c r="AE202" s="48">
        <f>IF(AE$8=1,IF(Reales!$C$38="PYG",IF(AE$10&gt;0,N(Reales!AE38)/AE$10,0),N(Reales!AE38)),AE$177*IF(AND(AND(26&gt;Corte,26&lt;=Corte+n_Ventana),ISNUMBER(Detalle_24m!AE$42)),Detalle_24m!AE$42,INDEX(Precio_V,1)*INDEX(IdxPrecio_V,1,MIN(10,AE$173)))*(1+V_dPrecio))</f>
        <v>413140.50000000006</v>
      </c>
      <c r="AF202" s="48">
        <f>IF(AF$8=1,IF(Reales!$C$38="PYG",IF(AF$10&gt;0,N(Reales!AF38)/AF$10,0),N(Reales!AF38)),AF$177*IF(AND(AND(27&gt;Corte,27&lt;=Corte+n_Ventana),ISNUMBER(Detalle_24m!AF$42)),Detalle_24m!AF$42,INDEX(Precio_V,1)*INDEX(IdxPrecio_V,1,MIN(10,AF$173)))*(1+V_dPrecio))</f>
        <v>413140.50000000006</v>
      </c>
      <c r="AG202" s="48">
        <f>IF(AG$8=1,IF(Reales!$C$38="PYG",IF(AG$10&gt;0,N(Reales!AG38)/AG$10,0),N(Reales!AG38)),AG$177*IF(AND(AND(28&gt;Corte,28&lt;=Corte+n_Ventana),ISNUMBER(Detalle_24m!AG$42)),Detalle_24m!AG$42,INDEX(Precio_V,1)*INDEX(IdxPrecio_V,1,MIN(10,AG$173)))*(1+V_dPrecio))</f>
        <v>413140.50000000006</v>
      </c>
      <c r="AH202" s="48">
        <f>IF(AH$8=1,IF(Reales!$C$38="PYG",IF(AH$10&gt;0,N(Reales!AH38)/AH$10,0),N(Reales!AH38)),AH$177*IF(AND(AND(29&gt;Corte,29&lt;=Corte+n_Ventana),ISNUMBER(Detalle_24m!AH$42)),Detalle_24m!AH$42,INDEX(Precio_V,1)*INDEX(IdxPrecio_V,1,MIN(10,AH$173)))*(1+V_dPrecio))</f>
        <v>413140.50000000006</v>
      </c>
      <c r="AI202" s="48">
        <f>IF(AI$8=1,IF(Reales!$C$38="PYG",IF(AI$10&gt;0,N(Reales!AI38)/AI$10,0),N(Reales!AI38)),AI$177*IF(AND(AND(30&gt;Corte,30&lt;=Corte+n_Ventana),ISNUMBER(Detalle_24m!AI$42)),Detalle_24m!AI$42,INDEX(Precio_V,1)*INDEX(IdxPrecio_V,1,MIN(10,AI$173)))*(1+V_dPrecio))</f>
        <v>413140.50000000006</v>
      </c>
      <c r="AJ202" s="48">
        <f>IF(AJ$8=1,IF(Reales!$C$38="PYG",IF(AJ$10&gt;0,N(Reales!AJ38)/AJ$10,0),N(Reales!AJ38)),AJ$177*IF(AND(AND(31&gt;Corte,31&lt;=Corte+n_Ventana),ISNUMBER(Detalle_24m!AJ$42)),Detalle_24m!AJ$42,INDEX(Precio_V,1)*INDEX(IdxPrecio_V,1,MIN(10,AJ$173)))*(1+V_dPrecio))</f>
        <v>413140.50000000006</v>
      </c>
      <c r="AK202" s="48">
        <f>IF(AK$8=1,IF(Reales!$C$38="PYG",IF(AK$10&gt;0,N(Reales!AK38)/AK$10,0),N(Reales!AK38)),AK$177*IF(AND(AND(32&gt;Corte,32&lt;=Corte+n_Ventana),ISNUMBER(Detalle_24m!AK$42)),Detalle_24m!AK$42,INDEX(Precio_V,1)*INDEX(IdxPrecio_V,1,MIN(10,AK$173)))*(1+V_dPrecio))</f>
        <v>413140.50000000006</v>
      </c>
      <c r="AL202" s="48">
        <f>IF(AL$8=1,IF(Reales!$C$38="PYG",IF(AL$10&gt;0,N(Reales!AL38)/AL$10,0),N(Reales!AL38)),AL$177*IF(AND(AND(33&gt;Corte,33&lt;=Corte+n_Ventana),ISNUMBER(Detalle_24m!AL$42)),Detalle_24m!AL$42,INDEX(Precio_V,1)*INDEX(IdxPrecio_V,1,MIN(10,AL$173)))*(1+V_dPrecio))</f>
        <v>413140.50000000006</v>
      </c>
      <c r="AM202" s="48">
        <f>IF(AM$8=1,IF(Reales!$C$38="PYG",IF(AM$10&gt;0,N(Reales!AM38)/AM$10,0),N(Reales!AM38)),AM$177*IF(AND(AND(34&gt;Corte,34&lt;=Corte+n_Ventana),ISNUMBER(Detalle_24m!AM$42)),Detalle_24m!AM$42,INDEX(Precio_V,1)*INDEX(IdxPrecio_V,1,MIN(10,AM$173)))*(1+V_dPrecio))</f>
        <v>413140.50000000006</v>
      </c>
      <c r="AN202" s="48">
        <f>IF(AN$8=1,IF(Reales!$C$38="PYG",IF(AN$10&gt;0,N(Reales!AN38)/AN$10,0),N(Reales!AN38)),AN$177*IF(AND(AND(35&gt;Corte,35&lt;=Corte+n_Ventana),ISNUMBER(Detalle_24m!AN$42)),Detalle_24m!AN$42,INDEX(Precio_V,1)*INDEX(IdxPrecio_V,1,MIN(10,AN$173)))*(1+V_dPrecio))</f>
        <v>413140.50000000006</v>
      </c>
      <c r="AO202" s="48">
        <f>IF(AO$8=1,IF(Reales!$C$38="PYG",IF(AO$10&gt;0,N(Reales!AO38)/AO$10,0),N(Reales!AO38)),AO$177*IF(AND(AND(36&gt;Corte,36&lt;=Corte+n_Ventana),ISNUMBER(Detalle_24m!AO$42)),Detalle_24m!AO$42,INDEX(Precio_V,1)*INDEX(IdxPrecio_V,1,MIN(10,AO$173)))*(1+V_dPrecio))</f>
        <v>413140.50000000006</v>
      </c>
      <c r="AP202" s="48">
        <f>IF(AP$8=1,IF(Reales!$C$38="PYG",IF(AP$10&gt;0,N(Reales!AP38)/AP$10,0),N(Reales!AP38)),AP$177*IF(AND(AND(37&gt;Corte,37&lt;=Corte+n_Ventana),ISNUMBER(Detalle_24m!AP$42)),Detalle_24m!AP$42,INDEX(Precio_V,1)*INDEX(IdxPrecio_V,1,MIN(10,AP$173)))*(1+V_dPrecio))</f>
        <v>486817.22249999997</v>
      </c>
      <c r="AQ202" s="48">
        <f>IF(AQ$8=1,IF(Reales!$C$38="PYG",IF(AQ$10&gt;0,N(Reales!AQ38)/AQ$10,0),N(Reales!AQ38)),AQ$177*IF(AND(AND(38&gt;Corte,38&lt;=Corte+n_Ventana),ISNUMBER(Detalle_24m!AQ$42)),Detalle_24m!AQ$42,INDEX(Precio_V,1)*INDEX(IdxPrecio_V,1,MIN(10,AQ$173)))*(1+V_dPrecio))</f>
        <v>486817.22249999997</v>
      </c>
      <c r="AR202" s="48">
        <f>IF(AR$8=1,IF(Reales!$C$38="PYG",IF(AR$10&gt;0,N(Reales!AR38)/AR$10,0),N(Reales!AR38)),AR$177*IF(AND(AND(39&gt;Corte,39&lt;=Corte+n_Ventana),ISNUMBER(Detalle_24m!AR$42)),Detalle_24m!AR$42,INDEX(Precio_V,1)*INDEX(IdxPrecio_V,1,MIN(10,AR$173)))*(1+V_dPrecio))</f>
        <v>486817.22249999997</v>
      </c>
      <c r="AS202" s="48">
        <f>IF(AS$8=1,IF(Reales!$C$38="PYG",IF(AS$10&gt;0,N(Reales!AS38)/AS$10,0),N(Reales!AS38)),AS$177*IF(AND(AND(40&gt;Corte,40&lt;=Corte+n_Ventana),ISNUMBER(Detalle_24m!AS$42)),Detalle_24m!AS$42,INDEX(Precio_V,1)*INDEX(IdxPrecio_V,1,MIN(10,AS$173)))*(1+V_dPrecio))</f>
        <v>486817.22249999997</v>
      </c>
      <c r="AT202" s="48">
        <f>IF(AT$8=1,IF(Reales!$C$38="PYG",IF(AT$10&gt;0,N(Reales!AT38)/AT$10,0),N(Reales!AT38)),AT$177*IF(AND(AND(41&gt;Corte,41&lt;=Corte+n_Ventana),ISNUMBER(Detalle_24m!AT$42)),Detalle_24m!AT$42,INDEX(Precio_V,1)*INDEX(IdxPrecio_V,1,MIN(10,AT$173)))*(1+V_dPrecio))</f>
        <v>486817.22249999997</v>
      </c>
      <c r="AU202" s="48">
        <f>IF(AU$8=1,IF(Reales!$C$38="PYG",IF(AU$10&gt;0,N(Reales!AU38)/AU$10,0),N(Reales!AU38)),AU$177*IF(AND(AND(42&gt;Corte,42&lt;=Corte+n_Ventana),ISNUMBER(Detalle_24m!AU$42)),Detalle_24m!AU$42,INDEX(Precio_V,1)*INDEX(IdxPrecio_V,1,MIN(10,AU$173)))*(1+V_dPrecio))</f>
        <v>486817.22249999997</v>
      </c>
      <c r="AV202" s="48">
        <f>IF(AV$8=1,IF(Reales!$C$38="PYG",IF(AV$10&gt;0,N(Reales!AV38)/AV$10,0),N(Reales!AV38)),AV$177*IF(AND(AND(43&gt;Corte,43&lt;=Corte+n_Ventana),ISNUMBER(Detalle_24m!AV$42)),Detalle_24m!AV$42,INDEX(Precio_V,1)*INDEX(IdxPrecio_V,1,MIN(10,AV$173)))*(1+V_dPrecio))</f>
        <v>486817.22249999997</v>
      </c>
      <c r="AW202" s="48">
        <f>IF(AW$8=1,IF(Reales!$C$38="PYG",IF(AW$10&gt;0,N(Reales!AW38)/AW$10,0),N(Reales!AW38)),AW$177*IF(AND(AND(44&gt;Corte,44&lt;=Corte+n_Ventana),ISNUMBER(Detalle_24m!AW$42)),Detalle_24m!AW$42,INDEX(Precio_V,1)*INDEX(IdxPrecio_V,1,MIN(10,AW$173)))*(1+V_dPrecio))</f>
        <v>486817.22249999997</v>
      </c>
      <c r="AX202" s="48">
        <f>IF(AX$8=1,IF(Reales!$C$38="PYG",IF(AX$10&gt;0,N(Reales!AX38)/AX$10,0),N(Reales!AX38)),AX$177*IF(AND(AND(45&gt;Corte,45&lt;=Corte+n_Ventana),ISNUMBER(Detalle_24m!AX$42)),Detalle_24m!AX$42,INDEX(Precio_V,1)*INDEX(IdxPrecio_V,1,MIN(10,AX$173)))*(1+V_dPrecio))</f>
        <v>486817.22249999997</v>
      </c>
      <c r="AY202" s="48">
        <f>IF(AY$8=1,IF(Reales!$C$38="PYG",IF(AY$10&gt;0,N(Reales!AY38)/AY$10,0),N(Reales!AY38)),AY$177*IF(AND(AND(46&gt;Corte,46&lt;=Corte+n_Ventana),ISNUMBER(Detalle_24m!AY$42)),Detalle_24m!AY$42,INDEX(Precio_V,1)*INDEX(IdxPrecio_V,1,MIN(10,AY$173)))*(1+V_dPrecio))</f>
        <v>486817.22249999997</v>
      </c>
      <c r="AZ202" s="48">
        <f>IF(AZ$8=1,IF(Reales!$C$38="PYG",IF(AZ$10&gt;0,N(Reales!AZ38)/AZ$10,0),N(Reales!AZ38)),AZ$177*IF(AND(AND(47&gt;Corte,47&lt;=Corte+n_Ventana),ISNUMBER(Detalle_24m!AZ$42)),Detalle_24m!AZ$42,INDEX(Precio_V,1)*INDEX(IdxPrecio_V,1,MIN(10,AZ$173)))*(1+V_dPrecio))</f>
        <v>486817.22249999997</v>
      </c>
      <c r="BA202" s="48">
        <f>IF(BA$8=1,IF(Reales!$C$38="PYG",IF(BA$10&gt;0,N(Reales!BA38)/BA$10,0),N(Reales!BA38)),BA$177*IF(AND(AND(48&gt;Corte,48&lt;=Corte+n_Ventana),ISNUMBER(Detalle_24m!BA$42)),Detalle_24m!BA$42,INDEX(Precio_V,1)*INDEX(IdxPrecio_V,1,MIN(10,BA$173)))*(1+V_dPrecio))</f>
        <v>486817.22249999997</v>
      </c>
      <c r="BB202" s="48">
        <f>IF(BB$8=1,IF(Reales!$C$38="PYG",IF(BB$10&gt;0,N(Reales!BB38)/BB$10,0),N(Reales!BB38)),BB$177*IF(AND(AND(49&gt;Corte,49&lt;=Corte+n_Ventana),ISNUMBER(Detalle_24m!BB$42)),Detalle_24m!BB$42,INDEX(Precio_V,1)*INDEX(IdxPrecio_V,1,MIN(10,BB$173)))*(1+V_dPrecio))</f>
        <v>491685.39472500008</v>
      </c>
      <c r="BC202" s="48">
        <f>IF(BC$8=1,IF(Reales!$C$38="PYG",IF(BC$10&gt;0,N(Reales!BC38)/BC$10,0),N(Reales!BC38)),BC$177*IF(AND(AND(50&gt;Corte,50&lt;=Corte+n_Ventana),ISNUMBER(Detalle_24m!BC$42)),Detalle_24m!BC$42,INDEX(Precio_V,1)*INDEX(IdxPrecio_V,1,MIN(10,BC$173)))*(1+V_dPrecio))</f>
        <v>491685.39472500008</v>
      </c>
      <c r="BD202" s="48">
        <f>IF(BD$8=1,IF(Reales!$C$38="PYG",IF(BD$10&gt;0,N(Reales!BD38)/BD$10,0),N(Reales!BD38)),BD$177*IF(AND(AND(51&gt;Corte,51&lt;=Corte+n_Ventana),ISNUMBER(Detalle_24m!BD$42)),Detalle_24m!BD$42,INDEX(Precio_V,1)*INDEX(IdxPrecio_V,1,MIN(10,BD$173)))*(1+V_dPrecio))</f>
        <v>491685.39472500008</v>
      </c>
      <c r="BE202" s="48">
        <f>IF(BE$8=1,IF(Reales!$C$38="PYG",IF(BE$10&gt;0,N(Reales!BE38)/BE$10,0),N(Reales!BE38)),BE$177*IF(AND(AND(52&gt;Corte,52&lt;=Corte+n_Ventana),ISNUMBER(Detalle_24m!BE$42)),Detalle_24m!BE$42,INDEX(Precio_V,1)*INDEX(IdxPrecio_V,1,MIN(10,BE$173)))*(1+V_dPrecio))</f>
        <v>491685.39472500008</v>
      </c>
      <c r="BF202" s="48">
        <f>IF(BF$8=1,IF(Reales!$C$38="PYG",IF(BF$10&gt;0,N(Reales!BF38)/BF$10,0),N(Reales!BF38)),BF$177*IF(AND(AND(53&gt;Corte,53&lt;=Corte+n_Ventana),ISNUMBER(Detalle_24m!BF$42)),Detalle_24m!BF$42,INDEX(Precio_V,1)*INDEX(IdxPrecio_V,1,MIN(10,BF$173)))*(1+V_dPrecio))</f>
        <v>491685.39472500008</v>
      </c>
      <c r="BG202" s="48">
        <f>IF(BG$8=1,IF(Reales!$C$38="PYG",IF(BG$10&gt;0,N(Reales!BG38)/BG$10,0),N(Reales!BG38)),BG$177*IF(AND(AND(54&gt;Corte,54&lt;=Corte+n_Ventana),ISNUMBER(Detalle_24m!BG$42)),Detalle_24m!BG$42,INDEX(Precio_V,1)*INDEX(IdxPrecio_V,1,MIN(10,BG$173)))*(1+V_dPrecio))</f>
        <v>491685.39472500008</v>
      </c>
      <c r="BH202" s="48">
        <f>IF(BH$8=1,IF(Reales!$C$38="PYG",IF(BH$10&gt;0,N(Reales!BH38)/BH$10,0),N(Reales!BH38)),BH$177*IF(AND(AND(55&gt;Corte,55&lt;=Corte+n_Ventana),ISNUMBER(Detalle_24m!BH$42)),Detalle_24m!BH$42,INDEX(Precio_V,1)*INDEX(IdxPrecio_V,1,MIN(10,BH$173)))*(1+V_dPrecio))</f>
        <v>491685.39472500008</v>
      </c>
      <c r="BI202" s="48">
        <f>IF(BI$8=1,IF(Reales!$C$38="PYG",IF(BI$10&gt;0,N(Reales!BI38)/BI$10,0),N(Reales!BI38)),BI$177*IF(AND(AND(56&gt;Corte,56&lt;=Corte+n_Ventana),ISNUMBER(Detalle_24m!BI$42)),Detalle_24m!BI$42,INDEX(Precio_V,1)*INDEX(IdxPrecio_V,1,MIN(10,BI$173)))*(1+V_dPrecio))</f>
        <v>491685.39472500008</v>
      </c>
      <c r="BJ202" s="48">
        <f>IF(BJ$8=1,IF(Reales!$C$38="PYG",IF(BJ$10&gt;0,N(Reales!BJ38)/BJ$10,0),N(Reales!BJ38)),BJ$177*IF(AND(AND(57&gt;Corte,57&lt;=Corte+n_Ventana),ISNUMBER(Detalle_24m!BJ$42)),Detalle_24m!BJ$42,INDEX(Precio_V,1)*INDEX(IdxPrecio_V,1,MIN(10,BJ$173)))*(1+V_dPrecio))</f>
        <v>491685.39472500008</v>
      </c>
      <c r="BK202" s="48">
        <f>IF(BK$8=1,IF(Reales!$C$38="PYG",IF(BK$10&gt;0,N(Reales!BK38)/BK$10,0),N(Reales!BK38)),BK$177*IF(AND(AND(58&gt;Corte,58&lt;=Corte+n_Ventana),ISNUMBER(Detalle_24m!BK$42)),Detalle_24m!BK$42,INDEX(Precio_V,1)*INDEX(IdxPrecio_V,1,MIN(10,BK$173)))*(1+V_dPrecio))</f>
        <v>491685.39472500008</v>
      </c>
      <c r="BL202" s="48">
        <f>IF(BL$8=1,IF(Reales!$C$38="PYG",IF(BL$10&gt;0,N(Reales!BL38)/BL$10,0),N(Reales!BL38)),BL$177*IF(AND(AND(59&gt;Corte,59&lt;=Corte+n_Ventana),ISNUMBER(Detalle_24m!BL$42)),Detalle_24m!BL$42,INDEX(Precio_V,1)*INDEX(IdxPrecio_V,1,MIN(10,BL$173)))*(1+V_dPrecio))</f>
        <v>491685.39472500008</v>
      </c>
      <c r="BM202" s="48">
        <f>IF(BM$8=1,IF(Reales!$C$38="PYG",IF(BM$10&gt;0,N(Reales!BM38)/BM$10,0),N(Reales!BM38)),BM$177*IF(AND(AND(60&gt;Corte,60&lt;=Corte+n_Ventana),ISNUMBER(Detalle_24m!BM$42)),Detalle_24m!BM$42,INDEX(Precio_V,1)*INDEX(IdxPrecio_V,1,MIN(10,BM$173)))*(1+V_dPrecio))</f>
        <v>491685.39472500008</v>
      </c>
      <c r="BN202" s="48">
        <f>IF(BN$8=1,IF(Reales!$C$38="PYG",IF(BN$10&gt;0,N(Reales!BN38)/BN$10,0),N(Reales!BN38)),BN$177*IF(AND(AND(61&gt;Corte,61&lt;=Corte+n_Ventana),ISNUMBER(Detalle_24m!BN$42)),Detalle_24m!BN$42,INDEX(Precio_V,1)*INDEX(IdxPrecio_V,1,MIN(10,BN$173)))*(1+V_dPrecio))</f>
        <v>496602.24867225002</v>
      </c>
      <c r="BO202" s="48">
        <f>IF(BO$8=1,IF(Reales!$C$38="PYG",IF(BO$10&gt;0,N(Reales!BO38)/BO$10,0),N(Reales!BO38)),BO$177*IF(AND(AND(62&gt;Corte,62&lt;=Corte+n_Ventana),ISNUMBER(Detalle_24m!BO$42)),Detalle_24m!BO$42,INDEX(Precio_V,1)*INDEX(IdxPrecio_V,1,MIN(10,BO$173)))*(1+V_dPrecio))</f>
        <v>496602.24867225002</v>
      </c>
      <c r="BP202" s="48">
        <f>IF(BP$8=1,IF(Reales!$C$38="PYG",IF(BP$10&gt;0,N(Reales!BP38)/BP$10,0),N(Reales!BP38)),BP$177*IF(AND(AND(63&gt;Corte,63&lt;=Corte+n_Ventana),ISNUMBER(Detalle_24m!BP$42)),Detalle_24m!BP$42,INDEX(Precio_V,1)*INDEX(IdxPrecio_V,1,MIN(10,BP$173)))*(1+V_dPrecio))</f>
        <v>496602.24867225002</v>
      </c>
      <c r="BQ202" s="48">
        <f>IF(BQ$8=1,IF(Reales!$C$38="PYG",IF(BQ$10&gt;0,N(Reales!BQ38)/BQ$10,0),N(Reales!BQ38)),BQ$177*IF(AND(AND(64&gt;Corte,64&lt;=Corte+n_Ventana),ISNUMBER(Detalle_24m!BQ$42)),Detalle_24m!BQ$42,INDEX(Precio_V,1)*INDEX(IdxPrecio_V,1,MIN(10,BQ$173)))*(1+V_dPrecio))</f>
        <v>496602.24867225002</v>
      </c>
      <c r="BR202" s="48">
        <f>IF(BR$8=1,IF(Reales!$C$38="PYG",IF(BR$10&gt;0,N(Reales!BR38)/BR$10,0),N(Reales!BR38)),BR$177*IF(AND(AND(65&gt;Corte,65&lt;=Corte+n_Ventana),ISNUMBER(Detalle_24m!BR$42)),Detalle_24m!BR$42,INDEX(Precio_V,1)*INDEX(IdxPrecio_V,1,MIN(10,BR$173)))*(1+V_dPrecio))</f>
        <v>496602.24867225002</v>
      </c>
      <c r="BS202" s="48">
        <f>IF(BS$8=1,IF(Reales!$C$38="PYG",IF(BS$10&gt;0,N(Reales!BS38)/BS$10,0),N(Reales!BS38)),BS$177*IF(AND(AND(66&gt;Corte,66&lt;=Corte+n_Ventana),ISNUMBER(Detalle_24m!BS$42)),Detalle_24m!BS$42,INDEX(Precio_V,1)*INDEX(IdxPrecio_V,1,MIN(10,BS$173)))*(1+V_dPrecio))</f>
        <v>496602.24867225002</v>
      </c>
      <c r="BT202" s="48">
        <f>IF(BT$8=1,IF(Reales!$C$38="PYG",IF(BT$10&gt;0,N(Reales!BT38)/BT$10,0),N(Reales!BT38)),BT$177*IF(AND(AND(67&gt;Corte,67&lt;=Corte+n_Ventana),ISNUMBER(Detalle_24m!BT$42)),Detalle_24m!BT$42,INDEX(Precio_V,1)*INDEX(IdxPrecio_V,1,MIN(10,BT$173)))*(1+V_dPrecio))</f>
        <v>496602.24867225002</v>
      </c>
      <c r="BU202" s="48">
        <f>IF(BU$8=1,IF(Reales!$C$38="PYG",IF(BU$10&gt;0,N(Reales!BU38)/BU$10,0),N(Reales!BU38)),BU$177*IF(AND(AND(68&gt;Corte,68&lt;=Corte+n_Ventana),ISNUMBER(Detalle_24m!BU$42)),Detalle_24m!BU$42,INDEX(Precio_V,1)*INDEX(IdxPrecio_V,1,MIN(10,BU$173)))*(1+V_dPrecio))</f>
        <v>496602.24867225002</v>
      </c>
      <c r="BV202" s="48">
        <f>IF(BV$8=1,IF(Reales!$C$38="PYG",IF(BV$10&gt;0,N(Reales!BV38)/BV$10,0),N(Reales!BV38)),BV$177*IF(AND(AND(69&gt;Corte,69&lt;=Corte+n_Ventana),ISNUMBER(Detalle_24m!BV$42)),Detalle_24m!BV$42,INDEX(Precio_V,1)*INDEX(IdxPrecio_V,1,MIN(10,BV$173)))*(1+V_dPrecio))</f>
        <v>496602.24867225002</v>
      </c>
      <c r="BW202" s="48">
        <f>IF(BW$8=1,IF(Reales!$C$38="PYG",IF(BW$10&gt;0,N(Reales!BW38)/BW$10,0),N(Reales!BW38)),BW$177*IF(AND(AND(70&gt;Corte,70&lt;=Corte+n_Ventana),ISNUMBER(Detalle_24m!BW$42)),Detalle_24m!BW$42,INDEX(Precio_V,1)*INDEX(IdxPrecio_V,1,MIN(10,BW$173)))*(1+V_dPrecio))</f>
        <v>496602.24867225002</v>
      </c>
      <c r="BX202" s="48">
        <f>IF(BX$8=1,IF(Reales!$C$38="PYG",IF(BX$10&gt;0,N(Reales!BX38)/BX$10,0),N(Reales!BX38)),BX$177*IF(AND(AND(71&gt;Corte,71&lt;=Corte+n_Ventana),ISNUMBER(Detalle_24m!BX$42)),Detalle_24m!BX$42,INDEX(Precio_V,1)*INDEX(IdxPrecio_V,1,MIN(10,BX$173)))*(1+V_dPrecio))</f>
        <v>496602.24867225002</v>
      </c>
      <c r="BY202" s="48">
        <f>IF(BY$8=1,IF(Reales!$C$38="PYG",IF(BY$10&gt;0,N(Reales!BY38)/BY$10,0),N(Reales!BY38)),BY$177*IF(AND(AND(72&gt;Corte,72&lt;=Corte+n_Ventana),ISNUMBER(Detalle_24m!BY$42)),Detalle_24m!BY$42,INDEX(Precio_V,1)*INDEX(IdxPrecio_V,1,MIN(10,BY$173)))*(1+V_dPrecio))</f>
        <v>496602.24867225002</v>
      </c>
      <c r="BZ202" s="48">
        <f>IF(BZ$8=1,IF(Reales!$C$38="PYG",IF(BZ$10&gt;0,N(Reales!BZ38)/BZ$10,0),N(Reales!BZ38)),BZ$177*IF(AND(AND(73&gt;Corte,73&lt;=Corte+n_Ventana),ISNUMBER(Detalle_24m!BZ$42)),Detalle_24m!BZ$42,INDEX(Precio_V,1)*INDEX(IdxPrecio_V,1,MIN(10,BZ$173)))*(1+V_dPrecio))</f>
        <v>501568.27115897246</v>
      </c>
      <c r="CA202" s="48">
        <f>IF(CA$8=1,IF(Reales!$C$38="PYG",IF(CA$10&gt;0,N(Reales!CA38)/CA$10,0),N(Reales!CA38)),CA$177*IF(AND(AND(74&gt;Corte,74&lt;=Corte+n_Ventana),ISNUMBER(Detalle_24m!CA$42)),Detalle_24m!CA$42,INDEX(Precio_V,1)*INDEX(IdxPrecio_V,1,MIN(10,CA$173)))*(1+V_dPrecio))</f>
        <v>501568.27115897246</v>
      </c>
      <c r="CB202" s="48">
        <f>IF(CB$8=1,IF(Reales!$C$38="PYG",IF(CB$10&gt;0,N(Reales!CB38)/CB$10,0),N(Reales!CB38)),CB$177*IF(AND(AND(75&gt;Corte,75&lt;=Corte+n_Ventana),ISNUMBER(Detalle_24m!CB$42)),Detalle_24m!CB$42,INDEX(Precio_V,1)*INDEX(IdxPrecio_V,1,MIN(10,CB$173)))*(1+V_dPrecio))</f>
        <v>501568.27115897246</v>
      </c>
      <c r="CC202" s="48">
        <f>IF(CC$8=1,IF(Reales!$C$38="PYG",IF(CC$10&gt;0,N(Reales!CC38)/CC$10,0),N(Reales!CC38)),CC$177*IF(AND(AND(76&gt;Corte,76&lt;=Corte+n_Ventana),ISNUMBER(Detalle_24m!CC$42)),Detalle_24m!CC$42,INDEX(Precio_V,1)*INDEX(IdxPrecio_V,1,MIN(10,CC$173)))*(1+V_dPrecio))</f>
        <v>501568.27115897246</v>
      </c>
      <c r="CD202" s="48">
        <f>IF(CD$8=1,IF(Reales!$C$38="PYG",IF(CD$10&gt;0,N(Reales!CD38)/CD$10,0),N(Reales!CD38)),CD$177*IF(AND(AND(77&gt;Corte,77&lt;=Corte+n_Ventana),ISNUMBER(Detalle_24m!CD$42)),Detalle_24m!CD$42,INDEX(Precio_V,1)*INDEX(IdxPrecio_V,1,MIN(10,CD$173)))*(1+V_dPrecio))</f>
        <v>501568.27115897246</v>
      </c>
      <c r="CE202" s="48">
        <f>IF(CE$8=1,IF(Reales!$C$38="PYG",IF(CE$10&gt;0,N(Reales!CE38)/CE$10,0),N(Reales!CE38)),CE$177*IF(AND(AND(78&gt;Corte,78&lt;=Corte+n_Ventana),ISNUMBER(Detalle_24m!CE$42)),Detalle_24m!CE$42,INDEX(Precio_V,1)*INDEX(IdxPrecio_V,1,MIN(10,CE$173)))*(1+V_dPrecio))</f>
        <v>501568.27115897246</v>
      </c>
      <c r="CF202" s="48">
        <f>IF(CF$8=1,IF(Reales!$C$38="PYG",IF(CF$10&gt;0,N(Reales!CF38)/CF$10,0),N(Reales!CF38)),CF$177*IF(AND(AND(79&gt;Corte,79&lt;=Corte+n_Ventana),ISNUMBER(Detalle_24m!CF$42)),Detalle_24m!CF$42,INDEX(Precio_V,1)*INDEX(IdxPrecio_V,1,MIN(10,CF$173)))*(1+V_dPrecio))</f>
        <v>501568.27115897246</v>
      </c>
      <c r="CG202" s="48">
        <f>IF(CG$8=1,IF(Reales!$C$38="PYG",IF(CG$10&gt;0,N(Reales!CG38)/CG$10,0),N(Reales!CG38)),CG$177*IF(AND(AND(80&gt;Corte,80&lt;=Corte+n_Ventana),ISNUMBER(Detalle_24m!CG$42)),Detalle_24m!CG$42,INDEX(Precio_V,1)*INDEX(IdxPrecio_V,1,MIN(10,CG$173)))*(1+V_dPrecio))</f>
        <v>501568.27115897246</v>
      </c>
      <c r="CH202" s="48">
        <f>IF(CH$8=1,IF(Reales!$C$38="PYG",IF(CH$10&gt;0,N(Reales!CH38)/CH$10,0),N(Reales!CH38)),CH$177*IF(AND(AND(81&gt;Corte,81&lt;=Corte+n_Ventana),ISNUMBER(Detalle_24m!CH$42)),Detalle_24m!CH$42,INDEX(Precio_V,1)*INDEX(IdxPrecio_V,1,MIN(10,CH$173)))*(1+V_dPrecio))</f>
        <v>501568.27115897246</v>
      </c>
      <c r="CI202" s="48">
        <f>IF(CI$8=1,IF(Reales!$C$38="PYG",IF(CI$10&gt;0,N(Reales!CI38)/CI$10,0),N(Reales!CI38)),CI$177*IF(AND(AND(82&gt;Corte,82&lt;=Corte+n_Ventana),ISNUMBER(Detalle_24m!CI$42)),Detalle_24m!CI$42,INDEX(Precio_V,1)*INDEX(IdxPrecio_V,1,MIN(10,CI$173)))*(1+V_dPrecio))</f>
        <v>501568.27115897246</v>
      </c>
      <c r="CJ202" s="48">
        <f>IF(CJ$8=1,IF(Reales!$C$38="PYG",IF(CJ$10&gt;0,N(Reales!CJ38)/CJ$10,0),N(Reales!CJ38)),CJ$177*IF(AND(AND(83&gt;Corte,83&lt;=Corte+n_Ventana),ISNUMBER(Detalle_24m!CJ$42)),Detalle_24m!CJ$42,INDEX(Precio_V,1)*INDEX(IdxPrecio_V,1,MIN(10,CJ$173)))*(1+V_dPrecio))</f>
        <v>501568.27115897246</v>
      </c>
      <c r="CK202" s="48">
        <f>IF(CK$8=1,IF(Reales!$C$38="PYG",IF(CK$10&gt;0,N(Reales!CK38)/CK$10,0),N(Reales!CK38)),CK$177*IF(AND(AND(84&gt;Corte,84&lt;=Corte+n_Ventana),ISNUMBER(Detalle_24m!CK$42)),Detalle_24m!CK$42,INDEX(Precio_V,1)*INDEX(IdxPrecio_V,1,MIN(10,CK$173)))*(1+V_dPrecio))</f>
        <v>501568.27115897246</v>
      </c>
      <c r="CL202" s="48">
        <f>IF(CL$8=1,IF(Reales!$C$38="PYG",IF(CL$10&gt;0,N(Reales!CL38)/CL$10,0),N(Reales!CL38)),CL$177*IF(AND(AND(85&gt;Corte,85&lt;=Corte+n_Ventana),ISNUMBER(Detalle_24m!CL$42)),Detalle_24m!CL$42,INDEX(Precio_V,1)*INDEX(IdxPrecio_V,1,MIN(10,CL$173)))*(1+V_dPrecio))</f>
        <v>506583.9538705622</v>
      </c>
      <c r="CM202" s="48">
        <f>IF(CM$8=1,IF(Reales!$C$38="PYG",IF(CM$10&gt;0,N(Reales!CM38)/CM$10,0),N(Reales!CM38)),CM$177*IF(AND(AND(86&gt;Corte,86&lt;=Corte+n_Ventana),ISNUMBER(Detalle_24m!CM$42)),Detalle_24m!CM$42,INDEX(Precio_V,1)*INDEX(IdxPrecio_V,1,MIN(10,CM$173)))*(1+V_dPrecio))</f>
        <v>506583.9538705622</v>
      </c>
      <c r="CN202" s="48">
        <f>IF(CN$8=1,IF(Reales!$C$38="PYG",IF(CN$10&gt;0,N(Reales!CN38)/CN$10,0),N(Reales!CN38)),CN$177*IF(AND(AND(87&gt;Corte,87&lt;=Corte+n_Ventana),ISNUMBER(Detalle_24m!CN$42)),Detalle_24m!CN$42,INDEX(Precio_V,1)*INDEX(IdxPrecio_V,1,MIN(10,CN$173)))*(1+V_dPrecio))</f>
        <v>506583.9538705622</v>
      </c>
      <c r="CO202" s="48">
        <f>IF(CO$8=1,IF(Reales!$C$38="PYG",IF(CO$10&gt;0,N(Reales!CO38)/CO$10,0),N(Reales!CO38)),CO$177*IF(AND(AND(88&gt;Corte,88&lt;=Corte+n_Ventana),ISNUMBER(Detalle_24m!CO$42)),Detalle_24m!CO$42,INDEX(Precio_V,1)*INDEX(IdxPrecio_V,1,MIN(10,CO$173)))*(1+V_dPrecio))</f>
        <v>506583.9538705622</v>
      </c>
      <c r="CP202" s="48">
        <f>IF(CP$8=1,IF(Reales!$C$38="PYG",IF(CP$10&gt;0,N(Reales!CP38)/CP$10,0),N(Reales!CP38)),CP$177*IF(AND(AND(89&gt;Corte,89&lt;=Corte+n_Ventana),ISNUMBER(Detalle_24m!CP$42)),Detalle_24m!CP$42,INDEX(Precio_V,1)*INDEX(IdxPrecio_V,1,MIN(10,CP$173)))*(1+V_dPrecio))</f>
        <v>506583.9538705622</v>
      </c>
      <c r="CQ202" s="48">
        <f>IF(CQ$8=1,IF(Reales!$C$38="PYG",IF(CQ$10&gt;0,N(Reales!CQ38)/CQ$10,0),N(Reales!CQ38)),CQ$177*IF(AND(AND(90&gt;Corte,90&lt;=Corte+n_Ventana),ISNUMBER(Detalle_24m!CQ$42)),Detalle_24m!CQ$42,INDEX(Precio_V,1)*INDEX(IdxPrecio_V,1,MIN(10,CQ$173)))*(1+V_dPrecio))</f>
        <v>506583.9538705622</v>
      </c>
      <c r="CR202" s="48">
        <f>IF(CR$8=1,IF(Reales!$C$38="PYG",IF(CR$10&gt;0,N(Reales!CR38)/CR$10,0),N(Reales!CR38)),CR$177*IF(AND(AND(91&gt;Corte,91&lt;=Corte+n_Ventana),ISNUMBER(Detalle_24m!CR$42)),Detalle_24m!CR$42,INDEX(Precio_V,1)*INDEX(IdxPrecio_V,1,MIN(10,CR$173)))*(1+V_dPrecio))</f>
        <v>506583.9538705622</v>
      </c>
      <c r="CS202" s="48">
        <f>IF(CS$8=1,IF(Reales!$C$38="PYG",IF(CS$10&gt;0,N(Reales!CS38)/CS$10,0),N(Reales!CS38)),CS$177*IF(AND(AND(92&gt;Corte,92&lt;=Corte+n_Ventana),ISNUMBER(Detalle_24m!CS$42)),Detalle_24m!CS$42,INDEX(Precio_V,1)*INDEX(IdxPrecio_V,1,MIN(10,CS$173)))*(1+V_dPrecio))</f>
        <v>506583.9538705622</v>
      </c>
      <c r="CT202" s="48">
        <f>IF(CT$8=1,IF(Reales!$C$38="PYG",IF(CT$10&gt;0,N(Reales!CT38)/CT$10,0),N(Reales!CT38)),CT$177*IF(AND(AND(93&gt;Corte,93&lt;=Corte+n_Ventana),ISNUMBER(Detalle_24m!CT$42)),Detalle_24m!CT$42,INDEX(Precio_V,1)*INDEX(IdxPrecio_V,1,MIN(10,CT$173)))*(1+V_dPrecio))</f>
        <v>506583.9538705622</v>
      </c>
      <c r="CU202" s="48">
        <f>IF(CU$8=1,IF(Reales!$C$38="PYG",IF(CU$10&gt;0,N(Reales!CU38)/CU$10,0),N(Reales!CU38)),CU$177*IF(AND(AND(94&gt;Corte,94&lt;=Corte+n_Ventana),ISNUMBER(Detalle_24m!CU$42)),Detalle_24m!CU$42,INDEX(Precio_V,1)*INDEX(IdxPrecio_V,1,MIN(10,CU$173)))*(1+V_dPrecio))</f>
        <v>506583.9538705622</v>
      </c>
      <c r="CV202" s="48">
        <f>IF(CV$8=1,IF(Reales!$C$38="PYG",IF(CV$10&gt;0,N(Reales!CV38)/CV$10,0),N(Reales!CV38)),CV$177*IF(AND(AND(95&gt;Corte,95&lt;=Corte+n_Ventana),ISNUMBER(Detalle_24m!CV$42)),Detalle_24m!CV$42,INDEX(Precio_V,1)*INDEX(IdxPrecio_V,1,MIN(10,CV$173)))*(1+V_dPrecio))</f>
        <v>506583.9538705622</v>
      </c>
      <c r="CW202" s="48">
        <f>IF(CW$8=1,IF(Reales!$C$38="PYG",IF(CW$10&gt;0,N(Reales!CW38)/CW$10,0),N(Reales!CW38)),CW$177*IF(AND(AND(96&gt;Corte,96&lt;=Corte+n_Ventana),ISNUMBER(Detalle_24m!CW$42)),Detalle_24m!CW$42,INDEX(Precio_V,1)*INDEX(IdxPrecio_V,1,MIN(10,CW$173)))*(1+V_dPrecio))</f>
        <v>506583.9538705622</v>
      </c>
      <c r="CX202" s="48">
        <f>IF(CX$8=1,IF(Reales!$C$38="PYG",IF(CX$10&gt;0,N(Reales!CX38)/CX$10,0),N(Reales!CX38)),CX$177*IF(AND(AND(97&gt;Corte,97&lt;=Corte+n_Ventana),ISNUMBER(Detalle_24m!CX$42)),Detalle_24m!CX$42,INDEX(Precio_V,1)*INDEX(IdxPrecio_V,1,MIN(10,CX$173)))*(1+V_dPrecio))</f>
        <v>511649.79340926779</v>
      </c>
      <c r="CY202" s="48">
        <f>IF(CY$8=1,IF(Reales!$C$38="PYG",IF(CY$10&gt;0,N(Reales!CY38)/CY$10,0),N(Reales!CY38)),CY$177*IF(AND(AND(98&gt;Corte,98&lt;=Corte+n_Ventana),ISNUMBER(Detalle_24m!CY$42)),Detalle_24m!CY$42,INDEX(Precio_V,1)*INDEX(IdxPrecio_V,1,MIN(10,CY$173)))*(1+V_dPrecio))</f>
        <v>511649.79340926779</v>
      </c>
      <c r="CZ202" s="48">
        <f>IF(CZ$8=1,IF(Reales!$C$38="PYG",IF(CZ$10&gt;0,N(Reales!CZ38)/CZ$10,0),N(Reales!CZ38)),CZ$177*IF(AND(AND(99&gt;Corte,99&lt;=Corte+n_Ventana),ISNUMBER(Detalle_24m!CZ$42)),Detalle_24m!CZ$42,INDEX(Precio_V,1)*INDEX(IdxPrecio_V,1,MIN(10,CZ$173)))*(1+V_dPrecio))</f>
        <v>511649.79340926779</v>
      </c>
      <c r="DA202" s="48">
        <f>IF(DA$8=1,IF(Reales!$C$38="PYG",IF(DA$10&gt;0,N(Reales!DA38)/DA$10,0),N(Reales!DA38)),DA$177*IF(AND(AND(100&gt;Corte,100&lt;=Corte+n_Ventana),ISNUMBER(Detalle_24m!DA$42)),Detalle_24m!DA$42,INDEX(Precio_V,1)*INDEX(IdxPrecio_V,1,MIN(10,DA$173)))*(1+V_dPrecio))</f>
        <v>511649.79340926779</v>
      </c>
      <c r="DB202" s="48">
        <f>IF(DB$8=1,IF(Reales!$C$38="PYG",IF(DB$10&gt;0,N(Reales!DB38)/DB$10,0),N(Reales!DB38)),DB$177*IF(AND(AND(101&gt;Corte,101&lt;=Corte+n_Ventana),ISNUMBER(Detalle_24m!DB$42)),Detalle_24m!DB$42,INDEX(Precio_V,1)*INDEX(IdxPrecio_V,1,MIN(10,DB$173)))*(1+V_dPrecio))</f>
        <v>511649.79340926779</v>
      </c>
      <c r="DC202" s="48">
        <f>IF(DC$8=1,IF(Reales!$C$38="PYG",IF(DC$10&gt;0,N(Reales!DC38)/DC$10,0),N(Reales!DC38)),DC$177*IF(AND(AND(102&gt;Corte,102&lt;=Corte+n_Ventana),ISNUMBER(Detalle_24m!DC$42)),Detalle_24m!DC$42,INDEX(Precio_V,1)*INDEX(IdxPrecio_V,1,MIN(10,DC$173)))*(1+V_dPrecio))</f>
        <v>511649.79340926779</v>
      </c>
      <c r="DD202" s="48">
        <f>IF(DD$8=1,IF(Reales!$C$38="PYG",IF(DD$10&gt;0,N(Reales!DD38)/DD$10,0),N(Reales!DD38)),DD$177*IF(AND(AND(103&gt;Corte,103&lt;=Corte+n_Ventana),ISNUMBER(Detalle_24m!DD$42)),Detalle_24m!DD$42,INDEX(Precio_V,1)*INDEX(IdxPrecio_V,1,MIN(10,DD$173)))*(1+V_dPrecio))</f>
        <v>511649.79340926779</v>
      </c>
      <c r="DE202" s="48">
        <f>IF(DE$8=1,IF(Reales!$C$38="PYG",IF(DE$10&gt;0,N(Reales!DE38)/DE$10,0),N(Reales!DE38)),DE$177*IF(AND(AND(104&gt;Corte,104&lt;=Corte+n_Ventana),ISNUMBER(Detalle_24m!DE$42)),Detalle_24m!DE$42,INDEX(Precio_V,1)*INDEX(IdxPrecio_V,1,MIN(10,DE$173)))*(1+V_dPrecio))</f>
        <v>511649.79340926779</v>
      </c>
      <c r="DF202" s="48">
        <f>IF(DF$8=1,IF(Reales!$C$38="PYG",IF(DF$10&gt;0,N(Reales!DF38)/DF$10,0),N(Reales!DF38)),DF$177*IF(AND(AND(105&gt;Corte,105&lt;=Corte+n_Ventana),ISNUMBER(Detalle_24m!DF$42)),Detalle_24m!DF$42,INDEX(Precio_V,1)*INDEX(IdxPrecio_V,1,MIN(10,DF$173)))*(1+V_dPrecio))</f>
        <v>511649.79340926779</v>
      </c>
      <c r="DG202" s="48">
        <f>IF(DG$8=1,IF(Reales!$C$38="PYG",IF(DG$10&gt;0,N(Reales!DG38)/DG$10,0),N(Reales!DG38)),DG$177*IF(AND(AND(106&gt;Corte,106&lt;=Corte+n_Ventana),ISNUMBER(Detalle_24m!DG$42)),Detalle_24m!DG$42,INDEX(Precio_V,1)*INDEX(IdxPrecio_V,1,MIN(10,DG$173)))*(1+V_dPrecio))</f>
        <v>511649.79340926779</v>
      </c>
      <c r="DH202" s="48">
        <f>IF(DH$8=1,IF(Reales!$C$38="PYG",IF(DH$10&gt;0,N(Reales!DH38)/DH$10,0),N(Reales!DH38)),DH$177*IF(AND(AND(107&gt;Corte,107&lt;=Corte+n_Ventana),ISNUMBER(Detalle_24m!DH$42)),Detalle_24m!DH$42,INDEX(Precio_V,1)*INDEX(IdxPrecio_V,1,MIN(10,DH$173)))*(1+V_dPrecio))</f>
        <v>511649.79340926779</v>
      </c>
      <c r="DI202" s="48">
        <f>IF(DI$8=1,IF(Reales!$C$38="PYG",IF(DI$10&gt;0,N(Reales!DI38)/DI$10,0),N(Reales!DI38)),DI$177*IF(AND(AND(108&gt;Corte,108&lt;=Corte+n_Ventana),ISNUMBER(Detalle_24m!DI$42)),Detalle_24m!DI$42,INDEX(Precio_V,1)*INDEX(IdxPrecio_V,1,MIN(10,DI$173)))*(1+V_dPrecio))</f>
        <v>511649.79340926779</v>
      </c>
      <c r="DJ202" s="48">
        <f>IF(DJ$8=1,IF(Reales!$C$38="PYG",IF(DJ$10&gt;0,N(Reales!DJ38)/DJ$10,0),N(Reales!DJ38)),DJ$177*IF(AND(AND(109&gt;Corte,109&lt;=Corte+n_Ventana),ISNUMBER(Detalle_24m!DJ$42)),Detalle_24m!DJ$42,INDEX(Precio_V,1)*INDEX(IdxPrecio_V,1,MIN(10,DJ$173)))*(1+V_dPrecio))</f>
        <v>516766.29134336056</v>
      </c>
      <c r="DK202" s="48">
        <f>IF(DK$8=1,IF(Reales!$C$38="PYG",IF(DK$10&gt;0,N(Reales!DK38)/DK$10,0),N(Reales!DK38)),DK$177*IF(AND(AND(110&gt;Corte,110&lt;=Corte+n_Ventana),ISNUMBER(Detalle_24m!DK$42)),Detalle_24m!DK$42,INDEX(Precio_V,1)*INDEX(IdxPrecio_V,1,MIN(10,DK$173)))*(1+V_dPrecio))</f>
        <v>516766.29134336056</v>
      </c>
      <c r="DL202" s="48">
        <f>IF(DL$8=1,IF(Reales!$C$38="PYG",IF(DL$10&gt;0,N(Reales!DL38)/DL$10,0),N(Reales!DL38)),DL$177*IF(AND(AND(111&gt;Corte,111&lt;=Corte+n_Ventana),ISNUMBER(Detalle_24m!DL$42)),Detalle_24m!DL$42,INDEX(Precio_V,1)*INDEX(IdxPrecio_V,1,MIN(10,DL$173)))*(1+V_dPrecio))</f>
        <v>516766.29134336056</v>
      </c>
      <c r="DM202" s="48">
        <f>IF(DM$8=1,IF(Reales!$C$38="PYG",IF(DM$10&gt;0,N(Reales!DM38)/DM$10,0),N(Reales!DM38)),DM$177*IF(AND(AND(112&gt;Corte,112&lt;=Corte+n_Ventana),ISNUMBER(Detalle_24m!DM$42)),Detalle_24m!DM$42,INDEX(Precio_V,1)*INDEX(IdxPrecio_V,1,MIN(10,DM$173)))*(1+V_dPrecio))</f>
        <v>516766.29134336056</v>
      </c>
      <c r="DN202" s="48">
        <f>IF(DN$8=1,IF(Reales!$C$38="PYG",IF(DN$10&gt;0,N(Reales!DN38)/DN$10,0),N(Reales!DN38)),DN$177*IF(AND(AND(113&gt;Corte,113&lt;=Corte+n_Ventana),ISNUMBER(Detalle_24m!DN$42)),Detalle_24m!DN$42,INDEX(Precio_V,1)*INDEX(IdxPrecio_V,1,MIN(10,DN$173)))*(1+V_dPrecio))</f>
        <v>516766.29134336056</v>
      </c>
      <c r="DO202" s="48">
        <f>IF(DO$8=1,IF(Reales!$C$38="PYG",IF(DO$10&gt;0,N(Reales!DO38)/DO$10,0),N(Reales!DO38)),DO$177*IF(AND(AND(114&gt;Corte,114&lt;=Corte+n_Ventana),ISNUMBER(Detalle_24m!DO$42)),Detalle_24m!DO$42,INDEX(Precio_V,1)*INDEX(IdxPrecio_V,1,MIN(10,DO$173)))*(1+V_dPrecio))</f>
        <v>516766.29134336056</v>
      </c>
      <c r="DP202" s="48">
        <f>IF(DP$8=1,IF(Reales!$C$38="PYG",IF(DP$10&gt;0,N(Reales!DP38)/DP$10,0),N(Reales!DP38)),DP$177*IF(AND(AND(115&gt;Corte,115&lt;=Corte+n_Ventana),ISNUMBER(Detalle_24m!DP$42)),Detalle_24m!DP$42,INDEX(Precio_V,1)*INDEX(IdxPrecio_V,1,MIN(10,DP$173)))*(1+V_dPrecio))</f>
        <v>516766.29134336056</v>
      </c>
      <c r="DQ202" s="48">
        <f>IF(DQ$8=1,IF(Reales!$C$38="PYG",IF(DQ$10&gt;0,N(Reales!DQ38)/DQ$10,0),N(Reales!DQ38)),DQ$177*IF(AND(AND(116&gt;Corte,116&lt;=Corte+n_Ventana),ISNUMBER(Detalle_24m!DQ$42)),Detalle_24m!DQ$42,INDEX(Precio_V,1)*INDEX(IdxPrecio_V,1,MIN(10,DQ$173)))*(1+V_dPrecio))</f>
        <v>516766.29134336056</v>
      </c>
      <c r="DR202" s="48">
        <f>IF(DR$8=1,IF(Reales!$C$38="PYG",IF(DR$10&gt;0,N(Reales!DR38)/DR$10,0),N(Reales!DR38)),DR$177*IF(AND(AND(117&gt;Corte,117&lt;=Corte+n_Ventana),ISNUMBER(Detalle_24m!DR$42)),Detalle_24m!DR$42,INDEX(Precio_V,1)*INDEX(IdxPrecio_V,1,MIN(10,DR$173)))*(1+V_dPrecio))</f>
        <v>516766.29134336056</v>
      </c>
      <c r="DS202" s="48">
        <f>IF(DS$8=1,IF(Reales!$C$38="PYG",IF(DS$10&gt;0,N(Reales!DS38)/DS$10,0),N(Reales!DS38)),DS$177*IF(AND(AND(118&gt;Corte,118&lt;=Corte+n_Ventana),ISNUMBER(Detalle_24m!DS$42)),Detalle_24m!DS$42,INDEX(Precio_V,1)*INDEX(IdxPrecio_V,1,MIN(10,DS$173)))*(1+V_dPrecio))</f>
        <v>516766.29134336056</v>
      </c>
      <c r="DT202" s="48">
        <f>IF(DT$8=1,IF(Reales!$C$38="PYG",IF(DT$10&gt;0,N(Reales!DT38)/DT$10,0),N(Reales!DT38)),DT$177*IF(AND(AND(119&gt;Corte,119&lt;=Corte+n_Ventana),ISNUMBER(Detalle_24m!DT$42)),Detalle_24m!DT$42,INDEX(Precio_V,1)*INDEX(IdxPrecio_V,1,MIN(10,DT$173)))*(1+V_dPrecio))</f>
        <v>516766.29134336056</v>
      </c>
      <c r="DU202" s="48">
        <f>IF(DU$8=1,IF(Reales!$C$38="PYG",IF(DU$10&gt;0,N(Reales!DU38)/DU$10,0),N(Reales!DU38)),DU$177*IF(AND(AND(120&gt;Corte,120&lt;=Corte+n_Ventana),ISNUMBER(Detalle_24m!DU$42)),Detalle_24m!DU$42,INDEX(Precio_V,1)*INDEX(IdxPrecio_V,1,MIN(10,DU$173)))*(1+V_dPrecio))</f>
        <v>516766.29134336056</v>
      </c>
      <c r="DV202" s="48">
        <f>IF(DV$8=1,IF(Reales!$C$38="PYG",IF(DV$10&gt;0,N(Reales!DV38)/DV$10,0),N(Reales!DV38)),DV$177*IF(AND(AND(121&gt;Corte,121&lt;=Corte+n_Ventana),ISNUMBER(Detalle_24m!DV$42)),Detalle_24m!DV$42,INDEX(Precio_V,1)*INDEX(IdxPrecio_V,1,MIN(10,DV$173)))*(1+V_dPrecio))</f>
        <v>0</v>
      </c>
      <c r="DW202" s="48">
        <f>IF(DW$8=1,IF(Reales!$C$38="PYG",IF(DW$10&gt;0,N(Reales!DW38)/DW$10,0),N(Reales!DW38)),DW$177*IF(AND(AND(122&gt;Corte,122&lt;=Corte+n_Ventana),ISNUMBER(Detalle_24m!DW$42)),Detalle_24m!DW$42,INDEX(Precio_V,1)*INDEX(IdxPrecio_V,1,MIN(10,DW$173)))*(1+V_dPrecio))</f>
        <v>0</v>
      </c>
      <c r="DX202" s="48">
        <f>IF(DX$8=1,IF(Reales!$C$38="PYG",IF(DX$10&gt;0,N(Reales!DX38)/DX$10,0),N(Reales!DX38)),DX$177*IF(AND(AND(123&gt;Corte,123&lt;=Corte+n_Ventana),ISNUMBER(Detalle_24m!DX$42)),Detalle_24m!DX$42,INDEX(Precio_V,1)*INDEX(IdxPrecio_V,1,MIN(10,DX$173)))*(1+V_dPrecio))</f>
        <v>0</v>
      </c>
      <c r="DY202" s="48">
        <f>IF(DY$8=1,IF(Reales!$C$38="PYG",IF(DY$10&gt;0,N(Reales!DY38)/DY$10,0),N(Reales!DY38)),DY$177*IF(AND(AND(124&gt;Corte,124&lt;=Corte+n_Ventana),ISNUMBER(Detalle_24m!DY$42)),Detalle_24m!DY$42,INDEX(Precio_V,1)*INDEX(IdxPrecio_V,1,MIN(10,DY$173)))*(1+V_dPrecio))</f>
        <v>0</v>
      </c>
      <c r="DZ202" s="48">
        <f>IF(DZ$8=1,IF(Reales!$C$38="PYG",IF(DZ$10&gt;0,N(Reales!DZ38)/DZ$10,0),N(Reales!DZ38)),DZ$177*IF(AND(AND(125&gt;Corte,125&lt;=Corte+n_Ventana),ISNUMBER(Detalle_24m!DZ$42)),Detalle_24m!DZ$42,INDEX(Precio_V,1)*INDEX(IdxPrecio_V,1,MIN(10,DZ$173)))*(1+V_dPrecio))</f>
        <v>0</v>
      </c>
      <c r="EA202" s="48">
        <f>IF(EA$8=1,IF(Reales!$C$38="PYG",IF(EA$10&gt;0,N(Reales!EA38)/EA$10,0),N(Reales!EA38)),EA$177*IF(AND(AND(126&gt;Corte,126&lt;=Corte+n_Ventana),ISNUMBER(Detalle_24m!EA$42)),Detalle_24m!EA$42,INDEX(Precio_V,1)*INDEX(IdxPrecio_V,1,MIN(10,EA$173)))*(1+V_dPrecio))</f>
        <v>0</v>
      </c>
      <c r="EB202" s="48">
        <f>IF(EB$8=1,IF(Reales!$C$38="PYG",IF(EB$10&gt;0,N(Reales!EB38)/EB$10,0),N(Reales!EB38)),EB$177*IF(AND(AND(127&gt;Corte,127&lt;=Corte+n_Ventana),ISNUMBER(Detalle_24m!EB$42)),Detalle_24m!EB$42,INDEX(Precio_V,1)*INDEX(IdxPrecio_V,1,MIN(10,EB$173)))*(1+V_dPrecio))</f>
        <v>0</v>
      </c>
      <c r="EC202" s="48">
        <f>IF(EC$8=1,IF(Reales!$C$38="PYG",IF(EC$10&gt;0,N(Reales!EC38)/EC$10,0),N(Reales!EC38)),EC$177*IF(AND(AND(128&gt;Corte,128&lt;=Corte+n_Ventana),ISNUMBER(Detalle_24m!EC$42)),Detalle_24m!EC$42,INDEX(Precio_V,1)*INDEX(IdxPrecio_V,1,MIN(10,EC$173)))*(1+V_dPrecio))</f>
        <v>0</v>
      </c>
      <c r="ED202" s="48">
        <f>IF(ED$8=1,IF(Reales!$C$38="PYG",IF(ED$10&gt;0,N(Reales!ED38)/ED$10,0),N(Reales!ED38)),ED$177*IF(AND(AND(129&gt;Corte,129&lt;=Corte+n_Ventana),ISNUMBER(Detalle_24m!ED$42)),Detalle_24m!ED$42,INDEX(Precio_V,1)*INDEX(IdxPrecio_V,1,MIN(10,ED$173)))*(1+V_dPrecio))</f>
        <v>0</v>
      </c>
      <c r="EE202" s="48">
        <f>IF(EE$8=1,IF(Reales!$C$38="PYG",IF(EE$10&gt;0,N(Reales!EE38)/EE$10,0),N(Reales!EE38)),EE$177*IF(AND(AND(130&gt;Corte,130&lt;=Corte+n_Ventana),ISNUMBER(Detalle_24m!EE$42)),Detalle_24m!EE$42,INDEX(Precio_V,1)*INDEX(IdxPrecio_V,1,MIN(10,EE$173)))*(1+V_dPrecio))</f>
        <v>0</v>
      </c>
      <c r="EF202" s="48">
        <f>IF(EF$8=1,IF(Reales!$C$38="PYG",IF(EF$10&gt;0,N(Reales!EF38)/EF$10,0),N(Reales!EF38)),EF$177*IF(AND(AND(131&gt;Corte,131&lt;=Corte+n_Ventana),ISNUMBER(Detalle_24m!EF$42)),Detalle_24m!EF$42,INDEX(Precio_V,1)*INDEX(IdxPrecio_V,1,MIN(10,EF$173)))*(1+V_dPrecio))</f>
        <v>0</v>
      </c>
      <c r="EG202" s="48">
        <f>IF(EG$8=1,IF(Reales!$C$38="PYG",IF(EG$10&gt;0,N(Reales!EG38)/EG$10,0),N(Reales!EG38)),EG$177*IF(AND(AND(132&gt;Corte,132&lt;=Corte+n_Ventana),ISNUMBER(Detalle_24m!EG$42)),Detalle_24m!EG$42,INDEX(Precio_V,1)*INDEX(IdxPrecio_V,1,MIN(10,EG$173)))*(1+V_dPrecio))</f>
        <v>0</v>
      </c>
      <c r="EH202" s="48">
        <f>IF(EH$8=1,IF(Reales!$C$38="PYG",IF(EH$10&gt;0,N(Reales!EH38)/EH$10,0),N(Reales!EH38)),EH$177*IF(AND(AND(133&gt;Corte,133&lt;=Corte+n_Ventana),ISNUMBER(Detalle_24m!EH$42)),Detalle_24m!EH$42,INDEX(Precio_V,1)*INDEX(IdxPrecio_V,1,MIN(10,EH$173)))*(1+V_dPrecio))</f>
        <v>0</v>
      </c>
      <c r="EI202" s="48">
        <f>IF(EI$8=1,IF(Reales!$C$38="PYG",IF(EI$10&gt;0,N(Reales!EI38)/EI$10,0),N(Reales!EI38)),EI$177*IF(AND(AND(134&gt;Corte,134&lt;=Corte+n_Ventana),ISNUMBER(Detalle_24m!EI$42)),Detalle_24m!EI$42,INDEX(Precio_V,1)*INDEX(IdxPrecio_V,1,MIN(10,EI$173)))*(1+V_dPrecio))</f>
        <v>0</v>
      </c>
      <c r="EJ202" s="48">
        <f>IF(EJ$8=1,IF(Reales!$C$38="PYG",IF(EJ$10&gt;0,N(Reales!EJ38)/EJ$10,0),N(Reales!EJ38)),EJ$177*IF(AND(AND(135&gt;Corte,135&lt;=Corte+n_Ventana),ISNUMBER(Detalle_24m!EJ$42)),Detalle_24m!EJ$42,INDEX(Precio_V,1)*INDEX(IdxPrecio_V,1,MIN(10,EJ$173)))*(1+V_dPrecio))</f>
        <v>0</v>
      </c>
      <c r="EK202" s="48">
        <f>IF(EK$8=1,IF(Reales!$C$38="PYG",IF(EK$10&gt;0,N(Reales!EK38)/EK$10,0),N(Reales!EK38)),EK$177*IF(AND(AND(136&gt;Corte,136&lt;=Corte+n_Ventana),ISNUMBER(Detalle_24m!EK$42)),Detalle_24m!EK$42,INDEX(Precio_V,1)*INDEX(IdxPrecio_V,1,MIN(10,EK$173)))*(1+V_dPrecio))</f>
        <v>0</v>
      </c>
      <c r="EL202" s="48">
        <f>IF(EL$8=1,IF(Reales!$C$38="PYG",IF(EL$10&gt;0,N(Reales!EL38)/EL$10,0),N(Reales!EL38)),EL$177*IF(AND(AND(137&gt;Corte,137&lt;=Corte+n_Ventana),ISNUMBER(Detalle_24m!EL$42)),Detalle_24m!EL$42,INDEX(Precio_V,1)*INDEX(IdxPrecio_V,1,MIN(10,EL$173)))*(1+V_dPrecio))</f>
        <v>0</v>
      </c>
      <c r="EM202" s="48">
        <f>IF(EM$8=1,IF(Reales!$C$38="PYG",IF(EM$10&gt;0,N(Reales!EM38)/EM$10,0),N(Reales!EM38)),EM$177*IF(AND(AND(138&gt;Corte,138&lt;=Corte+n_Ventana),ISNUMBER(Detalle_24m!EM$42)),Detalle_24m!EM$42,INDEX(Precio_V,1)*INDEX(IdxPrecio_V,1,MIN(10,EM$173)))*(1+V_dPrecio))</f>
        <v>0</v>
      </c>
      <c r="EN202" s="48">
        <f>IF(EN$8=1,IF(Reales!$C$38="PYG",IF(EN$10&gt;0,N(Reales!EN38)/EN$10,0),N(Reales!EN38)),EN$177*IF(AND(AND(139&gt;Corte,139&lt;=Corte+n_Ventana),ISNUMBER(Detalle_24m!EN$42)),Detalle_24m!EN$42,INDEX(Precio_V,1)*INDEX(IdxPrecio_V,1,MIN(10,EN$173)))*(1+V_dPrecio))</f>
        <v>0</v>
      </c>
      <c r="EO202" s="48">
        <f>IF(EO$8=1,IF(Reales!$C$38="PYG",IF(EO$10&gt;0,N(Reales!EO38)/EO$10,0),N(Reales!EO38)),EO$177*IF(AND(AND(140&gt;Corte,140&lt;=Corte+n_Ventana),ISNUMBER(Detalle_24m!EO$42)),Detalle_24m!EO$42,INDEX(Precio_V,1)*INDEX(IdxPrecio_V,1,MIN(10,EO$173)))*(1+V_dPrecio))</f>
        <v>0</v>
      </c>
      <c r="EP202" s="48">
        <f>IF(EP$8=1,IF(Reales!$C$38="PYG",IF(EP$10&gt;0,N(Reales!EP38)/EP$10,0),N(Reales!EP38)),EP$177*IF(AND(AND(141&gt;Corte,141&lt;=Corte+n_Ventana),ISNUMBER(Detalle_24m!EP$42)),Detalle_24m!EP$42,INDEX(Precio_V,1)*INDEX(IdxPrecio_V,1,MIN(10,EP$173)))*(1+V_dPrecio))</f>
        <v>0</v>
      </c>
      <c r="EQ202" s="48">
        <f>IF(EQ$8=1,IF(Reales!$C$38="PYG",IF(EQ$10&gt;0,N(Reales!EQ38)/EQ$10,0),N(Reales!EQ38)),EQ$177*IF(AND(AND(142&gt;Corte,142&lt;=Corte+n_Ventana),ISNUMBER(Detalle_24m!EQ$42)),Detalle_24m!EQ$42,INDEX(Precio_V,1)*INDEX(IdxPrecio_V,1,MIN(10,EQ$173)))*(1+V_dPrecio))</f>
        <v>0</v>
      </c>
      <c r="ER202" s="48">
        <f>IF(ER$8=1,IF(Reales!$C$38="PYG",IF(ER$10&gt;0,N(Reales!ER38)/ER$10,0),N(Reales!ER38)),ER$177*IF(AND(AND(143&gt;Corte,143&lt;=Corte+n_Ventana),ISNUMBER(Detalle_24m!ER$42)),Detalle_24m!ER$42,INDEX(Precio_V,1)*INDEX(IdxPrecio_V,1,MIN(10,ER$173)))*(1+V_dPrecio))</f>
        <v>0</v>
      </c>
      <c r="ES202" s="48">
        <f>IF(ES$8=1,IF(Reales!$C$38="PYG",IF(ES$10&gt;0,N(Reales!ES38)/ES$10,0),N(Reales!ES38)),ES$177*IF(AND(AND(144&gt;Corte,144&lt;=Corte+n_Ventana),ISNUMBER(Detalle_24m!ES$42)),Detalle_24m!ES$42,INDEX(Precio_V,1)*INDEX(IdxPrecio_V,1,MIN(10,ES$173)))*(1+V_dPrecio))</f>
        <v>0</v>
      </c>
    </row>
    <row r="203" spans="1:149" x14ac:dyDescent="0.3">
      <c r="A203" s="14" t="s">
        <v>1258</v>
      </c>
      <c r="B203" s="53" t="str">
        <f>IF(INDEX(Prod_Nombre,2)="","Producto 2",INDEX(Prod_Nombre,2))&amp;" — ventas USD"</f>
        <v>Cajas metálicas 13 kg — ventas USD</v>
      </c>
      <c r="C203" s="18" t="s">
        <v>439</v>
      </c>
      <c r="E203" s="54">
        <f t="shared" si="604"/>
        <v>26794183.613492403</v>
      </c>
      <c r="F203" s="48">
        <f>IF(F$8=1,IF(Reales!$C$39="PYG",IF(F$10&gt;0,N(Reales!F39)/F$10,0),N(Reales!F39)),F$178*IF(AND(AND(1&gt;Corte,1&lt;=Corte+n_Ventana),ISNUMBER(Detalle_24m!F$43)),Detalle_24m!F$43,INDEX(Precio_V,2)*INDEX(IdxPrecio_V,1,MIN(10,F$173)))*(1+V_dPrecio))</f>
        <v>134166.66666666666</v>
      </c>
      <c r="G203" s="48">
        <f>IF(G$8=1,IF(Reales!$C$39="PYG",IF(G$10&gt;0,N(Reales!G39)/G$10,0),N(Reales!G39)),G$178*IF(AND(AND(2&gt;Corte,2&lt;=Corte+n_Ventana),ISNUMBER(Detalle_24m!G$43)),Detalle_24m!G$43,INDEX(Precio_V,2)*INDEX(IdxPrecio_V,1,MIN(10,G$173)))*(1+V_dPrecio))</f>
        <v>134166.66666666666</v>
      </c>
      <c r="H203" s="48">
        <f>IF(H$8=1,IF(Reales!$C$39="PYG",IF(H$10&gt;0,N(Reales!H39)/H$10,0),N(Reales!H39)),H$178*IF(AND(AND(3&gt;Corte,3&lt;=Corte+n_Ventana),ISNUMBER(Detalle_24m!H$43)),Detalle_24m!H$43,INDEX(Precio_V,2)*INDEX(IdxPrecio_V,1,MIN(10,H$173)))*(1+V_dPrecio))</f>
        <v>134166.66666666666</v>
      </c>
      <c r="I203" s="48">
        <f>IF(I$8=1,IF(Reales!$C$39="PYG",IF(I$10&gt;0,N(Reales!I39)/I$10,0),N(Reales!I39)),I$178*IF(AND(AND(4&gt;Corte,4&lt;=Corte+n_Ventana),ISNUMBER(Detalle_24m!I$43)),Detalle_24m!I$43,INDEX(Precio_V,2)*INDEX(IdxPrecio_V,1,MIN(10,I$173)))*(1+V_dPrecio))</f>
        <v>134166.66666666666</v>
      </c>
      <c r="J203" s="48">
        <f>IF(J$8=1,IF(Reales!$C$39="PYG",IF(J$10&gt;0,N(Reales!J39)/J$10,0),N(Reales!J39)),J$178*IF(AND(AND(5&gt;Corte,5&lt;=Corte+n_Ventana),ISNUMBER(Detalle_24m!J$43)),Detalle_24m!J$43,INDEX(Precio_V,2)*INDEX(IdxPrecio_V,1,MIN(10,J$173)))*(1+V_dPrecio))</f>
        <v>134166.66666666666</v>
      </c>
      <c r="K203" s="48">
        <f>IF(K$8=1,IF(Reales!$C$39="PYG",IF(K$10&gt;0,N(Reales!K39)/K$10,0),N(Reales!K39)),K$178*IF(AND(AND(6&gt;Corte,6&lt;=Corte+n_Ventana),ISNUMBER(Detalle_24m!K$43)),Detalle_24m!K$43,INDEX(Precio_V,2)*INDEX(IdxPrecio_V,1,MIN(10,K$173)))*(1+V_dPrecio))</f>
        <v>134166.66666666666</v>
      </c>
      <c r="L203" s="48">
        <f>IF(L$8=1,IF(Reales!$C$39="PYG",IF(L$10&gt;0,N(Reales!L39)/L$10,0),N(Reales!L39)),L$178*IF(AND(AND(7&gt;Corte,7&lt;=Corte+n_Ventana),ISNUMBER(Detalle_24m!L$43)),Detalle_24m!L$43,INDEX(Precio_V,2)*INDEX(IdxPrecio_V,1,MIN(10,L$173)))*(1+V_dPrecio))</f>
        <v>134166.66666666666</v>
      </c>
      <c r="M203" s="48">
        <f>IF(M$8=1,IF(Reales!$C$39="PYG",IF(M$10&gt;0,N(Reales!M39)/M$10,0),N(Reales!M39)),M$178*IF(AND(AND(8&gt;Corte,8&lt;=Corte+n_Ventana),ISNUMBER(Detalle_24m!M$43)),Detalle_24m!M$43,INDEX(Precio_V,2)*INDEX(IdxPrecio_V,1,MIN(10,M$173)))*(1+V_dPrecio))</f>
        <v>134166.66666666666</v>
      </c>
      <c r="N203" s="48">
        <f>IF(N$8=1,IF(Reales!$C$39="PYG",IF(N$10&gt;0,N(Reales!N39)/N$10,0),N(Reales!N39)),N$178*IF(AND(AND(9&gt;Corte,9&lt;=Corte+n_Ventana),ISNUMBER(Detalle_24m!N$43)),Detalle_24m!N$43,INDEX(Precio_V,2)*INDEX(IdxPrecio_V,1,MIN(10,N$173)))*(1+V_dPrecio))</f>
        <v>134166.66666666666</v>
      </c>
      <c r="O203" s="48">
        <f>IF(O$8=1,IF(Reales!$C$39="PYG",IF(O$10&gt;0,N(Reales!O39)/O$10,0),N(Reales!O39)),O$178*IF(AND(AND(10&gt;Corte,10&lt;=Corte+n_Ventana),ISNUMBER(Detalle_24m!O$43)),Detalle_24m!O$43,INDEX(Precio_V,2)*INDEX(IdxPrecio_V,1,MIN(10,O$173)))*(1+V_dPrecio))</f>
        <v>134166.66666666666</v>
      </c>
      <c r="P203" s="48">
        <f>IF(P$8=1,IF(Reales!$C$39="PYG",IF(P$10&gt;0,N(Reales!P39)/P$10,0),N(Reales!P39)),P$178*IF(AND(AND(11&gt;Corte,11&lt;=Corte+n_Ventana),ISNUMBER(Detalle_24m!P$43)),Detalle_24m!P$43,INDEX(Precio_V,2)*INDEX(IdxPrecio_V,1,MIN(10,P$173)))*(1+V_dPrecio))</f>
        <v>134166.66666666666</v>
      </c>
      <c r="Q203" s="48">
        <f>IF(Q$8=1,IF(Reales!$C$39="PYG",IF(Q$10&gt;0,N(Reales!Q39)/Q$10,0),N(Reales!Q39)),Q$178*IF(AND(AND(12&gt;Corte,12&lt;=Corte+n_Ventana),ISNUMBER(Detalle_24m!Q$43)),Detalle_24m!Q$43,INDEX(Precio_V,2)*INDEX(IdxPrecio_V,1,MIN(10,Q$173)))*(1+V_dPrecio))</f>
        <v>134166.66666666666</v>
      </c>
      <c r="R203" s="48">
        <f>IF(R$8=1,IF(Reales!$C$39="PYG",IF(R$10&gt;0,N(Reales!R39)/R$10,0),N(Reales!R39)),R$178*IF(AND(AND(13&gt;Corte,13&lt;=Corte+n_Ventana),ISNUMBER(Detalle_24m!R$43)),Detalle_24m!R$43,INDEX(Precio_V,2)*INDEX(IdxPrecio_V,1,MIN(10,R$173)))*(1+V_dPrecio))</f>
        <v>174225</v>
      </c>
      <c r="S203" s="48">
        <f>IF(S$8=1,IF(Reales!$C$39="PYG",IF(S$10&gt;0,N(Reales!S39)/S$10,0),N(Reales!S39)),S$178*IF(AND(AND(14&gt;Corte,14&lt;=Corte+n_Ventana),ISNUMBER(Detalle_24m!S$43)),Detalle_24m!S$43,INDEX(Precio_V,2)*INDEX(IdxPrecio_V,1,MIN(10,S$173)))*(1+V_dPrecio))</f>
        <v>174225</v>
      </c>
      <c r="T203" s="48">
        <f>IF(T$8=1,IF(Reales!$C$39="PYG",IF(T$10&gt;0,N(Reales!T39)/T$10,0),N(Reales!T39)),T$178*IF(AND(AND(15&gt;Corte,15&lt;=Corte+n_Ventana),ISNUMBER(Detalle_24m!T$43)),Detalle_24m!T$43,INDEX(Precio_V,2)*INDEX(IdxPrecio_V,1,MIN(10,T$173)))*(1+V_dPrecio))</f>
        <v>174225</v>
      </c>
      <c r="U203" s="48">
        <f>IF(U$8=1,IF(Reales!$C$39="PYG",IF(U$10&gt;0,N(Reales!U39)/U$10,0),N(Reales!U39)),U$178*IF(AND(AND(16&gt;Corte,16&lt;=Corte+n_Ventana),ISNUMBER(Detalle_24m!U$43)),Detalle_24m!U$43,INDEX(Precio_V,2)*INDEX(IdxPrecio_V,1,MIN(10,U$173)))*(1+V_dPrecio))</f>
        <v>174225</v>
      </c>
      <c r="V203" s="48">
        <f>IF(V$8=1,IF(Reales!$C$39="PYG",IF(V$10&gt;0,N(Reales!V39)/V$10,0),N(Reales!V39)),V$178*IF(AND(AND(17&gt;Corte,17&lt;=Corte+n_Ventana),ISNUMBER(Detalle_24m!V$43)),Detalle_24m!V$43,INDEX(Precio_V,2)*INDEX(IdxPrecio_V,1,MIN(10,V$173)))*(1+V_dPrecio))</f>
        <v>174225</v>
      </c>
      <c r="W203" s="48">
        <f>IF(W$8=1,IF(Reales!$C$39="PYG",IF(W$10&gt;0,N(Reales!W39)/W$10,0),N(Reales!W39)),W$178*IF(AND(AND(18&gt;Corte,18&lt;=Corte+n_Ventana),ISNUMBER(Detalle_24m!W$43)),Detalle_24m!W$43,INDEX(Precio_V,2)*INDEX(IdxPrecio_V,1,MIN(10,W$173)))*(1+V_dPrecio))</f>
        <v>174225</v>
      </c>
      <c r="X203" s="48">
        <f>IF(X$8=1,IF(Reales!$C$39="PYG",IF(X$10&gt;0,N(Reales!X39)/X$10,0),N(Reales!X39)),X$178*IF(AND(AND(19&gt;Corte,19&lt;=Corte+n_Ventana),ISNUMBER(Detalle_24m!X$43)),Detalle_24m!X$43,INDEX(Precio_V,2)*INDEX(IdxPrecio_V,1,MIN(10,X$173)))*(1+V_dPrecio))</f>
        <v>174225</v>
      </c>
      <c r="Y203" s="48">
        <f>IF(Y$8=1,IF(Reales!$C$39="PYG",IF(Y$10&gt;0,N(Reales!Y39)/Y$10,0),N(Reales!Y39)),Y$178*IF(AND(AND(20&gt;Corte,20&lt;=Corte+n_Ventana),ISNUMBER(Detalle_24m!Y$43)),Detalle_24m!Y$43,INDEX(Precio_V,2)*INDEX(IdxPrecio_V,1,MIN(10,Y$173)))*(1+V_dPrecio))</f>
        <v>174225</v>
      </c>
      <c r="Z203" s="48">
        <f>IF(Z$8=1,IF(Reales!$C$39="PYG",IF(Z$10&gt;0,N(Reales!Z39)/Z$10,0),N(Reales!Z39)),Z$178*IF(AND(AND(21&gt;Corte,21&lt;=Corte+n_Ventana),ISNUMBER(Detalle_24m!Z$43)),Detalle_24m!Z$43,INDEX(Precio_V,2)*INDEX(IdxPrecio_V,1,MIN(10,Z$173)))*(1+V_dPrecio))</f>
        <v>174225</v>
      </c>
      <c r="AA203" s="48">
        <f>IF(AA$8=1,IF(Reales!$C$39="PYG",IF(AA$10&gt;0,N(Reales!AA39)/AA$10,0),N(Reales!AA39)),AA$178*IF(AND(AND(22&gt;Corte,22&lt;=Corte+n_Ventana),ISNUMBER(Detalle_24m!AA$43)),Detalle_24m!AA$43,INDEX(Precio_V,2)*INDEX(IdxPrecio_V,1,MIN(10,AA$173)))*(1+V_dPrecio))</f>
        <v>174225</v>
      </c>
      <c r="AB203" s="48">
        <f>IF(AB$8=1,IF(Reales!$C$39="PYG",IF(AB$10&gt;0,N(Reales!AB39)/AB$10,0),N(Reales!AB39)),AB$178*IF(AND(AND(23&gt;Corte,23&lt;=Corte+n_Ventana),ISNUMBER(Detalle_24m!AB$43)),Detalle_24m!AB$43,INDEX(Precio_V,2)*INDEX(IdxPrecio_V,1,MIN(10,AB$173)))*(1+V_dPrecio))</f>
        <v>174225</v>
      </c>
      <c r="AC203" s="48">
        <f>IF(AC$8=1,IF(Reales!$C$39="PYG",IF(AC$10&gt;0,N(Reales!AC39)/AC$10,0),N(Reales!AC39)),AC$178*IF(AND(AND(24&gt;Corte,24&lt;=Corte+n_Ventana),ISNUMBER(Detalle_24m!AC$43)),Detalle_24m!AC$43,INDEX(Precio_V,2)*INDEX(IdxPrecio_V,1,MIN(10,AC$173)))*(1+V_dPrecio))</f>
        <v>174225</v>
      </c>
      <c r="AD203" s="48">
        <f>IF(AD$8=1,IF(Reales!$C$39="PYG",IF(AD$10&gt;0,N(Reales!AD39)/AD$10,0),N(Reales!AD39)),AD$178*IF(AND(AND(25&gt;Corte,25&lt;=Corte+n_Ventana),ISNUMBER(Detalle_24m!AD$43)),Detalle_24m!AD$43,INDEX(Precio_V,2)*INDEX(IdxPrecio_V,1,MIN(10,AD$173)))*(1+V_dPrecio))</f>
        <v>215071.08333333331</v>
      </c>
      <c r="AE203" s="48">
        <f>IF(AE$8=1,IF(Reales!$C$39="PYG",IF(AE$10&gt;0,N(Reales!AE39)/AE$10,0),N(Reales!AE39)),AE$178*IF(AND(AND(26&gt;Corte,26&lt;=Corte+n_Ventana),ISNUMBER(Detalle_24m!AE$43)),Detalle_24m!AE$43,INDEX(Precio_V,2)*INDEX(IdxPrecio_V,1,MIN(10,AE$173)))*(1+V_dPrecio))</f>
        <v>215071.08333333331</v>
      </c>
      <c r="AF203" s="48">
        <f>IF(AF$8=1,IF(Reales!$C$39="PYG",IF(AF$10&gt;0,N(Reales!AF39)/AF$10,0),N(Reales!AF39)),AF$178*IF(AND(AND(27&gt;Corte,27&lt;=Corte+n_Ventana),ISNUMBER(Detalle_24m!AF$43)),Detalle_24m!AF$43,INDEX(Precio_V,2)*INDEX(IdxPrecio_V,1,MIN(10,AF$173)))*(1+V_dPrecio))</f>
        <v>215071.08333333331</v>
      </c>
      <c r="AG203" s="48">
        <f>IF(AG$8=1,IF(Reales!$C$39="PYG",IF(AG$10&gt;0,N(Reales!AG39)/AG$10,0),N(Reales!AG39)),AG$178*IF(AND(AND(28&gt;Corte,28&lt;=Corte+n_Ventana),ISNUMBER(Detalle_24m!AG$43)),Detalle_24m!AG$43,INDEX(Precio_V,2)*INDEX(IdxPrecio_V,1,MIN(10,AG$173)))*(1+V_dPrecio))</f>
        <v>215071.08333333331</v>
      </c>
      <c r="AH203" s="48">
        <f>IF(AH$8=1,IF(Reales!$C$39="PYG",IF(AH$10&gt;0,N(Reales!AH39)/AH$10,0),N(Reales!AH39)),AH$178*IF(AND(AND(29&gt;Corte,29&lt;=Corte+n_Ventana),ISNUMBER(Detalle_24m!AH$43)),Detalle_24m!AH$43,INDEX(Precio_V,2)*INDEX(IdxPrecio_V,1,MIN(10,AH$173)))*(1+V_dPrecio))</f>
        <v>215071.08333333331</v>
      </c>
      <c r="AI203" s="48">
        <f>IF(AI$8=1,IF(Reales!$C$39="PYG",IF(AI$10&gt;0,N(Reales!AI39)/AI$10,0),N(Reales!AI39)),AI$178*IF(AND(AND(30&gt;Corte,30&lt;=Corte+n_Ventana),ISNUMBER(Detalle_24m!AI$43)),Detalle_24m!AI$43,INDEX(Precio_V,2)*INDEX(IdxPrecio_V,1,MIN(10,AI$173)))*(1+V_dPrecio))</f>
        <v>215071.08333333331</v>
      </c>
      <c r="AJ203" s="48">
        <f>IF(AJ$8=1,IF(Reales!$C$39="PYG",IF(AJ$10&gt;0,N(Reales!AJ39)/AJ$10,0),N(Reales!AJ39)),AJ$178*IF(AND(AND(31&gt;Corte,31&lt;=Corte+n_Ventana),ISNUMBER(Detalle_24m!AJ$43)),Detalle_24m!AJ$43,INDEX(Precio_V,2)*INDEX(IdxPrecio_V,1,MIN(10,AJ$173)))*(1+V_dPrecio))</f>
        <v>215071.08333333331</v>
      </c>
      <c r="AK203" s="48">
        <f>IF(AK$8=1,IF(Reales!$C$39="PYG",IF(AK$10&gt;0,N(Reales!AK39)/AK$10,0),N(Reales!AK39)),AK$178*IF(AND(AND(32&gt;Corte,32&lt;=Corte+n_Ventana),ISNUMBER(Detalle_24m!AK$43)),Detalle_24m!AK$43,INDEX(Precio_V,2)*INDEX(IdxPrecio_V,1,MIN(10,AK$173)))*(1+V_dPrecio))</f>
        <v>215071.08333333331</v>
      </c>
      <c r="AL203" s="48">
        <f>IF(AL$8=1,IF(Reales!$C$39="PYG",IF(AL$10&gt;0,N(Reales!AL39)/AL$10,0),N(Reales!AL39)),AL$178*IF(AND(AND(33&gt;Corte,33&lt;=Corte+n_Ventana),ISNUMBER(Detalle_24m!AL$43)),Detalle_24m!AL$43,INDEX(Precio_V,2)*INDEX(IdxPrecio_V,1,MIN(10,AL$173)))*(1+V_dPrecio))</f>
        <v>215071.08333333331</v>
      </c>
      <c r="AM203" s="48">
        <f>IF(AM$8=1,IF(Reales!$C$39="PYG",IF(AM$10&gt;0,N(Reales!AM39)/AM$10,0),N(Reales!AM39)),AM$178*IF(AND(AND(34&gt;Corte,34&lt;=Corte+n_Ventana),ISNUMBER(Detalle_24m!AM$43)),Detalle_24m!AM$43,INDEX(Precio_V,2)*INDEX(IdxPrecio_V,1,MIN(10,AM$173)))*(1+V_dPrecio))</f>
        <v>215071.08333333331</v>
      </c>
      <c r="AN203" s="48">
        <f>IF(AN$8=1,IF(Reales!$C$39="PYG",IF(AN$10&gt;0,N(Reales!AN39)/AN$10,0),N(Reales!AN39)),AN$178*IF(AND(AND(35&gt;Corte,35&lt;=Corte+n_Ventana),ISNUMBER(Detalle_24m!AN$43)),Detalle_24m!AN$43,INDEX(Precio_V,2)*INDEX(IdxPrecio_V,1,MIN(10,AN$173)))*(1+V_dPrecio))</f>
        <v>215071.08333333331</v>
      </c>
      <c r="AO203" s="48">
        <f>IF(AO$8=1,IF(Reales!$C$39="PYG",IF(AO$10&gt;0,N(Reales!AO39)/AO$10,0),N(Reales!AO39)),AO$178*IF(AND(AND(36&gt;Corte,36&lt;=Corte+n_Ventana),ISNUMBER(Detalle_24m!AO$43)),Detalle_24m!AO$43,INDEX(Precio_V,2)*INDEX(IdxPrecio_V,1,MIN(10,AO$173)))*(1+V_dPrecio))</f>
        <v>215071.08333333331</v>
      </c>
      <c r="AP203" s="48">
        <f>IF(AP$8=1,IF(Reales!$C$39="PYG",IF(AP$10&gt;0,N(Reales!AP39)/AP$10,0),N(Reales!AP39)),AP$178*IF(AND(AND(37&gt;Corte,37&lt;=Corte+n_Ventana),ISNUMBER(Detalle_24m!AP$43)),Detalle_24m!AP$43,INDEX(Precio_V,2)*INDEX(IdxPrecio_V,1,MIN(10,AP$173)))*(1+V_dPrecio))</f>
        <v>236969.22999999998</v>
      </c>
      <c r="AQ203" s="48">
        <f>IF(AQ$8=1,IF(Reales!$C$39="PYG",IF(AQ$10&gt;0,N(Reales!AQ39)/AQ$10,0),N(Reales!AQ39)),AQ$178*IF(AND(AND(38&gt;Corte,38&lt;=Corte+n_Ventana),ISNUMBER(Detalle_24m!AQ$43)),Detalle_24m!AQ$43,INDEX(Precio_V,2)*INDEX(IdxPrecio_V,1,MIN(10,AQ$173)))*(1+V_dPrecio))</f>
        <v>236969.22999999998</v>
      </c>
      <c r="AR203" s="48">
        <f>IF(AR$8=1,IF(Reales!$C$39="PYG",IF(AR$10&gt;0,N(Reales!AR39)/AR$10,0),N(Reales!AR39)),AR$178*IF(AND(AND(39&gt;Corte,39&lt;=Corte+n_Ventana),ISNUMBER(Detalle_24m!AR$43)),Detalle_24m!AR$43,INDEX(Precio_V,2)*INDEX(IdxPrecio_V,1,MIN(10,AR$173)))*(1+V_dPrecio))</f>
        <v>236969.22999999998</v>
      </c>
      <c r="AS203" s="48">
        <f>IF(AS$8=1,IF(Reales!$C$39="PYG",IF(AS$10&gt;0,N(Reales!AS39)/AS$10,0),N(Reales!AS39)),AS$178*IF(AND(AND(40&gt;Corte,40&lt;=Corte+n_Ventana),ISNUMBER(Detalle_24m!AS$43)),Detalle_24m!AS$43,INDEX(Precio_V,2)*INDEX(IdxPrecio_V,1,MIN(10,AS$173)))*(1+V_dPrecio))</f>
        <v>236969.22999999998</v>
      </c>
      <c r="AT203" s="48">
        <f>IF(AT$8=1,IF(Reales!$C$39="PYG",IF(AT$10&gt;0,N(Reales!AT39)/AT$10,0),N(Reales!AT39)),AT$178*IF(AND(AND(41&gt;Corte,41&lt;=Corte+n_Ventana),ISNUMBER(Detalle_24m!AT$43)),Detalle_24m!AT$43,INDEX(Precio_V,2)*INDEX(IdxPrecio_V,1,MIN(10,AT$173)))*(1+V_dPrecio))</f>
        <v>236969.22999999998</v>
      </c>
      <c r="AU203" s="48">
        <f>IF(AU$8=1,IF(Reales!$C$39="PYG",IF(AU$10&gt;0,N(Reales!AU39)/AU$10,0),N(Reales!AU39)),AU$178*IF(AND(AND(42&gt;Corte,42&lt;=Corte+n_Ventana),ISNUMBER(Detalle_24m!AU$43)),Detalle_24m!AU$43,INDEX(Precio_V,2)*INDEX(IdxPrecio_V,1,MIN(10,AU$173)))*(1+V_dPrecio))</f>
        <v>236969.22999999998</v>
      </c>
      <c r="AV203" s="48">
        <f>IF(AV$8=1,IF(Reales!$C$39="PYG",IF(AV$10&gt;0,N(Reales!AV39)/AV$10,0),N(Reales!AV39)),AV$178*IF(AND(AND(43&gt;Corte,43&lt;=Corte+n_Ventana),ISNUMBER(Detalle_24m!AV$43)),Detalle_24m!AV$43,INDEX(Precio_V,2)*INDEX(IdxPrecio_V,1,MIN(10,AV$173)))*(1+V_dPrecio))</f>
        <v>236969.22999999998</v>
      </c>
      <c r="AW203" s="48">
        <f>IF(AW$8=1,IF(Reales!$C$39="PYG",IF(AW$10&gt;0,N(Reales!AW39)/AW$10,0),N(Reales!AW39)),AW$178*IF(AND(AND(44&gt;Corte,44&lt;=Corte+n_Ventana),ISNUMBER(Detalle_24m!AW$43)),Detalle_24m!AW$43,INDEX(Precio_V,2)*INDEX(IdxPrecio_V,1,MIN(10,AW$173)))*(1+V_dPrecio))</f>
        <v>236969.22999999998</v>
      </c>
      <c r="AX203" s="48">
        <f>IF(AX$8=1,IF(Reales!$C$39="PYG",IF(AX$10&gt;0,N(Reales!AX39)/AX$10,0),N(Reales!AX39)),AX$178*IF(AND(AND(45&gt;Corte,45&lt;=Corte+n_Ventana),ISNUMBER(Detalle_24m!AX$43)),Detalle_24m!AX$43,INDEX(Precio_V,2)*INDEX(IdxPrecio_V,1,MIN(10,AX$173)))*(1+V_dPrecio))</f>
        <v>236969.22999999998</v>
      </c>
      <c r="AY203" s="48">
        <f>IF(AY$8=1,IF(Reales!$C$39="PYG",IF(AY$10&gt;0,N(Reales!AY39)/AY$10,0),N(Reales!AY39)),AY$178*IF(AND(AND(46&gt;Corte,46&lt;=Corte+n_Ventana),ISNUMBER(Detalle_24m!AY$43)),Detalle_24m!AY$43,INDEX(Precio_V,2)*INDEX(IdxPrecio_V,1,MIN(10,AY$173)))*(1+V_dPrecio))</f>
        <v>236969.22999999998</v>
      </c>
      <c r="AZ203" s="48">
        <f>IF(AZ$8=1,IF(Reales!$C$39="PYG",IF(AZ$10&gt;0,N(Reales!AZ39)/AZ$10,0),N(Reales!AZ39)),AZ$178*IF(AND(AND(47&gt;Corte,47&lt;=Corte+n_Ventana),ISNUMBER(Detalle_24m!AZ$43)),Detalle_24m!AZ$43,INDEX(Precio_V,2)*INDEX(IdxPrecio_V,1,MIN(10,AZ$173)))*(1+V_dPrecio))</f>
        <v>236969.22999999998</v>
      </c>
      <c r="BA203" s="48">
        <f>IF(BA$8=1,IF(Reales!$C$39="PYG",IF(BA$10&gt;0,N(Reales!BA39)/BA$10,0),N(Reales!BA39)),BA$178*IF(AND(AND(48&gt;Corte,48&lt;=Corte+n_Ventana),ISNUMBER(Detalle_24m!BA$43)),Detalle_24m!BA$43,INDEX(Precio_V,2)*INDEX(IdxPrecio_V,1,MIN(10,BA$173)))*(1+V_dPrecio))</f>
        <v>236969.22999999998</v>
      </c>
      <c r="BB203" s="48">
        <f>IF(BB$8=1,IF(Reales!$C$39="PYG",IF(BB$10&gt;0,N(Reales!BB39)/BB$10,0),N(Reales!BB39)),BB$178*IF(AND(AND(49&gt;Corte,49&lt;=Corte+n_Ventana),ISNUMBER(Detalle_24m!BB$43)),Detalle_24m!BB$43,INDEX(Precio_V,2)*INDEX(IdxPrecio_V,1,MIN(10,BB$173)))*(1+V_dPrecio))</f>
        <v>239338.92230000001</v>
      </c>
      <c r="BC203" s="48">
        <f>IF(BC$8=1,IF(Reales!$C$39="PYG",IF(BC$10&gt;0,N(Reales!BC39)/BC$10,0),N(Reales!BC39)),BC$178*IF(AND(AND(50&gt;Corte,50&lt;=Corte+n_Ventana),ISNUMBER(Detalle_24m!BC$43)),Detalle_24m!BC$43,INDEX(Precio_V,2)*INDEX(IdxPrecio_V,1,MIN(10,BC$173)))*(1+V_dPrecio))</f>
        <v>239338.92230000001</v>
      </c>
      <c r="BD203" s="48">
        <f>IF(BD$8=1,IF(Reales!$C$39="PYG",IF(BD$10&gt;0,N(Reales!BD39)/BD$10,0),N(Reales!BD39)),BD$178*IF(AND(AND(51&gt;Corte,51&lt;=Corte+n_Ventana),ISNUMBER(Detalle_24m!BD$43)),Detalle_24m!BD$43,INDEX(Precio_V,2)*INDEX(IdxPrecio_V,1,MIN(10,BD$173)))*(1+V_dPrecio))</f>
        <v>239338.92230000001</v>
      </c>
      <c r="BE203" s="48">
        <f>IF(BE$8=1,IF(Reales!$C$39="PYG",IF(BE$10&gt;0,N(Reales!BE39)/BE$10,0),N(Reales!BE39)),BE$178*IF(AND(AND(52&gt;Corte,52&lt;=Corte+n_Ventana),ISNUMBER(Detalle_24m!BE$43)),Detalle_24m!BE$43,INDEX(Precio_V,2)*INDEX(IdxPrecio_V,1,MIN(10,BE$173)))*(1+V_dPrecio))</f>
        <v>239338.92230000001</v>
      </c>
      <c r="BF203" s="48">
        <f>IF(BF$8=1,IF(Reales!$C$39="PYG",IF(BF$10&gt;0,N(Reales!BF39)/BF$10,0),N(Reales!BF39)),BF$178*IF(AND(AND(53&gt;Corte,53&lt;=Corte+n_Ventana),ISNUMBER(Detalle_24m!BF$43)),Detalle_24m!BF$43,INDEX(Precio_V,2)*INDEX(IdxPrecio_V,1,MIN(10,BF$173)))*(1+V_dPrecio))</f>
        <v>239338.92230000001</v>
      </c>
      <c r="BG203" s="48">
        <f>IF(BG$8=1,IF(Reales!$C$39="PYG",IF(BG$10&gt;0,N(Reales!BG39)/BG$10,0),N(Reales!BG39)),BG$178*IF(AND(AND(54&gt;Corte,54&lt;=Corte+n_Ventana),ISNUMBER(Detalle_24m!BG$43)),Detalle_24m!BG$43,INDEX(Precio_V,2)*INDEX(IdxPrecio_V,1,MIN(10,BG$173)))*(1+V_dPrecio))</f>
        <v>239338.92230000001</v>
      </c>
      <c r="BH203" s="48">
        <f>IF(BH$8=1,IF(Reales!$C$39="PYG",IF(BH$10&gt;0,N(Reales!BH39)/BH$10,0),N(Reales!BH39)),BH$178*IF(AND(AND(55&gt;Corte,55&lt;=Corte+n_Ventana),ISNUMBER(Detalle_24m!BH$43)),Detalle_24m!BH$43,INDEX(Precio_V,2)*INDEX(IdxPrecio_V,1,MIN(10,BH$173)))*(1+V_dPrecio))</f>
        <v>239338.92230000001</v>
      </c>
      <c r="BI203" s="48">
        <f>IF(BI$8=1,IF(Reales!$C$39="PYG",IF(BI$10&gt;0,N(Reales!BI39)/BI$10,0),N(Reales!BI39)),BI$178*IF(AND(AND(56&gt;Corte,56&lt;=Corte+n_Ventana),ISNUMBER(Detalle_24m!BI$43)),Detalle_24m!BI$43,INDEX(Precio_V,2)*INDEX(IdxPrecio_V,1,MIN(10,BI$173)))*(1+V_dPrecio))</f>
        <v>239338.92230000001</v>
      </c>
      <c r="BJ203" s="48">
        <f>IF(BJ$8=1,IF(Reales!$C$39="PYG",IF(BJ$10&gt;0,N(Reales!BJ39)/BJ$10,0),N(Reales!BJ39)),BJ$178*IF(AND(AND(57&gt;Corte,57&lt;=Corte+n_Ventana),ISNUMBER(Detalle_24m!BJ$43)),Detalle_24m!BJ$43,INDEX(Precio_V,2)*INDEX(IdxPrecio_V,1,MIN(10,BJ$173)))*(1+V_dPrecio))</f>
        <v>239338.92230000001</v>
      </c>
      <c r="BK203" s="48">
        <f>IF(BK$8=1,IF(Reales!$C$39="PYG",IF(BK$10&gt;0,N(Reales!BK39)/BK$10,0),N(Reales!BK39)),BK$178*IF(AND(AND(58&gt;Corte,58&lt;=Corte+n_Ventana),ISNUMBER(Detalle_24m!BK$43)),Detalle_24m!BK$43,INDEX(Precio_V,2)*INDEX(IdxPrecio_V,1,MIN(10,BK$173)))*(1+V_dPrecio))</f>
        <v>239338.92230000001</v>
      </c>
      <c r="BL203" s="48">
        <f>IF(BL$8=1,IF(Reales!$C$39="PYG",IF(BL$10&gt;0,N(Reales!BL39)/BL$10,0),N(Reales!BL39)),BL$178*IF(AND(AND(59&gt;Corte,59&lt;=Corte+n_Ventana),ISNUMBER(Detalle_24m!BL$43)),Detalle_24m!BL$43,INDEX(Precio_V,2)*INDEX(IdxPrecio_V,1,MIN(10,BL$173)))*(1+V_dPrecio))</f>
        <v>239338.92230000001</v>
      </c>
      <c r="BM203" s="48">
        <f>IF(BM$8=1,IF(Reales!$C$39="PYG",IF(BM$10&gt;0,N(Reales!BM39)/BM$10,0),N(Reales!BM39)),BM$178*IF(AND(AND(60&gt;Corte,60&lt;=Corte+n_Ventana),ISNUMBER(Detalle_24m!BM$43)),Detalle_24m!BM$43,INDEX(Precio_V,2)*INDEX(IdxPrecio_V,1,MIN(10,BM$173)))*(1+V_dPrecio))</f>
        <v>239338.92230000001</v>
      </c>
      <c r="BN203" s="48">
        <f>IF(BN$8=1,IF(Reales!$C$39="PYG",IF(BN$10&gt;0,N(Reales!BN39)/BN$10,0),N(Reales!BN39)),BN$178*IF(AND(AND(61&gt;Corte,61&lt;=Corte+n_Ventana),ISNUMBER(Detalle_24m!BN$43)),Detalle_24m!BN$43,INDEX(Precio_V,2)*INDEX(IdxPrecio_V,1,MIN(10,BN$173)))*(1+V_dPrecio))</f>
        <v>241732.31152299998</v>
      </c>
      <c r="BO203" s="48">
        <f>IF(BO$8=1,IF(Reales!$C$39="PYG",IF(BO$10&gt;0,N(Reales!BO39)/BO$10,0),N(Reales!BO39)),BO$178*IF(AND(AND(62&gt;Corte,62&lt;=Corte+n_Ventana),ISNUMBER(Detalle_24m!BO$43)),Detalle_24m!BO$43,INDEX(Precio_V,2)*INDEX(IdxPrecio_V,1,MIN(10,BO$173)))*(1+V_dPrecio))</f>
        <v>241732.31152299998</v>
      </c>
      <c r="BP203" s="48">
        <f>IF(BP$8=1,IF(Reales!$C$39="PYG",IF(BP$10&gt;0,N(Reales!BP39)/BP$10,0),N(Reales!BP39)),BP$178*IF(AND(AND(63&gt;Corte,63&lt;=Corte+n_Ventana),ISNUMBER(Detalle_24m!BP$43)),Detalle_24m!BP$43,INDEX(Precio_V,2)*INDEX(IdxPrecio_V,1,MIN(10,BP$173)))*(1+V_dPrecio))</f>
        <v>241732.31152299998</v>
      </c>
      <c r="BQ203" s="48">
        <f>IF(BQ$8=1,IF(Reales!$C$39="PYG",IF(BQ$10&gt;0,N(Reales!BQ39)/BQ$10,0),N(Reales!BQ39)),BQ$178*IF(AND(AND(64&gt;Corte,64&lt;=Corte+n_Ventana),ISNUMBER(Detalle_24m!BQ$43)),Detalle_24m!BQ$43,INDEX(Precio_V,2)*INDEX(IdxPrecio_V,1,MIN(10,BQ$173)))*(1+V_dPrecio))</f>
        <v>241732.31152299998</v>
      </c>
      <c r="BR203" s="48">
        <f>IF(BR$8=1,IF(Reales!$C$39="PYG",IF(BR$10&gt;0,N(Reales!BR39)/BR$10,0),N(Reales!BR39)),BR$178*IF(AND(AND(65&gt;Corte,65&lt;=Corte+n_Ventana),ISNUMBER(Detalle_24m!BR$43)),Detalle_24m!BR$43,INDEX(Precio_V,2)*INDEX(IdxPrecio_V,1,MIN(10,BR$173)))*(1+V_dPrecio))</f>
        <v>241732.31152299998</v>
      </c>
      <c r="BS203" s="48">
        <f>IF(BS$8=1,IF(Reales!$C$39="PYG",IF(BS$10&gt;0,N(Reales!BS39)/BS$10,0),N(Reales!BS39)),BS$178*IF(AND(AND(66&gt;Corte,66&lt;=Corte+n_Ventana),ISNUMBER(Detalle_24m!BS$43)),Detalle_24m!BS$43,INDEX(Precio_V,2)*INDEX(IdxPrecio_V,1,MIN(10,BS$173)))*(1+V_dPrecio))</f>
        <v>241732.31152299998</v>
      </c>
      <c r="BT203" s="48">
        <f>IF(BT$8=1,IF(Reales!$C$39="PYG",IF(BT$10&gt;0,N(Reales!BT39)/BT$10,0),N(Reales!BT39)),BT$178*IF(AND(AND(67&gt;Corte,67&lt;=Corte+n_Ventana),ISNUMBER(Detalle_24m!BT$43)),Detalle_24m!BT$43,INDEX(Precio_V,2)*INDEX(IdxPrecio_V,1,MIN(10,BT$173)))*(1+V_dPrecio))</f>
        <v>241732.31152299998</v>
      </c>
      <c r="BU203" s="48">
        <f>IF(BU$8=1,IF(Reales!$C$39="PYG",IF(BU$10&gt;0,N(Reales!BU39)/BU$10,0),N(Reales!BU39)),BU$178*IF(AND(AND(68&gt;Corte,68&lt;=Corte+n_Ventana),ISNUMBER(Detalle_24m!BU$43)),Detalle_24m!BU$43,INDEX(Precio_V,2)*INDEX(IdxPrecio_V,1,MIN(10,BU$173)))*(1+V_dPrecio))</f>
        <v>241732.31152299998</v>
      </c>
      <c r="BV203" s="48">
        <f>IF(BV$8=1,IF(Reales!$C$39="PYG",IF(BV$10&gt;0,N(Reales!BV39)/BV$10,0),N(Reales!BV39)),BV$178*IF(AND(AND(69&gt;Corte,69&lt;=Corte+n_Ventana),ISNUMBER(Detalle_24m!BV$43)),Detalle_24m!BV$43,INDEX(Precio_V,2)*INDEX(IdxPrecio_V,1,MIN(10,BV$173)))*(1+V_dPrecio))</f>
        <v>241732.31152299998</v>
      </c>
      <c r="BW203" s="48">
        <f>IF(BW$8=1,IF(Reales!$C$39="PYG",IF(BW$10&gt;0,N(Reales!BW39)/BW$10,0),N(Reales!BW39)),BW$178*IF(AND(AND(70&gt;Corte,70&lt;=Corte+n_Ventana),ISNUMBER(Detalle_24m!BW$43)),Detalle_24m!BW$43,INDEX(Precio_V,2)*INDEX(IdxPrecio_V,1,MIN(10,BW$173)))*(1+V_dPrecio))</f>
        <v>241732.31152299998</v>
      </c>
      <c r="BX203" s="48">
        <f>IF(BX$8=1,IF(Reales!$C$39="PYG",IF(BX$10&gt;0,N(Reales!BX39)/BX$10,0),N(Reales!BX39)),BX$178*IF(AND(AND(71&gt;Corte,71&lt;=Corte+n_Ventana),ISNUMBER(Detalle_24m!BX$43)),Detalle_24m!BX$43,INDEX(Precio_V,2)*INDEX(IdxPrecio_V,1,MIN(10,BX$173)))*(1+V_dPrecio))</f>
        <v>241732.31152299998</v>
      </c>
      <c r="BY203" s="48">
        <f>IF(BY$8=1,IF(Reales!$C$39="PYG",IF(BY$10&gt;0,N(Reales!BY39)/BY$10,0),N(Reales!BY39)),BY$178*IF(AND(AND(72&gt;Corte,72&lt;=Corte+n_Ventana),ISNUMBER(Detalle_24m!BY$43)),Detalle_24m!BY$43,INDEX(Precio_V,2)*INDEX(IdxPrecio_V,1,MIN(10,BY$173)))*(1+V_dPrecio))</f>
        <v>241732.31152299998</v>
      </c>
      <c r="BZ203" s="48">
        <f>IF(BZ$8=1,IF(Reales!$C$39="PYG",IF(BZ$10&gt;0,N(Reales!BZ39)/BZ$10,0),N(Reales!BZ39)),BZ$178*IF(AND(AND(73&gt;Corte,73&lt;=Corte+n_Ventana),ISNUMBER(Detalle_24m!BZ$43)),Detalle_24m!BZ$43,INDEX(Precio_V,2)*INDEX(IdxPrecio_V,1,MIN(10,BZ$173)))*(1+V_dPrecio))</f>
        <v>244149.63463823</v>
      </c>
      <c r="CA203" s="48">
        <f>IF(CA$8=1,IF(Reales!$C$39="PYG",IF(CA$10&gt;0,N(Reales!CA39)/CA$10,0),N(Reales!CA39)),CA$178*IF(AND(AND(74&gt;Corte,74&lt;=Corte+n_Ventana),ISNUMBER(Detalle_24m!CA$43)),Detalle_24m!CA$43,INDEX(Precio_V,2)*INDEX(IdxPrecio_V,1,MIN(10,CA$173)))*(1+V_dPrecio))</f>
        <v>244149.63463823</v>
      </c>
      <c r="CB203" s="48">
        <f>IF(CB$8=1,IF(Reales!$C$39="PYG",IF(CB$10&gt;0,N(Reales!CB39)/CB$10,0),N(Reales!CB39)),CB$178*IF(AND(AND(75&gt;Corte,75&lt;=Corte+n_Ventana),ISNUMBER(Detalle_24m!CB$43)),Detalle_24m!CB$43,INDEX(Precio_V,2)*INDEX(IdxPrecio_V,1,MIN(10,CB$173)))*(1+V_dPrecio))</f>
        <v>244149.63463823</v>
      </c>
      <c r="CC203" s="48">
        <f>IF(CC$8=1,IF(Reales!$C$39="PYG",IF(CC$10&gt;0,N(Reales!CC39)/CC$10,0),N(Reales!CC39)),CC$178*IF(AND(AND(76&gt;Corte,76&lt;=Corte+n_Ventana),ISNUMBER(Detalle_24m!CC$43)),Detalle_24m!CC$43,INDEX(Precio_V,2)*INDEX(IdxPrecio_V,1,MIN(10,CC$173)))*(1+V_dPrecio))</f>
        <v>244149.63463823</v>
      </c>
      <c r="CD203" s="48">
        <f>IF(CD$8=1,IF(Reales!$C$39="PYG",IF(CD$10&gt;0,N(Reales!CD39)/CD$10,0),N(Reales!CD39)),CD$178*IF(AND(AND(77&gt;Corte,77&lt;=Corte+n_Ventana),ISNUMBER(Detalle_24m!CD$43)),Detalle_24m!CD$43,INDEX(Precio_V,2)*INDEX(IdxPrecio_V,1,MIN(10,CD$173)))*(1+V_dPrecio))</f>
        <v>244149.63463823</v>
      </c>
      <c r="CE203" s="48">
        <f>IF(CE$8=1,IF(Reales!$C$39="PYG",IF(CE$10&gt;0,N(Reales!CE39)/CE$10,0),N(Reales!CE39)),CE$178*IF(AND(AND(78&gt;Corte,78&lt;=Corte+n_Ventana),ISNUMBER(Detalle_24m!CE$43)),Detalle_24m!CE$43,INDEX(Precio_V,2)*INDEX(IdxPrecio_V,1,MIN(10,CE$173)))*(1+V_dPrecio))</f>
        <v>244149.63463823</v>
      </c>
      <c r="CF203" s="48">
        <f>IF(CF$8=1,IF(Reales!$C$39="PYG",IF(CF$10&gt;0,N(Reales!CF39)/CF$10,0),N(Reales!CF39)),CF$178*IF(AND(AND(79&gt;Corte,79&lt;=Corte+n_Ventana),ISNUMBER(Detalle_24m!CF$43)),Detalle_24m!CF$43,INDEX(Precio_V,2)*INDEX(IdxPrecio_V,1,MIN(10,CF$173)))*(1+V_dPrecio))</f>
        <v>244149.63463823</v>
      </c>
      <c r="CG203" s="48">
        <f>IF(CG$8=1,IF(Reales!$C$39="PYG",IF(CG$10&gt;0,N(Reales!CG39)/CG$10,0),N(Reales!CG39)),CG$178*IF(AND(AND(80&gt;Corte,80&lt;=Corte+n_Ventana),ISNUMBER(Detalle_24m!CG$43)),Detalle_24m!CG$43,INDEX(Precio_V,2)*INDEX(IdxPrecio_V,1,MIN(10,CG$173)))*(1+V_dPrecio))</f>
        <v>244149.63463823</v>
      </c>
      <c r="CH203" s="48">
        <f>IF(CH$8=1,IF(Reales!$C$39="PYG",IF(CH$10&gt;0,N(Reales!CH39)/CH$10,0),N(Reales!CH39)),CH$178*IF(AND(AND(81&gt;Corte,81&lt;=Corte+n_Ventana),ISNUMBER(Detalle_24m!CH$43)),Detalle_24m!CH$43,INDEX(Precio_V,2)*INDEX(IdxPrecio_V,1,MIN(10,CH$173)))*(1+V_dPrecio))</f>
        <v>244149.63463823</v>
      </c>
      <c r="CI203" s="48">
        <f>IF(CI$8=1,IF(Reales!$C$39="PYG",IF(CI$10&gt;0,N(Reales!CI39)/CI$10,0),N(Reales!CI39)),CI$178*IF(AND(AND(82&gt;Corte,82&lt;=Corte+n_Ventana),ISNUMBER(Detalle_24m!CI$43)),Detalle_24m!CI$43,INDEX(Precio_V,2)*INDEX(IdxPrecio_V,1,MIN(10,CI$173)))*(1+V_dPrecio))</f>
        <v>244149.63463823</v>
      </c>
      <c r="CJ203" s="48">
        <f>IF(CJ$8=1,IF(Reales!$C$39="PYG",IF(CJ$10&gt;0,N(Reales!CJ39)/CJ$10,0),N(Reales!CJ39)),CJ$178*IF(AND(AND(83&gt;Corte,83&lt;=Corte+n_Ventana),ISNUMBER(Detalle_24m!CJ$43)),Detalle_24m!CJ$43,INDEX(Precio_V,2)*INDEX(IdxPrecio_V,1,MIN(10,CJ$173)))*(1+V_dPrecio))</f>
        <v>244149.63463823</v>
      </c>
      <c r="CK203" s="48">
        <f>IF(CK$8=1,IF(Reales!$C$39="PYG",IF(CK$10&gt;0,N(Reales!CK39)/CK$10,0),N(Reales!CK39)),CK$178*IF(AND(AND(84&gt;Corte,84&lt;=Corte+n_Ventana),ISNUMBER(Detalle_24m!CK$43)),Detalle_24m!CK$43,INDEX(Precio_V,2)*INDEX(IdxPrecio_V,1,MIN(10,CK$173)))*(1+V_dPrecio))</f>
        <v>244149.63463823</v>
      </c>
      <c r="CL203" s="48">
        <f>IF(CL$8=1,IF(Reales!$C$39="PYG",IF(CL$10&gt;0,N(Reales!CL39)/CL$10,0),N(Reales!CL39)),CL$178*IF(AND(AND(85&gt;Corte,85&lt;=Corte+n_Ventana),ISNUMBER(Detalle_24m!CL$43)),Detalle_24m!CL$43,INDEX(Precio_V,2)*INDEX(IdxPrecio_V,1,MIN(10,CL$173)))*(1+V_dPrecio))</f>
        <v>246591.13098461227</v>
      </c>
      <c r="CM203" s="48">
        <f>IF(CM$8=1,IF(Reales!$C$39="PYG",IF(CM$10&gt;0,N(Reales!CM39)/CM$10,0),N(Reales!CM39)),CM$178*IF(AND(AND(86&gt;Corte,86&lt;=Corte+n_Ventana),ISNUMBER(Detalle_24m!CM$43)),Detalle_24m!CM$43,INDEX(Precio_V,2)*INDEX(IdxPrecio_V,1,MIN(10,CM$173)))*(1+V_dPrecio))</f>
        <v>246591.13098461227</v>
      </c>
      <c r="CN203" s="48">
        <f>IF(CN$8=1,IF(Reales!$C$39="PYG",IF(CN$10&gt;0,N(Reales!CN39)/CN$10,0),N(Reales!CN39)),CN$178*IF(AND(AND(87&gt;Corte,87&lt;=Corte+n_Ventana),ISNUMBER(Detalle_24m!CN$43)),Detalle_24m!CN$43,INDEX(Precio_V,2)*INDEX(IdxPrecio_V,1,MIN(10,CN$173)))*(1+V_dPrecio))</f>
        <v>246591.13098461227</v>
      </c>
      <c r="CO203" s="48">
        <f>IF(CO$8=1,IF(Reales!$C$39="PYG",IF(CO$10&gt;0,N(Reales!CO39)/CO$10,0),N(Reales!CO39)),CO$178*IF(AND(AND(88&gt;Corte,88&lt;=Corte+n_Ventana),ISNUMBER(Detalle_24m!CO$43)),Detalle_24m!CO$43,INDEX(Precio_V,2)*INDEX(IdxPrecio_V,1,MIN(10,CO$173)))*(1+V_dPrecio))</f>
        <v>246591.13098461227</v>
      </c>
      <c r="CP203" s="48">
        <f>IF(CP$8=1,IF(Reales!$C$39="PYG",IF(CP$10&gt;0,N(Reales!CP39)/CP$10,0),N(Reales!CP39)),CP$178*IF(AND(AND(89&gt;Corte,89&lt;=Corte+n_Ventana),ISNUMBER(Detalle_24m!CP$43)),Detalle_24m!CP$43,INDEX(Precio_V,2)*INDEX(IdxPrecio_V,1,MIN(10,CP$173)))*(1+V_dPrecio))</f>
        <v>246591.13098461227</v>
      </c>
      <c r="CQ203" s="48">
        <f>IF(CQ$8=1,IF(Reales!$C$39="PYG",IF(CQ$10&gt;0,N(Reales!CQ39)/CQ$10,0),N(Reales!CQ39)),CQ$178*IF(AND(AND(90&gt;Corte,90&lt;=Corte+n_Ventana),ISNUMBER(Detalle_24m!CQ$43)),Detalle_24m!CQ$43,INDEX(Precio_V,2)*INDEX(IdxPrecio_V,1,MIN(10,CQ$173)))*(1+V_dPrecio))</f>
        <v>246591.13098461227</v>
      </c>
      <c r="CR203" s="48">
        <f>IF(CR$8=1,IF(Reales!$C$39="PYG",IF(CR$10&gt;0,N(Reales!CR39)/CR$10,0),N(Reales!CR39)),CR$178*IF(AND(AND(91&gt;Corte,91&lt;=Corte+n_Ventana),ISNUMBER(Detalle_24m!CR$43)),Detalle_24m!CR$43,INDEX(Precio_V,2)*INDEX(IdxPrecio_V,1,MIN(10,CR$173)))*(1+V_dPrecio))</f>
        <v>246591.13098461227</v>
      </c>
      <c r="CS203" s="48">
        <f>IF(CS$8=1,IF(Reales!$C$39="PYG",IF(CS$10&gt;0,N(Reales!CS39)/CS$10,0),N(Reales!CS39)),CS$178*IF(AND(AND(92&gt;Corte,92&lt;=Corte+n_Ventana),ISNUMBER(Detalle_24m!CS$43)),Detalle_24m!CS$43,INDEX(Precio_V,2)*INDEX(IdxPrecio_V,1,MIN(10,CS$173)))*(1+V_dPrecio))</f>
        <v>246591.13098461227</v>
      </c>
      <c r="CT203" s="48">
        <f>IF(CT$8=1,IF(Reales!$C$39="PYG",IF(CT$10&gt;0,N(Reales!CT39)/CT$10,0),N(Reales!CT39)),CT$178*IF(AND(AND(93&gt;Corte,93&lt;=Corte+n_Ventana),ISNUMBER(Detalle_24m!CT$43)),Detalle_24m!CT$43,INDEX(Precio_V,2)*INDEX(IdxPrecio_V,1,MIN(10,CT$173)))*(1+V_dPrecio))</f>
        <v>246591.13098461227</v>
      </c>
      <c r="CU203" s="48">
        <f>IF(CU$8=1,IF(Reales!$C$39="PYG",IF(CU$10&gt;0,N(Reales!CU39)/CU$10,0),N(Reales!CU39)),CU$178*IF(AND(AND(94&gt;Corte,94&lt;=Corte+n_Ventana),ISNUMBER(Detalle_24m!CU$43)),Detalle_24m!CU$43,INDEX(Precio_V,2)*INDEX(IdxPrecio_V,1,MIN(10,CU$173)))*(1+V_dPrecio))</f>
        <v>246591.13098461227</v>
      </c>
      <c r="CV203" s="48">
        <f>IF(CV$8=1,IF(Reales!$C$39="PYG",IF(CV$10&gt;0,N(Reales!CV39)/CV$10,0),N(Reales!CV39)),CV$178*IF(AND(AND(95&gt;Corte,95&lt;=Corte+n_Ventana),ISNUMBER(Detalle_24m!CV$43)),Detalle_24m!CV$43,INDEX(Precio_V,2)*INDEX(IdxPrecio_V,1,MIN(10,CV$173)))*(1+V_dPrecio))</f>
        <v>246591.13098461227</v>
      </c>
      <c r="CW203" s="48">
        <f>IF(CW$8=1,IF(Reales!$C$39="PYG",IF(CW$10&gt;0,N(Reales!CW39)/CW$10,0),N(Reales!CW39)),CW$178*IF(AND(AND(96&gt;Corte,96&lt;=Corte+n_Ventana),ISNUMBER(Detalle_24m!CW$43)),Detalle_24m!CW$43,INDEX(Precio_V,2)*INDEX(IdxPrecio_V,1,MIN(10,CW$173)))*(1+V_dPrecio))</f>
        <v>246591.13098461227</v>
      </c>
      <c r="CX203" s="48">
        <f>IF(CX$8=1,IF(Reales!$C$39="PYG",IF(CX$10&gt;0,N(Reales!CX39)/CX$10,0),N(Reales!CX39)),CX$178*IF(AND(AND(97&gt;Corte,97&lt;=Corte+n_Ventana),ISNUMBER(Detalle_24m!CX$43)),Detalle_24m!CX$43,INDEX(Precio_V,2)*INDEX(IdxPrecio_V,1,MIN(10,CX$173)))*(1+V_dPrecio))</f>
        <v>249057.04229445837</v>
      </c>
      <c r="CY203" s="48">
        <f>IF(CY$8=1,IF(Reales!$C$39="PYG",IF(CY$10&gt;0,N(Reales!CY39)/CY$10,0),N(Reales!CY39)),CY$178*IF(AND(AND(98&gt;Corte,98&lt;=Corte+n_Ventana),ISNUMBER(Detalle_24m!CY$43)),Detalle_24m!CY$43,INDEX(Precio_V,2)*INDEX(IdxPrecio_V,1,MIN(10,CY$173)))*(1+V_dPrecio))</f>
        <v>249057.04229445837</v>
      </c>
      <c r="CZ203" s="48">
        <f>IF(CZ$8=1,IF(Reales!$C$39="PYG",IF(CZ$10&gt;0,N(Reales!CZ39)/CZ$10,0),N(Reales!CZ39)),CZ$178*IF(AND(AND(99&gt;Corte,99&lt;=Corte+n_Ventana),ISNUMBER(Detalle_24m!CZ$43)),Detalle_24m!CZ$43,INDEX(Precio_V,2)*INDEX(IdxPrecio_V,1,MIN(10,CZ$173)))*(1+V_dPrecio))</f>
        <v>249057.04229445837</v>
      </c>
      <c r="DA203" s="48">
        <f>IF(DA$8=1,IF(Reales!$C$39="PYG",IF(DA$10&gt;0,N(Reales!DA39)/DA$10,0),N(Reales!DA39)),DA$178*IF(AND(AND(100&gt;Corte,100&lt;=Corte+n_Ventana),ISNUMBER(Detalle_24m!DA$43)),Detalle_24m!DA$43,INDEX(Precio_V,2)*INDEX(IdxPrecio_V,1,MIN(10,DA$173)))*(1+V_dPrecio))</f>
        <v>249057.04229445837</v>
      </c>
      <c r="DB203" s="48">
        <f>IF(DB$8=1,IF(Reales!$C$39="PYG",IF(DB$10&gt;0,N(Reales!DB39)/DB$10,0),N(Reales!DB39)),DB$178*IF(AND(AND(101&gt;Corte,101&lt;=Corte+n_Ventana),ISNUMBER(Detalle_24m!DB$43)),Detalle_24m!DB$43,INDEX(Precio_V,2)*INDEX(IdxPrecio_V,1,MIN(10,DB$173)))*(1+V_dPrecio))</f>
        <v>249057.04229445837</v>
      </c>
      <c r="DC203" s="48">
        <f>IF(DC$8=1,IF(Reales!$C$39="PYG",IF(DC$10&gt;0,N(Reales!DC39)/DC$10,0),N(Reales!DC39)),DC$178*IF(AND(AND(102&gt;Corte,102&lt;=Corte+n_Ventana),ISNUMBER(Detalle_24m!DC$43)),Detalle_24m!DC$43,INDEX(Precio_V,2)*INDEX(IdxPrecio_V,1,MIN(10,DC$173)))*(1+V_dPrecio))</f>
        <v>249057.04229445837</v>
      </c>
      <c r="DD203" s="48">
        <f>IF(DD$8=1,IF(Reales!$C$39="PYG",IF(DD$10&gt;0,N(Reales!DD39)/DD$10,0),N(Reales!DD39)),DD$178*IF(AND(AND(103&gt;Corte,103&lt;=Corte+n_Ventana),ISNUMBER(Detalle_24m!DD$43)),Detalle_24m!DD$43,INDEX(Precio_V,2)*INDEX(IdxPrecio_V,1,MIN(10,DD$173)))*(1+V_dPrecio))</f>
        <v>249057.04229445837</v>
      </c>
      <c r="DE203" s="48">
        <f>IF(DE$8=1,IF(Reales!$C$39="PYG",IF(DE$10&gt;0,N(Reales!DE39)/DE$10,0),N(Reales!DE39)),DE$178*IF(AND(AND(104&gt;Corte,104&lt;=Corte+n_Ventana),ISNUMBER(Detalle_24m!DE$43)),Detalle_24m!DE$43,INDEX(Precio_V,2)*INDEX(IdxPrecio_V,1,MIN(10,DE$173)))*(1+V_dPrecio))</f>
        <v>249057.04229445837</v>
      </c>
      <c r="DF203" s="48">
        <f>IF(DF$8=1,IF(Reales!$C$39="PYG",IF(DF$10&gt;0,N(Reales!DF39)/DF$10,0),N(Reales!DF39)),DF$178*IF(AND(AND(105&gt;Corte,105&lt;=Corte+n_Ventana),ISNUMBER(Detalle_24m!DF$43)),Detalle_24m!DF$43,INDEX(Precio_V,2)*INDEX(IdxPrecio_V,1,MIN(10,DF$173)))*(1+V_dPrecio))</f>
        <v>249057.04229445837</v>
      </c>
      <c r="DG203" s="48">
        <f>IF(DG$8=1,IF(Reales!$C$39="PYG",IF(DG$10&gt;0,N(Reales!DG39)/DG$10,0),N(Reales!DG39)),DG$178*IF(AND(AND(106&gt;Corte,106&lt;=Corte+n_Ventana),ISNUMBER(Detalle_24m!DG$43)),Detalle_24m!DG$43,INDEX(Precio_V,2)*INDEX(IdxPrecio_V,1,MIN(10,DG$173)))*(1+V_dPrecio))</f>
        <v>249057.04229445837</v>
      </c>
      <c r="DH203" s="48">
        <f>IF(DH$8=1,IF(Reales!$C$39="PYG",IF(DH$10&gt;0,N(Reales!DH39)/DH$10,0),N(Reales!DH39)),DH$178*IF(AND(AND(107&gt;Corte,107&lt;=Corte+n_Ventana),ISNUMBER(Detalle_24m!DH$43)),Detalle_24m!DH$43,INDEX(Precio_V,2)*INDEX(IdxPrecio_V,1,MIN(10,DH$173)))*(1+V_dPrecio))</f>
        <v>249057.04229445837</v>
      </c>
      <c r="DI203" s="48">
        <f>IF(DI$8=1,IF(Reales!$C$39="PYG",IF(DI$10&gt;0,N(Reales!DI39)/DI$10,0),N(Reales!DI39)),DI$178*IF(AND(AND(108&gt;Corte,108&lt;=Corte+n_Ventana),ISNUMBER(Detalle_24m!DI$43)),Detalle_24m!DI$43,INDEX(Precio_V,2)*INDEX(IdxPrecio_V,1,MIN(10,DI$173)))*(1+V_dPrecio))</f>
        <v>249057.04229445837</v>
      </c>
      <c r="DJ203" s="48">
        <f>IF(DJ$8=1,IF(Reales!$C$39="PYG",IF(DJ$10&gt;0,N(Reales!DJ39)/DJ$10,0),N(Reales!DJ39)),DJ$178*IF(AND(AND(109&gt;Corte,109&lt;=Corte+n_Ventana),ISNUMBER(Detalle_24m!DJ$43)),Detalle_24m!DJ$43,INDEX(Precio_V,2)*INDEX(IdxPrecio_V,1,MIN(10,DJ$173)))*(1+V_dPrecio))</f>
        <v>251547.61271740301</v>
      </c>
      <c r="DK203" s="48">
        <f>IF(DK$8=1,IF(Reales!$C$39="PYG",IF(DK$10&gt;0,N(Reales!DK39)/DK$10,0),N(Reales!DK39)),DK$178*IF(AND(AND(110&gt;Corte,110&lt;=Corte+n_Ventana),ISNUMBER(Detalle_24m!DK$43)),Detalle_24m!DK$43,INDEX(Precio_V,2)*INDEX(IdxPrecio_V,1,MIN(10,DK$173)))*(1+V_dPrecio))</f>
        <v>251547.61271740301</v>
      </c>
      <c r="DL203" s="48">
        <f>IF(DL$8=1,IF(Reales!$C$39="PYG",IF(DL$10&gt;0,N(Reales!DL39)/DL$10,0),N(Reales!DL39)),DL$178*IF(AND(AND(111&gt;Corte,111&lt;=Corte+n_Ventana),ISNUMBER(Detalle_24m!DL$43)),Detalle_24m!DL$43,INDEX(Precio_V,2)*INDEX(IdxPrecio_V,1,MIN(10,DL$173)))*(1+V_dPrecio))</f>
        <v>251547.61271740301</v>
      </c>
      <c r="DM203" s="48">
        <f>IF(DM$8=1,IF(Reales!$C$39="PYG",IF(DM$10&gt;0,N(Reales!DM39)/DM$10,0),N(Reales!DM39)),DM$178*IF(AND(AND(112&gt;Corte,112&lt;=Corte+n_Ventana),ISNUMBER(Detalle_24m!DM$43)),Detalle_24m!DM$43,INDEX(Precio_V,2)*INDEX(IdxPrecio_V,1,MIN(10,DM$173)))*(1+V_dPrecio))</f>
        <v>251547.61271740301</v>
      </c>
      <c r="DN203" s="48">
        <f>IF(DN$8=1,IF(Reales!$C$39="PYG",IF(DN$10&gt;0,N(Reales!DN39)/DN$10,0),N(Reales!DN39)),DN$178*IF(AND(AND(113&gt;Corte,113&lt;=Corte+n_Ventana),ISNUMBER(Detalle_24m!DN$43)),Detalle_24m!DN$43,INDEX(Precio_V,2)*INDEX(IdxPrecio_V,1,MIN(10,DN$173)))*(1+V_dPrecio))</f>
        <v>251547.61271740301</v>
      </c>
      <c r="DO203" s="48">
        <f>IF(DO$8=1,IF(Reales!$C$39="PYG",IF(DO$10&gt;0,N(Reales!DO39)/DO$10,0),N(Reales!DO39)),DO$178*IF(AND(AND(114&gt;Corte,114&lt;=Corte+n_Ventana),ISNUMBER(Detalle_24m!DO$43)),Detalle_24m!DO$43,INDEX(Precio_V,2)*INDEX(IdxPrecio_V,1,MIN(10,DO$173)))*(1+V_dPrecio))</f>
        <v>251547.61271740301</v>
      </c>
      <c r="DP203" s="48">
        <f>IF(DP$8=1,IF(Reales!$C$39="PYG",IF(DP$10&gt;0,N(Reales!DP39)/DP$10,0),N(Reales!DP39)),DP$178*IF(AND(AND(115&gt;Corte,115&lt;=Corte+n_Ventana),ISNUMBER(Detalle_24m!DP$43)),Detalle_24m!DP$43,INDEX(Precio_V,2)*INDEX(IdxPrecio_V,1,MIN(10,DP$173)))*(1+V_dPrecio))</f>
        <v>251547.61271740301</v>
      </c>
      <c r="DQ203" s="48">
        <f>IF(DQ$8=1,IF(Reales!$C$39="PYG",IF(DQ$10&gt;0,N(Reales!DQ39)/DQ$10,0),N(Reales!DQ39)),DQ$178*IF(AND(AND(116&gt;Corte,116&lt;=Corte+n_Ventana),ISNUMBER(Detalle_24m!DQ$43)),Detalle_24m!DQ$43,INDEX(Precio_V,2)*INDEX(IdxPrecio_V,1,MIN(10,DQ$173)))*(1+V_dPrecio))</f>
        <v>251547.61271740301</v>
      </c>
      <c r="DR203" s="48">
        <f>IF(DR$8=1,IF(Reales!$C$39="PYG",IF(DR$10&gt;0,N(Reales!DR39)/DR$10,0),N(Reales!DR39)),DR$178*IF(AND(AND(117&gt;Corte,117&lt;=Corte+n_Ventana),ISNUMBER(Detalle_24m!DR$43)),Detalle_24m!DR$43,INDEX(Precio_V,2)*INDEX(IdxPrecio_V,1,MIN(10,DR$173)))*(1+V_dPrecio))</f>
        <v>251547.61271740301</v>
      </c>
      <c r="DS203" s="48">
        <f>IF(DS$8=1,IF(Reales!$C$39="PYG",IF(DS$10&gt;0,N(Reales!DS39)/DS$10,0),N(Reales!DS39)),DS$178*IF(AND(AND(118&gt;Corte,118&lt;=Corte+n_Ventana),ISNUMBER(Detalle_24m!DS$43)),Detalle_24m!DS$43,INDEX(Precio_V,2)*INDEX(IdxPrecio_V,1,MIN(10,DS$173)))*(1+V_dPrecio))</f>
        <v>251547.61271740301</v>
      </c>
      <c r="DT203" s="48">
        <f>IF(DT$8=1,IF(Reales!$C$39="PYG",IF(DT$10&gt;0,N(Reales!DT39)/DT$10,0),N(Reales!DT39)),DT$178*IF(AND(AND(119&gt;Corte,119&lt;=Corte+n_Ventana),ISNUMBER(Detalle_24m!DT$43)),Detalle_24m!DT$43,INDEX(Precio_V,2)*INDEX(IdxPrecio_V,1,MIN(10,DT$173)))*(1+V_dPrecio))</f>
        <v>251547.61271740301</v>
      </c>
      <c r="DU203" s="48">
        <f>IF(DU$8=1,IF(Reales!$C$39="PYG",IF(DU$10&gt;0,N(Reales!DU39)/DU$10,0),N(Reales!DU39)),DU$178*IF(AND(AND(120&gt;Corte,120&lt;=Corte+n_Ventana),ISNUMBER(Detalle_24m!DU$43)),Detalle_24m!DU$43,INDEX(Precio_V,2)*INDEX(IdxPrecio_V,1,MIN(10,DU$173)))*(1+V_dPrecio))</f>
        <v>251547.61271740301</v>
      </c>
      <c r="DV203" s="48">
        <f>IF(DV$8=1,IF(Reales!$C$39="PYG",IF(DV$10&gt;0,N(Reales!DV39)/DV$10,0),N(Reales!DV39)),DV$178*IF(AND(AND(121&gt;Corte,121&lt;=Corte+n_Ventana),ISNUMBER(Detalle_24m!DV$43)),Detalle_24m!DV$43,INDEX(Precio_V,2)*INDEX(IdxPrecio_V,1,MIN(10,DV$173)))*(1+V_dPrecio))</f>
        <v>0</v>
      </c>
      <c r="DW203" s="48">
        <f>IF(DW$8=1,IF(Reales!$C$39="PYG",IF(DW$10&gt;0,N(Reales!DW39)/DW$10,0),N(Reales!DW39)),DW$178*IF(AND(AND(122&gt;Corte,122&lt;=Corte+n_Ventana),ISNUMBER(Detalle_24m!DW$43)),Detalle_24m!DW$43,INDEX(Precio_V,2)*INDEX(IdxPrecio_V,1,MIN(10,DW$173)))*(1+V_dPrecio))</f>
        <v>0</v>
      </c>
      <c r="DX203" s="48">
        <f>IF(DX$8=1,IF(Reales!$C$39="PYG",IF(DX$10&gt;0,N(Reales!DX39)/DX$10,0),N(Reales!DX39)),DX$178*IF(AND(AND(123&gt;Corte,123&lt;=Corte+n_Ventana),ISNUMBER(Detalle_24m!DX$43)),Detalle_24m!DX$43,INDEX(Precio_V,2)*INDEX(IdxPrecio_V,1,MIN(10,DX$173)))*(1+V_dPrecio))</f>
        <v>0</v>
      </c>
      <c r="DY203" s="48">
        <f>IF(DY$8=1,IF(Reales!$C$39="PYG",IF(DY$10&gt;0,N(Reales!DY39)/DY$10,0),N(Reales!DY39)),DY$178*IF(AND(AND(124&gt;Corte,124&lt;=Corte+n_Ventana),ISNUMBER(Detalle_24m!DY$43)),Detalle_24m!DY$43,INDEX(Precio_V,2)*INDEX(IdxPrecio_V,1,MIN(10,DY$173)))*(1+V_dPrecio))</f>
        <v>0</v>
      </c>
      <c r="DZ203" s="48">
        <f>IF(DZ$8=1,IF(Reales!$C$39="PYG",IF(DZ$10&gt;0,N(Reales!DZ39)/DZ$10,0),N(Reales!DZ39)),DZ$178*IF(AND(AND(125&gt;Corte,125&lt;=Corte+n_Ventana),ISNUMBER(Detalle_24m!DZ$43)),Detalle_24m!DZ$43,INDEX(Precio_V,2)*INDEX(IdxPrecio_V,1,MIN(10,DZ$173)))*(1+V_dPrecio))</f>
        <v>0</v>
      </c>
      <c r="EA203" s="48">
        <f>IF(EA$8=1,IF(Reales!$C$39="PYG",IF(EA$10&gt;0,N(Reales!EA39)/EA$10,0),N(Reales!EA39)),EA$178*IF(AND(AND(126&gt;Corte,126&lt;=Corte+n_Ventana),ISNUMBER(Detalle_24m!EA$43)),Detalle_24m!EA$43,INDEX(Precio_V,2)*INDEX(IdxPrecio_V,1,MIN(10,EA$173)))*(1+V_dPrecio))</f>
        <v>0</v>
      </c>
      <c r="EB203" s="48">
        <f>IF(EB$8=1,IF(Reales!$C$39="PYG",IF(EB$10&gt;0,N(Reales!EB39)/EB$10,0),N(Reales!EB39)),EB$178*IF(AND(AND(127&gt;Corte,127&lt;=Corte+n_Ventana),ISNUMBER(Detalle_24m!EB$43)),Detalle_24m!EB$43,INDEX(Precio_V,2)*INDEX(IdxPrecio_V,1,MIN(10,EB$173)))*(1+V_dPrecio))</f>
        <v>0</v>
      </c>
      <c r="EC203" s="48">
        <f>IF(EC$8=1,IF(Reales!$C$39="PYG",IF(EC$10&gt;0,N(Reales!EC39)/EC$10,0),N(Reales!EC39)),EC$178*IF(AND(AND(128&gt;Corte,128&lt;=Corte+n_Ventana),ISNUMBER(Detalle_24m!EC$43)),Detalle_24m!EC$43,INDEX(Precio_V,2)*INDEX(IdxPrecio_V,1,MIN(10,EC$173)))*(1+V_dPrecio))</f>
        <v>0</v>
      </c>
      <c r="ED203" s="48">
        <f>IF(ED$8=1,IF(Reales!$C$39="PYG",IF(ED$10&gt;0,N(Reales!ED39)/ED$10,0),N(Reales!ED39)),ED$178*IF(AND(AND(129&gt;Corte,129&lt;=Corte+n_Ventana),ISNUMBER(Detalle_24m!ED$43)),Detalle_24m!ED$43,INDEX(Precio_V,2)*INDEX(IdxPrecio_V,1,MIN(10,ED$173)))*(1+V_dPrecio))</f>
        <v>0</v>
      </c>
      <c r="EE203" s="48">
        <f>IF(EE$8=1,IF(Reales!$C$39="PYG",IF(EE$10&gt;0,N(Reales!EE39)/EE$10,0),N(Reales!EE39)),EE$178*IF(AND(AND(130&gt;Corte,130&lt;=Corte+n_Ventana),ISNUMBER(Detalle_24m!EE$43)),Detalle_24m!EE$43,INDEX(Precio_V,2)*INDEX(IdxPrecio_V,1,MIN(10,EE$173)))*(1+V_dPrecio))</f>
        <v>0</v>
      </c>
      <c r="EF203" s="48">
        <f>IF(EF$8=1,IF(Reales!$C$39="PYG",IF(EF$10&gt;0,N(Reales!EF39)/EF$10,0),N(Reales!EF39)),EF$178*IF(AND(AND(131&gt;Corte,131&lt;=Corte+n_Ventana),ISNUMBER(Detalle_24m!EF$43)),Detalle_24m!EF$43,INDEX(Precio_V,2)*INDEX(IdxPrecio_V,1,MIN(10,EF$173)))*(1+V_dPrecio))</f>
        <v>0</v>
      </c>
      <c r="EG203" s="48">
        <f>IF(EG$8=1,IF(Reales!$C$39="PYG",IF(EG$10&gt;0,N(Reales!EG39)/EG$10,0),N(Reales!EG39)),EG$178*IF(AND(AND(132&gt;Corte,132&lt;=Corte+n_Ventana),ISNUMBER(Detalle_24m!EG$43)),Detalle_24m!EG$43,INDEX(Precio_V,2)*INDEX(IdxPrecio_V,1,MIN(10,EG$173)))*(1+V_dPrecio))</f>
        <v>0</v>
      </c>
      <c r="EH203" s="48">
        <f>IF(EH$8=1,IF(Reales!$C$39="PYG",IF(EH$10&gt;0,N(Reales!EH39)/EH$10,0),N(Reales!EH39)),EH$178*IF(AND(AND(133&gt;Corte,133&lt;=Corte+n_Ventana),ISNUMBER(Detalle_24m!EH$43)),Detalle_24m!EH$43,INDEX(Precio_V,2)*INDEX(IdxPrecio_V,1,MIN(10,EH$173)))*(1+V_dPrecio))</f>
        <v>0</v>
      </c>
      <c r="EI203" s="48">
        <f>IF(EI$8=1,IF(Reales!$C$39="PYG",IF(EI$10&gt;0,N(Reales!EI39)/EI$10,0),N(Reales!EI39)),EI$178*IF(AND(AND(134&gt;Corte,134&lt;=Corte+n_Ventana),ISNUMBER(Detalle_24m!EI$43)),Detalle_24m!EI$43,INDEX(Precio_V,2)*INDEX(IdxPrecio_V,1,MIN(10,EI$173)))*(1+V_dPrecio))</f>
        <v>0</v>
      </c>
      <c r="EJ203" s="48">
        <f>IF(EJ$8=1,IF(Reales!$C$39="PYG",IF(EJ$10&gt;0,N(Reales!EJ39)/EJ$10,0),N(Reales!EJ39)),EJ$178*IF(AND(AND(135&gt;Corte,135&lt;=Corte+n_Ventana),ISNUMBER(Detalle_24m!EJ$43)),Detalle_24m!EJ$43,INDEX(Precio_V,2)*INDEX(IdxPrecio_V,1,MIN(10,EJ$173)))*(1+V_dPrecio))</f>
        <v>0</v>
      </c>
      <c r="EK203" s="48">
        <f>IF(EK$8=1,IF(Reales!$C$39="PYG",IF(EK$10&gt;0,N(Reales!EK39)/EK$10,0),N(Reales!EK39)),EK$178*IF(AND(AND(136&gt;Corte,136&lt;=Corte+n_Ventana),ISNUMBER(Detalle_24m!EK$43)),Detalle_24m!EK$43,INDEX(Precio_V,2)*INDEX(IdxPrecio_V,1,MIN(10,EK$173)))*(1+V_dPrecio))</f>
        <v>0</v>
      </c>
      <c r="EL203" s="48">
        <f>IF(EL$8=1,IF(Reales!$C$39="PYG",IF(EL$10&gt;0,N(Reales!EL39)/EL$10,0),N(Reales!EL39)),EL$178*IF(AND(AND(137&gt;Corte,137&lt;=Corte+n_Ventana),ISNUMBER(Detalle_24m!EL$43)),Detalle_24m!EL$43,INDEX(Precio_V,2)*INDEX(IdxPrecio_V,1,MIN(10,EL$173)))*(1+V_dPrecio))</f>
        <v>0</v>
      </c>
      <c r="EM203" s="48">
        <f>IF(EM$8=1,IF(Reales!$C$39="PYG",IF(EM$10&gt;0,N(Reales!EM39)/EM$10,0),N(Reales!EM39)),EM$178*IF(AND(AND(138&gt;Corte,138&lt;=Corte+n_Ventana),ISNUMBER(Detalle_24m!EM$43)),Detalle_24m!EM$43,INDEX(Precio_V,2)*INDEX(IdxPrecio_V,1,MIN(10,EM$173)))*(1+V_dPrecio))</f>
        <v>0</v>
      </c>
      <c r="EN203" s="48">
        <f>IF(EN$8=1,IF(Reales!$C$39="PYG",IF(EN$10&gt;0,N(Reales!EN39)/EN$10,0),N(Reales!EN39)),EN$178*IF(AND(AND(139&gt;Corte,139&lt;=Corte+n_Ventana),ISNUMBER(Detalle_24m!EN$43)),Detalle_24m!EN$43,INDEX(Precio_V,2)*INDEX(IdxPrecio_V,1,MIN(10,EN$173)))*(1+V_dPrecio))</f>
        <v>0</v>
      </c>
      <c r="EO203" s="48">
        <f>IF(EO$8=1,IF(Reales!$C$39="PYG",IF(EO$10&gt;0,N(Reales!EO39)/EO$10,0),N(Reales!EO39)),EO$178*IF(AND(AND(140&gt;Corte,140&lt;=Corte+n_Ventana),ISNUMBER(Detalle_24m!EO$43)),Detalle_24m!EO$43,INDEX(Precio_V,2)*INDEX(IdxPrecio_V,1,MIN(10,EO$173)))*(1+V_dPrecio))</f>
        <v>0</v>
      </c>
      <c r="EP203" s="48">
        <f>IF(EP$8=1,IF(Reales!$C$39="PYG",IF(EP$10&gt;0,N(Reales!EP39)/EP$10,0),N(Reales!EP39)),EP$178*IF(AND(AND(141&gt;Corte,141&lt;=Corte+n_Ventana),ISNUMBER(Detalle_24m!EP$43)),Detalle_24m!EP$43,INDEX(Precio_V,2)*INDEX(IdxPrecio_V,1,MIN(10,EP$173)))*(1+V_dPrecio))</f>
        <v>0</v>
      </c>
      <c r="EQ203" s="48">
        <f>IF(EQ$8=1,IF(Reales!$C$39="PYG",IF(EQ$10&gt;0,N(Reales!EQ39)/EQ$10,0),N(Reales!EQ39)),EQ$178*IF(AND(AND(142&gt;Corte,142&lt;=Corte+n_Ventana),ISNUMBER(Detalle_24m!EQ$43)),Detalle_24m!EQ$43,INDEX(Precio_V,2)*INDEX(IdxPrecio_V,1,MIN(10,EQ$173)))*(1+V_dPrecio))</f>
        <v>0</v>
      </c>
      <c r="ER203" s="48">
        <f>IF(ER$8=1,IF(Reales!$C$39="PYG",IF(ER$10&gt;0,N(Reales!ER39)/ER$10,0),N(Reales!ER39)),ER$178*IF(AND(AND(143&gt;Corte,143&lt;=Corte+n_Ventana),ISNUMBER(Detalle_24m!ER$43)),Detalle_24m!ER$43,INDEX(Precio_V,2)*INDEX(IdxPrecio_V,1,MIN(10,ER$173)))*(1+V_dPrecio))</f>
        <v>0</v>
      </c>
      <c r="ES203" s="48">
        <f>IF(ES$8=1,IF(Reales!$C$39="PYG",IF(ES$10&gt;0,N(Reales!ES39)/ES$10,0),N(Reales!ES39)),ES$178*IF(AND(AND(144&gt;Corte,144&lt;=Corte+n_Ventana),ISNUMBER(Detalle_24m!ES$43)),Detalle_24m!ES$43,INDEX(Precio_V,2)*INDEX(IdxPrecio_V,1,MIN(10,ES$173)))*(1+V_dPrecio))</f>
        <v>0</v>
      </c>
    </row>
    <row r="204" spans="1:149" x14ac:dyDescent="0.3">
      <c r="A204" s="14" t="s">
        <v>1259</v>
      </c>
      <c r="B204" s="53" t="str">
        <f>IF(INDEX(Prod_Nombre,3)="","Producto 3",INDEX(Prod_Nombre,3))&amp;" — ventas USD"</f>
        <v>Producto 3 — ventas USD</v>
      </c>
      <c r="C204" s="18" t="s">
        <v>439</v>
      </c>
      <c r="E204" s="54">
        <f t="shared" si="604"/>
        <v>0</v>
      </c>
      <c r="F204" s="48">
        <f>IF(F$8=1,IF(Reales!$C$40="PYG",IF(F$10&gt;0,N(Reales!F40)/F$10,0),N(Reales!F40)),F$179*IF(AND(AND(1&gt;Corte,1&lt;=Corte+n_Ventana),ISNUMBER(Detalle_24m!F$44)),Detalle_24m!F$44,INDEX(Precio_V,3)*INDEX(IdxPrecio_V,1,MIN(10,F$173)))*(1+V_dPrecio))</f>
        <v>0</v>
      </c>
      <c r="G204" s="48">
        <f>IF(G$8=1,IF(Reales!$C$40="PYG",IF(G$10&gt;0,N(Reales!G40)/G$10,0),N(Reales!G40)),G$179*IF(AND(AND(2&gt;Corte,2&lt;=Corte+n_Ventana),ISNUMBER(Detalle_24m!G$44)),Detalle_24m!G$44,INDEX(Precio_V,3)*INDEX(IdxPrecio_V,1,MIN(10,G$173)))*(1+V_dPrecio))</f>
        <v>0</v>
      </c>
      <c r="H204" s="48">
        <f>IF(H$8=1,IF(Reales!$C$40="PYG",IF(H$10&gt;0,N(Reales!H40)/H$10,0),N(Reales!H40)),H$179*IF(AND(AND(3&gt;Corte,3&lt;=Corte+n_Ventana),ISNUMBER(Detalle_24m!H$44)),Detalle_24m!H$44,INDEX(Precio_V,3)*INDEX(IdxPrecio_V,1,MIN(10,H$173)))*(1+V_dPrecio))</f>
        <v>0</v>
      </c>
      <c r="I204" s="48">
        <f>IF(I$8=1,IF(Reales!$C$40="PYG",IF(I$10&gt;0,N(Reales!I40)/I$10,0),N(Reales!I40)),I$179*IF(AND(AND(4&gt;Corte,4&lt;=Corte+n_Ventana),ISNUMBER(Detalle_24m!I$44)),Detalle_24m!I$44,INDEX(Precio_V,3)*INDEX(IdxPrecio_V,1,MIN(10,I$173)))*(1+V_dPrecio))</f>
        <v>0</v>
      </c>
      <c r="J204" s="48">
        <f>IF(J$8=1,IF(Reales!$C$40="PYG",IF(J$10&gt;0,N(Reales!J40)/J$10,0),N(Reales!J40)),J$179*IF(AND(AND(5&gt;Corte,5&lt;=Corte+n_Ventana),ISNUMBER(Detalle_24m!J$44)),Detalle_24m!J$44,INDEX(Precio_V,3)*INDEX(IdxPrecio_V,1,MIN(10,J$173)))*(1+V_dPrecio))</f>
        <v>0</v>
      </c>
      <c r="K204" s="48">
        <f>IF(K$8=1,IF(Reales!$C$40="PYG",IF(K$10&gt;0,N(Reales!K40)/K$10,0),N(Reales!K40)),K$179*IF(AND(AND(6&gt;Corte,6&lt;=Corte+n_Ventana),ISNUMBER(Detalle_24m!K$44)),Detalle_24m!K$44,INDEX(Precio_V,3)*INDEX(IdxPrecio_V,1,MIN(10,K$173)))*(1+V_dPrecio))</f>
        <v>0</v>
      </c>
      <c r="L204" s="48">
        <f>IF(L$8=1,IF(Reales!$C$40="PYG",IF(L$10&gt;0,N(Reales!L40)/L$10,0),N(Reales!L40)),L$179*IF(AND(AND(7&gt;Corte,7&lt;=Corte+n_Ventana),ISNUMBER(Detalle_24m!L$44)),Detalle_24m!L$44,INDEX(Precio_V,3)*INDEX(IdxPrecio_V,1,MIN(10,L$173)))*(1+V_dPrecio))</f>
        <v>0</v>
      </c>
      <c r="M204" s="48">
        <f>IF(M$8=1,IF(Reales!$C$40="PYG",IF(M$10&gt;0,N(Reales!M40)/M$10,0),N(Reales!M40)),M$179*IF(AND(AND(8&gt;Corte,8&lt;=Corte+n_Ventana),ISNUMBER(Detalle_24m!M$44)),Detalle_24m!M$44,INDEX(Precio_V,3)*INDEX(IdxPrecio_V,1,MIN(10,M$173)))*(1+V_dPrecio))</f>
        <v>0</v>
      </c>
      <c r="N204" s="48">
        <f>IF(N$8=1,IF(Reales!$C$40="PYG",IF(N$10&gt;0,N(Reales!N40)/N$10,0),N(Reales!N40)),N$179*IF(AND(AND(9&gt;Corte,9&lt;=Corte+n_Ventana),ISNUMBER(Detalle_24m!N$44)),Detalle_24m!N$44,INDEX(Precio_V,3)*INDEX(IdxPrecio_V,1,MIN(10,N$173)))*(1+V_dPrecio))</f>
        <v>0</v>
      </c>
      <c r="O204" s="48">
        <f>IF(O$8=1,IF(Reales!$C$40="PYG",IF(O$10&gt;0,N(Reales!O40)/O$10,0),N(Reales!O40)),O$179*IF(AND(AND(10&gt;Corte,10&lt;=Corte+n_Ventana),ISNUMBER(Detalle_24m!O$44)),Detalle_24m!O$44,INDEX(Precio_V,3)*INDEX(IdxPrecio_V,1,MIN(10,O$173)))*(1+V_dPrecio))</f>
        <v>0</v>
      </c>
      <c r="P204" s="48">
        <f>IF(P$8=1,IF(Reales!$C$40="PYG",IF(P$10&gt;0,N(Reales!P40)/P$10,0),N(Reales!P40)),P$179*IF(AND(AND(11&gt;Corte,11&lt;=Corte+n_Ventana),ISNUMBER(Detalle_24m!P$44)),Detalle_24m!P$44,INDEX(Precio_V,3)*INDEX(IdxPrecio_V,1,MIN(10,P$173)))*(1+V_dPrecio))</f>
        <v>0</v>
      </c>
      <c r="Q204" s="48">
        <f>IF(Q$8=1,IF(Reales!$C$40="PYG",IF(Q$10&gt;0,N(Reales!Q40)/Q$10,0),N(Reales!Q40)),Q$179*IF(AND(AND(12&gt;Corte,12&lt;=Corte+n_Ventana),ISNUMBER(Detalle_24m!Q$44)),Detalle_24m!Q$44,INDEX(Precio_V,3)*INDEX(IdxPrecio_V,1,MIN(10,Q$173)))*(1+V_dPrecio))</f>
        <v>0</v>
      </c>
      <c r="R204" s="48">
        <f>IF(R$8=1,IF(Reales!$C$40="PYG",IF(R$10&gt;0,N(Reales!R40)/R$10,0),N(Reales!R40)),R$179*IF(AND(AND(13&gt;Corte,13&lt;=Corte+n_Ventana),ISNUMBER(Detalle_24m!R$44)),Detalle_24m!R$44,INDEX(Precio_V,3)*INDEX(IdxPrecio_V,1,MIN(10,R$173)))*(1+V_dPrecio))</f>
        <v>0</v>
      </c>
      <c r="S204" s="48">
        <f>IF(S$8=1,IF(Reales!$C$40="PYG",IF(S$10&gt;0,N(Reales!S40)/S$10,0),N(Reales!S40)),S$179*IF(AND(AND(14&gt;Corte,14&lt;=Corte+n_Ventana),ISNUMBER(Detalle_24m!S$44)),Detalle_24m!S$44,INDEX(Precio_V,3)*INDEX(IdxPrecio_V,1,MIN(10,S$173)))*(1+V_dPrecio))</f>
        <v>0</v>
      </c>
      <c r="T204" s="48">
        <f>IF(T$8=1,IF(Reales!$C$40="PYG",IF(T$10&gt;0,N(Reales!T40)/T$10,0),N(Reales!T40)),T$179*IF(AND(AND(15&gt;Corte,15&lt;=Corte+n_Ventana),ISNUMBER(Detalle_24m!T$44)),Detalle_24m!T$44,INDEX(Precio_V,3)*INDEX(IdxPrecio_V,1,MIN(10,T$173)))*(1+V_dPrecio))</f>
        <v>0</v>
      </c>
      <c r="U204" s="48">
        <f>IF(U$8=1,IF(Reales!$C$40="PYG",IF(U$10&gt;0,N(Reales!U40)/U$10,0),N(Reales!U40)),U$179*IF(AND(AND(16&gt;Corte,16&lt;=Corte+n_Ventana),ISNUMBER(Detalle_24m!U$44)),Detalle_24m!U$44,INDEX(Precio_V,3)*INDEX(IdxPrecio_V,1,MIN(10,U$173)))*(1+V_dPrecio))</f>
        <v>0</v>
      </c>
      <c r="V204" s="48">
        <f>IF(V$8=1,IF(Reales!$C$40="PYG",IF(V$10&gt;0,N(Reales!V40)/V$10,0),N(Reales!V40)),V$179*IF(AND(AND(17&gt;Corte,17&lt;=Corte+n_Ventana),ISNUMBER(Detalle_24m!V$44)),Detalle_24m!V$44,INDEX(Precio_V,3)*INDEX(IdxPrecio_V,1,MIN(10,V$173)))*(1+V_dPrecio))</f>
        <v>0</v>
      </c>
      <c r="W204" s="48">
        <f>IF(W$8=1,IF(Reales!$C$40="PYG",IF(W$10&gt;0,N(Reales!W40)/W$10,0),N(Reales!W40)),W$179*IF(AND(AND(18&gt;Corte,18&lt;=Corte+n_Ventana),ISNUMBER(Detalle_24m!W$44)),Detalle_24m!W$44,INDEX(Precio_V,3)*INDEX(IdxPrecio_V,1,MIN(10,W$173)))*(1+V_dPrecio))</f>
        <v>0</v>
      </c>
      <c r="X204" s="48">
        <f>IF(X$8=1,IF(Reales!$C$40="PYG",IF(X$10&gt;0,N(Reales!X40)/X$10,0),N(Reales!X40)),X$179*IF(AND(AND(19&gt;Corte,19&lt;=Corte+n_Ventana),ISNUMBER(Detalle_24m!X$44)),Detalle_24m!X$44,INDEX(Precio_V,3)*INDEX(IdxPrecio_V,1,MIN(10,X$173)))*(1+V_dPrecio))</f>
        <v>0</v>
      </c>
      <c r="Y204" s="48">
        <f>IF(Y$8=1,IF(Reales!$C$40="PYG",IF(Y$10&gt;0,N(Reales!Y40)/Y$10,0),N(Reales!Y40)),Y$179*IF(AND(AND(20&gt;Corte,20&lt;=Corte+n_Ventana),ISNUMBER(Detalle_24m!Y$44)),Detalle_24m!Y$44,INDEX(Precio_V,3)*INDEX(IdxPrecio_V,1,MIN(10,Y$173)))*(1+V_dPrecio))</f>
        <v>0</v>
      </c>
      <c r="Z204" s="48">
        <f>IF(Z$8=1,IF(Reales!$C$40="PYG",IF(Z$10&gt;0,N(Reales!Z40)/Z$10,0),N(Reales!Z40)),Z$179*IF(AND(AND(21&gt;Corte,21&lt;=Corte+n_Ventana),ISNUMBER(Detalle_24m!Z$44)),Detalle_24m!Z$44,INDEX(Precio_V,3)*INDEX(IdxPrecio_V,1,MIN(10,Z$173)))*(1+V_dPrecio))</f>
        <v>0</v>
      </c>
      <c r="AA204" s="48">
        <f>IF(AA$8=1,IF(Reales!$C$40="PYG",IF(AA$10&gt;0,N(Reales!AA40)/AA$10,0),N(Reales!AA40)),AA$179*IF(AND(AND(22&gt;Corte,22&lt;=Corte+n_Ventana),ISNUMBER(Detalle_24m!AA$44)),Detalle_24m!AA$44,INDEX(Precio_V,3)*INDEX(IdxPrecio_V,1,MIN(10,AA$173)))*(1+V_dPrecio))</f>
        <v>0</v>
      </c>
      <c r="AB204" s="48">
        <f>IF(AB$8=1,IF(Reales!$C$40="PYG",IF(AB$10&gt;0,N(Reales!AB40)/AB$10,0),N(Reales!AB40)),AB$179*IF(AND(AND(23&gt;Corte,23&lt;=Corte+n_Ventana),ISNUMBER(Detalle_24m!AB$44)),Detalle_24m!AB$44,INDEX(Precio_V,3)*INDEX(IdxPrecio_V,1,MIN(10,AB$173)))*(1+V_dPrecio))</f>
        <v>0</v>
      </c>
      <c r="AC204" s="48">
        <f>IF(AC$8=1,IF(Reales!$C$40="PYG",IF(AC$10&gt;0,N(Reales!AC40)/AC$10,0),N(Reales!AC40)),AC$179*IF(AND(AND(24&gt;Corte,24&lt;=Corte+n_Ventana),ISNUMBER(Detalle_24m!AC$44)),Detalle_24m!AC$44,INDEX(Precio_V,3)*INDEX(IdxPrecio_V,1,MIN(10,AC$173)))*(1+V_dPrecio))</f>
        <v>0</v>
      </c>
      <c r="AD204" s="48">
        <f>IF(AD$8=1,IF(Reales!$C$40="PYG",IF(AD$10&gt;0,N(Reales!AD40)/AD$10,0),N(Reales!AD40)),AD$179*IF(AND(AND(25&gt;Corte,25&lt;=Corte+n_Ventana),ISNUMBER(Detalle_24m!AD$44)),Detalle_24m!AD$44,INDEX(Precio_V,3)*INDEX(IdxPrecio_V,1,MIN(10,AD$173)))*(1+V_dPrecio))</f>
        <v>0</v>
      </c>
      <c r="AE204" s="48">
        <f>IF(AE$8=1,IF(Reales!$C$40="PYG",IF(AE$10&gt;0,N(Reales!AE40)/AE$10,0),N(Reales!AE40)),AE$179*IF(AND(AND(26&gt;Corte,26&lt;=Corte+n_Ventana),ISNUMBER(Detalle_24m!AE$44)),Detalle_24m!AE$44,INDEX(Precio_V,3)*INDEX(IdxPrecio_V,1,MIN(10,AE$173)))*(1+V_dPrecio))</f>
        <v>0</v>
      </c>
      <c r="AF204" s="48">
        <f>IF(AF$8=1,IF(Reales!$C$40="PYG",IF(AF$10&gt;0,N(Reales!AF40)/AF$10,0),N(Reales!AF40)),AF$179*IF(AND(AND(27&gt;Corte,27&lt;=Corte+n_Ventana),ISNUMBER(Detalle_24m!AF$44)),Detalle_24m!AF$44,INDEX(Precio_V,3)*INDEX(IdxPrecio_V,1,MIN(10,AF$173)))*(1+V_dPrecio))</f>
        <v>0</v>
      </c>
      <c r="AG204" s="48">
        <f>IF(AG$8=1,IF(Reales!$C$40="PYG",IF(AG$10&gt;0,N(Reales!AG40)/AG$10,0),N(Reales!AG40)),AG$179*IF(AND(AND(28&gt;Corte,28&lt;=Corte+n_Ventana),ISNUMBER(Detalle_24m!AG$44)),Detalle_24m!AG$44,INDEX(Precio_V,3)*INDEX(IdxPrecio_V,1,MIN(10,AG$173)))*(1+V_dPrecio))</f>
        <v>0</v>
      </c>
      <c r="AH204" s="48">
        <f>IF(AH$8=1,IF(Reales!$C$40="PYG",IF(AH$10&gt;0,N(Reales!AH40)/AH$10,0),N(Reales!AH40)),AH$179*IF(AND(AND(29&gt;Corte,29&lt;=Corte+n_Ventana),ISNUMBER(Detalle_24m!AH$44)),Detalle_24m!AH$44,INDEX(Precio_V,3)*INDEX(IdxPrecio_V,1,MIN(10,AH$173)))*(1+V_dPrecio))</f>
        <v>0</v>
      </c>
      <c r="AI204" s="48">
        <f>IF(AI$8=1,IF(Reales!$C$40="PYG",IF(AI$10&gt;0,N(Reales!AI40)/AI$10,0),N(Reales!AI40)),AI$179*IF(AND(AND(30&gt;Corte,30&lt;=Corte+n_Ventana),ISNUMBER(Detalle_24m!AI$44)),Detalle_24m!AI$44,INDEX(Precio_V,3)*INDEX(IdxPrecio_V,1,MIN(10,AI$173)))*(1+V_dPrecio))</f>
        <v>0</v>
      </c>
      <c r="AJ204" s="48">
        <f>IF(AJ$8=1,IF(Reales!$C$40="PYG",IF(AJ$10&gt;0,N(Reales!AJ40)/AJ$10,0),N(Reales!AJ40)),AJ$179*IF(AND(AND(31&gt;Corte,31&lt;=Corte+n_Ventana),ISNUMBER(Detalle_24m!AJ$44)),Detalle_24m!AJ$44,INDEX(Precio_V,3)*INDEX(IdxPrecio_V,1,MIN(10,AJ$173)))*(1+V_dPrecio))</f>
        <v>0</v>
      </c>
      <c r="AK204" s="48">
        <f>IF(AK$8=1,IF(Reales!$C$40="PYG",IF(AK$10&gt;0,N(Reales!AK40)/AK$10,0),N(Reales!AK40)),AK$179*IF(AND(AND(32&gt;Corte,32&lt;=Corte+n_Ventana),ISNUMBER(Detalle_24m!AK$44)),Detalle_24m!AK$44,INDEX(Precio_V,3)*INDEX(IdxPrecio_V,1,MIN(10,AK$173)))*(1+V_dPrecio))</f>
        <v>0</v>
      </c>
      <c r="AL204" s="48">
        <f>IF(AL$8=1,IF(Reales!$C$40="PYG",IF(AL$10&gt;0,N(Reales!AL40)/AL$10,0),N(Reales!AL40)),AL$179*IF(AND(AND(33&gt;Corte,33&lt;=Corte+n_Ventana),ISNUMBER(Detalle_24m!AL$44)),Detalle_24m!AL$44,INDEX(Precio_V,3)*INDEX(IdxPrecio_V,1,MIN(10,AL$173)))*(1+V_dPrecio))</f>
        <v>0</v>
      </c>
      <c r="AM204" s="48">
        <f>IF(AM$8=1,IF(Reales!$C$40="PYG",IF(AM$10&gt;0,N(Reales!AM40)/AM$10,0),N(Reales!AM40)),AM$179*IF(AND(AND(34&gt;Corte,34&lt;=Corte+n_Ventana),ISNUMBER(Detalle_24m!AM$44)),Detalle_24m!AM$44,INDEX(Precio_V,3)*INDEX(IdxPrecio_V,1,MIN(10,AM$173)))*(1+V_dPrecio))</f>
        <v>0</v>
      </c>
      <c r="AN204" s="48">
        <f>IF(AN$8=1,IF(Reales!$C$40="PYG",IF(AN$10&gt;0,N(Reales!AN40)/AN$10,0),N(Reales!AN40)),AN$179*IF(AND(AND(35&gt;Corte,35&lt;=Corte+n_Ventana),ISNUMBER(Detalle_24m!AN$44)),Detalle_24m!AN$44,INDEX(Precio_V,3)*INDEX(IdxPrecio_V,1,MIN(10,AN$173)))*(1+V_dPrecio))</f>
        <v>0</v>
      </c>
      <c r="AO204" s="48">
        <f>IF(AO$8=1,IF(Reales!$C$40="PYG",IF(AO$10&gt;0,N(Reales!AO40)/AO$10,0),N(Reales!AO40)),AO$179*IF(AND(AND(36&gt;Corte,36&lt;=Corte+n_Ventana),ISNUMBER(Detalle_24m!AO$44)),Detalle_24m!AO$44,INDEX(Precio_V,3)*INDEX(IdxPrecio_V,1,MIN(10,AO$173)))*(1+V_dPrecio))</f>
        <v>0</v>
      </c>
      <c r="AP204" s="48">
        <f>IF(AP$8=1,IF(Reales!$C$40="PYG",IF(AP$10&gt;0,N(Reales!AP40)/AP$10,0),N(Reales!AP40)),AP$179*IF(AND(AND(37&gt;Corte,37&lt;=Corte+n_Ventana),ISNUMBER(Detalle_24m!AP$44)),Detalle_24m!AP$44,INDEX(Precio_V,3)*INDEX(IdxPrecio_V,1,MIN(10,AP$173)))*(1+V_dPrecio))</f>
        <v>0</v>
      </c>
      <c r="AQ204" s="48">
        <f>IF(AQ$8=1,IF(Reales!$C$40="PYG",IF(AQ$10&gt;0,N(Reales!AQ40)/AQ$10,0),N(Reales!AQ40)),AQ$179*IF(AND(AND(38&gt;Corte,38&lt;=Corte+n_Ventana),ISNUMBER(Detalle_24m!AQ$44)),Detalle_24m!AQ$44,INDEX(Precio_V,3)*INDEX(IdxPrecio_V,1,MIN(10,AQ$173)))*(1+V_dPrecio))</f>
        <v>0</v>
      </c>
      <c r="AR204" s="48">
        <f>IF(AR$8=1,IF(Reales!$C$40="PYG",IF(AR$10&gt;0,N(Reales!AR40)/AR$10,0),N(Reales!AR40)),AR$179*IF(AND(AND(39&gt;Corte,39&lt;=Corte+n_Ventana),ISNUMBER(Detalle_24m!AR$44)),Detalle_24m!AR$44,INDEX(Precio_V,3)*INDEX(IdxPrecio_V,1,MIN(10,AR$173)))*(1+V_dPrecio))</f>
        <v>0</v>
      </c>
      <c r="AS204" s="48">
        <f>IF(AS$8=1,IF(Reales!$C$40="PYG",IF(AS$10&gt;0,N(Reales!AS40)/AS$10,0),N(Reales!AS40)),AS$179*IF(AND(AND(40&gt;Corte,40&lt;=Corte+n_Ventana),ISNUMBER(Detalle_24m!AS$44)),Detalle_24m!AS$44,INDEX(Precio_V,3)*INDEX(IdxPrecio_V,1,MIN(10,AS$173)))*(1+V_dPrecio))</f>
        <v>0</v>
      </c>
      <c r="AT204" s="48">
        <f>IF(AT$8=1,IF(Reales!$C$40="PYG",IF(AT$10&gt;0,N(Reales!AT40)/AT$10,0),N(Reales!AT40)),AT$179*IF(AND(AND(41&gt;Corte,41&lt;=Corte+n_Ventana),ISNUMBER(Detalle_24m!AT$44)),Detalle_24m!AT$44,INDEX(Precio_V,3)*INDEX(IdxPrecio_V,1,MIN(10,AT$173)))*(1+V_dPrecio))</f>
        <v>0</v>
      </c>
      <c r="AU204" s="48">
        <f>IF(AU$8=1,IF(Reales!$C$40="PYG",IF(AU$10&gt;0,N(Reales!AU40)/AU$10,0),N(Reales!AU40)),AU$179*IF(AND(AND(42&gt;Corte,42&lt;=Corte+n_Ventana),ISNUMBER(Detalle_24m!AU$44)),Detalle_24m!AU$44,INDEX(Precio_V,3)*INDEX(IdxPrecio_V,1,MIN(10,AU$173)))*(1+V_dPrecio))</f>
        <v>0</v>
      </c>
      <c r="AV204" s="48">
        <f>IF(AV$8=1,IF(Reales!$C$40="PYG",IF(AV$10&gt;0,N(Reales!AV40)/AV$10,0),N(Reales!AV40)),AV$179*IF(AND(AND(43&gt;Corte,43&lt;=Corte+n_Ventana),ISNUMBER(Detalle_24m!AV$44)),Detalle_24m!AV$44,INDEX(Precio_V,3)*INDEX(IdxPrecio_V,1,MIN(10,AV$173)))*(1+V_dPrecio))</f>
        <v>0</v>
      </c>
      <c r="AW204" s="48">
        <f>IF(AW$8=1,IF(Reales!$C$40="PYG",IF(AW$10&gt;0,N(Reales!AW40)/AW$10,0),N(Reales!AW40)),AW$179*IF(AND(AND(44&gt;Corte,44&lt;=Corte+n_Ventana),ISNUMBER(Detalle_24m!AW$44)),Detalle_24m!AW$44,INDEX(Precio_V,3)*INDEX(IdxPrecio_V,1,MIN(10,AW$173)))*(1+V_dPrecio))</f>
        <v>0</v>
      </c>
      <c r="AX204" s="48">
        <f>IF(AX$8=1,IF(Reales!$C$40="PYG",IF(AX$10&gt;0,N(Reales!AX40)/AX$10,0),N(Reales!AX40)),AX$179*IF(AND(AND(45&gt;Corte,45&lt;=Corte+n_Ventana),ISNUMBER(Detalle_24m!AX$44)),Detalle_24m!AX$44,INDEX(Precio_V,3)*INDEX(IdxPrecio_V,1,MIN(10,AX$173)))*(1+V_dPrecio))</f>
        <v>0</v>
      </c>
      <c r="AY204" s="48">
        <f>IF(AY$8=1,IF(Reales!$C$40="PYG",IF(AY$10&gt;0,N(Reales!AY40)/AY$10,0),N(Reales!AY40)),AY$179*IF(AND(AND(46&gt;Corte,46&lt;=Corte+n_Ventana),ISNUMBER(Detalle_24m!AY$44)),Detalle_24m!AY$44,INDEX(Precio_V,3)*INDEX(IdxPrecio_V,1,MIN(10,AY$173)))*(1+V_dPrecio))</f>
        <v>0</v>
      </c>
      <c r="AZ204" s="48">
        <f>IF(AZ$8=1,IF(Reales!$C$40="PYG",IF(AZ$10&gt;0,N(Reales!AZ40)/AZ$10,0),N(Reales!AZ40)),AZ$179*IF(AND(AND(47&gt;Corte,47&lt;=Corte+n_Ventana),ISNUMBER(Detalle_24m!AZ$44)),Detalle_24m!AZ$44,INDEX(Precio_V,3)*INDEX(IdxPrecio_V,1,MIN(10,AZ$173)))*(1+V_dPrecio))</f>
        <v>0</v>
      </c>
      <c r="BA204" s="48">
        <f>IF(BA$8=1,IF(Reales!$C$40="PYG",IF(BA$10&gt;0,N(Reales!BA40)/BA$10,0),N(Reales!BA40)),BA$179*IF(AND(AND(48&gt;Corte,48&lt;=Corte+n_Ventana),ISNUMBER(Detalle_24m!BA$44)),Detalle_24m!BA$44,INDEX(Precio_V,3)*INDEX(IdxPrecio_V,1,MIN(10,BA$173)))*(1+V_dPrecio))</f>
        <v>0</v>
      </c>
      <c r="BB204" s="48">
        <f>IF(BB$8=1,IF(Reales!$C$40="PYG",IF(BB$10&gt;0,N(Reales!BB40)/BB$10,0),N(Reales!BB40)),BB$179*IF(AND(AND(49&gt;Corte,49&lt;=Corte+n_Ventana),ISNUMBER(Detalle_24m!BB$44)),Detalle_24m!BB$44,INDEX(Precio_V,3)*INDEX(IdxPrecio_V,1,MIN(10,BB$173)))*(1+V_dPrecio))</f>
        <v>0</v>
      </c>
      <c r="BC204" s="48">
        <f>IF(BC$8=1,IF(Reales!$C$40="PYG",IF(BC$10&gt;0,N(Reales!BC40)/BC$10,0),N(Reales!BC40)),BC$179*IF(AND(AND(50&gt;Corte,50&lt;=Corte+n_Ventana),ISNUMBER(Detalle_24m!BC$44)),Detalle_24m!BC$44,INDEX(Precio_V,3)*INDEX(IdxPrecio_V,1,MIN(10,BC$173)))*(1+V_dPrecio))</f>
        <v>0</v>
      </c>
      <c r="BD204" s="48">
        <f>IF(BD$8=1,IF(Reales!$C$40="PYG",IF(BD$10&gt;0,N(Reales!BD40)/BD$10,0),N(Reales!BD40)),BD$179*IF(AND(AND(51&gt;Corte,51&lt;=Corte+n_Ventana),ISNUMBER(Detalle_24m!BD$44)),Detalle_24m!BD$44,INDEX(Precio_V,3)*INDEX(IdxPrecio_V,1,MIN(10,BD$173)))*(1+V_dPrecio))</f>
        <v>0</v>
      </c>
      <c r="BE204" s="48">
        <f>IF(BE$8=1,IF(Reales!$C$40="PYG",IF(BE$10&gt;0,N(Reales!BE40)/BE$10,0),N(Reales!BE40)),BE$179*IF(AND(AND(52&gt;Corte,52&lt;=Corte+n_Ventana),ISNUMBER(Detalle_24m!BE$44)),Detalle_24m!BE$44,INDEX(Precio_V,3)*INDEX(IdxPrecio_V,1,MIN(10,BE$173)))*(1+V_dPrecio))</f>
        <v>0</v>
      </c>
      <c r="BF204" s="48">
        <f>IF(BF$8=1,IF(Reales!$C$40="PYG",IF(BF$10&gt;0,N(Reales!BF40)/BF$10,0),N(Reales!BF40)),BF$179*IF(AND(AND(53&gt;Corte,53&lt;=Corte+n_Ventana),ISNUMBER(Detalle_24m!BF$44)),Detalle_24m!BF$44,INDEX(Precio_V,3)*INDEX(IdxPrecio_V,1,MIN(10,BF$173)))*(1+V_dPrecio))</f>
        <v>0</v>
      </c>
      <c r="BG204" s="48">
        <f>IF(BG$8=1,IF(Reales!$C$40="PYG",IF(BG$10&gt;0,N(Reales!BG40)/BG$10,0),N(Reales!BG40)),BG$179*IF(AND(AND(54&gt;Corte,54&lt;=Corte+n_Ventana),ISNUMBER(Detalle_24m!BG$44)),Detalle_24m!BG$44,INDEX(Precio_V,3)*INDEX(IdxPrecio_V,1,MIN(10,BG$173)))*(1+V_dPrecio))</f>
        <v>0</v>
      </c>
      <c r="BH204" s="48">
        <f>IF(BH$8=1,IF(Reales!$C$40="PYG",IF(BH$10&gt;0,N(Reales!BH40)/BH$10,0),N(Reales!BH40)),BH$179*IF(AND(AND(55&gt;Corte,55&lt;=Corte+n_Ventana),ISNUMBER(Detalle_24m!BH$44)),Detalle_24m!BH$44,INDEX(Precio_V,3)*INDEX(IdxPrecio_V,1,MIN(10,BH$173)))*(1+V_dPrecio))</f>
        <v>0</v>
      </c>
      <c r="BI204" s="48">
        <f>IF(BI$8=1,IF(Reales!$C$40="PYG",IF(BI$10&gt;0,N(Reales!BI40)/BI$10,0),N(Reales!BI40)),BI$179*IF(AND(AND(56&gt;Corte,56&lt;=Corte+n_Ventana),ISNUMBER(Detalle_24m!BI$44)),Detalle_24m!BI$44,INDEX(Precio_V,3)*INDEX(IdxPrecio_V,1,MIN(10,BI$173)))*(1+V_dPrecio))</f>
        <v>0</v>
      </c>
      <c r="BJ204" s="48">
        <f>IF(BJ$8=1,IF(Reales!$C$40="PYG",IF(BJ$10&gt;0,N(Reales!BJ40)/BJ$10,0),N(Reales!BJ40)),BJ$179*IF(AND(AND(57&gt;Corte,57&lt;=Corte+n_Ventana),ISNUMBER(Detalle_24m!BJ$44)),Detalle_24m!BJ$44,INDEX(Precio_V,3)*INDEX(IdxPrecio_V,1,MIN(10,BJ$173)))*(1+V_dPrecio))</f>
        <v>0</v>
      </c>
      <c r="BK204" s="48">
        <f>IF(BK$8=1,IF(Reales!$C$40="PYG",IF(BK$10&gt;0,N(Reales!BK40)/BK$10,0),N(Reales!BK40)),BK$179*IF(AND(AND(58&gt;Corte,58&lt;=Corte+n_Ventana),ISNUMBER(Detalle_24m!BK$44)),Detalle_24m!BK$44,INDEX(Precio_V,3)*INDEX(IdxPrecio_V,1,MIN(10,BK$173)))*(1+V_dPrecio))</f>
        <v>0</v>
      </c>
      <c r="BL204" s="48">
        <f>IF(BL$8=1,IF(Reales!$C$40="PYG",IF(BL$10&gt;0,N(Reales!BL40)/BL$10,0),N(Reales!BL40)),BL$179*IF(AND(AND(59&gt;Corte,59&lt;=Corte+n_Ventana),ISNUMBER(Detalle_24m!BL$44)),Detalle_24m!BL$44,INDEX(Precio_V,3)*INDEX(IdxPrecio_V,1,MIN(10,BL$173)))*(1+V_dPrecio))</f>
        <v>0</v>
      </c>
      <c r="BM204" s="48">
        <f>IF(BM$8=1,IF(Reales!$C$40="PYG",IF(BM$10&gt;0,N(Reales!BM40)/BM$10,0),N(Reales!BM40)),BM$179*IF(AND(AND(60&gt;Corte,60&lt;=Corte+n_Ventana),ISNUMBER(Detalle_24m!BM$44)),Detalle_24m!BM$44,INDEX(Precio_V,3)*INDEX(IdxPrecio_V,1,MIN(10,BM$173)))*(1+V_dPrecio))</f>
        <v>0</v>
      </c>
      <c r="BN204" s="48">
        <f>IF(BN$8=1,IF(Reales!$C$40="PYG",IF(BN$10&gt;0,N(Reales!BN40)/BN$10,0),N(Reales!BN40)),BN$179*IF(AND(AND(61&gt;Corte,61&lt;=Corte+n_Ventana),ISNUMBER(Detalle_24m!BN$44)),Detalle_24m!BN$44,INDEX(Precio_V,3)*INDEX(IdxPrecio_V,1,MIN(10,BN$173)))*(1+V_dPrecio))</f>
        <v>0</v>
      </c>
      <c r="BO204" s="48">
        <f>IF(BO$8=1,IF(Reales!$C$40="PYG",IF(BO$10&gt;0,N(Reales!BO40)/BO$10,0),N(Reales!BO40)),BO$179*IF(AND(AND(62&gt;Corte,62&lt;=Corte+n_Ventana),ISNUMBER(Detalle_24m!BO$44)),Detalle_24m!BO$44,INDEX(Precio_V,3)*INDEX(IdxPrecio_V,1,MIN(10,BO$173)))*(1+V_dPrecio))</f>
        <v>0</v>
      </c>
      <c r="BP204" s="48">
        <f>IF(BP$8=1,IF(Reales!$C$40="PYG",IF(BP$10&gt;0,N(Reales!BP40)/BP$10,0),N(Reales!BP40)),BP$179*IF(AND(AND(63&gt;Corte,63&lt;=Corte+n_Ventana),ISNUMBER(Detalle_24m!BP$44)),Detalle_24m!BP$44,INDEX(Precio_V,3)*INDEX(IdxPrecio_V,1,MIN(10,BP$173)))*(1+V_dPrecio))</f>
        <v>0</v>
      </c>
      <c r="BQ204" s="48">
        <f>IF(BQ$8=1,IF(Reales!$C$40="PYG",IF(BQ$10&gt;0,N(Reales!BQ40)/BQ$10,0),N(Reales!BQ40)),BQ$179*IF(AND(AND(64&gt;Corte,64&lt;=Corte+n_Ventana),ISNUMBER(Detalle_24m!BQ$44)),Detalle_24m!BQ$44,INDEX(Precio_V,3)*INDEX(IdxPrecio_V,1,MIN(10,BQ$173)))*(1+V_dPrecio))</f>
        <v>0</v>
      </c>
      <c r="BR204" s="48">
        <f>IF(BR$8=1,IF(Reales!$C$40="PYG",IF(BR$10&gt;0,N(Reales!BR40)/BR$10,0),N(Reales!BR40)),BR$179*IF(AND(AND(65&gt;Corte,65&lt;=Corte+n_Ventana),ISNUMBER(Detalle_24m!BR$44)),Detalle_24m!BR$44,INDEX(Precio_V,3)*INDEX(IdxPrecio_V,1,MIN(10,BR$173)))*(1+V_dPrecio))</f>
        <v>0</v>
      </c>
      <c r="BS204" s="48">
        <f>IF(BS$8=1,IF(Reales!$C$40="PYG",IF(BS$10&gt;0,N(Reales!BS40)/BS$10,0),N(Reales!BS40)),BS$179*IF(AND(AND(66&gt;Corte,66&lt;=Corte+n_Ventana),ISNUMBER(Detalle_24m!BS$44)),Detalle_24m!BS$44,INDEX(Precio_V,3)*INDEX(IdxPrecio_V,1,MIN(10,BS$173)))*(1+V_dPrecio))</f>
        <v>0</v>
      </c>
      <c r="BT204" s="48">
        <f>IF(BT$8=1,IF(Reales!$C$40="PYG",IF(BT$10&gt;0,N(Reales!BT40)/BT$10,0),N(Reales!BT40)),BT$179*IF(AND(AND(67&gt;Corte,67&lt;=Corte+n_Ventana),ISNUMBER(Detalle_24m!BT$44)),Detalle_24m!BT$44,INDEX(Precio_V,3)*INDEX(IdxPrecio_V,1,MIN(10,BT$173)))*(1+V_dPrecio))</f>
        <v>0</v>
      </c>
      <c r="BU204" s="48">
        <f>IF(BU$8=1,IF(Reales!$C$40="PYG",IF(BU$10&gt;0,N(Reales!BU40)/BU$10,0),N(Reales!BU40)),BU$179*IF(AND(AND(68&gt;Corte,68&lt;=Corte+n_Ventana),ISNUMBER(Detalle_24m!BU$44)),Detalle_24m!BU$44,INDEX(Precio_V,3)*INDEX(IdxPrecio_V,1,MIN(10,BU$173)))*(1+V_dPrecio))</f>
        <v>0</v>
      </c>
      <c r="BV204" s="48">
        <f>IF(BV$8=1,IF(Reales!$C$40="PYG",IF(BV$10&gt;0,N(Reales!BV40)/BV$10,0),N(Reales!BV40)),BV$179*IF(AND(AND(69&gt;Corte,69&lt;=Corte+n_Ventana),ISNUMBER(Detalle_24m!BV$44)),Detalle_24m!BV$44,INDEX(Precio_V,3)*INDEX(IdxPrecio_V,1,MIN(10,BV$173)))*(1+V_dPrecio))</f>
        <v>0</v>
      </c>
      <c r="BW204" s="48">
        <f>IF(BW$8=1,IF(Reales!$C$40="PYG",IF(BW$10&gt;0,N(Reales!BW40)/BW$10,0),N(Reales!BW40)),BW$179*IF(AND(AND(70&gt;Corte,70&lt;=Corte+n_Ventana),ISNUMBER(Detalle_24m!BW$44)),Detalle_24m!BW$44,INDEX(Precio_V,3)*INDEX(IdxPrecio_V,1,MIN(10,BW$173)))*(1+V_dPrecio))</f>
        <v>0</v>
      </c>
      <c r="BX204" s="48">
        <f>IF(BX$8=1,IF(Reales!$C$40="PYG",IF(BX$10&gt;0,N(Reales!BX40)/BX$10,0),N(Reales!BX40)),BX$179*IF(AND(AND(71&gt;Corte,71&lt;=Corte+n_Ventana),ISNUMBER(Detalle_24m!BX$44)),Detalle_24m!BX$44,INDEX(Precio_V,3)*INDEX(IdxPrecio_V,1,MIN(10,BX$173)))*(1+V_dPrecio))</f>
        <v>0</v>
      </c>
      <c r="BY204" s="48">
        <f>IF(BY$8=1,IF(Reales!$C$40="PYG",IF(BY$10&gt;0,N(Reales!BY40)/BY$10,0),N(Reales!BY40)),BY$179*IF(AND(AND(72&gt;Corte,72&lt;=Corte+n_Ventana),ISNUMBER(Detalle_24m!BY$44)),Detalle_24m!BY$44,INDEX(Precio_V,3)*INDEX(IdxPrecio_V,1,MIN(10,BY$173)))*(1+V_dPrecio))</f>
        <v>0</v>
      </c>
      <c r="BZ204" s="48">
        <f>IF(BZ$8=1,IF(Reales!$C$40="PYG",IF(BZ$10&gt;0,N(Reales!BZ40)/BZ$10,0),N(Reales!BZ40)),BZ$179*IF(AND(AND(73&gt;Corte,73&lt;=Corte+n_Ventana),ISNUMBER(Detalle_24m!BZ$44)),Detalle_24m!BZ$44,INDEX(Precio_V,3)*INDEX(IdxPrecio_V,1,MIN(10,BZ$173)))*(1+V_dPrecio))</f>
        <v>0</v>
      </c>
      <c r="CA204" s="48">
        <f>IF(CA$8=1,IF(Reales!$C$40="PYG",IF(CA$10&gt;0,N(Reales!CA40)/CA$10,0),N(Reales!CA40)),CA$179*IF(AND(AND(74&gt;Corte,74&lt;=Corte+n_Ventana),ISNUMBER(Detalle_24m!CA$44)),Detalle_24m!CA$44,INDEX(Precio_V,3)*INDEX(IdxPrecio_V,1,MIN(10,CA$173)))*(1+V_dPrecio))</f>
        <v>0</v>
      </c>
      <c r="CB204" s="48">
        <f>IF(CB$8=1,IF(Reales!$C$40="PYG",IF(CB$10&gt;0,N(Reales!CB40)/CB$10,0),N(Reales!CB40)),CB$179*IF(AND(AND(75&gt;Corte,75&lt;=Corte+n_Ventana),ISNUMBER(Detalle_24m!CB$44)),Detalle_24m!CB$44,INDEX(Precio_V,3)*INDEX(IdxPrecio_V,1,MIN(10,CB$173)))*(1+V_dPrecio))</f>
        <v>0</v>
      </c>
      <c r="CC204" s="48">
        <f>IF(CC$8=1,IF(Reales!$C$40="PYG",IF(CC$10&gt;0,N(Reales!CC40)/CC$10,0),N(Reales!CC40)),CC$179*IF(AND(AND(76&gt;Corte,76&lt;=Corte+n_Ventana),ISNUMBER(Detalle_24m!CC$44)),Detalle_24m!CC$44,INDEX(Precio_V,3)*INDEX(IdxPrecio_V,1,MIN(10,CC$173)))*(1+V_dPrecio))</f>
        <v>0</v>
      </c>
      <c r="CD204" s="48">
        <f>IF(CD$8=1,IF(Reales!$C$40="PYG",IF(CD$10&gt;0,N(Reales!CD40)/CD$10,0),N(Reales!CD40)),CD$179*IF(AND(AND(77&gt;Corte,77&lt;=Corte+n_Ventana),ISNUMBER(Detalle_24m!CD$44)),Detalle_24m!CD$44,INDEX(Precio_V,3)*INDEX(IdxPrecio_V,1,MIN(10,CD$173)))*(1+V_dPrecio))</f>
        <v>0</v>
      </c>
      <c r="CE204" s="48">
        <f>IF(CE$8=1,IF(Reales!$C$40="PYG",IF(CE$10&gt;0,N(Reales!CE40)/CE$10,0),N(Reales!CE40)),CE$179*IF(AND(AND(78&gt;Corte,78&lt;=Corte+n_Ventana),ISNUMBER(Detalle_24m!CE$44)),Detalle_24m!CE$44,INDEX(Precio_V,3)*INDEX(IdxPrecio_V,1,MIN(10,CE$173)))*(1+V_dPrecio))</f>
        <v>0</v>
      </c>
      <c r="CF204" s="48">
        <f>IF(CF$8=1,IF(Reales!$C$40="PYG",IF(CF$10&gt;0,N(Reales!CF40)/CF$10,0),N(Reales!CF40)),CF$179*IF(AND(AND(79&gt;Corte,79&lt;=Corte+n_Ventana),ISNUMBER(Detalle_24m!CF$44)),Detalle_24m!CF$44,INDEX(Precio_V,3)*INDEX(IdxPrecio_V,1,MIN(10,CF$173)))*(1+V_dPrecio))</f>
        <v>0</v>
      </c>
      <c r="CG204" s="48">
        <f>IF(CG$8=1,IF(Reales!$C$40="PYG",IF(CG$10&gt;0,N(Reales!CG40)/CG$10,0),N(Reales!CG40)),CG$179*IF(AND(AND(80&gt;Corte,80&lt;=Corte+n_Ventana),ISNUMBER(Detalle_24m!CG$44)),Detalle_24m!CG$44,INDEX(Precio_V,3)*INDEX(IdxPrecio_V,1,MIN(10,CG$173)))*(1+V_dPrecio))</f>
        <v>0</v>
      </c>
      <c r="CH204" s="48">
        <f>IF(CH$8=1,IF(Reales!$C$40="PYG",IF(CH$10&gt;0,N(Reales!CH40)/CH$10,0),N(Reales!CH40)),CH$179*IF(AND(AND(81&gt;Corte,81&lt;=Corte+n_Ventana),ISNUMBER(Detalle_24m!CH$44)),Detalle_24m!CH$44,INDEX(Precio_V,3)*INDEX(IdxPrecio_V,1,MIN(10,CH$173)))*(1+V_dPrecio))</f>
        <v>0</v>
      </c>
      <c r="CI204" s="48">
        <f>IF(CI$8=1,IF(Reales!$C$40="PYG",IF(CI$10&gt;0,N(Reales!CI40)/CI$10,0),N(Reales!CI40)),CI$179*IF(AND(AND(82&gt;Corte,82&lt;=Corte+n_Ventana),ISNUMBER(Detalle_24m!CI$44)),Detalle_24m!CI$44,INDEX(Precio_V,3)*INDEX(IdxPrecio_V,1,MIN(10,CI$173)))*(1+V_dPrecio))</f>
        <v>0</v>
      </c>
      <c r="CJ204" s="48">
        <f>IF(CJ$8=1,IF(Reales!$C$40="PYG",IF(CJ$10&gt;0,N(Reales!CJ40)/CJ$10,0),N(Reales!CJ40)),CJ$179*IF(AND(AND(83&gt;Corte,83&lt;=Corte+n_Ventana),ISNUMBER(Detalle_24m!CJ$44)),Detalle_24m!CJ$44,INDEX(Precio_V,3)*INDEX(IdxPrecio_V,1,MIN(10,CJ$173)))*(1+V_dPrecio))</f>
        <v>0</v>
      </c>
      <c r="CK204" s="48">
        <f>IF(CK$8=1,IF(Reales!$C$40="PYG",IF(CK$10&gt;0,N(Reales!CK40)/CK$10,0),N(Reales!CK40)),CK$179*IF(AND(AND(84&gt;Corte,84&lt;=Corte+n_Ventana),ISNUMBER(Detalle_24m!CK$44)),Detalle_24m!CK$44,INDEX(Precio_V,3)*INDEX(IdxPrecio_V,1,MIN(10,CK$173)))*(1+V_dPrecio))</f>
        <v>0</v>
      </c>
      <c r="CL204" s="48">
        <f>IF(CL$8=1,IF(Reales!$C$40="PYG",IF(CL$10&gt;0,N(Reales!CL40)/CL$10,0),N(Reales!CL40)),CL$179*IF(AND(AND(85&gt;Corte,85&lt;=Corte+n_Ventana),ISNUMBER(Detalle_24m!CL$44)),Detalle_24m!CL$44,INDEX(Precio_V,3)*INDEX(IdxPrecio_V,1,MIN(10,CL$173)))*(1+V_dPrecio))</f>
        <v>0</v>
      </c>
      <c r="CM204" s="48">
        <f>IF(CM$8=1,IF(Reales!$C$40="PYG",IF(CM$10&gt;0,N(Reales!CM40)/CM$10,0),N(Reales!CM40)),CM$179*IF(AND(AND(86&gt;Corte,86&lt;=Corte+n_Ventana),ISNUMBER(Detalle_24m!CM$44)),Detalle_24m!CM$44,INDEX(Precio_V,3)*INDEX(IdxPrecio_V,1,MIN(10,CM$173)))*(1+V_dPrecio))</f>
        <v>0</v>
      </c>
      <c r="CN204" s="48">
        <f>IF(CN$8=1,IF(Reales!$C$40="PYG",IF(CN$10&gt;0,N(Reales!CN40)/CN$10,0),N(Reales!CN40)),CN$179*IF(AND(AND(87&gt;Corte,87&lt;=Corte+n_Ventana),ISNUMBER(Detalle_24m!CN$44)),Detalle_24m!CN$44,INDEX(Precio_V,3)*INDEX(IdxPrecio_V,1,MIN(10,CN$173)))*(1+V_dPrecio))</f>
        <v>0</v>
      </c>
      <c r="CO204" s="48">
        <f>IF(CO$8=1,IF(Reales!$C$40="PYG",IF(CO$10&gt;0,N(Reales!CO40)/CO$10,0),N(Reales!CO40)),CO$179*IF(AND(AND(88&gt;Corte,88&lt;=Corte+n_Ventana),ISNUMBER(Detalle_24m!CO$44)),Detalle_24m!CO$44,INDEX(Precio_V,3)*INDEX(IdxPrecio_V,1,MIN(10,CO$173)))*(1+V_dPrecio))</f>
        <v>0</v>
      </c>
      <c r="CP204" s="48">
        <f>IF(CP$8=1,IF(Reales!$C$40="PYG",IF(CP$10&gt;0,N(Reales!CP40)/CP$10,0),N(Reales!CP40)),CP$179*IF(AND(AND(89&gt;Corte,89&lt;=Corte+n_Ventana),ISNUMBER(Detalle_24m!CP$44)),Detalle_24m!CP$44,INDEX(Precio_V,3)*INDEX(IdxPrecio_V,1,MIN(10,CP$173)))*(1+V_dPrecio))</f>
        <v>0</v>
      </c>
      <c r="CQ204" s="48">
        <f>IF(CQ$8=1,IF(Reales!$C$40="PYG",IF(CQ$10&gt;0,N(Reales!CQ40)/CQ$10,0),N(Reales!CQ40)),CQ$179*IF(AND(AND(90&gt;Corte,90&lt;=Corte+n_Ventana),ISNUMBER(Detalle_24m!CQ$44)),Detalle_24m!CQ$44,INDEX(Precio_V,3)*INDEX(IdxPrecio_V,1,MIN(10,CQ$173)))*(1+V_dPrecio))</f>
        <v>0</v>
      </c>
      <c r="CR204" s="48">
        <f>IF(CR$8=1,IF(Reales!$C$40="PYG",IF(CR$10&gt;0,N(Reales!CR40)/CR$10,0),N(Reales!CR40)),CR$179*IF(AND(AND(91&gt;Corte,91&lt;=Corte+n_Ventana),ISNUMBER(Detalle_24m!CR$44)),Detalle_24m!CR$44,INDEX(Precio_V,3)*INDEX(IdxPrecio_V,1,MIN(10,CR$173)))*(1+V_dPrecio))</f>
        <v>0</v>
      </c>
      <c r="CS204" s="48">
        <f>IF(CS$8=1,IF(Reales!$C$40="PYG",IF(CS$10&gt;0,N(Reales!CS40)/CS$10,0),N(Reales!CS40)),CS$179*IF(AND(AND(92&gt;Corte,92&lt;=Corte+n_Ventana),ISNUMBER(Detalle_24m!CS$44)),Detalle_24m!CS$44,INDEX(Precio_V,3)*INDEX(IdxPrecio_V,1,MIN(10,CS$173)))*(1+V_dPrecio))</f>
        <v>0</v>
      </c>
      <c r="CT204" s="48">
        <f>IF(CT$8=1,IF(Reales!$C$40="PYG",IF(CT$10&gt;0,N(Reales!CT40)/CT$10,0),N(Reales!CT40)),CT$179*IF(AND(AND(93&gt;Corte,93&lt;=Corte+n_Ventana),ISNUMBER(Detalle_24m!CT$44)),Detalle_24m!CT$44,INDEX(Precio_V,3)*INDEX(IdxPrecio_V,1,MIN(10,CT$173)))*(1+V_dPrecio))</f>
        <v>0</v>
      </c>
      <c r="CU204" s="48">
        <f>IF(CU$8=1,IF(Reales!$C$40="PYG",IF(CU$10&gt;0,N(Reales!CU40)/CU$10,0),N(Reales!CU40)),CU$179*IF(AND(AND(94&gt;Corte,94&lt;=Corte+n_Ventana),ISNUMBER(Detalle_24m!CU$44)),Detalle_24m!CU$44,INDEX(Precio_V,3)*INDEX(IdxPrecio_V,1,MIN(10,CU$173)))*(1+V_dPrecio))</f>
        <v>0</v>
      </c>
      <c r="CV204" s="48">
        <f>IF(CV$8=1,IF(Reales!$C$40="PYG",IF(CV$10&gt;0,N(Reales!CV40)/CV$10,0),N(Reales!CV40)),CV$179*IF(AND(AND(95&gt;Corte,95&lt;=Corte+n_Ventana),ISNUMBER(Detalle_24m!CV$44)),Detalle_24m!CV$44,INDEX(Precio_V,3)*INDEX(IdxPrecio_V,1,MIN(10,CV$173)))*(1+V_dPrecio))</f>
        <v>0</v>
      </c>
      <c r="CW204" s="48">
        <f>IF(CW$8=1,IF(Reales!$C$40="PYG",IF(CW$10&gt;0,N(Reales!CW40)/CW$10,0),N(Reales!CW40)),CW$179*IF(AND(AND(96&gt;Corte,96&lt;=Corte+n_Ventana),ISNUMBER(Detalle_24m!CW$44)),Detalle_24m!CW$44,INDEX(Precio_V,3)*INDEX(IdxPrecio_V,1,MIN(10,CW$173)))*(1+V_dPrecio))</f>
        <v>0</v>
      </c>
      <c r="CX204" s="48">
        <f>IF(CX$8=1,IF(Reales!$C$40="PYG",IF(CX$10&gt;0,N(Reales!CX40)/CX$10,0),N(Reales!CX40)),CX$179*IF(AND(AND(97&gt;Corte,97&lt;=Corte+n_Ventana),ISNUMBER(Detalle_24m!CX$44)),Detalle_24m!CX$44,INDEX(Precio_V,3)*INDEX(IdxPrecio_V,1,MIN(10,CX$173)))*(1+V_dPrecio))</f>
        <v>0</v>
      </c>
      <c r="CY204" s="48">
        <f>IF(CY$8=1,IF(Reales!$C$40="PYG",IF(CY$10&gt;0,N(Reales!CY40)/CY$10,0),N(Reales!CY40)),CY$179*IF(AND(AND(98&gt;Corte,98&lt;=Corte+n_Ventana),ISNUMBER(Detalle_24m!CY$44)),Detalle_24m!CY$44,INDEX(Precio_V,3)*INDEX(IdxPrecio_V,1,MIN(10,CY$173)))*(1+V_dPrecio))</f>
        <v>0</v>
      </c>
      <c r="CZ204" s="48">
        <f>IF(CZ$8=1,IF(Reales!$C$40="PYG",IF(CZ$10&gt;0,N(Reales!CZ40)/CZ$10,0),N(Reales!CZ40)),CZ$179*IF(AND(AND(99&gt;Corte,99&lt;=Corte+n_Ventana),ISNUMBER(Detalle_24m!CZ$44)),Detalle_24m!CZ$44,INDEX(Precio_V,3)*INDEX(IdxPrecio_V,1,MIN(10,CZ$173)))*(1+V_dPrecio))</f>
        <v>0</v>
      </c>
      <c r="DA204" s="48">
        <f>IF(DA$8=1,IF(Reales!$C$40="PYG",IF(DA$10&gt;0,N(Reales!DA40)/DA$10,0),N(Reales!DA40)),DA$179*IF(AND(AND(100&gt;Corte,100&lt;=Corte+n_Ventana),ISNUMBER(Detalle_24m!DA$44)),Detalle_24m!DA$44,INDEX(Precio_V,3)*INDEX(IdxPrecio_V,1,MIN(10,DA$173)))*(1+V_dPrecio))</f>
        <v>0</v>
      </c>
      <c r="DB204" s="48">
        <f>IF(DB$8=1,IF(Reales!$C$40="PYG",IF(DB$10&gt;0,N(Reales!DB40)/DB$10,0),N(Reales!DB40)),DB$179*IF(AND(AND(101&gt;Corte,101&lt;=Corte+n_Ventana),ISNUMBER(Detalle_24m!DB$44)),Detalle_24m!DB$44,INDEX(Precio_V,3)*INDEX(IdxPrecio_V,1,MIN(10,DB$173)))*(1+V_dPrecio))</f>
        <v>0</v>
      </c>
      <c r="DC204" s="48">
        <f>IF(DC$8=1,IF(Reales!$C$40="PYG",IF(DC$10&gt;0,N(Reales!DC40)/DC$10,0),N(Reales!DC40)),DC$179*IF(AND(AND(102&gt;Corte,102&lt;=Corte+n_Ventana),ISNUMBER(Detalle_24m!DC$44)),Detalle_24m!DC$44,INDEX(Precio_V,3)*INDEX(IdxPrecio_V,1,MIN(10,DC$173)))*(1+V_dPrecio))</f>
        <v>0</v>
      </c>
      <c r="DD204" s="48">
        <f>IF(DD$8=1,IF(Reales!$C$40="PYG",IF(DD$10&gt;0,N(Reales!DD40)/DD$10,0),N(Reales!DD40)),DD$179*IF(AND(AND(103&gt;Corte,103&lt;=Corte+n_Ventana),ISNUMBER(Detalle_24m!DD$44)),Detalle_24m!DD$44,INDEX(Precio_V,3)*INDEX(IdxPrecio_V,1,MIN(10,DD$173)))*(1+V_dPrecio))</f>
        <v>0</v>
      </c>
      <c r="DE204" s="48">
        <f>IF(DE$8=1,IF(Reales!$C$40="PYG",IF(DE$10&gt;0,N(Reales!DE40)/DE$10,0),N(Reales!DE40)),DE$179*IF(AND(AND(104&gt;Corte,104&lt;=Corte+n_Ventana),ISNUMBER(Detalle_24m!DE$44)),Detalle_24m!DE$44,INDEX(Precio_V,3)*INDEX(IdxPrecio_V,1,MIN(10,DE$173)))*(1+V_dPrecio))</f>
        <v>0</v>
      </c>
      <c r="DF204" s="48">
        <f>IF(DF$8=1,IF(Reales!$C$40="PYG",IF(DF$10&gt;0,N(Reales!DF40)/DF$10,0),N(Reales!DF40)),DF$179*IF(AND(AND(105&gt;Corte,105&lt;=Corte+n_Ventana),ISNUMBER(Detalle_24m!DF$44)),Detalle_24m!DF$44,INDEX(Precio_V,3)*INDEX(IdxPrecio_V,1,MIN(10,DF$173)))*(1+V_dPrecio))</f>
        <v>0</v>
      </c>
      <c r="DG204" s="48">
        <f>IF(DG$8=1,IF(Reales!$C$40="PYG",IF(DG$10&gt;0,N(Reales!DG40)/DG$10,0),N(Reales!DG40)),DG$179*IF(AND(AND(106&gt;Corte,106&lt;=Corte+n_Ventana),ISNUMBER(Detalle_24m!DG$44)),Detalle_24m!DG$44,INDEX(Precio_V,3)*INDEX(IdxPrecio_V,1,MIN(10,DG$173)))*(1+V_dPrecio))</f>
        <v>0</v>
      </c>
      <c r="DH204" s="48">
        <f>IF(DH$8=1,IF(Reales!$C$40="PYG",IF(DH$10&gt;0,N(Reales!DH40)/DH$10,0),N(Reales!DH40)),DH$179*IF(AND(AND(107&gt;Corte,107&lt;=Corte+n_Ventana),ISNUMBER(Detalle_24m!DH$44)),Detalle_24m!DH$44,INDEX(Precio_V,3)*INDEX(IdxPrecio_V,1,MIN(10,DH$173)))*(1+V_dPrecio))</f>
        <v>0</v>
      </c>
      <c r="DI204" s="48">
        <f>IF(DI$8=1,IF(Reales!$C$40="PYG",IF(DI$10&gt;0,N(Reales!DI40)/DI$10,0),N(Reales!DI40)),DI$179*IF(AND(AND(108&gt;Corte,108&lt;=Corte+n_Ventana),ISNUMBER(Detalle_24m!DI$44)),Detalle_24m!DI$44,INDEX(Precio_V,3)*INDEX(IdxPrecio_V,1,MIN(10,DI$173)))*(1+V_dPrecio))</f>
        <v>0</v>
      </c>
      <c r="DJ204" s="48">
        <f>IF(DJ$8=1,IF(Reales!$C$40="PYG",IF(DJ$10&gt;0,N(Reales!DJ40)/DJ$10,0),N(Reales!DJ40)),DJ$179*IF(AND(AND(109&gt;Corte,109&lt;=Corte+n_Ventana),ISNUMBER(Detalle_24m!DJ$44)),Detalle_24m!DJ$44,INDEX(Precio_V,3)*INDEX(IdxPrecio_V,1,MIN(10,DJ$173)))*(1+V_dPrecio))</f>
        <v>0</v>
      </c>
      <c r="DK204" s="48">
        <f>IF(DK$8=1,IF(Reales!$C$40="PYG",IF(DK$10&gt;0,N(Reales!DK40)/DK$10,0),N(Reales!DK40)),DK$179*IF(AND(AND(110&gt;Corte,110&lt;=Corte+n_Ventana),ISNUMBER(Detalle_24m!DK$44)),Detalle_24m!DK$44,INDEX(Precio_V,3)*INDEX(IdxPrecio_V,1,MIN(10,DK$173)))*(1+V_dPrecio))</f>
        <v>0</v>
      </c>
      <c r="DL204" s="48">
        <f>IF(DL$8=1,IF(Reales!$C$40="PYG",IF(DL$10&gt;0,N(Reales!DL40)/DL$10,0),N(Reales!DL40)),DL$179*IF(AND(AND(111&gt;Corte,111&lt;=Corte+n_Ventana),ISNUMBER(Detalle_24m!DL$44)),Detalle_24m!DL$44,INDEX(Precio_V,3)*INDEX(IdxPrecio_V,1,MIN(10,DL$173)))*(1+V_dPrecio))</f>
        <v>0</v>
      </c>
      <c r="DM204" s="48">
        <f>IF(DM$8=1,IF(Reales!$C$40="PYG",IF(DM$10&gt;0,N(Reales!DM40)/DM$10,0),N(Reales!DM40)),DM$179*IF(AND(AND(112&gt;Corte,112&lt;=Corte+n_Ventana),ISNUMBER(Detalle_24m!DM$44)),Detalle_24m!DM$44,INDEX(Precio_V,3)*INDEX(IdxPrecio_V,1,MIN(10,DM$173)))*(1+V_dPrecio))</f>
        <v>0</v>
      </c>
      <c r="DN204" s="48">
        <f>IF(DN$8=1,IF(Reales!$C$40="PYG",IF(DN$10&gt;0,N(Reales!DN40)/DN$10,0),N(Reales!DN40)),DN$179*IF(AND(AND(113&gt;Corte,113&lt;=Corte+n_Ventana),ISNUMBER(Detalle_24m!DN$44)),Detalle_24m!DN$44,INDEX(Precio_V,3)*INDEX(IdxPrecio_V,1,MIN(10,DN$173)))*(1+V_dPrecio))</f>
        <v>0</v>
      </c>
      <c r="DO204" s="48">
        <f>IF(DO$8=1,IF(Reales!$C$40="PYG",IF(DO$10&gt;0,N(Reales!DO40)/DO$10,0),N(Reales!DO40)),DO$179*IF(AND(AND(114&gt;Corte,114&lt;=Corte+n_Ventana),ISNUMBER(Detalle_24m!DO$44)),Detalle_24m!DO$44,INDEX(Precio_V,3)*INDEX(IdxPrecio_V,1,MIN(10,DO$173)))*(1+V_dPrecio))</f>
        <v>0</v>
      </c>
      <c r="DP204" s="48">
        <f>IF(DP$8=1,IF(Reales!$C$40="PYG",IF(DP$10&gt;0,N(Reales!DP40)/DP$10,0),N(Reales!DP40)),DP$179*IF(AND(AND(115&gt;Corte,115&lt;=Corte+n_Ventana),ISNUMBER(Detalle_24m!DP$44)),Detalle_24m!DP$44,INDEX(Precio_V,3)*INDEX(IdxPrecio_V,1,MIN(10,DP$173)))*(1+V_dPrecio))</f>
        <v>0</v>
      </c>
      <c r="DQ204" s="48">
        <f>IF(DQ$8=1,IF(Reales!$C$40="PYG",IF(DQ$10&gt;0,N(Reales!DQ40)/DQ$10,0),N(Reales!DQ40)),DQ$179*IF(AND(AND(116&gt;Corte,116&lt;=Corte+n_Ventana),ISNUMBER(Detalle_24m!DQ$44)),Detalle_24m!DQ$44,INDEX(Precio_V,3)*INDEX(IdxPrecio_V,1,MIN(10,DQ$173)))*(1+V_dPrecio))</f>
        <v>0</v>
      </c>
      <c r="DR204" s="48">
        <f>IF(DR$8=1,IF(Reales!$C$40="PYG",IF(DR$10&gt;0,N(Reales!DR40)/DR$10,0),N(Reales!DR40)),DR$179*IF(AND(AND(117&gt;Corte,117&lt;=Corte+n_Ventana),ISNUMBER(Detalle_24m!DR$44)),Detalle_24m!DR$44,INDEX(Precio_V,3)*INDEX(IdxPrecio_V,1,MIN(10,DR$173)))*(1+V_dPrecio))</f>
        <v>0</v>
      </c>
      <c r="DS204" s="48">
        <f>IF(DS$8=1,IF(Reales!$C$40="PYG",IF(DS$10&gt;0,N(Reales!DS40)/DS$10,0),N(Reales!DS40)),DS$179*IF(AND(AND(118&gt;Corte,118&lt;=Corte+n_Ventana),ISNUMBER(Detalle_24m!DS$44)),Detalle_24m!DS$44,INDEX(Precio_V,3)*INDEX(IdxPrecio_V,1,MIN(10,DS$173)))*(1+V_dPrecio))</f>
        <v>0</v>
      </c>
      <c r="DT204" s="48">
        <f>IF(DT$8=1,IF(Reales!$C$40="PYG",IF(DT$10&gt;0,N(Reales!DT40)/DT$10,0),N(Reales!DT40)),DT$179*IF(AND(AND(119&gt;Corte,119&lt;=Corte+n_Ventana),ISNUMBER(Detalle_24m!DT$44)),Detalle_24m!DT$44,INDEX(Precio_V,3)*INDEX(IdxPrecio_V,1,MIN(10,DT$173)))*(1+V_dPrecio))</f>
        <v>0</v>
      </c>
      <c r="DU204" s="48">
        <f>IF(DU$8=1,IF(Reales!$C$40="PYG",IF(DU$10&gt;0,N(Reales!DU40)/DU$10,0),N(Reales!DU40)),DU$179*IF(AND(AND(120&gt;Corte,120&lt;=Corte+n_Ventana),ISNUMBER(Detalle_24m!DU$44)),Detalle_24m!DU$44,INDEX(Precio_V,3)*INDEX(IdxPrecio_V,1,MIN(10,DU$173)))*(1+V_dPrecio))</f>
        <v>0</v>
      </c>
      <c r="DV204" s="48">
        <f>IF(DV$8=1,IF(Reales!$C$40="PYG",IF(DV$10&gt;0,N(Reales!DV40)/DV$10,0),N(Reales!DV40)),DV$179*IF(AND(AND(121&gt;Corte,121&lt;=Corte+n_Ventana),ISNUMBER(Detalle_24m!DV$44)),Detalle_24m!DV$44,INDEX(Precio_V,3)*INDEX(IdxPrecio_V,1,MIN(10,DV$173)))*(1+V_dPrecio))</f>
        <v>0</v>
      </c>
      <c r="DW204" s="48">
        <f>IF(DW$8=1,IF(Reales!$C$40="PYG",IF(DW$10&gt;0,N(Reales!DW40)/DW$10,0),N(Reales!DW40)),DW$179*IF(AND(AND(122&gt;Corte,122&lt;=Corte+n_Ventana),ISNUMBER(Detalle_24m!DW$44)),Detalle_24m!DW$44,INDEX(Precio_V,3)*INDEX(IdxPrecio_V,1,MIN(10,DW$173)))*(1+V_dPrecio))</f>
        <v>0</v>
      </c>
      <c r="DX204" s="48">
        <f>IF(DX$8=1,IF(Reales!$C$40="PYG",IF(DX$10&gt;0,N(Reales!DX40)/DX$10,0),N(Reales!DX40)),DX$179*IF(AND(AND(123&gt;Corte,123&lt;=Corte+n_Ventana),ISNUMBER(Detalle_24m!DX$44)),Detalle_24m!DX$44,INDEX(Precio_V,3)*INDEX(IdxPrecio_V,1,MIN(10,DX$173)))*(1+V_dPrecio))</f>
        <v>0</v>
      </c>
      <c r="DY204" s="48">
        <f>IF(DY$8=1,IF(Reales!$C$40="PYG",IF(DY$10&gt;0,N(Reales!DY40)/DY$10,0),N(Reales!DY40)),DY$179*IF(AND(AND(124&gt;Corte,124&lt;=Corte+n_Ventana),ISNUMBER(Detalle_24m!DY$44)),Detalle_24m!DY$44,INDEX(Precio_V,3)*INDEX(IdxPrecio_V,1,MIN(10,DY$173)))*(1+V_dPrecio))</f>
        <v>0</v>
      </c>
      <c r="DZ204" s="48">
        <f>IF(DZ$8=1,IF(Reales!$C$40="PYG",IF(DZ$10&gt;0,N(Reales!DZ40)/DZ$10,0),N(Reales!DZ40)),DZ$179*IF(AND(AND(125&gt;Corte,125&lt;=Corte+n_Ventana),ISNUMBER(Detalle_24m!DZ$44)),Detalle_24m!DZ$44,INDEX(Precio_V,3)*INDEX(IdxPrecio_V,1,MIN(10,DZ$173)))*(1+V_dPrecio))</f>
        <v>0</v>
      </c>
      <c r="EA204" s="48">
        <f>IF(EA$8=1,IF(Reales!$C$40="PYG",IF(EA$10&gt;0,N(Reales!EA40)/EA$10,0),N(Reales!EA40)),EA$179*IF(AND(AND(126&gt;Corte,126&lt;=Corte+n_Ventana),ISNUMBER(Detalle_24m!EA$44)),Detalle_24m!EA$44,INDEX(Precio_V,3)*INDEX(IdxPrecio_V,1,MIN(10,EA$173)))*(1+V_dPrecio))</f>
        <v>0</v>
      </c>
      <c r="EB204" s="48">
        <f>IF(EB$8=1,IF(Reales!$C$40="PYG",IF(EB$10&gt;0,N(Reales!EB40)/EB$10,0),N(Reales!EB40)),EB$179*IF(AND(AND(127&gt;Corte,127&lt;=Corte+n_Ventana),ISNUMBER(Detalle_24m!EB$44)),Detalle_24m!EB$44,INDEX(Precio_V,3)*INDEX(IdxPrecio_V,1,MIN(10,EB$173)))*(1+V_dPrecio))</f>
        <v>0</v>
      </c>
      <c r="EC204" s="48">
        <f>IF(EC$8=1,IF(Reales!$C$40="PYG",IF(EC$10&gt;0,N(Reales!EC40)/EC$10,0),N(Reales!EC40)),EC$179*IF(AND(AND(128&gt;Corte,128&lt;=Corte+n_Ventana),ISNUMBER(Detalle_24m!EC$44)),Detalle_24m!EC$44,INDEX(Precio_V,3)*INDEX(IdxPrecio_V,1,MIN(10,EC$173)))*(1+V_dPrecio))</f>
        <v>0</v>
      </c>
      <c r="ED204" s="48">
        <f>IF(ED$8=1,IF(Reales!$C$40="PYG",IF(ED$10&gt;0,N(Reales!ED40)/ED$10,0),N(Reales!ED40)),ED$179*IF(AND(AND(129&gt;Corte,129&lt;=Corte+n_Ventana),ISNUMBER(Detalle_24m!ED$44)),Detalle_24m!ED$44,INDEX(Precio_V,3)*INDEX(IdxPrecio_V,1,MIN(10,ED$173)))*(1+V_dPrecio))</f>
        <v>0</v>
      </c>
      <c r="EE204" s="48">
        <f>IF(EE$8=1,IF(Reales!$C$40="PYG",IF(EE$10&gt;0,N(Reales!EE40)/EE$10,0),N(Reales!EE40)),EE$179*IF(AND(AND(130&gt;Corte,130&lt;=Corte+n_Ventana),ISNUMBER(Detalle_24m!EE$44)),Detalle_24m!EE$44,INDEX(Precio_V,3)*INDEX(IdxPrecio_V,1,MIN(10,EE$173)))*(1+V_dPrecio))</f>
        <v>0</v>
      </c>
      <c r="EF204" s="48">
        <f>IF(EF$8=1,IF(Reales!$C$40="PYG",IF(EF$10&gt;0,N(Reales!EF40)/EF$10,0),N(Reales!EF40)),EF$179*IF(AND(AND(131&gt;Corte,131&lt;=Corte+n_Ventana),ISNUMBER(Detalle_24m!EF$44)),Detalle_24m!EF$44,INDEX(Precio_V,3)*INDEX(IdxPrecio_V,1,MIN(10,EF$173)))*(1+V_dPrecio))</f>
        <v>0</v>
      </c>
      <c r="EG204" s="48">
        <f>IF(EG$8=1,IF(Reales!$C$40="PYG",IF(EG$10&gt;0,N(Reales!EG40)/EG$10,0),N(Reales!EG40)),EG$179*IF(AND(AND(132&gt;Corte,132&lt;=Corte+n_Ventana),ISNUMBER(Detalle_24m!EG$44)),Detalle_24m!EG$44,INDEX(Precio_V,3)*INDEX(IdxPrecio_V,1,MIN(10,EG$173)))*(1+V_dPrecio))</f>
        <v>0</v>
      </c>
      <c r="EH204" s="48">
        <f>IF(EH$8=1,IF(Reales!$C$40="PYG",IF(EH$10&gt;0,N(Reales!EH40)/EH$10,0),N(Reales!EH40)),EH$179*IF(AND(AND(133&gt;Corte,133&lt;=Corte+n_Ventana),ISNUMBER(Detalle_24m!EH$44)),Detalle_24m!EH$44,INDEX(Precio_V,3)*INDEX(IdxPrecio_V,1,MIN(10,EH$173)))*(1+V_dPrecio))</f>
        <v>0</v>
      </c>
      <c r="EI204" s="48">
        <f>IF(EI$8=1,IF(Reales!$C$40="PYG",IF(EI$10&gt;0,N(Reales!EI40)/EI$10,0),N(Reales!EI40)),EI$179*IF(AND(AND(134&gt;Corte,134&lt;=Corte+n_Ventana),ISNUMBER(Detalle_24m!EI$44)),Detalle_24m!EI$44,INDEX(Precio_V,3)*INDEX(IdxPrecio_V,1,MIN(10,EI$173)))*(1+V_dPrecio))</f>
        <v>0</v>
      </c>
      <c r="EJ204" s="48">
        <f>IF(EJ$8=1,IF(Reales!$C$40="PYG",IF(EJ$10&gt;0,N(Reales!EJ40)/EJ$10,0),N(Reales!EJ40)),EJ$179*IF(AND(AND(135&gt;Corte,135&lt;=Corte+n_Ventana),ISNUMBER(Detalle_24m!EJ$44)),Detalle_24m!EJ$44,INDEX(Precio_V,3)*INDEX(IdxPrecio_V,1,MIN(10,EJ$173)))*(1+V_dPrecio))</f>
        <v>0</v>
      </c>
      <c r="EK204" s="48">
        <f>IF(EK$8=1,IF(Reales!$C$40="PYG",IF(EK$10&gt;0,N(Reales!EK40)/EK$10,0),N(Reales!EK40)),EK$179*IF(AND(AND(136&gt;Corte,136&lt;=Corte+n_Ventana),ISNUMBER(Detalle_24m!EK$44)),Detalle_24m!EK$44,INDEX(Precio_V,3)*INDEX(IdxPrecio_V,1,MIN(10,EK$173)))*(1+V_dPrecio))</f>
        <v>0</v>
      </c>
      <c r="EL204" s="48">
        <f>IF(EL$8=1,IF(Reales!$C$40="PYG",IF(EL$10&gt;0,N(Reales!EL40)/EL$10,0),N(Reales!EL40)),EL$179*IF(AND(AND(137&gt;Corte,137&lt;=Corte+n_Ventana),ISNUMBER(Detalle_24m!EL$44)),Detalle_24m!EL$44,INDEX(Precio_V,3)*INDEX(IdxPrecio_V,1,MIN(10,EL$173)))*(1+V_dPrecio))</f>
        <v>0</v>
      </c>
      <c r="EM204" s="48">
        <f>IF(EM$8=1,IF(Reales!$C$40="PYG",IF(EM$10&gt;0,N(Reales!EM40)/EM$10,0),N(Reales!EM40)),EM$179*IF(AND(AND(138&gt;Corte,138&lt;=Corte+n_Ventana),ISNUMBER(Detalle_24m!EM$44)),Detalle_24m!EM$44,INDEX(Precio_V,3)*INDEX(IdxPrecio_V,1,MIN(10,EM$173)))*(1+V_dPrecio))</f>
        <v>0</v>
      </c>
      <c r="EN204" s="48">
        <f>IF(EN$8=1,IF(Reales!$C$40="PYG",IF(EN$10&gt;0,N(Reales!EN40)/EN$10,0),N(Reales!EN40)),EN$179*IF(AND(AND(139&gt;Corte,139&lt;=Corte+n_Ventana),ISNUMBER(Detalle_24m!EN$44)),Detalle_24m!EN$44,INDEX(Precio_V,3)*INDEX(IdxPrecio_V,1,MIN(10,EN$173)))*(1+V_dPrecio))</f>
        <v>0</v>
      </c>
      <c r="EO204" s="48">
        <f>IF(EO$8=1,IF(Reales!$C$40="PYG",IF(EO$10&gt;0,N(Reales!EO40)/EO$10,0),N(Reales!EO40)),EO$179*IF(AND(AND(140&gt;Corte,140&lt;=Corte+n_Ventana),ISNUMBER(Detalle_24m!EO$44)),Detalle_24m!EO$44,INDEX(Precio_V,3)*INDEX(IdxPrecio_V,1,MIN(10,EO$173)))*(1+V_dPrecio))</f>
        <v>0</v>
      </c>
      <c r="EP204" s="48">
        <f>IF(EP$8=1,IF(Reales!$C$40="PYG",IF(EP$10&gt;0,N(Reales!EP40)/EP$10,0),N(Reales!EP40)),EP$179*IF(AND(AND(141&gt;Corte,141&lt;=Corte+n_Ventana),ISNUMBER(Detalle_24m!EP$44)),Detalle_24m!EP$44,INDEX(Precio_V,3)*INDEX(IdxPrecio_V,1,MIN(10,EP$173)))*(1+V_dPrecio))</f>
        <v>0</v>
      </c>
      <c r="EQ204" s="48">
        <f>IF(EQ$8=1,IF(Reales!$C$40="PYG",IF(EQ$10&gt;0,N(Reales!EQ40)/EQ$10,0),N(Reales!EQ40)),EQ$179*IF(AND(AND(142&gt;Corte,142&lt;=Corte+n_Ventana),ISNUMBER(Detalle_24m!EQ$44)),Detalle_24m!EQ$44,INDEX(Precio_V,3)*INDEX(IdxPrecio_V,1,MIN(10,EQ$173)))*(1+V_dPrecio))</f>
        <v>0</v>
      </c>
      <c r="ER204" s="48">
        <f>IF(ER$8=1,IF(Reales!$C$40="PYG",IF(ER$10&gt;0,N(Reales!ER40)/ER$10,0),N(Reales!ER40)),ER$179*IF(AND(AND(143&gt;Corte,143&lt;=Corte+n_Ventana),ISNUMBER(Detalle_24m!ER$44)),Detalle_24m!ER$44,INDEX(Precio_V,3)*INDEX(IdxPrecio_V,1,MIN(10,ER$173)))*(1+V_dPrecio))</f>
        <v>0</v>
      </c>
      <c r="ES204" s="48">
        <f>IF(ES$8=1,IF(Reales!$C$40="PYG",IF(ES$10&gt;0,N(Reales!ES40)/ES$10,0),N(Reales!ES40)),ES$179*IF(AND(AND(144&gt;Corte,144&lt;=Corte+n_Ventana),ISNUMBER(Detalle_24m!ES$44)),Detalle_24m!ES$44,INDEX(Precio_V,3)*INDEX(IdxPrecio_V,1,MIN(10,ES$173)))*(1+V_dPrecio))</f>
        <v>0</v>
      </c>
    </row>
    <row r="205" spans="1:149" x14ac:dyDescent="0.3">
      <c r="A205" s="14" t="s">
        <v>1260</v>
      </c>
      <c r="B205" s="53" t="str">
        <f>IF(INDEX(Prod_Nombre,4)="","Producto 4",INDEX(Prod_Nombre,4))&amp;" — ventas USD"</f>
        <v>Producto 4 — ventas USD</v>
      </c>
      <c r="C205" s="18" t="s">
        <v>439</v>
      </c>
      <c r="E205" s="54">
        <f t="shared" si="604"/>
        <v>0</v>
      </c>
      <c r="F205" s="48">
        <f>IF(F$8=1,IF(Reales!$C$41="PYG",IF(F$10&gt;0,N(Reales!F41)/F$10,0),N(Reales!F41)),F$180*IF(AND(AND(1&gt;Corte,1&lt;=Corte+n_Ventana),ISNUMBER(Detalle_24m!F$45)),Detalle_24m!F$45,INDEX(Precio_V,4)*INDEX(IdxPrecio_V,1,MIN(10,F$173)))*(1+V_dPrecio))</f>
        <v>0</v>
      </c>
      <c r="G205" s="48">
        <f>IF(G$8=1,IF(Reales!$C$41="PYG",IF(G$10&gt;0,N(Reales!G41)/G$10,0),N(Reales!G41)),G$180*IF(AND(AND(2&gt;Corte,2&lt;=Corte+n_Ventana),ISNUMBER(Detalle_24m!G$45)),Detalle_24m!G$45,INDEX(Precio_V,4)*INDEX(IdxPrecio_V,1,MIN(10,G$173)))*(1+V_dPrecio))</f>
        <v>0</v>
      </c>
      <c r="H205" s="48">
        <f>IF(H$8=1,IF(Reales!$C$41="PYG",IF(H$10&gt;0,N(Reales!H41)/H$10,0),N(Reales!H41)),H$180*IF(AND(AND(3&gt;Corte,3&lt;=Corte+n_Ventana),ISNUMBER(Detalle_24m!H$45)),Detalle_24m!H$45,INDEX(Precio_V,4)*INDEX(IdxPrecio_V,1,MIN(10,H$173)))*(1+V_dPrecio))</f>
        <v>0</v>
      </c>
      <c r="I205" s="48">
        <f>IF(I$8=1,IF(Reales!$C$41="PYG",IF(I$10&gt;0,N(Reales!I41)/I$10,0),N(Reales!I41)),I$180*IF(AND(AND(4&gt;Corte,4&lt;=Corte+n_Ventana),ISNUMBER(Detalle_24m!I$45)),Detalle_24m!I$45,INDEX(Precio_V,4)*INDEX(IdxPrecio_V,1,MIN(10,I$173)))*(1+V_dPrecio))</f>
        <v>0</v>
      </c>
      <c r="J205" s="48">
        <f>IF(J$8=1,IF(Reales!$C$41="PYG",IF(J$10&gt;0,N(Reales!J41)/J$10,0),N(Reales!J41)),J$180*IF(AND(AND(5&gt;Corte,5&lt;=Corte+n_Ventana),ISNUMBER(Detalle_24m!J$45)),Detalle_24m!J$45,INDEX(Precio_V,4)*INDEX(IdxPrecio_V,1,MIN(10,J$173)))*(1+V_dPrecio))</f>
        <v>0</v>
      </c>
      <c r="K205" s="48">
        <f>IF(K$8=1,IF(Reales!$C$41="PYG",IF(K$10&gt;0,N(Reales!K41)/K$10,0),N(Reales!K41)),K$180*IF(AND(AND(6&gt;Corte,6&lt;=Corte+n_Ventana),ISNUMBER(Detalle_24m!K$45)),Detalle_24m!K$45,INDEX(Precio_V,4)*INDEX(IdxPrecio_V,1,MIN(10,K$173)))*(1+V_dPrecio))</f>
        <v>0</v>
      </c>
      <c r="L205" s="48">
        <f>IF(L$8=1,IF(Reales!$C$41="PYG",IF(L$10&gt;0,N(Reales!L41)/L$10,0),N(Reales!L41)),L$180*IF(AND(AND(7&gt;Corte,7&lt;=Corte+n_Ventana),ISNUMBER(Detalle_24m!L$45)),Detalle_24m!L$45,INDEX(Precio_V,4)*INDEX(IdxPrecio_V,1,MIN(10,L$173)))*(1+V_dPrecio))</f>
        <v>0</v>
      </c>
      <c r="M205" s="48">
        <f>IF(M$8=1,IF(Reales!$C$41="PYG",IF(M$10&gt;0,N(Reales!M41)/M$10,0),N(Reales!M41)),M$180*IF(AND(AND(8&gt;Corte,8&lt;=Corte+n_Ventana),ISNUMBER(Detalle_24m!M$45)),Detalle_24m!M$45,INDEX(Precio_V,4)*INDEX(IdxPrecio_V,1,MIN(10,M$173)))*(1+V_dPrecio))</f>
        <v>0</v>
      </c>
      <c r="N205" s="48">
        <f>IF(N$8=1,IF(Reales!$C$41="PYG",IF(N$10&gt;0,N(Reales!N41)/N$10,0),N(Reales!N41)),N$180*IF(AND(AND(9&gt;Corte,9&lt;=Corte+n_Ventana),ISNUMBER(Detalle_24m!N$45)),Detalle_24m!N$45,INDEX(Precio_V,4)*INDEX(IdxPrecio_V,1,MIN(10,N$173)))*(1+V_dPrecio))</f>
        <v>0</v>
      </c>
      <c r="O205" s="48">
        <f>IF(O$8=1,IF(Reales!$C$41="PYG",IF(O$10&gt;0,N(Reales!O41)/O$10,0),N(Reales!O41)),O$180*IF(AND(AND(10&gt;Corte,10&lt;=Corte+n_Ventana),ISNUMBER(Detalle_24m!O$45)),Detalle_24m!O$45,INDEX(Precio_V,4)*INDEX(IdxPrecio_V,1,MIN(10,O$173)))*(1+V_dPrecio))</f>
        <v>0</v>
      </c>
      <c r="P205" s="48">
        <f>IF(P$8=1,IF(Reales!$C$41="PYG",IF(P$10&gt;0,N(Reales!P41)/P$10,0),N(Reales!P41)),P$180*IF(AND(AND(11&gt;Corte,11&lt;=Corte+n_Ventana),ISNUMBER(Detalle_24m!P$45)),Detalle_24m!P$45,INDEX(Precio_V,4)*INDEX(IdxPrecio_V,1,MIN(10,P$173)))*(1+V_dPrecio))</f>
        <v>0</v>
      </c>
      <c r="Q205" s="48">
        <f>IF(Q$8=1,IF(Reales!$C$41="PYG",IF(Q$10&gt;0,N(Reales!Q41)/Q$10,0),N(Reales!Q41)),Q$180*IF(AND(AND(12&gt;Corte,12&lt;=Corte+n_Ventana),ISNUMBER(Detalle_24m!Q$45)),Detalle_24m!Q$45,INDEX(Precio_V,4)*INDEX(IdxPrecio_V,1,MIN(10,Q$173)))*(1+V_dPrecio))</f>
        <v>0</v>
      </c>
      <c r="R205" s="48">
        <f>IF(R$8=1,IF(Reales!$C$41="PYG",IF(R$10&gt;0,N(Reales!R41)/R$10,0),N(Reales!R41)),R$180*IF(AND(AND(13&gt;Corte,13&lt;=Corte+n_Ventana),ISNUMBER(Detalle_24m!R$45)),Detalle_24m!R$45,INDEX(Precio_V,4)*INDEX(IdxPrecio_V,1,MIN(10,R$173)))*(1+V_dPrecio))</f>
        <v>0</v>
      </c>
      <c r="S205" s="48">
        <f>IF(S$8=1,IF(Reales!$C$41="PYG",IF(S$10&gt;0,N(Reales!S41)/S$10,0),N(Reales!S41)),S$180*IF(AND(AND(14&gt;Corte,14&lt;=Corte+n_Ventana),ISNUMBER(Detalle_24m!S$45)),Detalle_24m!S$45,INDEX(Precio_V,4)*INDEX(IdxPrecio_V,1,MIN(10,S$173)))*(1+V_dPrecio))</f>
        <v>0</v>
      </c>
      <c r="T205" s="48">
        <f>IF(T$8=1,IF(Reales!$C$41="PYG",IF(T$10&gt;0,N(Reales!T41)/T$10,0),N(Reales!T41)),T$180*IF(AND(AND(15&gt;Corte,15&lt;=Corte+n_Ventana),ISNUMBER(Detalle_24m!T$45)),Detalle_24m!T$45,INDEX(Precio_V,4)*INDEX(IdxPrecio_V,1,MIN(10,T$173)))*(1+V_dPrecio))</f>
        <v>0</v>
      </c>
      <c r="U205" s="48">
        <f>IF(U$8=1,IF(Reales!$C$41="PYG",IF(U$10&gt;0,N(Reales!U41)/U$10,0),N(Reales!U41)),U$180*IF(AND(AND(16&gt;Corte,16&lt;=Corte+n_Ventana),ISNUMBER(Detalle_24m!U$45)),Detalle_24m!U$45,INDEX(Precio_V,4)*INDEX(IdxPrecio_V,1,MIN(10,U$173)))*(1+V_dPrecio))</f>
        <v>0</v>
      </c>
      <c r="V205" s="48">
        <f>IF(V$8=1,IF(Reales!$C$41="PYG",IF(V$10&gt;0,N(Reales!V41)/V$10,0),N(Reales!V41)),V$180*IF(AND(AND(17&gt;Corte,17&lt;=Corte+n_Ventana),ISNUMBER(Detalle_24m!V$45)),Detalle_24m!V$45,INDEX(Precio_V,4)*INDEX(IdxPrecio_V,1,MIN(10,V$173)))*(1+V_dPrecio))</f>
        <v>0</v>
      </c>
      <c r="W205" s="48">
        <f>IF(W$8=1,IF(Reales!$C$41="PYG",IF(W$10&gt;0,N(Reales!W41)/W$10,0),N(Reales!W41)),W$180*IF(AND(AND(18&gt;Corte,18&lt;=Corte+n_Ventana),ISNUMBER(Detalle_24m!W$45)),Detalle_24m!W$45,INDEX(Precio_V,4)*INDEX(IdxPrecio_V,1,MIN(10,W$173)))*(1+V_dPrecio))</f>
        <v>0</v>
      </c>
      <c r="X205" s="48">
        <f>IF(X$8=1,IF(Reales!$C$41="PYG",IF(X$10&gt;0,N(Reales!X41)/X$10,0),N(Reales!X41)),X$180*IF(AND(AND(19&gt;Corte,19&lt;=Corte+n_Ventana),ISNUMBER(Detalle_24m!X$45)),Detalle_24m!X$45,INDEX(Precio_V,4)*INDEX(IdxPrecio_V,1,MIN(10,X$173)))*(1+V_dPrecio))</f>
        <v>0</v>
      </c>
      <c r="Y205" s="48">
        <f>IF(Y$8=1,IF(Reales!$C$41="PYG",IF(Y$10&gt;0,N(Reales!Y41)/Y$10,0),N(Reales!Y41)),Y$180*IF(AND(AND(20&gt;Corte,20&lt;=Corte+n_Ventana),ISNUMBER(Detalle_24m!Y$45)),Detalle_24m!Y$45,INDEX(Precio_V,4)*INDEX(IdxPrecio_V,1,MIN(10,Y$173)))*(1+V_dPrecio))</f>
        <v>0</v>
      </c>
      <c r="Z205" s="48">
        <f>IF(Z$8=1,IF(Reales!$C$41="PYG",IF(Z$10&gt;0,N(Reales!Z41)/Z$10,0),N(Reales!Z41)),Z$180*IF(AND(AND(21&gt;Corte,21&lt;=Corte+n_Ventana),ISNUMBER(Detalle_24m!Z$45)),Detalle_24m!Z$45,INDEX(Precio_V,4)*INDEX(IdxPrecio_V,1,MIN(10,Z$173)))*(1+V_dPrecio))</f>
        <v>0</v>
      </c>
      <c r="AA205" s="48">
        <f>IF(AA$8=1,IF(Reales!$C$41="PYG",IF(AA$10&gt;0,N(Reales!AA41)/AA$10,0),N(Reales!AA41)),AA$180*IF(AND(AND(22&gt;Corte,22&lt;=Corte+n_Ventana),ISNUMBER(Detalle_24m!AA$45)),Detalle_24m!AA$45,INDEX(Precio_V,4)*INDEX(IdxPrecio_V,1,MIN(10,AA$173)))*(1+V_dPrecio))</f>
        <v>0</v>
      </c>
      <c r="AB205" s="48">
        <f>IF(AB$8=1,IF(Reales!$C$41="PYG",IF(AB$10&gt;0,N(Reales!AB41)/AB$10,0),N(Reales!AB41)),AB$180*IF(AND(AND(23&gt;Corte,23&lt;=Corte+n_Ventana),ISNUMBER(Detalle_24m!AB$45)),Detalle_24m!AB$45,INDEX(Precio_V,4)*INDEX(IdxPrecio_V,1,MIN(10,AB$173)))*(1+V_dPrecio))</f>
        <v>0</v>
      </c>
      <c r="AC205" s="48">
        <f>IF(AC$8=1,IF(Reales!$C$41="PYG",IF(AC$10&gt;0,N(Reales!AC41)/AC$10,0),N(Reales!AC41)),AC$180*IF(AND(AND(24&gt;Corte,24&lt;=Corte+n_Ventana),ISNUMBER(Detalle_24m!AC$45)),Detalle_24m!AC$45,INDEX(Precio_V,4)*INDEX(IdxPrecio_V,1,MIN(10,AC$173)))*(1+V_dPrecio))</f>
        <v>0</v>
      </c>
      <c r="AD205" s="48">
        <f>IF(AD$8=1,IF(Reales!$C$41="PYG",IF(AD$10&gt;0,N(Reales!AD41)/AD$10,0),N(Reales!AD41)),AD$180*IF(AND(AND(25&gt;Corte,25&lt;=Corte+n_Ventana),ISNUMBER(Detalle_24m!AD$45)),Detalle_24m!AD$45,INDEX(Precio_V,4)*INDEX(IdxPrecio_V,1,MIN(10,AD$173)))*(1+V_dPrecio))</f>
        <v>0</v>
      </c>
      <c r="AE205" s="48">
        <f>IF(AE$8=1,IF(Reales!$C$41="PYG",IF(AE$10&gt;0,N(Reales!AE41)/AE$10,0),N(Reales!AE41)),AE$180*IF(AND(AND(26&gt;Corte,26&lt;=Corte+n_Ventana),ISNUMBER(Detalle_24m!AE$45)),Detalle_24m!AE$45,INDEX(Precio_V,4)*INDEX(IdxPrecio_V,1,MIN(10,AE$173)))*(1+V_dPrecio))</f>
        <v>0</v>
      </c>
      <c r="AF205" s="48">
        <f>IF(AF$8=1,IF(Reales!$C$41="PYG",IF(AF$10&gt;0,N(Reales!AF41)/AF$10,0),N(Reales!AF41)),AF$180*IF(AND(AND(27&gt;Corte,27&lt;=Corte+n_Ventana),ISNUMBER(Detalle_24m!AF$45)),Detalle_24m!AF$45,INDEX(Precio_V,4)*INDEX(IdxPrecio_V,1,MIN(10,AF$173)))*(1+V_dPrecio))</f>
        <v>0</v>
      </c>
      <c r="AG205" s="48">
        <f>IF(AG$8=1,IF(Reales!$C$41="PYG",IF(AG$10&gt;0,N(Reales!AG41)/AG$10,0),N(Reales!AG41)),AG$180*IF(AND(AND(28&gt;Corte,28&lt;=Corte+n_Ventana),ISNUMBER(Detalle_24m!AG$45)),Detalle_24m!AG$45,INDEX(Precio_V,4)*INDEX(IdxPrecio_V,1,MIN(10,AG$173)))*(1+V_dPrecio))</f>
        <v>0</v>
      </c>
      <c r="AH205" s="48">
        <f>IF(AH$8=1,IF(Reales!$C$41="PYG",IF(AH$10&gt;0,N(Reales!AH41)/AH$10,0),N(Reales!AH41)),AH$180*IF(AND(AND(29&gt;Corte,29&lt;=Corte+n_Ventana),ISNUMBER(Detalle_24m!AH$45)),Detalle_24m!AH$45,INDEX(Precio_V,4)*INDEX(IdxPrecio_V,1,MIN(10,AH$173)))*(1+V_dPrecio))</f>
        <v>0</v>
      </c>
      <c r="AI205" s="48">
        <f>IF(AI$8=1,IF(Reales!$C$41="PYG",IF(AI$10&gt;0,N(Reales!AI41)/AI$10,0),N(Reales!AI41)),AI$180*IF(AND(AND(30&gt;Corte,30&lt;=Corte+n_Ventana),ISNUMBER(Detalle_24m!AI$45)),Detalle_24m!AI$45,INDEX(Precio_V,4)*INDEX(IdxPrecio_V,1,MIN(10,AI$173)))*(1+V_dPrecio))</f>
        <v>0</v>
      </c>
      <c r="AJ205" s="48">
        <f>IF(AJ$8=1,IF(Reales!$C$41="PYG",IF(AJ$10&gt;0,N(Reales!AJ41)/AJ$10,0),N(Reales!AJ41)),AJ$180*IF(AND(AND(31&gt;Corte,31&lt;=Corte+n_Ventana),ISNUMBER(Detalle_24m!AJ$45)),Detalle_24m!AJ$45,INDEX(Precio_V,4)*INDEX(IdxPrecio_V,1,MIN(10,AJ$173)))*(1+V_dPrecio))</f>
        <v>0</v>
      </c>
      <c r="AK205" s="48">
        <f>IF(AK$8=1,IF(Reales!$C$41="PYG",IF(AK$10&gt;0,N(Reales!AK41)/AK$10,0),N(Reales!AK41)),AK$180*IF(AND(AND(32&gt;Corte,32&lt;=Corte+n_Ventana),ISNUMBER(Detalle_24m!AK$45)),Detalle_24m!AK$45,INDEX(Precio_V,4)*INDEX(IdxPrecio_V,1,MIN(10,AK$173)))*(1+V_dPrecio))</f>
        <v>0</v>
      </c>
      <c r="AL205" s="48">
        <f>IF(AL$8=1,IF(Reales!$C$41="PYG",IF(AL$10&gt;0,N(Reales!AL41)/AL$10,0),N(Reales!AL41)),AL$180*IF(AND(AND(33&gt;Corte,33&lt;=Corte+n_Ventana),ISNUMBER(Detalle_24m!AL$45)),Detalle_24m!AL$45,INDEX(Precio_V,4)*INDEX(IdxPrecio_V,1,MIN(10,AL$173)))*(1+V_dPrecio))</f>
        <v>0</v>
      </c>
      <c r="AM205" s="48">
        <f>IF(AM$8=1,IF(Reales!$C$41="PYG",IF(AM$10&gt;0,N(Reales!AM41)/AM$10,0),N(Reales!AM41)),AM$180*IF(AND(AND(34&gt;Corte,34&lt;=Corte+n_Ventana),ISNUMBER(Detalle_24m!AM$45)),Detalle_24m!AM$45,INDEX(Precio_V,4)*INDEX(IdxPrecio_V,1,MIN(10,AM$173)))*(1+V_dPrecio))</f>
        <v>0</v>
      </c>
      <c r="AN205" s="48">
        <f>IF(AN$8=1,IF(Reales!$C$41="PYG",IF(AN$10&gt;0,N(Reales!AN41)/AN$10,0),N(Reales!AN41)),AN$180*IF(AND(AND(35&gt;Corte,35&lt;=Corte+n_Ventana),ISNUMBER(Detalle_24m!AN$45)),Detalle_24m!AN$45,INDEX(Precio_V,4)*INDEX(IdxPrecio_V,1,MIN(10,AN$173)))*(1+V_dPrecio))</f>
        <v>0</v>
      </c>
      <c r="AO205" s="48">
        <f>IF(AO$8=1,IF(Reales!$C$41="PYG",IF(AO$10&gt;0,N(Reales!AO41)/AO$10,0),N(Reales!AO41)),AO$180*IF(AND(AND(36&gt;Corte,36&lt;=Corte+n_Ventana),ISNUMBER(Detalle_24m!AO$45)),Detalle_24m!AO$45,INDEX(Precio_V,4)*INDEX(IdxPrecio_V,1,MIN(10,AO$173)))*(1+V_dPrecio))</f>
        <v>0</v>
      </c>
      <c r="AP205" s="48">
        <f>IF(AP$8=1,IF(Reales!$C$41="PYG",IF(AP$10&gt;0,N(Reales!AP41)/AP$10,0),N(Reales!AP41)),AP$180*IF(AND(AND(37&gt;Corte,37&lt;=Corte+n_Ventana),ISNUMBER(Detalle_24m!AP$45)),Detalle_24m!AP$45,INDEX(Precio_V,4)*INDEX(IdxPrecio_V,1,MIN(10,AP$173)))*(1+V_dPrecio))</f>
        <v>0</v>
      </c>
      <c r="AQ205" s="48">
        <f>IF(AQ$8=1,IF(Reales!$C$41="PYG",IF(AQ$10&gt;0,N(Reales!AQ41)/AQ$10,0),N(Reales!AQ41)),AQ$180*IF(AND(AND(38&gt;Corte,38&lt;=Corte+n_Ventana),ISNUMBER(Detalle_24m!AQ$45)),Detalle_24m!AQ$45,INDEX(Precio_V,4)*INDEX(IdxPrecio_V,1,MIN(10,AQ$173)))*(1+V_dPrecio))</f>
        <v>0</v>
      </c>
      <c r="AR205" s="48">
        <f>IF(AR$8=1,IF(Reales!$C$41="PYG",IF(AR$10&gt;0,N(Reales!AR41)/AR$10,0),N(Reales!AR41)),AR$180*IF(AND(AND(39&gt;Corte,39&lt;=Corte+n_Ventana),ISNUMBER(Detalle_24m!AR$45)),Detalle_24m!AR$45,INDEX(Precio_V,4)*INDEX(IdxPrecio_V,1,MIN(10,AR$173)))*(1+V_dPrecio))</f>
        <v>0</v>
      </c>
      <c r="AS205" s="48">
        <f>IF(AS$8=1,IF(Reales!$C$41="PYG",IF(AS$10&gt;0,N(Reales!AS41)/AS$10,0),N(Reales!AS41)),AS$180*IF(AND(AND(40&gt;Corte,40&lt;=Corte+n_Ventana),ISNUMBER(Detalle_24m!AS$45)),Detalle_24m!AS$45,INDEX(Precio_V,4)*INDEX(IdxPrecio_V,1,MIN(10,AS$173)))*(1+V_dPrecio))</f>
        <v>0</v>
      </c>
      <c r="AT205" s="48">
        <f>IF(AT$8=1,IF(Reales!$C$41="PYG",IF(AT$10&gt;0,N(Reales!AT41)/AT$10,0),N(Reales!AT41)),AT$180*IF(AND(AND(41&gt;Corte,41&lt;=Corte+n_Ventana),ISNUMBER(Detalle_24m!AT$45)),Detalle_24m!AT$45,INDEX(Precio_V,4)*INDEX(IdxPrecio_V,1,MIN(10,AT$173)))*(1+V_dPrecio))</f>
        <v>0</v>
      </c>
      <c r="AU205" s="48">
        <f>IF(AU$8=1,IF(Reales!$C$41="PYG",IF(AU$10&gt;0,N(Reales!AU41)/AU$10,0),N(Reales!AU41)),AU$180*IF(AND(AND(42&gt;Corte,42&lt;=Corte+n_Ventana),ISNUMBER(Detalle_24m!AU$45)),Detalle_24m!AU$45,INDEX(Precio_V,4)*INDEX(IdxPrecio_V,1,MIN(10,AU$173)))*(1+V_dPrecio))</f>
        <v>0</v>
      </c>
      <c r="AV205" s="48">
        <f>IF(AV$8=1,IF(Reales!$C$41="PYG",IF(AV$10&gt;0,N(Reales!AV41)/AV$10,0),N(Reales!AV41)),AV$180*IF(AND(AND(43&gt;Corte,43&lt;=Corte+n_Ventana),ISNUMBER(Detalle_24m!AV$45)),Detalle_24m!AV$45,INDEX(Precio_V,4)*INDEX(IdxPrecio_V,1,MIN(10,AV$173)))*(1+V_dPrecio))</f>
        <v>0</v>
      </c>
      <c r="AW205" s="48">
        <f>IF(AW$8=1,IF(Reales!$C$41="PYG",IF(AW$10&gt;0,N(Reales!AW41)/AW$10,0),N(Reales!AW41)),AW$180*IF(AND(AND(44&gt;Corte,44&lt;=Corte+n_Ventana),ISNUMBER(Detalle_24m!AW$45)),Detalle_24m!AW$45,INDEX(Precio_V,4)*INDEX(IdxPrecio_V,1,MIN(10,AW$173)))*(1+V_dPrecio))</f>
        <v>0</v>
      </c>
      <c r="AX205" s="48">
        <f>IF(AX$8=1,IF(Reales!$C$41="PYG",IF(AX$10&gt;0,N(Reales!AX41)/AX$10,0),N(Reales!AX41)),AX$180*IF(AND(AND(45&gt;Corte,45&lt;=Corte+n_Ventana),ISNUMBER(Detalle_24m!AX$45)),Detalle_24m!AX$45,INDEX(Precio_V,4)*INDEX(IdxPrecio_V,1,MIN(10,AX$173)))*(1+V_dPrecio))</f>
        <v>0</v>
      </c>
      <c r="AY205" s="48">
        <f>IF(AY$8=1,IF(Reales!$C$41="PYG",IF(AY$10&gt;0,N(Reales!AY41)/AY$10,0),N(Reales!AY41)),AY$180*IF(AND(AND(46&gt;Corte,46&lt;=Corte+n_Ventana),ISNUMBER(Detalle_24m!AY$45)),Detalle_24m!AY$45,INDEX(Precio_V,4)*INDEX(IdxPrecio_V,1,MIN(10,AY$173)))*(1+V_dPrecio))</f>
        <v>0</v>
      </c>
      <c r="AZ205" s="48">
        <f>IF(AZ$8=1,IF(Reales!$C$41="PYG",IF(AZ$10&gt;0,N(Reales!AZ41)/AZ$10,0),N(Reales!AZ41)),AZ$180*IF(AND(AND(47&gt;Corte,47&lt;=Corte+n_Ventana),ISNUMBER(Detalle_24m!AZ$45)),Detalle_24m!AZ$45,INDEX(Precio_V,4)*INDEX(IdxPrecio_V,1,MIN(10,AZ$173)))*(1+V_dPrecio))</f>
        <v>0</v>
      </c>
      <c r="BA205" s="48">
        <f>IF(BA$8=1,IF(Reales!$C$41="PYG",IF(BA$10&gt;0,N(Reales!BA41)/BA$10,0),N(Reales!BA41)),BA$180*IF(AND(AND(48&gt;Corte,48&lt;=Corte+n_Ventana),ISNUMBER(Detalle_24m!BA$45)),Detalle_24m!BA$45,INDEX(Precio_V,4)*INDEX(IdxPrecio_V,1,MIN(10,BA$173)))*(1+V_dPrecio))</f>
        <v>0</v>
      </c>
      <c r="BB205" s="48">
        <f>IF(BB$8=1,IF(Reales!$C$41="PYG",IF(BB$10&gt;0,N(Reales!BB41)/BB$10,0),N(Reales!BB41)),BB$180*IF(AND(AND(49&gt;Corte,49&lt;=Corte+n_Ventana),ISNUMBER(Detalle_24m!BB$45)),Detalle_24m!BB$45,INDEX(Precio_V,4)*INDEX(IdxPrecio_V,1,MIN(10,BB$173)))*(1+V_dPrecio))</f>
        <v>0</v>
      </c>
      <c r="BC205" s="48">
        <f>IF(BC$8=1,IF(Reales!$C$41="PYG",IF(BC$10&gt;0,N(Reales!BC41)/BC$10,0),N(Reales!BC41)),BC$180*IF(AND(AND(50&gt;Corte,50&lt;=Corte+n_Ventana),ISNUMBER(Detalle_24m!BC$45)),Detalle_24m!BC$45,INDEX(Precio_V,4)*INDEX(IdxPrecio_V,1,MIN(10,BC$173)))*(1+V_dPrecio))</f>
        <v>0</v>
      </c>
      <c r="BD205" s="48">
        <f>IF(BD$8=1,IF(Reales!$C$41="PYG",IF(BD$10&gt;0,N(Reales!BD41)/BD$10,0),N(Reales!BD41)),BD$180*IF(AND(AND(51&gt;Corte,51&lt;=Corte+n_Ventana),ISNUMBER(Detalle_24m!BD$45)),Detalle_24m!BD$45,INDEX(Precio_V,4)*INDEX(IdxPrecio_V,1,MIN(10,BD$173)))*(1+V_dPrecio))</f>
        <v>0</v>
      </c>
      <c r="BE205" s="48">
        <f>IF(BE$8=1,IF(Reales!$C$41="PYG",IF(BE$10&gt;0,N(Reales!BE41)/BE$10,0),N(Reales!BE41)),BE$180*IF(AND(AND(52&gt;Corte,52&lt;=Corte+n_Ventana),ISNUMBER(Detalle_24m!BE$45)),Detalle_24m!BE$45,INDEX(Precio_V,4)*INDEX(IdxPrecio_V,1,MIN(10,BE$173)))*(1+V_dPrecio))</f>
        <v>0</v>
      </c>
      <c r="BF205" s="48">
        <f>IF(BF$8=1,IF(Reales!$C$41="PYG",IF(BF$10&gt;0,N(Reales!BF41)/BF$10,0),N(Reales!BF41)),BF$180*IF(AND(AND(53&gt;Corte,53&lt;=Corte+n_Ventana),ISNUMBER(Detalle_24m!BF$45)),Detalle_24m!BF$45,INDEX(Precio_V,4)*INDEX(IdxPrecio_V,1,MIN(10,BF$173)))*(1+V_dPrecio))</f>
        <v>0</v>
      </c>
      <c r="BG205" s="48">
        <f>IF(BG$8=1,IF(Reales!$C$41="PYG",IF(BG$10&gt;0,N(Reales!BG41)/BG$10,0),N(Reales!BG41)),BG$180*IF(AND(AND(54&gt;Corte,54&lt;=Corte+n_Ventana),ISNUMBER(Detalle_24m!BG$45)),Detalle_24m!BG$45,INDEX(Precio_V,4)*INDEX(IdxPrecio_V,1,MIN(10,BG$173)))*(1+V_dPrecio))</f>
        <v>0</v>
      </c>
      <c r="BH205" s="48">
        <f>IF(BH$8=1,IF(Reales!$C$41="PYG",IF(BH$10&gt;0,N(Reales!BH41)/BH$10,0),N(Reales!BH41)),BH$180*IF(AND(AND(55&gt;Corte,55&lt;=Corte+n_Ventana),ISNUMBER(Detalle_24m!BH$45)),Detalle_24m!BH$45,INDEX(Precio_V,4)*INDEX(IdxPrecio_V,1,MIN(10,BH$173)))*(1+V_dPrecio))</f>
        <v>0</v>
      </c>
      <c r="BI205" s="48">
        <f>IF(BI$8=1,IF(Reales!$C$41="PYG",IF(BI$10&gt;0,N(Reales!BI41)/BI$10,0),N(Reales!BI41)),BI$180*IF(AND(AND(56&gt;Corte,56&lt;=Corte+n_Ventana),ISNUMBER(Detalle_24m!BI$45)),Detalle_24m!BI$45,INDEX(Precio_V,4)*INDEX(IdxPrecio_V,1,MIN(10,BI$173)))*(1+V_dPrecio))</f>
        <v>0</v>
      </c>
      <c r="BJ205" s="48">
        <f>IF(BJ$8=1,IF(Reales!$C$41="PYG",IF(BJ$10&gt;0,N(Reales!BJ41)/BJ$10,0),N(Reales!BJ41)),BJ$180*IF(AND(AND(57&gt;Corte,57&lt;=Corte+n_Ventana),ISNUMBER(Detalle_24m!BJ$45)),Detalle_24m!BJ$45,INDEX(Precio_V,4)*INDEX(IdxPrecio_V,1,MIN(10,BJ$173)))*(1+V_dPrecio))</f>
        <v>0</v>
      </c>
      <c r="BK205" s="48">
        <f>IF(BK$8=1,IF(Reales!$C$41="PYG",IF(BK$10&gt;0,N(Reales!BK41)/BK$10,0),N(Reales!BK41)),BK$180*IF(AND(AND(58&gt;Corte,58&lt;=Corte+n_Ventana),ISNUMBER(Detalle_24m!BK$45)),Detalle_24m!BK$45,INDEX(Precio_V,4)*INDEX(IdxPrecio_V,1,MIN(10,BK$173)))*(1+V_dPrecio))</f>
        <v>0</v>
      </c>
      <c r="BL205" s="48">
        <f>IF(BL$8=1,IF(Reales!$C$41="PYG",IF(BL$10&gt;0,N(Reales!BL41)/BL$10,0),N(Reales!BL41)),BL$180*IF(AND(AND(59&gt;Corte,59&lt;=Corte+n_Ventana),ISNUMBER(Detalle_24m!BL$45)),Detalle_24m!BL$45,INDEX(Precio_V,4)*INDEX(IdxPrecio_V,1,MIN(10,BL$173)))*(1+V_dPrecio))</f>
        <v>0</v>
      </c>
      <c r="BM205" s="48">
        <f>IF(BM$8=1,IF(Reales!$C$41="PYG",IF(BM$10&gt;0,N(Reales!BM41)/BM$10,0),N(Reales!BM41)),BM$180*IF(AND(AND(60&gt;Corte,60&lt;=Corte+n_Ventana),ISNUMBER(Detalle_24m!BM$45)),Detalle_24m!BM$45,INDEX(Precio_V,4)*INDEX(IdxPrecio_V,1,MIN(10,BM$173)))*(1+V_dPrecio))</f>
        <v>0</v>
      </c>
      <c r="BN205" s="48">
        <f>IF(BN$8=1,IF(Reales!$C$41="PYG",IF(BN$10&gt;0,N(Reales!BN41)/BN$10,0),N(Reales!BN41)),BN$180*IF(AND(AND(61&gt;Corte,61&lt;=Corte+n_Ventana),ISNUMBER(Detalle_24m!BN$45)),Detalle_24m!BN$45,INDEX(Precio_V,4)*INDEX(IdxPrecio_V,1,MIN(10,BN$173)))*(1+V_dPrecio))</f>
        <v>0</v>
      </c>
      <c r="BO205" s="48">
        <f>IF(BO$8=1,IF(Reales!$C$41="PYG",IF(BO$10&gt;0,N(Reales!BO41)/BO$10,0),N(Reales!BO41)),BO$180*IF(AND(AND(62&gt;Corte,62&lt;=Corte+n_Ventana),ISNUMBER(Detalle_24m!BO$45)),Detalle_24m!BO$45,INDEX(Precio_V,4)*INDEX(IdxPrecio_V,1,MIN(10,BO$173)))*(1+V_dPrecio))</f>
        <v>0</v>
      </c>
      <c r="BP205" s="48">
        <f>IF(BP$8=1,IF(Reales!$C$41="PYG",IF(BP$10&gt;0,N(Reales!BP41)/BP$10,0),N(Reales!BP41)),BP$180*IF(AND(AND(63&gt;Corte,63&lt;=Corte+n_Ventana),ISNUMBER(Detalle_24m!BP$45)),Detalle_24m!BP$45,INDEX(Precio_V,4)*INDEX(IdxPrecio_V,1,MIN(10,BP$173)))*(1+V_dPrecio))</f>
        <v>0</v>
      </c>
      <c r="BQ205" s="48">
        <f>IF(BQ$8=1,IF(Reales!$C$41="PYG",IF(BQ$10&gt;0,N(Reales!BQ41)/BQ$10,0),N(Reales!BQ41)),BQ$180*IF(AND(AND(64&gt;Corte,64&lt;=Corte+n_Ventana),ISNUMBER(Detalle_24m!BQ$45)),Detalle_24m!BQ$45,INDEX(Precio_V,4)*INDEX(IdxPrecio_V,1,MIN(10,BQ$173)))*(1+V_dPrecio))</f>
        <v>0</v>
      </c>
      <c r="BR205" s="48">
        <f>IF(BR$8=1,IF(Reales!$C$41="PYG",IF(BR$10&gt;0,N(Reales!BR41)/BR$10,0),N(Reales!BR41)),BR$180*IF(AND(AND(65&gt;Corte,65&lt;=Corte+n_Ventana),ISNUMBER(Detalle_24m!BR$45)),Detalle_24m!BR$45,INDEX(Precio_V,4)*INDEX(IdxPrecio_V,1,MIN(10,BR$173)))*(1+V_dPrecio))</f>
        <v>0</v>
      </c>
      <c r="BS205" s="48">
        <f>IF(BS$8=1,IF(Reales!$C$41="PYG",IF(BS$10&gt;0,N(Reales!BS41)/BS$10,0),N(Reales!BS41)),BS$180*IF(AND(AND(66&gt;Corte,66&lt;=Corte+n_Ventana),ISNUMBER(Detalle_24m!BS$45)),Detalle_24m!BS$45,INDEX(Precio_V,4)*INDEX(IdxPrecio_V,1,MIN(10,BS$173)))*(1+V_dPrecio))</f>
        <v>0</v>
      </c>
      <c r="BT205" s="48">
        <f>IF(BT$8=1,IF(Reales!$C$41="PYG",IF(BT$10&gt;0,N(Reales!BT41)/BT$10,0),N(Reales!BT41)),BT$180*IF(AND(AND(67&gt;Corte,67&lt;=Corte+n_Ventana),ISNUMBER(Detalle_24m!BT$45)),Detalle_24m!BT$45,INDEX(Precio_V,4)*INDEX(IdxPrecio_V,1,MIN(10,BT$173)))*(1+V_dPrecio))</f>
        <v>0</v>
      </c>
      <c r="BU205" s="48">
        <f>IF(BU$8=1,IF(Reales!$C$41="PYG",IF(BU$10&gt;0,N(Reales!BU41)/BU$10,0),N(Reales!BU41)),BU$180*IF(AND(AND(68&gt;Corte,68&lt;=Corte+n_Ventana),ISNUMBER(Detalle_24m!BU$45)),Detalle_24m!BU$45,INDEX(Precio_V,4)*INDEX(IdxPrecio_V,1,MIN(10,BU$173)))*(1+V_dPrecio))</f>
        <v>0</v>
      </c>
      <c r="BV205" s="48">
        <f>IF(BV$8=1,IF(Reales!$C$41="PYG",IF(BV$10&gt;0,N(Reales!BV41)/BV$10,0),N(Reales!BV41)),BV$180*IF(AND(AND(69&gt;Corte,69&lt;=Corte+n_Ventana),ISNUMBER(Detalle_24m!BV$45)),Detalle_24m!BV$45,INDEX(Precio_V,4)*INDEX(IdxPrecio_V,1,MIN(10,BV$173)))*(1+V_dPrecio))</f>
        <v>0</v>
      </c>
      <c r="BW205" s="48">
        <f>IF(BW$8=1,IF(Reales!$C$41="PYG",IF(BW$10&gt;0,N(Reales!BW41)/BW$10,0),N(Reales!BW41)),BW$180*IF(AND(AND(70&gt;Corte,70&lt;=Corte+n_Ventana),ISNUMBER(Detalle_24m!BW$45)),Detalle_24m!BW$45,INDEX(Precio_V,4)*INDEX(IdxPrecio_V,1,MIN(10,BW$173)))*(1+V_dPrecio))</f>
        <v>0</v>
      </c>
      <c r="BX205" s="48">
        <f>IF(BX$8=1,IF(Reales!$C$41="PYG",IF(BX$10&gt;0,N(Reales!BX41)/BX$10,0),N(Reales!BX41)),BX$180*IF(AND(AND(71&gt;Corte,71&lt;=Corte+n_Ventana),ISNUMBER(Detalle_24m!BX$45)),Detalle_24m!BX$45,INDEX(Precio_V,4)*INDEX(IdxPrecio_V,1,MIN(10,BX$173)))*(1+V_dPrecio))</f>
        <v>0</v>
      </c>
      <c r="BY205" s="48">
        <f>IF(BY$8=1,IF(Reales!$C$41="PYG",IF(BY$10&gt;0,N(Reales!BY41)/BY$10,0),N(Reales!BY41)),BY$180*IF(AND(AND(72&gt;Corte,72&lt;=Corte+n_Ventana),ISNUMBER(Detalle_24m!BY$45)),Detalle_24m!BY$45,INDEX(Precio_V,4)*INDEX(IdxPrecio_V,1,MIN(10,BY$173)))*(1+V_dPrecio))</f>
        <v>0</v>
      </c>
      <c r="BZ205" s="48">
        <f>IF(BZ$8=1,IF(Reales!$C$41="PYG",IF(BZ$10&gt;0,N(Reales!BZ41)/BZ$10,0),N(Reales!BZ41)),BZ$180*IF(AND(AND(73&gt;Corte,73&lt;=Corte+n_Ventana),ISNUMBER(Detalle_24m!BZ$45)),Detalle_24m!BZ$45,INDEX(Precio_V,4)*INDEX(IdxPrecio_V,1,MIN(10,BZ$173)))*(1+V_dPrecio))</f>
        <v>0</v>
      </c>
      <c r="CA205" s="48">
        <f>IF(CA$8=1,IF(Reales!$C$41="PYG",IF(CA$10&gt;0,N(Reales!CA41)/CA$10,0),N(Reales!CA41)),CA$180*IF(AND(AND(74&gt;Corte,74&lt;=Corte+n_Ventana),ISNUMBER(Detalle_24m!CA$45)),Detalle_24m!CA$45,INDEX(Precio_V,4)*INDEX(IdxPrecio_V,1,MIN(10,CA$173)))*(1+V_dPrecio))</f>
        <v>0</v>
      </c>
      <c r="CB205" s="48">
        <f>IF(CB$8=1,IF(Reales!$C$41="PYG",IF(CB$10&gt;0,N(Reales!CB41)/CB$10,0),N(Reales!CB41)),CB$180*IF(AND(AND(75&gt;Corte,75&lt;=Corte+n_Ventana),ISNUMBER(Detalle_24m!CB$45)),Detalle_24m!CB$45,INDEX(Precio_V,4)*INDEX(IdxPrecio_V,1,MIN(10,CB$173)))*(1+V_dPrecio))</f>
        <v>0</v>
      </c>
      <c r="CC205" s="48">
        <f>IF(CC$8=1,IF(Reales!$C$41="PYG",IF(CC$10&gt;0,N(Reales!CC41)/CC$10,0),N(Reales!CC41)),CC$180*IF(AND(AND(76&gt;Corte,76&lt;=Corte+n_Ventana),ISNUMBER(Detalle_24m!CC$45)),Detalle_24m!CC$45,INDEX(Precio_V,4)*INDEX(IdxPrecio_V,1,MIN(10,CC$173)))*(1+V_dPrecio))</f>
        <v>0</v>
      </c>
      <c r="CD205" s="48">
        <f>IF(CD$8=1,IF(Reales!$C$41="PYG",IF(CD$10&gt;0,N(Reales!CD41)/CD$10,0),N(Reales!CD41)),CD$180*IF(AND(AND(77&gt;Corte,77&lt;=Corte+n_Ventana),ISNUMBER(Detalle_24m!CD$45)),Detalle_24m!CD$45,INDEX(Precio_V,4)*INDEX(IdxPrecio_V,1,MIN(10,CD$173)))*(1+V_dPrecio))</f>
        <v>0</v>
      </c>
      <c r="CE205" s="48">
        <f>IF(CE$8=1,IF(Reales!$C$41="PYG",IF(CE$10&gt;0,N(Reales!CE41)/CE$10,0),N(Reales!CE41)),CE$180*IF(AND(AND(78&gt;Corte,78&lt;=Corte+n_Ventana),ISNUMBER(Detalle_24m!CE$45)),Detalle_24m!CE$45,INDEX(Precio_V,4)*INDEX(IdxPrecio_V,1,MIN(10,CE$173)))*(1+V_dPrecio))</f>
        <v>0</v>
      </c>
      <c r="CF205" s="48">
        <f>IF(CF$8=1,IF(Reales!$C$41="PYG",IF(CF$10&gt;0,N(Reales!CF41)/CF$10,0),N(Reales!CF41)),CF$180*IF(AND(AND(79&gt;Corte,79&lt;=Corte+n_Ventana),ISNUMBER(Detalle_24m!CF$45)),Detalle_24m!CF$45,INDEX(Precio_V,4)*INDEX(IdxPrecio_V,1,MIN(10,CF$173)))*(1+V_dPrecio))</f>
        <v>0</v>
      </c>
      <c r="CG205" s="48">
        <f>IF(CG$8=1,IF(Reales!$C$41="PYG",IF(CG$10&gt;0,N(Reales!CG41)/CG$10,0),N(Reales!CG41)),CG$180*IF(AND(AND(80&gt;Corte,80&lt;=Corte+n_Ventana),ISNUMBER(Detalle_24m!CG$45)),Detalle_24m!CG$45,INDEX(Precio_V,4)*INDEX(IdxPrecio_V,1,MIN(10,CG$173)))*(1+V_dPrecio))</f>
        <v>0</v>
      </c>
      <c r="CH205" s="48">
        <f>IF(CH$8=1,IF(Reales!$C$41="PYG",IF(CH$10&gt;0,N(Reales!CH41)/CH$10,0),N(Reales!CH41)),CH$180*IF(AND(AND(81&gt;Corte,81&lt;=Corte+n_Ventana),ISNUMBER(Detalle_24m!CH$45)),Detalle_24m!CH$45,INDEX(Precio_V,4)*INDEX(IdxPrecio_V,1,MIN(10,CH$173)))*(1+V_dPrecio))</f>
        <v>0</v>
      </c>
      <c r="CI205" s="48">
        <f>IF(CI$8=1,IF(Reales!$C$41="PYG",IF(CI$10&gt;0,N(Reales!CI41)/CI$10,0),N(Reales!CI41)),CI$180*IF(AND(AND(82&gt;Corte,82&lt;=Corte+n_Ventana),ISNUMBER(Detalle_24m!CI$45)),Detalle_24m!CI$45,INDEX(Precio_V,4)*INDEX(IdxPrecio_V,1,MIN(10,CI$173)))*(1+V_dPrecio))</f>
        <v>0</v>
      </c>
      <c r="CJ205" s="48">
        <f>IF(CJ$8=1,IF(Reales!$C$41="PYG",IF(CJ$10&gt;0,N(Reales!CJ41)/CJ$10,0),N(Reales!CJ41)),CJ$180*IF(AND(AND(83&gt;Corte,83&lt;=Corte+n_Ventana),ISNUMBER(Detalle_24m!CJ$45)),Detalle_24m!CJ$45,INDEX(Precio_V,4)*INDEX(IdxPrecio_V,1,MIN(10,CJ$173)))*(1+V_dPrecio))</f>
        <v>0</v>
      </c>
      <c r="CK205" s="48">
        <f>IF(CK$8=1,IF(Reales!$C$41="PYG",IF(CK$10&gt;0,N(Reales!CK41)/CK$10,0),N(Reales!CK41)),CK$180*IF(AND(AND(84&gt;Corte,84&lt;=Corte+n_Ventana),ISNUMBER(Detalle_24m!CK$45)),Detalle_24m!CK$45,INDEX(Precio_V,4)*INDEX(IdxPrecio_V,1,MIN(10,CK$173)))*(1+V_dPrecio))</f>
        <v>0</v>
      </c>
      <c r="CL205" s="48">
        <f>IF(CL$8=1,IF(Reales!$C$41="PYG",IF(CL$10&gt;0,N(Reales!CL41)/CL$10,0),N(Reales!CL41)),CL$180*IF(AND(AND(85&gt;Corte,85&lt;=Corte+n_Ventana),ISNUMBER(Detalle_24m!CL$45)),Detalle_24m!CL$45,INDEX(Precio_V,4)*INDEX(IdxPrecio_V,1,MIN(10,CL$173)))*(1+V_dPrecio))</f>
        <v>0</v>
      </c>
      <c r="CM205" s="48">
        <f>IF(CM$8=1,IF(Reales!$C$41="PYG",IF(CM$10&gt;0,N(Reales!CM41)/CM$10,0),N(Reales!CM41)),CM$180*IF(AND(AND(86&gt;Corte,86&lt;=Corte+n_Ventana),ISNUMBER(Detalle_24m!CM$45)),Detalle_24m!CM$45,INDEX(Precio_V,4)*INDEX(IdxPrecio_V,1,MIN(10,CM$173)))*(1+V_dPrecio))</f>
        <v>0</v>
      </c>
      <c r="CN205" s="48">
        <f>IF(CN$8=1,IF(Reales!$C$41="PYG",IF(CN$10&gt;0,N(Reales!CN41)/CN$10,0),N(Reales!CN41)),CN$180*IF(AND(AND(87&gt;Corte,87&lt;=Corte+n_Ventana),ISNUMBER(Detalle_24m!CN$45)),Detalle_24m!CN$45,INDEX(Precio_V,4)*INDEX(IdxPrecio_V,1,MIN(10,CN$173)))*(1+V_dPrecio))</f>
        <v>0</v>
      </c>
      <c r="CO205" s="48">
        <f>IF(CO$8=1,IF(Reales!$C$41="PYG",IF(CO$10&gt;0,N(Reales!CO41)/CO$10,0),N(Reales!CO41)),CO$180*IF(AND(AND(88&gt;Corte,88&lt;=Corte+n_Ventana),ISNUMBER(Detalle_24m!CO$45)),Detalle_24m!CO$45,INDEX(Precio_V,4)*INDEX(IdxPrecio_V,1,MIN(10,CO$173)))*(1+V_dPrecio))</f>
        <v>0</v>
      </c>
      <c r="CP205" s="48">
        <f>IF(CP$8=1,IF(Reales!$C$41="PYG",IF(CP$10&gt;0,N(Reales!CP41)/CP$10,0),N(Reales!CP41)),CP$180*IF(AND(AND(89&gt;Corte,89&lt;=Corte+n_Ventana),ISNUMBER(Detalle_24m!CP$45)),Detalle_24m!CP$45,INDEX(Precio_V,4)*INDEX(IdxPrecio_V,1,MIN(10,CP$173)))*(1+V_dPrecio))</f>
        <v>0</v>
      </c>
      <c r="CQ205" s="48">
        <f>IF(CQ$8=1,IF(Reales!$C$41="PYG",IF(CQ$10&gt;0,N(Reales!CQ41)/CQ$10,0),N(Reales!CQ41)),CQ$180*IF(AND(AND(90&gt;Corte,90&lt;=Corte+n_Ventana),ISNUMBER(Detalle_24m!CQ$45)),Detalle_24m!CQ$45,INDEX(Precio_V,4)*INDEX(IdxPrecio_V,1,MIN(10,CQ$173)))*(1+V_dPrecio))</f>
        <v>0</v>
      </c>
      <c r="CR205" s="48">
        <f>IF(CR$8=1,IF(Reales!$C$41="PYG",IF(CR$10&gt;0,N(Reales!CR41)/CR$10,0),N(Reales!CR41)),CR$180*IF(AND(AND(91&gt;Corte,91&lt;=Corte+n_Ventana),ISNUMBER(Detalle_24m!CR$45)),Detalle_24m!CR$45,INDEX(Precio_V,4)*INDEX(IdxPrecio_V,1,MIN(10,CR$173)))*(1+V_dPrecio))</f>
        <v>0</v>
      </c>
      <c r="CS205" s="48">
        <f>IF(CS$8=1,IF(Reales!$C$41="PYG",IF(CS$10&gt;0,N(Reales!CS41)/CS$10,0),N(Reales!CS41)),CS$180*IF(AND(AND(92&gt;Corte,92&lt;=Corte+n_Ventana),ISNUMBER(Detalle_24m!CS$45)),Detalle_24m!CS$45,INDEX(Precio_V,4)*INDEX(IdxPrecio_V,1,MIN(10,CS$173)))*(1+V_dPrecio))</f>
        <v>0</v>
      </c>
      <c r="CT205" s="48">
        <f>IF(CT$8=1,IF(Reales!$C$41="PYG",IF(CT$10&gt;0,N(Reales!CT41)/CT$10,0),N(Reales!CT41)),CT$180*IF(AND(AND(93&gt;Corte,93&lt;=Corte+n_Ventana),ISNUMBER(Detalle_24m!CT$45)),Detalle_24m!CT$45,INDEX(Precio_V,4)*INDEX(IdxPrecio_V,1,MIN(10,CT$173)))*(1+V_dPrecio))</f>
        <v>0</v>
      </c>
      <c r="CU205" s="48">
        <f>IF(CU$8=1,IF(Reales!$C$41="PYG",IF(CU$10&gt;0,N(Reales!CU41)/CU$10,0),N(Reales!CU41)),CU$180*IF(AND(AND(94&gt;Corte,94&lt;=Corte+n_Ventana),ISNUMBER(Detalle_24m!CU$45)),Detalle_24m!CU$45,INDEX(Precio_V,4)*INDEX(IdxPrecio_V,1,MIN(10,CU$173)))*(1+V_dPrecio))</f>
        <v>0</v>
      </c>
      <c r="CV205" s="48">
        <f>IF(CV$8=1,IF(Reales!$C$41="PYG",IF(CV$10&gt;0,N(Reales!CV41)/CV$10,0),N(Reales!CV41)),CV$180*IF(AND(AND(95&gt;Corte,95&lt;=Corte+n_Ventana),ISNUMBER(Detalle_24m!CV$45)),Detalle_24m!CV$45,INDEX(Precio_V,4)*INDEX(IdxPrecio_V,1,MIN(10,CV$173)))*(1+V_dPrecio))</f>
        <v>0</v>
      </c>
      <c r="CW205" s="48">
        <f>IF(CW$8=1,IF(Reales!$C$41="PYG",IF(CW$10&gt;0,N(Reales!CW41)/CW$10,0),N(Reales!CW41)),CW$180*IF(AND(AND(96&gt;Corte,96&lt;=Corte+n_Ventana),ISNUMBER(Detalle_24m!CW$45)),Detalle_24m!CW$45,INDEX(Precio_V,4)*INDEX(IdxPrecio_V,1,MIN(10,CW$173)))*(1+V_dPrecio))</f>
        <v>0</v>
      </c>
      <c r="CX205" s="48">
        <f>IF(CX$8=1,IF(Reales!$C$41="PYG",IF(CX$10&gt;0,N(Reales!CX41)/CX$10,0),N(Reales!CX41)),CX$180*IF(AND(AND(97&gt;Corte,97&lt;=Corte+n_Ventana),ISNUMBER(Detalle_24m!CX$45)),Detalle_24m!CX$45,INDEX(Precio_V,4)*INDEX(IdxPrecio_V,1,MIN(10,CX$173)))*(1+V_dPrecio))</f>
        <v>0</v>
      </c>
      <c r="CY205" s="48">
        <f>IF(CY$8=1,IF(Reales!$C$41="PYG",IF(CY$10&gt;0,N(Reales!CY41)/CY$10,0),N(Reales!CY41)),CY$180*IF(AND(AND(98&gt;Corte,98&lt;=Corte+n_Ventana),ISNUMBER(Detalle_24m!CY$45)),Detalle_24m!CY$45,INDEX(Precio_V,4)*INDEX(IdxPrecio_V,1,MIN(10,CY$173)))*(1+V_dPrecio))</f>
        <v>0</v>
      </c>
      <c r="CZ205" s="48">
        <f>IF(CZ$8=1,IF(Reales!$C$41="PYG",IF(CZ$10&gt;0,N(Reales!CZ41)/CZ$10,0),N(Reales!CZ41)),CZ$180*IF(AND(AND(99&gt;Corte,99&lt;=Corte+n_Ventana),ISNUMBER(Detalle_24m!CZ$45)),Detalle_24m!CZ$45,INDEX(Precio_V,4)*INDEX(IdxPrecio_V,1,MIN(10,CZ$173)))*(1+V_dPrecio))</f>
        <v>0</v>
      </c>
      <c r="DA205" s="48">
        <f>IF(DA$8=1,IF(Reales!$C$41="PYG",IF(DA$10&gt;0,N(Reales!DA41)/DA$10,0),N(Reales!DA41)),DA$180*IF(AND(AND(100&gt;Corte,100&lt;=Corte+n_Ventana),ISNUMBER(Detalle_24m!DA$45)),Detalle_24m!DA$45,INDEX(Precio_V,4)*INDEX(IdxPrecio_V,1,MIN(10,DA$173)))*(1+V_dPrecio))</f>
        <v>0</v>
      </c>
      <c r="DB205" s="48">
        <f>IF(DB$8=1,IF(Reales!$C$41="PYG",IF(DB$10&gt;0,N(Reales!DB41)/DB$10,0),N(Reales!DB41)),DB$180*IF(AND(AND(101&gt;Corte,101&lt;=Corte+n_Ventana),ISNUMBER(Detalle_24m!DB$45)),Detalle_24m!DB$45,INDEX(Precio_V,4)*INDEX(IdxPrecio_V,1,MIN(10,DB$173)))*(1+V_dPrecio))</f>
        <v>0</v>
      </c>
      <c r="DC205" s="48">
        <f>IF(DC$8=1,IF(Reales!$C$41="PYG",IF(DC$10&gt;0,N(Reales!DC41)/DC$10,0),N(Reales!DC41)),DC$180*IF(AND(AND(102&gt;Corte,102&lt;=Corte+n_Ventana),ISNUMBER(Detalle_24m!DC$45)),Detalle_24m!DC$45,INDEX(Precio_V,4)*INDEX(IdxPrecio_V,1,MIN(10,DC$173)))*(1+V_dPrecio))</f>
        <v>0</v>
      </c>
      <c r="DD205" s="48">
        <f>IF(DD$8=1,IF(Reales!$C$41="PYG",IF(DD$10&gt;0,N(Reales!DD41)/DD$10,0),N(Reales!DD41)),DD$180*IF(AND(AND(103&gt;Corte,103&lt;=Corte+n_Ventana),ISNUMBER(Detalle_24m!DD$45)),Detalle_24m!DD$45,INDEX(Precio_V,4)*INDEX(IdxPrecio_V,1,MIN(10,DD$173)))*(1+V_dPrecio))</f>
        <v>0</v>
      </c>
      <c r="DE205" s="48">
        <f>IF(DE$8=1,IF(Reales!$C$41="PYG",IF(DE$10&gt;0,N(Reales!DE41)/DE$10,0),N(Reales!DE41)),DE$180*IF(AND(AND(104&gt;Corte,104&lt;=Corte+n_Ventana),ISNUMBER(Detalle_24m!DE$45)),Detalle_24m!DE$45,INDEX(Precio_V,4)*INDEX(IdxPrecio_V,1,MIN(10,DE$173)))*(1+V_dPrecio))</f>
        <v>0</v>
      </c>
      <c r="DF205" s="48">
        <f>IF(DF$8=1,IF(Reales!$C$41="PYG",IF(DF$10&gt;0,N(Reales!DF41)/DF$10,0),N(Reales!DF41)),DF$180*IF(AND(AND(105&gt;Corte,105&lt;=Corte+n_Ventana),ISNUMBER(Detalle_24m!DF$45)),Detalle_24m!DF$45,INDEX(Precio_V,4)*INDEX(IdxPrecio_V,1,MIN(10,DF$173)))*(1+V_dPrecio))</f>
        <v>0</v>
      </c>
      <c r="DG205" s="48">
        <f>IF(DG$8=1,IF(Reales!$C$41="PYG",IF(DG$10&gt;0,N(Reales!DG41)/DG$10,0),N(Reales!DG41)),DG$180*IF(AND(AND(106&gt;Corte,106&lt;=Corte+n_Ventana),ISNUMBER(Detalle_24m!DG$45)),Detalle_24m!DG$45,INDEX(Precio_V,4)*INDEX(IdxPrecio_V,1,MIN(10,DG$173)))*(1+V_dPrecio))</f>
        <v>0</v>
      </c>
      <c r="DH205" s="48">
        <f>IF(DH$8=1,IF(Reales!$C$41="PYG",IF(DH$10&gt;0,N(Reales!DH41)/DH$10,0),N(Reales!DH41)),DH$180*IF(AND(AND(107&gt;Corte,107&lt;=Corte+n_Ventana),ISNUMBER(Detalle_24m!DH$45)),Detalle_24m!DH$45,INDEX(Precio_V,4)*INDEX(IdxPrecio_V,1,MIN(10,DH$173)))*(1+V_dPrecio))</f>
        <v>0</v>
      </c>
      <c r="DI205" s="48">
        <f>IF(DI$8=1,IF(Reales!$C$41="PYG",IF(DI$10&gt;0,N(Reales!DI41)/DI$10,0),N(Reales!DI41)),DI$180*IF(AND(AND(108&gt;Corte,108&lt;=Corte+n_Ventana),ISNUMBER(Detalle_24m!DI$45)),Detalle_24m!DI$45,INDEX(Precio_V,4)*INDEX(IdxPrecio_V,1,MIN(10,DI$173)))*(1+V_dPrecio))</f>
        <v>0</v>
      </c>
      <c r="DJ205" s="48">
        <f>IF(DJ$8=1,IF(Reales!$C$41="PYG",IF(DJ$10&gt;0,N(Reales!DJ41)/DJ$10,0),N(Reales!DJ41)),DJ$180*IF(AND(AND(109&gt;Corte,109&lt;=Corte+n_Ventana),ISNUMBER(Detalle_24m!DJ$45)),Detalle_24m!DJ$45,INDEX(Precio_V,4)*INDEX(IdxPrecio_V,1,MIN(10,DJ$173)))*(1+V_dPrecio))</f>
        <v>0</v>
      </c>
      <c r="DK205" s="48">
        <f>IF(DK$8=1,IF(Reales!$C$41="PYG",IF(DK$10&gt;0,N(Reales!DK41)/DK$10,0),N(Reales!DK41)),DK$180*IF(AND(AND(110&gt;Corte,110&lt;=Corte+n_Ventana),ISNUMBER(Detalle_24m!DK$45)),Detalle_24m!DK$45,INDEX(Precio_V,4)*INDEX(IdxPrecio_V,1,MIN(10,DK$173)))*(1+V_dPrecio))</f>
        <v>0</v>
      </c>
      <c r="DL205" s="48">
        <f>IF(DL$8=1,IF(Reales!$C$41="PYG",IF(DL$10&gt;0,N(Reales!DL41)/DL$10,0),N(Reales!DL41)),DL$180*IF(AND(AND(111&gt;Corte,111&lt;=Corte+n_Ventana),ISNUMBER(Detalle_24m!DL$45)),Detalle_24m!DL$45,INDEX(Precio_V,4)*INDEX(IdxPrecio_V,1,MIN(10,DL$173)))*(1+V_dPrecio))</f>
        <v>0</v>
      </c>
      <c r="DM205" s="48">
        <f>IF(DM$8=1,IF(Reales!$C$41="PYG",IF(DM$10&gt;0,N(Reales!DM41)/DM$10,0),N(Reales!DM41)),DM$180*IF(AND(AND(112&gt;Corte,112&lt;=Corte+n_Ventana),ISNUMBER(Detalle_24m!DM$45)),Detalle_24m!DM$45,INDEX(Precio_V,4)*INDEX(IdxPrecio_V,1,MIN(10,DM$173)))*(1+V_dPrecio))</f>
        <v>0</v>
      </c>
      <c r="DN205" s="48">
        <f>IF(DN$8=1,IF(Reales!$C$41="PYG",IF(DN$10&gt;0,N(Reales!DN41)/DN$10,0),N(Reales!DN41)),DN$180*IF(AND(AND(113&gt;Corte,113&lt;=Corte+n_Ventana),ISNUMBER(Detalle_24m!DN$45)),Detalle_24m!DN$45,INDEX(Precio_V,4)*INDEX(IdxPrecio_V,1,MIN(10,DN$173)))*(1+V_dPrecio))</f>
        <v>0</v>
      </c>
      <c r="DO205" s="48">
        <f>IF(DO$8=1,IF(Reales!$C$41="PYG",IF(DO$10&gt;0,N(Reales!DO41)/DO$10,0),N(Reales!DO41)),DO$180*IF(AND(AND(114&gt;Corte,114&lt;=Corte+n_Ventana),ISNUMBER(Detalle_24m!DO$45)),Detalle_24m!DO$45,INDEX(Precio_V,4)*INDEX(IdxPrecio_V,1,MIN(10,DO$173)))*(1+V_dPrecio))</f>
        <v>0</v>
      </c>
      <c r="DP205" s="48">
        <f>IF(DP$8=1,IF(Reales!$C$41="PYG",IF(DP$10&gt;0,N(Reales!DP41)/DP$10,0),N(Reales!DP41)),DP$180*IF(AND(AND(115&gt;Corte,115&lt;=Corte+n_Ventana),ISNUMBER(Detalle_24m!DP$45)),Detalle_24m!DP$45,INDEX(Precio_V,4)*INDEX(IdxPrecio_V,1,MIN(10,DP$173)))*(1+V_dPrecio))</f>
        <v>0</v>
      </c>
      <c r="DQ205" s="48">
        <f>IF(DQ$8=1,IF(Reales!$C$41="PYG",IF(DQ$10&gt;0,N(Reales!DQ41)/DQ$10,0),N(Reales!DQ41)),DQ$180*IF(AND(AND(116&gt;Corte,116&lt;=Corte+n_Ventana),ISNUMBER(Detalle_24m!DQ$45)),Detalle_24m!DQ$45,INDEX(Precio_V,4)*INDEX(IdxPrecio_V,1,MIN(10,DQ$173)))*(1+V_dPrecio))</f>
        <v>0</v>
      </c>
      <c r="DR205" s="48">
        <f>IF(DR$8=1,IF(Reales!$C$41="PYG",IF(DR$10&gt;0,N(Reales!DR41)/DR$10,0),N(Reales!DR41)),DR$180*IF(AND(AND(117&gt;Corte,117&lt;=Corte+n_Ventana),ISNUMBER(Detalle_24m!DR$45)),Detalle_24m!DR$45,INDEX(Precio_V,4)*INDEX(IdxPrecio_V,1,MIN(10,DR$173)))*(1+V_dPrecio))</f>
        <v>0</v>
      </c>
      <c r="DS205" s="48">
        <f>IF(DS$8=1,IF(Reales!$C$41="PYG",IF(DS$10&gt;0,N(Reales!DS41)/DS$10,0),N(Reales!DS41)),DS$180*IF(AND(AND(118&gt;Corte,118&lt;=Corte+n_Ventana),ISNUMBER(Detalle_24m!DS$45)),Detalle_24m!DS$45,INDEX(Precio_V,4)*INDEX(IdxPrecio_V,1,MIN(10,DS$173)))*(1+V_dPrecio))</f>
        <v>0</v>
      </c>
      <c r="DT205" s="48">
        <f>IF(DT$8=1,IF(Reales!$C$41="PYG",IF(DT$10&gt;0,N(Reales!DT41)/DT$10,0),N(Reales!DT41)),DT$180*IF(AND(AND(119&gt;Corte,119&lt;=Corte+n_Ventana),ISNUMBER(Detalle_24m!DT$45)),Detalle_24m!DT$45,INDEX(Precio_V,4)*INDEX(IdxPrecio_V,1,MIN(10,DT$173)))*(1+V_dPrecio))</f>
        <v>0</v>
      </c>
      <c r="DU205" s="48">
        <f>IF(DU$8=1,IF(Reales!$C$41="PYG",IF(DU$10&gt;0,N(Reales!DU41)/DU$10,0),N(Reales!DU41)),DU$180*IF(AND(AND(120&gt;Corte,120&lt;=Corte+n_Ventana),ISNUMBER(Detalle_24m!DU$45)),Detalle_24m!DU$45,INDEX(Precio_V,4)*INDEX(IdxPrecio_V,1,MIN(10,DU$173)))*(1+V_dPrecio))</f>
        <v>0</v>
      </c>
      <c r="DV205" s="48">
        <f>IF(DV$8=1,IF(Reales!$C$41="PYG",IF(DV$10&gt;0,N(Reales!DV41)/DV$10,0),N(Reales!DV41)),DV$180*IF(AND(AND(121&gt;Corte,121&lt;=Corte+n_Ventana),ISNUMBER(Detalle_24m!DV$45)),Detalle_24m!DV$45,INDEX(Precio_V,4)*INDEX(IdxPrecio_V,1,MIN(10,DV$173)))*(1+V_dPrecio))</f>
        <v>0</v>
      </c>
      <c r="DW205" s="48">
        <f>IF(DW$8=1,IF(Reales!$C$41="PYG",IF(DW$10&gt;0,N(Reales!DW41)/DW$10,0),N(Reales!DW41)),DW$180*IF(AND(AND(122&gt;Corte,122&lt;=Corte+n_Ventana),ISNUMBER(Detalle_24m!DW$45)),Detalle_24m!DW$45,INDEX(Precio_V,4)*INDEX(IdxPrecio_V,1,MIN(10,DW$173)))*(1+V_dPrecio))</f>
        <v>0</v>
      </c>
      <c r="DX205" s="48">
        <f>IF(DX$8=1,IF(Reales!$C$41="PYG",IF(DX$10&gt;0,N(Reales!DX41)/DX$10,0),N(Reales!DX41)),DX$180*IF(AND(AND(123&gt;Corte,123&lt;=Corte+n_Ventana),ISNUMBER(Detalle_24m!DX$45)),Detalle_24m!DX$45,INDEX(Precio_V,4)*INDEX(IdxPrecio_V,1,MIN(10,DX$173)))*(1+V_dPrecio))</f>
        <v>0</v>
      </c>
      <c r="DY205" s="48">
        <f>IF(DY$8=1,IF(Reales!$C$41="PYG",IF(DY$10&gt;0,N(Reales!DY41)/DY$10,0),N(Reales!DY41)),DY$180*IF(AND(AND(124&gt;Corte,124&lt;=Corte+n_Ventana),ISNUMBER(Detalle_24m!DY$45)),Detalle_24m!DY$45,INDEX(Precio_V,4)*INDEX(IdxPrecio_V,1,MIN(10,DY$173)))*(1+V_dPrecio))</f>
        <v>0</v>
      </c>
      <c r="DZ205" s="48">
        <f>IF(DZ$8=1,IF(Reales!$C$41="PYG",IF(DZ$10&gt;0,N(Reales!DZ41)/DZ$10,0),N(Reales!DZ41)),DZ$180*IF(AND(AND(125&gt;Corte,125&lt;=Corte+n_Ventana),ISNUMBER(Detalle_24m!DZ$45)),Detalle_24m!DZ$45,INDEX(Precio_V,4)*INDEX(IdxPrecio_V,1,MIN(10,DZ$173)))*(1+V_dPrecio))</f>
        <v>0</v>
      </c>
      <c r="EA205" s="48">
        <f>IF(EA$8=1,IF(Reales!$C$41="PYG",IF(EA$10&gt;0,N(Reales!EA41)/EA$10,0),N(Reales!EA41)),EA$180*IF(AND(AND(126&gt;Corte,126&lt;=Corte+n_Ventana),ISNUMBER(Detalle_24m!EA$45)),Detalle_24m!EA$45,INDEX(Precio_V,4)*INDEX(IdxPrecio_V,1,MIN(10,EA$173)))*(1+V_dPrecio))</f>
        <v>0</v>
      </c>
      <c r="EB205" s="48">
        <f>IF(EB$8=1,IF(Reales!$C$41="PYG",IF(EB$10&gt;0,N(Reales!EB41)/EB$10,0),N(Reales!EB41)),EB$180*IF(AND(AND(127&gt;Corte,127&lt;=Corte+n_Ventana),ISNUMBER(Detalle_24m!EB$45)),Detalle_24m!EB$45,INDEX(Precio_V,4)*INDEX(IdxPrecio_V,1,MIN(10,EB$173)))*(1+V_dPrecio))</f>
        <v>0</v>
      </c>
      <c r="EC205" s="48">
        <f>IF(EC$8=1,IF(Reales!$C$41="PYG",IF(EC$10&gt;0,N(Reales!EC41)/EC$10,0),N(Reales!EC41)),EC$180*IF(AND(AND(128&gt;Corte,128&lt;=Corte+n_Ventana),ISNUMBER(Detalle_24m!EC$45)),Detalle_24m!EC$45,INDEX(Precio_V,4)*INDEX(IdxPrecio_V,1,MIN(10,EC$173)))*(1+V_dPrecio))</f>
        <v>0</v>
      </c>
      <c r="ED205" s="48">
        <f>IF(ED$8=1,IF(Reales!$C$41="PYG",IF(ED$10&gt;0,N(Reales!ED41)/ED$10,0),N(Reales!ED41)),ED$180*IF(AND(AND(129&gt;Corte,129&lt;=Corte+n_Ventana),ISNUMBER(Detalle_24m!ED$45)),Detalle_24m!ED$45,INDEX(Precio_V,4)*INDEX(IdxPrecio_V,1,MIN(10,ED$173)))*(1+V_dPrecio))</f>
        <v>0</v>
      </c>
      <c r="EE205" s="48">
        <f>IF(EE$8=1,IF(Reales!$C$41="PYG",IF(EE$10&gt;0,N(Reales!EE41)/EE$10,0),N(Reales!EE41)),EE$180*IF(AND(AND(130&gt;Corte,130&lt;=Corte+n_Ventana),ISNUMBER(Detalle_24m!EE$45)),Detalle_24m!EE$45,INDEX(Precio_V,4)*INDEX(IdxPrecio_V,1,MIN(10,EE$173)))*(1+V_dPrecio))</f>
        <v>0</v>
      </c>
      <c r="EF205" s="48">
        <f>IF(EF$8=1,IF(Reales!$C$41="PYG",IF(EF$10&gt;0,N(Reales!EF41)/EF$10,0),N(Reales!EF41)),EF$180*IF(AND(AND(131&gt;Corte,131&lt;=Corte+n_Ventana),ISNUMBER(Detalle_24m!EF$45)),Detalle_24m!EF$45,INDEX(Precio_V,4)*INDEX(IdxPrecio_V,1,MIN(10,EF$173)))*(1+V_dPrecio))</f>
        <v>0</v>
      </c>
      <c r="EG205" s="48">
        <f>IF(EG$8=1,IF(Reales!$C$41="PYG",IF(EG$10&gt;0,N(Reales!EG41)/EG$10,0),N(Reales!EG41)),EG$180*IF(AND(AND(132&gt;Corte,132&lt;=Corte+n_Ventana),ISNUMBER(Detalle_24m!EG$45)),Detalle_24m!EG$45,INDEX(Precio_V,4)*INDEX(IdxPrecio_V,1,MIN(10,EG$173)))*(1+V_dPrecio))</f>
        <v>0</v>
      </c>
      <c r="EH205" s="48">
        <f>IF(EH$8=1,IF(Reales!$C$41="PYG",IF(EH$10&gt;0,N(Reales!EH41)/EH$10,0),N(Reales!EH41)),EH$180*IF(AND(AND(133&gt;Corte,133&lt;=Corte+n_Ventana),ISNUMBER(Detalle_24m!EH$45)),Detalle_24m!EH$45,INDEX(Precio_V,4)*INDEX(IdxPrecio_V,1,MIN(10,EH$173)))*(1+V_dPrecio))</f>
        <v>0</v>
      </c>
      <c r="EI205" s="48">
        <f>IF(EI$8=1,IF(Reales!$C$41="PYG",IF(EI$10&gt;0,N(Reales!EI41)/EI$10,0),N(Reales!EI41)),EI$180*IF(AND(AND(134&gt;Corte,134&lt;=Corte+n_Ventana),ISNUMBER(Detalle_24m!EI$45)),Detalle_24m!EI$45,INDEX(Precio_V,4)*INDEX(IdxPrecio_V,1,MIN(10,EI$173)))*(1+V_dPrecio))</f>
        <v>0</v>
      </c>
      <c r="EJ205" s="48">
        <f>IF(EJ$8=1,IF(Reales!$C$41="PYG",IF(EJ$10&gt;0,N(Reales!EJ41)/EJ$10,0),N(Reales!EJ41)),EJ$180*IF(AND(AND(135&gt;Corte,135&lt;=Corte+n_Ventana),ISNUMBER(Detalle_24m!EJ$45)),Detalle_24m!EJ$45,INDEX(Precio_V,4)*INDEX(IdxPrecio_V,1,MIN(10,EJ$173)))*(1+V_dPrecio))</f>
        <v>0</v>
      </c>
      <c r="EK205" s="48">
        <f>IF(EK$8=1,IF(Reales!$C$41="PYG",IF(EK$10&gt;0,N(Reales!EK41)/EK$10,0),N(Reales!EK41)),EK$180*IF(AND(AND(136&gt;Corte,136&lt;=Corte+n_Ventana),ISNUMBER(Detalle_24m!EK$45)),Detalle_24m!EK$45,INDEX(Precio_V,4)*INDEX(IdxPrecio_V,1,MIN(10,EK$173)))*(1+V_dPrecio))</f>
        <v>0</v>
      </c>
      <c r="EL205" s="48">
        <f>IF(EL$8=1,IF(Reales!$C$41="PYG",IF(EL$10&gt;0,N(Reales!EL41)/EL$10,0),N(Reales!EL41)),EL$180*IF(AND(AND(137&gt;Corte,137&lt;=Corte+n_Ventana),ISNUMBER(Detalle_24m!EL$45)),Detalle_24m!EL$45,INDEX(Precio_V,4)*INDEX(IdxPrecio_V,1,MIN(10,EL$173)))*(1+V_dPrecio))</f>
        <v>0</v>
      </c>
      <c r="EM205" s="48">
        <f>IF(EM$8=1,IF(Reales!$C$41="PYG",IF(EM$10&gt;0,N(Reales!EM41)/EM$10,0),N(Reales!EM41)),EM$180*IF(AND(AND(138&gt;Corte,138&lt;=Corte+n_Ventana),ISNUMBER(Detalle_24m!EM$45)),Detalle_24m!EM$45,INDEX(Precio_V,4)*INDEX(IdxPrecio_V,1,MIN(10,EM$173)))*(1+V_dPrecio))</f>
        <v>0</v>
      </c>
      <c r="EN205" s="48">
        <f>IF(EN$8=1,IF(Reales!$C$41="PYG",IF(EN$10&gt;0,N(Reales!EN41)/EN$10,0),N(Reales!EN41)),EN$180*IF(AND(AND(139&gt;Corte,139&lt;=Corte+n_Ventana),ISNUMBER(Detalle_24m!EN$45)),Detalle_24m!EN$45,INDEX(Precio_V,4)*INDEX(IdxPrecio_V,1,MIN(10,EN$173)))*(1+V_dPrecio))</f>
        <v>0</v>
      </c>
      <c r="EO205" s="48">
        <f>IF(EO$8=1,IF(Reales!$C$41="PYG",IF(EO$10&gt;0,N(Reales!EO41)/EO$10,0),N(Reales!EO41)),EO$180*IF(AND(AND(140&gt;Corte,140&lt;=Corte+n_Ventana),ISNUMBER(Detalle_24m!EO$45)),Detalle_24m!EO$45,INDEX(Precio_V,4)*INDEX(IdxPrecio_V,1,MIN(10,EO$173)))*(1+V_dPrecio))</f>
        <v>0</v>
      </c>
      <c r="EP205" s="48">
        <f>IF(EP$8=1,IF(Reales!$C$41="PYG",IF(EP$10&gt;0,N(Reales!EP41)/EP$10,0),N(Reales!EP41)),EP$180*IF(AND(AND(141&gt;Corte,141&lt;=Corte+n_Ventana),ISNUMBER(Detalle_24m!EP$45)),Detalle_24m!EP$45,INDEX(Precio_V,4)*INDEX(IdxPrecio_V,1,MIN(10,EP$173)))*(1+V_dPrecio))</f>
        <v>0</v>
      </c>
      <c r="EQ205" s="48">
        <f>IF(EQ$8=1,IF(Reales!$C$41="PYG",IF(EQ$10&gt;0,N(Reales!EQ41)/EQ$10,0),N(Reales!EQ41)),EQ$180*IF(AND(AND(142&gt;Corte,142&lt;=Corte+n_Ventana),ISNUMBER(Detalle_24m!EQ$45)),Detalle_24m!EQ$45,INDEX(Precio_V,4)*INDEX(IdxPrecio_V,1,MIN(10,EQ$173)))*(1+V_dPrecio))</f>
        <v>0</v>
      </c>
      <c r="ER205" s="48">
        <f>IF(ER$8=1,IF(Reales!$C$41="PYG",IF(ER$10&gt;0,N(Reales!ER41)/ER$10,0),N(Reales!ER41)),ER$180*IF(AND(AND(143&gt;Corte,143&lt;=Corte+n_Ventana),ISNUMBER(Detalle_24m!ER$45)),Detalle_24m!ER$45,INDEX(Precio_V,4)*INDEX(IdxPrecio_V,1,MIN(10,ER$173)))*(1+V_dPrecio))</f>
        <v>0</v>
      </c>
      <c r="ES205" s="48">
        <f>IF(ES$8=1,IF(Reales!$C$41="PYG",IF(ES$10&gt;0,N(Reales!ES41)/ES$10,0),N(Reales!ES41)),ES$180*IF(AND(AND(144&gt;Corte,144&lt;=Corte+n_Ventana),ISNUMBER(Detalle_24m!ES$45)),Detalle_24m!ES$45,INDEX(Precio_V,4)*INDEX(IdxPrecio_V,1,MIN(10,ES$173)))*(1+V_dPrecio))</f>
        <v>0</v>
      </c>
    </row>
    <row r="206" spans="1:149" x14ac:dyDescent="0.3">
      <c r="A206" s="14" t="s">
        <v>1261</v>
      </c>
      <c r="B206" s="53" t="str">
        <f>IF(INDEX(Prod_Nombre,5)="","Producto 5",INDEX(Prod_Nombre,5))&amp;" — ventas USD"</f>
        <v>Producto 5 — ventas USD</v>
      </c>
      <c r="C206" s="18" t="s">
        <v>439</v>
      </c>
      <c r="E206" s="54">
        <f t="shared" si="604"/>
        <v>0</v>
      </c>
      <c r="F206" s="48">
        <f>IF(F$8=1,IF(Reales!$C$42="PYG",IF(F$10&gt;0,N(Reales!F42)/F$10,0),N(Reales!F42)),F$181*IF(AND(AND(1&gt;Corte,1&lt;=Corte+n_Ventana),ISNUMBER(Detalle_24m!F$46)),Detalle_24m!F$46,INDEX(Precio_V,5)*INDEX(IdxPrecio_V,1,MIN(10,F$173)))*(1+V_dPrecio))</f>
        <v>0</v>
      </c>
      <c r="G206" s="48">
        <f>IF(G$8=1,IF(Reales!$C$42="PYG",IF(G$10&gt;0,N(Reales!G42)/G$10,0),N(Reales!G42)),G$181*IF(AND(AND(2&gt;Corte,2&lt;=Corte+n_Ventana),ISNUMBER(Detalle_24m!G$46)),Detalle_24m!G$46,INDEX(Precio_V,5)*INDEX(IdxPrecio_V,1,MIN(10,G$173)))*(1+V_dPrecio))</f>
        <v>0</v>
      </c>
      <c r="H206" s="48">
        <f>IF(H$8=1,IF(Reales!$C$42="PYG",IF(H$10&gt;0,N(Reales!H42)/H$10,0),N(Reales!H42)),H$181*IF(AND(AND(3&gt;Corte,3&lt;=Corte+n_Ventana),ISNUMBER(Detalle_24m!H$46)),Detalle_24m!H$46,INDEX(Precio_V,5)*INDEX(IdxPrecio_V,1,MIN(10,H$173)))*(1+V_dPrecio))</f>
        <v>0</v>
      </c>
      <c r="I206" s="48">
        <f>IF(I$8=1,IF(Reales!$C$42="PYG",IF(I$10&gt;0,N(Reales!I42)/I$10,0),N(Reales!I42)),I$181*IF(AND(AND(4&gt;Corte,4&lt;=Corte+n_Ventana),ISNUMBER(Detalle_24m!I$46)),Detalle_24m!I$46,INDEX(Precio_V,5)*INDEX(IdxPrecio_V,1,MIN(10,I$173)))*(1+V_dPrecio))</f>
        <v>0</v>
      </c>
      <c r="J206" s="48">
        <f>IF(J$8=1,IF(Reales!$C$42="PYG",IF(J$10&gt;0,N(Reales!J42)/J$10,0),N(Reales!J42)),J$181*IF(AND(AND(5&gt;Corte,5&lt;=Corte+n_Ventana),ISNUMBER(Detalle_24m!J$46)),Detalle_24m!J$46,INDEX(Precio_V,5)*INDEX(IdxPrecio_V,1,MIN(10,J$173)))*(1+V_dPrecio))</f>
        <v>0</v>
      </c>
      <c r="K206" s="48">
        <f>IF(K$8=1,IF(Reales!$C$42="PYG",IF(K$10&gt;0,N(Reales!K42)/K$10,0),N(Reales!K42)),K$181*IF(AND(AND(6&gt;Corte,6&lt;=Corte+n_Ventana),ISNUMBER(Detalle_24m!K$46)),Detalle_24m!K$46,INDEX(Precio_V,5)*INDEX(IdxPrecio_V,1,MIN(10,K$173)))*(1+V_dPrecio))</f>
        <v>0</v>
      </c>
      <c r="L206" s="48">
        <f>IF(L$8=1,IF(Reales!$C$42="PYG",IF(L$10&gt;0,N(Reales!L42)/L$10,0),N(Reales!L42)),L$181*IF(AND(AND(7&gt;Corte,7&lt;=Corte+n_Ventana),ISNUMBER(Detalle_24m!L$46)),Detalle_24m!L$46,INDEX(Precio_V,5)*INDEX(IdxPrecio_V,1,MIN(10,L$173)))*(1+V_dPrecio))</f>
        <v>0</v>
      </c>
      <c r="M206" s="48">
        <f>IF(M$8=1,IF(Reales!$C$42="PYG",IF(M$10&gt;0,N(Reales!M42)/M$10,0),N(Reales!M42)),M$181*IF(AND(AND(8&gt;Corte,8&lt;=Corte+n_Ventana),ISNUMBER(Detalle_24m!M$46)),Detalle_24m!M$46,INDEX(Precio_V,5)*INDEX(IdxPrecio_V,1,MIN(10,M$173)))*(1+V_dPrecio))</f>
        <v>0</v>
      </c>
      <c r="N206" s="48">
        <f>IF(N$8=1,IF(Reales!$C$42="PYG",IF(N$10&gt;0,N(Reales!N42)/N$10,0),N(Reales!N42)),N$181*IF(AND(AND(9&gt;Corte,9&lt;=Corte+n_Ventana),ISNUMBER(Detalle_24m!N$46)),Detalle_24m!N$46,INDEX(Precio_V,5)*INDEX(IdxPrecio_V,1,MIN(10,N$173)))*(1+V_dPrecio))</f>
        <v>0</v>
      </c>
      <c r="O206" s="48">
        <f>IF(O$8=1,IF(Reales!$C$42="PYG",IF(O$10&gt;0,N(Reales!O42)/O$10,0),N(Reales!O42)),O$181*IF(AND(AND(10&gt;Corte,10&lt;=Corte+n_Ventana),ISNUMBER(Detalle_24m!O$46)),Detalle_24m!O$46,INDEX(Precio_V,5)*INDEX(IdxPrecio_V,1,MIN(10,O$173)))*(1+V_dPrecio))</f>
        <v>0</v>
      </c>
      <c r="P206" s="48">
        <f>IF(P$8=1,IF(Reales!$C$42="PYG",IF(P$10&gt;0,N(Reales!P42)/P$10,0),N(Reales!P42)),P$181*IF(AND(AND(11&gt;Corte,11&lt;=Corte+n_Ventana),ISNUMBER(Detalle_24m!P$46)),Detalle_24m!P$46,INDEX(Precio_V,5)*INDEX(IdxPrecio_V,1,MIN(10,P$173)))*(1+V_dPrecio))</f>
        <v>0</v>
      </c>
      <c r="Q206" s="48">
        <f>IF(Q$8=1,IF(Reales!$C$42="PYG",IF(Q$10&gt;0,N(Reales!Q42)/Q$10,0),N(Reales!Q42)),Q$181*IF(AND(AND(12&gt;Corte,12&lt;=Corte+n_Ventana),ISNUMBER(Detalle_24m!Q$46)),Detalle_24m!Q$46,INDEX(Precio_V,5)*INDEX(IdxPrecio_V,1,MIN(10,Q$173)))*(1+V_dPrecio))</f>
        <v>0</v>
      </c>
      <c r="R206" s="48">
        <f>IF(R$8=1,IF(Reales!$C$42="PYG",IF(R$10&gt;0,N(Reales!R42)/R$10,0),N(Reales!R42)),R$181*IF(AND(AND(13&gt;Corte,13&lt;=Corte+n_Ventana),ISNUMBER(Detalle_24m!R$46)),Detalle_24m!R$46,INDEX(Precio_V,5)*INDEX(IdxPrecio_V,1,MIN(10,R$173)))*(1+V_dPrecio))</f>
        <v>0</v>
      </c>
      <c r="S206" s="48">
        <f>IF(S$8=1,IF(Reales!$C$42="PYG",IF(S$10&gt;0,N(Reales!S42)/S$10,0),N(Reales!S42)),S$181*IF(AND(AND(14&gt;Corte,14&lt;=Corte+n_Ventana),ISNUMBER(Detalle_24m!S$46)),Detalle_24m!S$46,INDEX(Precio_V,5)*INDEX(IdxPrecio_V,1,MIN(10,S$173)))*(1+V_dPrecio))</f>
        <v>0</v>
      </c>
      <c r="T206" s="48">
        <f>IF(T$8=1,IF(Reales!$C$42="PYG",IF(T$10&gt;0,N(Reales!T42)/T$10,0),N(Reales!T42)),T$181*IF(AND(AND(15&gt;Corte,15&lt;=Corte+n_Ventana),ISNUMBER(Detalle_24m!T$46)),Detalle_24m!T$46,INDEX(Precio_V,5)*INDEX(IdxPrecio_V,1,MIN(10,T$173)))*(1+V_dPrecio))</f>
        <v>0</v>
      </c>
      <c r="U206" s="48">
        <f>IF(U$8=1,IF(Reales!$C$42="PYG",IF(U$10&gt;0,N(Reales!U42)/U$10,0),N(Reales!U42)),U$181*IF(AND(AND(16&gt;Corte,16&lt;=Corte+n_Ventana),ISNUMBER(Detalle_24m!U$46)),Detalle_24m!U$46,INDEX(Precio_V,5)*INDEX(IdxPrecio_V,1,MIN(10,U$173)))*(1+V_dPrecio))</f>
        <v>0</v>
      </c>
      <c r="V206" s="48">
        <f>IF(V$8=1,IF(Reales!$C$42="PYG",IF(V$10&gt;0,N(Reales!V42)/V$10,0),N(Reales!V42)),V$181*IF(AND(AND(17&gt;Corte,17&lt;=Corte+n_Ventana),ISNUMBER(Detalle_24m!V$46)),Detalle_24m!V$46,INDEX(Precio_V,5)*INDEX(IdxPrecio_V,1,MIN(10,V$173)))*(1+V_dPrecio))</f>
        <v>0</v>
      </c>
      <c r="W206" s="48">
        <f>IF(W$8=1,IF(Reales!$C$42="PYG",IF(W$10&gt;0,N(Reales!W42)/W$10,0),N(Reales!W42)),W$181*IF(AND(AND(18&gt;Corte,18&lt;=Corte+n_Ventana),ISNUMBER(Detalle_24m!W$46)),Detalle_24m!W$46,INDEX(Precio_V,5)*INDEX(IdxPrecio_V,1,MIN(10,W$173)))*(1+V_dPrecio))</f>
        <v>0</v>
      </c>
      <c r="X206" s="48">
        <f>IF(X$8=1,IF(Reales!$C$42="PYG",IF(X$10&gt;0,N(Reales!X42)/X$10,0),N(Reales!X42)),X$181*IF(AND(AND(19&gt;Corte,19&lt;=Corte+n_Ventana),ISNUMBER(Detalle_24m!X$46)),Detalle_24m!X$46,INDEX(Precio_V,5)*INDEX(IdxPrecio_V,1,MIN(10,X$173)))*(1+V_dPrecio))</f>
        <v>0</v>
      </c>
      <c r="Y206" s="48">
        <f>IF(Y$8=1,IF(Reales!$C$42="PYG",IF(Y$10&gt;0,N(Reales!Y42)/Y$10,0),N(Reales!Y42)),Y$181*IF(AND(AND(20&gt;Corte,20&lt;=Corte+n_Ventana),ISNUMBER(Detalle_24m!Y$46)),Detalle_24m!Y$46,INDEX(Precio_V,5)*INDEX(IdxPrecio_V,1,MIN(10,Y$173)))*(1+V_dPrecio))</f>
        <v>0</v>
      </c>
      <c r="Z206" s="48">
        <f>IF(Z$8=1,IF(Reales!$C$42="PYG",IF(Z$10&gt;0,N(Reales!Z42)/Z$10,0),N(Reales!Z42)),Z$181*IF(AND(AND(21&gt;Corte,21&lt;=Corte+n_Ventana),ISNUMBER(Detalle_24m!Z$46)),Detalle_24m!Z$46,INDEX(Precio_V,5)*INDEX(IdxPrecio_V,1,MIN(10,Z$173)))*(1+V_dPrecio))</f>
        <v>0</v>
      </c>
      <c r="AA206" s="48">
        <f>IF(AA$8=1,IF(Reales!$C$42="PYG",IF(AA$10&gt;0,N(Reales!AA42)/AA$10,0),N(Reales!AA42)),AA$181*IF(AND(AND(22&gt;Corte,22&lt;=Corte+n_Ventana),ISNUMBER(Detalle_24m!AA$46)),Detalle_24m!AA$46,INDEX(Precio_V,5)*INDEX(IdxPrecio_V,1,MIN(10,AA$173)))*(1+V_dPrecio))</f>
        <v>0</v>
      </c>
      <c r="AB206" s="48">
        <f>IF(AB$8=1,IF(Reales!$C$42="PYG",IF(AB$10&gt;0,N(Reales!AB42)/AB$10,0),N(Reales!AB42)),AB$181*IF(AND(AND(23&gt;Corte,23&lt;=Corte+n_Ventana),ISNUMBER(Detalle_24m!AB$46)),Detalle_24m!AB$46,INDEX(Precio_V,5)*INDEX(IdxPrecio_V,1,MIN(10,AB$173)))*(1+V_dPrecio))</f>
        <v>0</v>
      </c>
      <c r="AC206" s="48">
        <f>IF(AC$8=1,IF(Reales!$C$42="PYG",IF(AC$10&gt;0,N(Reales!AC42)/AC$10,0),N(Reales!AC42)),AC$181*IF(AND(AND(24&gt;Corte,24&lt;=Corte+n_Ventana),ISNUMBER(Detalle_24m!AC$46)),Detalle_24m!AC$46,INDEX(Precio_V,5)*INDEX(IdxPrecio_V,1,MIN(10,AC$173)))*(1+V_dPrecio))</f>
        <v>0</v>
      </c>
      <c r="AD206" s="48">
        <f>IF(AD$8=1,IF(Reales!$C$42="PYG",IF(AD$10&gt;0,N(Reales!AD42)/AD$10,0),N(Reales!AD42)),AD$181*IF(AND(AND(25&gt;Corte,25&lt;=Corte+n_Ventana),ISNUMBER(Detalle_24m!AD$46)),Detalle_24m!AD$46,INDEX(Precio_V,5)*INDEX(IdxPrecio_V,1,MIN(10,AD$173)))*(1+V_dPrecio))</f>
        <v>0</v>
      </c>
      <c r="AE206" s="48">
        <f>IF(AE$8=1,IF(Reales!$C$42="PYG",IF(AE$10&gt;0,N(Reales!AE42)/AE$10,0),N(Reales!AE42)),AE$181*IF(AND(AND(26&gt;Corte,26&lt;=Corte+n_Ventana),ISNUMBER(Detalle_24m!AE$46)),Detalle_24m!AE$46,INDEX(Precio_V,5)*INDEX(IdxPrecio_V,1,MIN(10,AE$173)))*(1+V_dPrecio))</f>
        <v>0</v>
      </c>
      <c r="AF206" s="48">
        <f>IF(AF$8=1,IF(Reales!$C$42="PYG",IF(AF$10&gt;0,N(Reales!AF42)/AF$10,0),N(Reales!AF42)),AF$181*IF(AND(AND(27&gt;Corte,27&lt;=Corte+n_Ventana),ISNUMBER(Detalle_24m!AF$46)),Detalle_24m!AF$46,INDEX(Precio_V,5)*INDEX(IdxPrecio_V,1,MIN(10,AF$173)))*(1+V_dPrecio))</f>
        <v>0</v>
      </c>
      <c r="AG206" s="48">
        <f>IF(AG$8=1,IF(Reales!$C$42="PYG",IF(AG$10&gt;0,N(Reales!AG42)/AG$10,0),N(Reales!AG42)),AG$181*IF(AND(AND(28&gt;Corte,28&lt;=Corte+n_Ventana),ISNUMBER(Detalle_24m!AG$46)),Detalle_24m!AG$46,INDEX(Precio_V,5)*INDEX(IdxPrecio_V,1,MIN(10,AG$173)))*(1+V_dPrecio))</f>
        <v>0</v>
      </c>
      <c r="AH206" s="48">
        <f>IF(AH$8=1,IF(Reales!$C$42="PYG",IF(AH$10&gt;0,N(Reales!AH42)/AH$10,0),N(Reales!AH42)),AH$181*IF(AND(AND(29&gt;Corte,29&lt;=Corte+n_Ventana),ISNUMBER(Detalle_24m!AH$46)),Detalle_24m!AH$46,INDEX(Precio_V,5)*INDEX(IdxPrecio_V,1,MIN(10,AH$173)))*(1+V_dPrecio))</f>
        <v>0</v>
      </c>
      <c r="AI206" s="48">
        <f>IF(AI$8=1,IF(Reales!$C$42="PYG",IF(AI$10&gt;0,N(Reales!AI42)/AI$10,0),N(Reales!AI42)),AI$181*IF(AND(AND(30&gt;Corte,30&lt;=Corte+n_Ventana),ISNUMBER(Detalle_24m!AI$46)),Detalle_24m!AI$46,INDEX(Precio_V,5)*INDEX(IdxPrecio_V,1,MIN(10,AI$173)))*(1+V_dPrecio))</f>
        <v>0</v>
      </c>
      <c r="AJ206" s="48">
        <f>IF(AJ$8=1,IF(Reales!$C$42="PYG",IF(AJ$10&gt;0,N(Reales!AJ42)/AJ$10,0),N(Reales!AJ42)),AJ$181*IF(AND(AND(31&gt;Corte,31&lt;=Corte+n_Ventana),ISNUMBER(Detalle_24m!AJ$46)),Detalle_24m!AJ$46,INDEX(Precio_V,5)*INDEX(IdxPrecio_V,1,MIN(10,AJ$173)))*(1+V_dPrecio))</f>
        <v>0</v>
      </c>
      <c r="AK206" s="48">
        <f>IF(AK$8=1,IF(Reales!$C$42="PYG",IF(AK$10&gt;0,N(Reales!AK42)/AK$10,0),N(Reales!AK42)),AK$181*IF(AND(AND(32&gt;Corte,32&lt;=Corte+n_Ventana),ISNUMBER(Detalle_24m!AK$46)),Detalle_24m!AK$46,INDEX(Precio_V,5)*INDEX(IdxPrecio_V,1,MIN(10,AK$173)))*(1+V_dPrecio))</f>
        <v>0</v>
      </c>
      <c r="AL206" s="48">
        <f>IF(AL$8=1,IF(Reales!$C$42="PYG",IF(AL$10&gt;0,N(Reales!AL42)/AL$10,0),N(Reales!AL42)),AL$181*IF(AND(AND(33&gt;Corte,33&lt;=Corte+n_Ventana),ISNUMBER(Detalle_24m!AL$46)),Detalle_24m!AL$46,INDEX(Precio_V,5)*INDEX(IdxPrecio_V,1,MIN(10,AL$173)))*(1+V_dPrecio))</f>
        <v>0</v>
      </c>
      <c r="AM206" s="48">
        <f>IF(AM$8=1,IF(Reales!$C$42="PYG",IF(AM$10&gt;0,N(Reales!AM42)/AM$10,0),N(Reales!AM42)),AM$181*IF(AND(AND(34&gt;Corte,34&lt;=Corte+n_Ventana),ISNUMBER(Detalle_24m!AM$46)),Detalle_24m!AM$46,INDEX(Precio_V,5)*INDEX(IdxPrecio_V,1,MIN(10,AM$173)))*(1+V_dPrecio))</f>
        <v>0</v>
      </c>
      <c r="AN206" s="48">
        <f>IF(AN$8=1,IF(Reales!$C$42="PYG",IF(AN$10&gt;0,N(Reales!AN42)/AN$10,0),N(Reales!AN42)),AN$181*IF(AND(AND(35&gt;Corte,35&lt;=Corte+n_Ventana),ISNUMBER(Detalle_24m!AN$46)),Detalle_24m!AN$46,INDEX(Precio_V,5)*INDEX(IdxPrecio_V,1,MIN(10,AN$173)))*(1+V_dPrecio))</f>
        <v>0</v>
      </c>
      <c r="AO206" s="48">
        <f>IF(AO$8=1,IF(Reales!$C$42="PYG",IF(AO$10&gt;0,N(Reales!AO42)/AO$10,0),N(Reales!AO42)),AO$181*IF(AND(AND(36&gt;Corte,36&lt;=Corte+n_Ventana),ISNUMBER(Detalle_24m!AO$46)),Detalle_24m!AO$46,INDEX(Precio_V,5)*INDEX(IdxPrecio_V,1,MIN(10,AO$173)))*(1+V_dPrecio))</f>
        <v>0</v>
      </c>
      <c r="AP206" s="48">
        <f>IF(AP$8=1,IF(Reales!$C$42="PYG",IF(AP$10&gt;0,N(Reales!AP42)/AP$10,0),N(Reales!AP42)),AP$181*IF(AND(AND(37&gt;Corte,37&lt;=Corte+n_Ventana),ISNUMBER(Detalle_24m!AP$46)),Detalle_24m!AP$46,INDEX(Precio_V,5)*INDEX(IdxPrecio_V,1,MIN(10,AP$173)))*(1+V_dPrecio))</f>
        <v>0</v>
      </c>
      <c r="AQ206" s="48">
        <f>IF(AQ$8=1,IF(Reales!$C$42="PYG",IF(AQ$10&gt;0,N(Reales!AQ42)/AQ$10,0),N(Reales!AQ42)),AQ$181*IF(AND(AND(38&gt;Corte,38&lt;=Corte+n_Ventana),ISNUMBER(Detalle_24m!AQ$46)),Detalle_24m!AQ$46,INDEX(Precio_V,5)*INDEX(IdxPrecio_V,1,MIN(10,AQ$173)))*(1+V_dPrecio))</f>
        <v>0</v>
      </c>
      <c r="AR206" s="48">
        <f>IF(AR$8=1,IF(Reales!$C$42="PYG",IF(AR$10&gt;0,N(Reales!AR42)/AR$10,0),N(Reales!AR42)),AR$181*IF(AND(AND(39&gt;Corte,39&lt;=Corte+n_Ventana),ISNUMBER(Detalle_24m!AR$46)),Detalle_24m!AR$46,INDEX(Precio_V,5)*INDEX(IdxPrecio_V,1,MIN(10,AR$173)))*(1+V_dPrecio))</f>
        <v>0</v>
      </c>
      <c r="AS206" s="48">
        <f>IF(AS$8=1,IF(Reales!$C$42="PYG",IF(AS$10&gt;0,N(Reales!AS42)/AS$10,0),N(Reales!AS42)),AS$181*IF(AND(AND(40&gt;Corte,40&lt;=Corte+n_Ventana),ISNUMBER(Detalle_24m!AS$46)),Detalle_24m!AS$46,INDEX(Precio_V,5)*INDEX(IdxPrecio_V,1,MIN(10,AS$173)))*(1+V_dPrecio))</f>
        <v>0</v>
      </c>
      <c r="AT206" s="48">
        <f>IF(AT$8=1,IF(Reales!$C$42="PYG",IF(AT$10&gt;0,N(Reales!AT42)/AT$10,0),N(Reales!AT42)),AT$181*IF(AND(AND(41&gt;Corte,41&lt;=Corte+n_Ventana),ISNUMBER(Detalle_24m!AT$46)),Detalle_24m!AT$46,INDEX(Precio_V,5)*INDEX(IdxPrecio_V,1,MIN(10,AT$173)))*(1+V_dPrecio))</f>
        <v>0</v>
      </c>
      <c r="AU206" s="48">
        <f>IF(AU$8=1,IF(Reales!$C$42="PYG",IF(AU$10&gt;0,N(Reales!AU42)/AU$10,0),N(Reales!AU42)),AU$181*IF(AND(AND(42&gt;Corte,42&lt;=Corte+n_Ventana),ISNUMBER(Detalle_24m!AU$46)),Detalle_24m!AU$46,INDEX(Precio_V,5)*INDEX(IdxPrecio_V,1,MIN(10,AU$173)))*(1+V_dPrecio))</f>
        <v>0</v>
      </c>
      <c r="AV206" s="48">
        <f>IF(AV$8=1,IF(Reales!$C$42="PYG",IF(AV$10&gt;0,N(Reales!AV42)/AV$10,0),N(Reales!AV42)),AV$181*IF(AND(AND(43&gt;Corte,43&lt;=Corte+n_Ventana),ISNUMBER(Detalle_24m!AV$46)),Detalle_24m!AV$46,INDEX(Precio_V,5)*INDEX(IdxPrecio_V,1,MIN(10,AV$173)))*(1+V_dPrecio))</f>
        <v>0</v>
      </c>
      <c r="AW206" s="48">
        <f>IF(AW$8=1,IF(Reales!$C$42="PYG",IF(AW$10&gt;0,N(Reales!AW42)/AW$10,0),N(Reales!AW42)),AW$181*IF(AND(AND(44&gt;Corte,44&lt;=Corte+n_Ventana),ISNUMBER(Detalle_24m!AW$46)),Detalle_24m!AW$46,INDEX(Precio_V,5)*INDEX(IdxPrecio_V,1,MIN(10,AW$173)))*(1+V_dPrecio))</f>
        <v>0</v>
      </c>
      <c r="AX206" s="48">
        <f>IF(AX$8=1,IF(Reales!$C$42="PYG",IF(AX$10&gt;0,N(Reales!AX42)/AX$10,0),N(Reales!AX42)),AX$181*IF(AND(AND(45&gt;Corte,45&lt;=Corte+n_Ventana),ISNUMBER(Detalle_24m!AX$46)),Detalle_24m!AX$46,INDEX(Precio_V,5)*INDEX(IdxPrecio_V,1,MIN(10,AX$173)))*(1+V_dPrecio))</f>
        <v>0</v>
      </c>
      <c r="AY206" s="48">
        <f>IF(AY$8=1,IF(Reales!$C$42="PYG",IF(AY$10&gt;0,N(Reales!AY42)/AY$10,0),N(Reales!AY42)),AY$181*IF(AND(AND(46&gt;Corte,46&lt;=Corte+n_Ventana),ISNUMBER(Detalle_24m!AY$46)),Detalle_24m!AY$46,INDEX(Precio_V,5)*INDEX(IdxPrecio_V,1,MIN(10,AY$173)))*(1+V_dPrecio))</f>
        <v>0</v>
      </c>
      <c r="AZ206" s="48">
        <f>IF(AZ$8=1,IF(Reales!$C$42="PYG",IF(AZ$10&gt;0,N(Reales!AZ42)/AZ$10,0),N(Reales!AZ42)),AZ$181*IF(AND(AND(47&gt;Corte,47&lt;=Corte+n_Ventana),ISNUMBER(Detalle_24m!AZ$46)),Detalle_24m!AZ$46,INDEX(Precio_V,5)*INDEX(IdxPrecio_V,1,MIN(10,AZ$173)))*(1+V_dPrecio))</f>
        <v>0</v>
      </c>
      <c r="BA206" s="48">
        <f>IF(BA$8=1,IF(Reales!$C$42="PYG",IF(BA$10&gt;0,N(Reales!BA42)/BA$10,0),N(Reales!BA42)),BA$181*IF(AND(AND(48&gt;Corte,48&lt;=Corte+n_Ventana),ISNUMBER(Detalle_24m!BA$46)),Detalle_24m!BA$46,INDEX(Precio_V,5)*INDEX(IdxPrecio_V,1,MIN(10,BA$173)))*(1+V_dPrecio))</f>
        <v>0</v>
      </c>
      <c r="BB206" s="48">
        <f>IF(BB$8=1,IF(Reales!$C$42="PYG",IF(BB$10&gt;0,N(Reales!BB42)/BB$10,0),N(Reales!BB42)),BB$181*IF(AND(AND(49&gt;Corte,49&lt;=Corte+n_Ventana),ISNUMBER(Detalle_24m!BB$46)),Detalle_24m!BB$46,INDEX(Precio_V,5)*INDEX(IdxPrecio_V,1,MIN(10,BB$173)))*(1+V_dPrecio))</f>
        <v>0</v>
      </c>
      <c r="BC206" s="48">
        <f>IF(BC$8=1,IF(Reales!$C$42="PYG",IF(BC$10&gt;0,N(Reales!BC42)/BC$10,0),N(Reales!BC42)),BC$181*IF(AND(AND(50&gt;Corte,50&lt;=Corte+n_Ventana),ISNUMBER(Detalle_24m!BC$46)),Detalle_24m!BC$46,INDEX(Precio_V,5)*INDEX(IdxPrecio_V,1,MIN(10,BC$173)))*(1+V_dPrecio))</f>
        <v>0</v>
      </c>
      <c r="BD206" s="48">
        <f>IF(BD$8=1,IF(Reales!$C$42="PYG",IF(BD$10&gt;0,N(Reales!BD42)/BD$10,0),N(Reales!BD42)),BD$181*IF(AND(AND(51&gt;Corte,51&lt;=Corte+n_Ventana),ISNUMBER(Detalle_24m!BD$46)),Detalle_24m!BD$46,INDEX(Precio_V,5)*INDEX(IdxPrecio_V,1,MIN(10,BD$173)))*(1+V_dPrecio))</f>
        <v>0</v>
      </c>
      <c r="BE206" s="48">
        <f>IF(BE$8=1,IF(Reales!$C$42="PYG",IF(BE$10&gt;0,N(Reales!BE42)/BE$10,0),N(Reales!BE42)),BE$181*IF(AND(AND(52&gt;Corte,52&lt;=Corte+n_Ventana),ISNUMBER(Detalle_24m!BE$46)),Detalle_24m!BE$46,INDEX(Precio_V,5)*INDEX(IdxPrecio_V,1,MIN(10,BE$173)))*(1+V_dPrecio))</f>
        <v>0</v>
      </c>
      <c r="BF206" s="48">
        <f>IF(BF$8=1,IF(Reales!$C$42="PYG",IF(BF$10&gt;0,N(Reales!BF42)/BF$10,0),N(Reales!BF42)),BF$181*IF(AND(AND(53&gt;Corte,53&lt;=Corte+n_Ventana),ISNUMBER(Detalle_24m!BF$46)),Detalle_24m!BF$46,INDEX(Precio_V,5)*INDEX(IdxPrecio_V,1,MIN(10,BF$173)))*(1+V_dPrecio))</f>
        <v>0</v>
      </c>
      <c r="BG206" s="48">
        <f>IF(BG$8=1,IF(Reales!$C$42="PYG",IF(BG$10&gt;0,N(Reales!BG42)/BG$10,0),N(Reales!BG42)),BG$181*IF(AND(AND(54&gt;Corte,54&lt;=Corte+n_Ventana),ISNUMBER(Detalle_24m!BG$46)),Detalle_24m!BG$46,INDEX(Precio_V,5)*INDEX(IdxPrecio_V,1,MIN(10,BG$173)))*(1+V_dPrecio))</f>
        <v>0</v>
      </c>
      <c r="BH206" s="48">
        <f>IF(BH$8=1,IF(Reales!$C$42="PYG",IF(BH$10&gt;0,N(Reales!BH42)/BH$10,0),N(Reales!BH42)),BH$181*IF(AND(AND(55&gt;Corte,55&lt;=Corte+n_Ventana),ISNUMBER(Detalle_24m!BH$46)),Detalle_24m!BH$46,INDEX(Precio_V,5)*INDEX(IdxPrecio_V,1,MIN(10,BH$173)))*(1+V_dPrecio))</f>
        <v>0</v>
      </c>
      <c r="BI206" s="48">
        <f>IF(BI$8=1,IF(Reales!$C$42="PYG",IF(BI$10&gt;0,N(Reales!BI42)/BI$10,0),N(Reales!BI42)),BI$181*IF(AND(AND(56&gt;Corte,56&lt;=Corte+n_Ventana),ISNUMBER(Detalle_24m!BI$46)),Detalle_24m!BI$46,INDEX(Precio_V,5)*INDEX(IdxPrecio_V,1,MIN(10,BI$173)))*(1+V_dPrecio))</f>
        <v>0</v>
      </c>
      <c r="BJ206" s="48">
        <f>IF(BJ$8=1,IF(Reales!$C$42="PYG",IF(BJ$10&gt;0,N(Reales!BJ42)/BJ$10,0),N(Reales!BJ42)),BJ$181*IF(AND(AND(57&gt;Corte,57&lt;=Corte+n_Ventana),ISNUMBER(Detalle_24m!BJ$46)),Detalle_24m!BJ$46,INDEX(Precio_V,5)*INDEX(IdxPrecio_V,1,MIN(10,BJ$173)))*(1+V_dPrecio))</f>
        <v>0</v>
      </c>
      <c r="BK206" s="48">
        <f>IF(BK$8=1,IF(Reales!$C$42="PYG",IF(BK$10&gt;0,N(Reales!BK42)/BK$10,0),N(Reales!BK42)),BK$181*IF(AND(AND(58&gt;Corte,58&lt;=Corte+n_Ventana),ISNUMBER(Detalle_24m!BK$46)),Detalle_24m!BK$46,INDEX(Precio_V,5)*INDEX(IdxPrecio_V,1,MIN(10,BK$173)))*(1+V_dPrecio))</f>
        <v>0</v>
      </c>
      <c r="BL206" s="48">
        <f>IF(BL$8=1,IF(Reales!$C$42="PYG",IF(BL$10&gt;0,N(Reales!BL42)/BL$10,0),N(Reales!BL42)),BL$181*IF(AND(AND(59&gt;Corte,59&lt;=Corte+n_Ventana),ISNUMBER(Detalle_24m!BL$46)),Detalle_24m!BL$46,INDEX(Precio_V,5)*INDEX(IdxPrecio_V,1,MIN(10,BL$173)))*(1+V_dPrecio))</f>
        <v>0</v>
      </c>
      <c r="BM206" s="48">
        <f>IF(BM$8=1,IF(Reales!$C$42="PYG",IF(BM$10&gt;0,N(Reales!BM42)/BM$10,0),N(Reales!BM42)),BM$181*IF(AND(AND(60&gt;Corte,60&lt;=Corte+n_Ventana),ISNUMBER(Detalle_24m!BM$46)),Detalle_24m!BM$46,INDEX(Precio_V,5)*INDEX(IdxPrecio_V,1,MIN(10,BM$173)))*(1+V_dPrecio))</f>
        <v>0</v>
      </c>
      <c r="BN206" s="48">
        <f>IF(BN$8=1,IF(Reales!$C$42="PYG",IF(BN$10&gt;0,N(Reales!BN42)/BN$10,0),N(Reales!BN42)),BN$181*IF(AND(AND(61&gt;Corte,61&lt;=Corte+n_Ventana),ISNUMBER(Detalle_24m!BN$46)),Detalle_24m!BN$46,INDEX(Precio_V,5)*INDEX(IdxPrecio_V,1,MIN(10,BN$173)))*(1+V_dPrecio))</f>
        <v>0</v>
      </c>
      <c r="BO206" s="48">
        <f>IF(BO$8=1,IF(Reales!$C$42="PYG",IF(BO$10&gt;0,N(Reales!BO42)/BO$10,0),N(Reales!BO42)),BO$181*IF(AND(AND(62&gt;Corte,62&lt;=Corte+n_Ventana),ISNUMBER(Detalle_24m!BO$46)),Detalle_24m!BO$46,INDEX(Precio_V,5)*INDEX(IdxPrecio_V,1,MIN(10,BO$173)))*(1+V_dPrecio))</f>
        <v>0</v>
      </c>
      <c r="BP206" s="48">
        <f>IF(BP$8=1,IF(Reales!$C$42="PYG",IF(BP$10&gt;0,N(Reales!BP42)/BP$10,0),N(Reales!BP42)),BP$181*IF(AND(AND(63&gt;Corte,63&lt;=Corte+n_Ventana),ISNUMBER(Detalle_24m!BP$46)),Detalle_24m!BP$46,INDEX(Precio_V,5)*INDEX(IdxPrecio_V,1,MIN(10,BP$173)))*(1+V_dPrecio))</f>
        <v>0</v>
      </c>
      <c r="BQ206" s="48">
        <f>IF(BQ$8=1,IF(Reales!$C$42="PYG",IF(BQ$10&gt;0,N(Reales!BQ42)/BQ$10,0),N(Reales!BQ42)),BQ$181*IF(AND(AND(64&gt;Corte,64&lt;=Corte+n_Ventana),ISNUMBER(Detalle_24m!BQ$46)),Detalle_24m!BQ$46,INDEX(Precio_V,5)*INDEX(IdxPrecio_V,1,MIN(10,BQ$173)))*(1+V_dPrecio))</f>
        <v>0</v>
      </c>
      <c r="BR206" s="48">
        <f>IF(BR$8=1,IF(Reales!$C$42="PYG",IF(BR$10&gt;0,N(Reales!BR42)/BR$10,0),N(Reales!BR42)),BR$181*IF(AND(AND(65&gt;Corte,65&lt;=Corte+n_Ventana),ISNUMBER(Detalle_24m!BR$46)),Detalle_24m!BR$46,INDEX(Precio_V,5)*INDEX(IdxPrecio_V,1,MIN(10,BR$173)))*(1+V_dPrecio))</f>
        <v>0</v>
      </c>
      <c r="BS206" s="48">
        <f>IF(BS$8=1,IF(Reales!$C$42="PYG",IF(BS$10&gt;0,N(Reales!BS42)/BS$10,0),N(Reales!BS42)),BS$181*IF(AND(AND(66&gt;Corte,66&lt;=Corte+n_Ventana),ISNUMBER(Detalle_24m!BS$46)),Detalle_24m!BS$46,INDEX(Precio_V,5)*INDEX(IdxPrecio_V,1,MIN(10,BS$173)))*(1+V_dPrecio))</f>
        <v>0</v>
      </c>
      <c r="BT206" s="48">
        <f>IF(BT$8=1,IF(Reales!$C$42="PYG",IF(BT$10&gt;0,N(Reales!BT42)/BT$10,0),N(Reales!BT42)),BT$181*IF(AND(AND(67&gt;Corte,67&lt;=Corte+n_Ventana),ISNUMBER(Detalle_24m!BT$46)),Detalle_24m!BT$46,INDEX(Precio_V,5)*INDEX(IdxPrecio_V,1,MIN(10,BT$173)))*(1+V_dPrecio))</f>
        <v>0</v>
      </c>
      <c r="BU206" s="48">
        <f>IF(BU$8=1,IF(Reales!$C$42="PYG",IF(BU$10&gt;0,N(Reales!BU42)/BU$10,0),N(Reales!BU42)),BU$181*IF(AND(AND(68&gt;Corte,68&lt;=Corte+n_Ventana),ISNUMBER(Detalle_24m!BU$46)),Detalle_24m!BU$46,INDEX(Precio_V,5)*INDEX(IdxPrecio_V,1,MIN(10,BU$173)))*(1+V_dPrecio))</f>
        <v>0</v>
      </c>
      <c r="BV206" s="48">
        <f>IF(BV$8=1,IF(Reales!$C$42="PYG",IF(BV$10&gt;0,N(Reales!BV42)/BV$10,0),N(Reales!BV42)),BV$181*IF(AND(AND(69&gt;Corte,69&lt;=Corte+n_Ventana),ISNUMBER(Detalle_24m!BV$46)),Detalle_24m!BV$46,INDEX(Precio_V,5)*INDEX(IdxPrecio_V,1,MIN(10,BV$173)))*(1+V_dPrecio))</f>
        <v>0</v>
      </c>
      <c r="BW206" s="48">
        <f>IF(BW$8=1,IF(Reales!$C$42="PYG",IF(BW$10&gt;0,N(Reales!BW42)/BW$10,0),N(Reales!BW42)),BW$181*IF(AND(AND(70&gt;Corte,70&lt;=Corte+n_Ventana),ISNUMBER(Detalle_24m!BW$46)),Detalle_24m!BW$46,INDEX(Precio_V,5)*INDEX(IdxPrecio_V,1,MIN(10,BW$173)))*(1+V_dPrecio))</f>
        <v>0</v>
      </c>
      <c r="BX206" s="48">
        <f>IF(BX$8=1,IF(Reales!$C$42="PYG",IF(BX$10&gt;0,N(Reales!BX42)/BX$10,0),N(Reales!BX42)),BX$181*IF(AND(AND(71&gt;Corte,71&lt;=Corte+n_Ventana),ISNUMBER(Detalle_24m!BX$46)),Detalle_24m!BX$46,INDEX(Precio_V,5)*INDEX(IdxPrecio_V,1,MIN(10,BX$173)))*(1+V_dPrecio))</f>
        <v>0</v>
      </c>
      <c r="BY206" s="48">
        <f>IF(BY$8=1,IF(Reales!$C$42="PYG",IF(BY$10&gt;0,N(Reales!BY42)/BY$10,0),N(Reales!BY42)),BY$181*IF(AND(AND(72&gt;Corte,72&lt;=Corte+n_Ventana),ISNUMBER(Detalle_24m!BY$46)),Detalle_24m!BY$46,INDEX(Precio_V,5)*INDEX(IdxPrecio_V,1,MIN(10,BY$173)))*(1+V_dPrecio))</f>
        <v>0</v>
      </c>
      <c r="BZ206" s="48">
        <f>IF(BZ$8=1,IF(Reales!$C$42="PYG",IF(BZ$10&gt;0,N(Reales!BZ42)/BZ$10,0),N(Reales!BZ42)),BZ$181*IF(AND(AND(73&gt;Corte,73&lt;=Corte+n_Ventana),ISNUMBER(Detalle_24m!BZ$46)),Detalle_24m!BZ$46,INDEX(Precio_V,5)*INDEX(IdxPrecio_V,1,MIN(10,BZ$173)))*(1+V_dPrecio))</f>
        <v>0</v>
      </c>
      <c r="CA206" s="48">
        <f>IF(CA$8=1,IF(Reales!$C$42="PYG",IF(CA$10&gt;0,N(Reales!CA42)/CA$10,0),N(Reales!CA42)),CA$181*IF(AND(AND(74&gt;Corte,74&lt;=Corte+n_Ventana),ISNUMBER(Detalle_24m!CA$46)),Detalle_24m!CA$46,INDEX(Precio_V,5)*INDEX(IdxPrecio_V,1,MIN(10,CA$173)))*(1+V_dPrecio))</f>
        <v>0</v>
      </c>
      <c r="CB206" s="48">
        <f>IF(CB$8=1,IF(Reales!$C$42="PYG",IF(CB$10&gt;0,N(Reales!CB42)/CB$10,0),N(Reales!CB42)),CB$181*IF(AND(AND(75&gt;Corte,75&lt;=Corte+n_Ventana),ISNUMBER(Detalle_24m!CB$46)),Detalle_24m!CB$46,INDEX(Precio_V,5)*INDEX(IdxPrecio_V,1,MIN(10,CB$173)))*(1+V_dPrecio))</f>
        <v>0</v>
      </c>
      <c r="CC206" s="48">
        <f>IF(CC$8=1,IF(Reales!$C$42="PYG",IF(CC$10&gt;0,N(Reales!CC42)/CC$10,0),N(Reales!CC42)),CC$181*IF(AND(AND(76&gt;Corte,76&lt;=Corte+n_Ventana),ISNUMBER(Detalle_24m!CC$46)),Detalle_24m!CC$46,INDEX(Precio_V,5)*INDEX(IdxPrecio_V,1,MIN(10,CC$173)))*(1+V_dPrecio))</f>
        <v>0</v>
      </c>
      <c r="CD206" s="48">
        <f>IF(CD$8=1,IF(Reales!$C$42="PYG",IF(CD$10&gt;0,N(Reales!CD42)/CD$10,0),N(Reales!CD42)),CD$181*IF(AND(AND(77&gt;Corte,77&lt;=Corte+n_Ventana),ISNUMBER(Detalle_24m!CD$46)),Detalle_24m!CD$46,INDEX(Precio_V,5)*INDEX(IdxPrecio_V,1,MIN(10,CD$173)))*(1+V_dPrecio))</f>
        <v>0</v>
      </c>
      <c r="CE206" s="48">
        <f>IF(CE$8=1,IF(Reales!$C$42="PYG",IF(CE$10&gt;0,N(Reales!CE42)/CE$10,0),N(Reales!CE42)),CE$181*IF(AND(AND(78&gt;Corte,78&lt;=Corte+n_Ventana),ISNUMBER(Detalle_24m!CE$46)),Detalle_24m!CE$46,INDEX(Precio_V,5)*INDEX(IdxPrecio_V,1,MIN(10,CE$173)))*(1+V_dPrecio))</f>
        <v>0</v>
      </c>
      <c r="CF206" s="48">
        <f>IF(CF$8=1,IF(Reales!$C$42="PYG",IF(CF$10&gt;0,N(Reales!CF42)/CF$10,0),N(Reales!CF42)),CF$181*IF(AND(AND(79&gt;Corte,79&lt;=Corte+n_Ventana),ISNUMBER(Detalle_24m!CF$46)),Detalle_24m!CF$46,INDEX(Precio_V,5)*INDEX(IdxPrecio_V,1,MIN(10,CF$173)))*(1+V_dPrecio))</f>
        <v>0</v>
      </c>
      <c r="CG206" s="48">
        <f>IF(CG$8=1,IF(Reales!$C$42="PYG",IF(CG$10&gt;0,N(Reales!CG42)/CG$10,0),N(Reales!CG42)),CG$181*IF(AND(AND(80&gt;Corte,80&lt;=Corte+n_Ventana),ISNUMBER(Detalle_24m!CG$46)),Detalle_24m!CG$46,INDEX(Precio_V,5)*INDEX(IdxPrecio_V,1,MIN(10,CG$173)))*(1+V_dPrecio))</f>
        <v>0</v>
      </c>
      <c r="CH206" s="48">
        <f>IF(CH$8=1,IF(Reales!$C$42="PYG",IF(CH$10&gt;0,N(Reales!CH42)/CH$10,0),N(Reales!CH42)),CH$181*IF(AND(AND(81&gt;Corte,81&lt;=Corte+n_Ventana),ISNUMBER(Detalle_24m!CH$46)),Detalle_24m!CH$46,INDEX(Precio_V,5)*INDEX(IdxPrecio_V,1,MIN(10,CH$173)))*(1+V_dPrecio))</f>
        <v>0</v>
      </c>
      <c r="CI206" s="48">
        <f>IF(CI$8=1,IF(Reales!$C$42="PYG",IF(CI$10&gt;0,N(Reales!CI42)/CI$10,0),N(Reales!CI42)),CI$181*IF(AND(AND(82&gt;Corte,82&lt;=Corte+n_Ventana),ISNUMBER(Detalle_24m!CI$46)),Detalle_24m!CI$46,INDEX(Precio_V,5)*INDEX(IdxPrecio_V,1,MIN(10,CI$173)))*(1+V_dPrecio))</f>
        <v>0</v>
      </c>
      <c r="CJ206" s="48">
        <f>IF(CJ$8=1,IF(Reales!$C$42="PYG",IF(CJ$10&gt;0,N(Reales!CJ42)/CJ$10,0),N(Reales!CJ42)),CJ$181*IF(AND(AND(83&gt;Corte,83&lt;=Corte+n_Ventana),ISNUMBER(Detalle_24m!CJ$46)),Detalle_24m!CJ$46,INDEX(Precio_V,5)*INDEX(IdxPrecio_V,1,MIN(10,CJ$173)))*(1+V_dPrecio))</f>
        <v>0</v>
      </c>
      <c r="CK206" s="48">
        <f>IF(CK$8=1,IF(Reales!$C$42="PYG",IF(CK$10&gt;0,N(Reales!CK42)/CK$10,0),N(Reales!CK42)),CK$181*IF(AND(AND(84&gt;Corte,84&lt;=Corte+n_Ventana),ISNUMBER(Detalle_24m!CK$46)),Detalle_24m!CK$46,INDEX(Precio_V,5)*INDEX(IdxPrecio_V,1,MIN(10,CK$173)))*(1+V_dPrecio))</f>
        <v>0</v>
      </c>
      <c r="CL206" s="48">
        <f>IF(CL$8=1,IF(Reales!$C$42="PYG",IF(CL$10&gt;0,N(Reales!CL42)/CL$10,0),N(Reales!CL42)),CL$181*IF(AND(AND(85&gt;Corte,85&lt;=Corte+n_Ventana),ISNUMBER(Detalle_24m!CL$46)),Detalle_24m!CL$46,INDEX(Precio_V,5)*INDEX(IdxPrecio_V,1,MIN(10,CL$173)))*(1+V_dPrecio))</f>
        <v>0</v>
      </c>
      <c r="CM206" s="48">
        <f>IF(CM$8=1,IF(Reales!$C$42="PYG",IF(CM$10&gt;0,N(Reales!CM42)/CM$10,0),N(Reales!CM42)),CM$181*IF(AND(AND(86&gt;Corte,86&lt;=Corte+n_Ventana),ISNUMBER(Detalle_24m!CM$46)),Detalle_24m!CM$46,INDEX(Precio_V,5)*INDEX(IdxPrecio_V,1,MIN(10,CM$173)))*(1+V_dPrecio))</f>
        <v>0</v>
      </c>
      <c r="CN206" s="48">
        <f>IF(CN$8=1,IF(Reales!$C$42="PYG",IF(CN$10&gt;0,N(Reales!CN42)/CN$10,0),N(Reales!CN42)),CN$181*IF(AND(AND(87&gt;Corte,87&lt;=Corte+n_Ventana),ISNUMBER(Detalle_24m!CN$46)),Detalle_24m!CN$46,INDEX(Precio_V,5)*INDEX(IdxPrecio_V,1,MIN(10,CN$173)))*(1+V_dPrecio))</f>
        <v>0</v>
      </c>
      <c r="CO206" s="48">
        <f>IF(CO$8=1,IF(Reales!$C$42="PYG",IF(CO$10&gt;0,N(Reales!CO42)/CO$10,0),N(Reales!CO42)),CO$181*IF(AND(AND(88&gt;Corte,88&lt;=Corte+n_Ventana),ISNUMBER(Detalle_24m!CO$46)),Detalle_24m!CO$46,INDEX(Precio_V,5)*INDEX(IdxPrecio_V,1,MIN(10,CO$173)))*(1+V_dPrecio))</f>
        <v>0</v>
      </c>
      <c r="CP206" s="48">
        <f>IF(CP$8=1,IF(Reales!$C$42="PYG",IF(CP$10&gt;0,N(Reales!CP42)/CP$10,0),N(Reales!CP42)),CP$181*IF(AND(AND(89&gt;Corte,89&lt;=Corte+n_Ventana),ISNUMBER(Detalle_24m!CP$46)),Detalle_24m!CP$46,INDEX(Precio_V,5)*INDEX(IdxPrecio_V,1,MIN(10,CP$173)))*(1+V_dPrecio))</f>
        <v>0</v>
      </c>
      <c r="CQ206" s="48">
        <f>IF(CQ$8=1,IF(Reales!$C$42="PYG",IF(CQ$10&gt;0,N(Reales!CQ42)/CQ$10,0),N(Reales!CQ42)),CQ$181*IF(AND(AND(90&gt;Corte,90&lt;=Corte+n_Ventana),ISNUMBER(Detalle_24m!CQ$46)),Detalle_24m!CQ$46,INDEX(Precio_V,5)*INDEX(IdxPrecio_V,1,MIN(10,CQ$173)))*(1+V_dPrecio))</f>
        <v>0</v>
      </c>
      <c r="CR206" s="48">
        <f>IF(CR$8=1,IF(Reales!$C$42="PYG",IF(CR$10&gt;0,N(Reales!CR42)/CR$10,0),N(Reales!CR42)),CR$181*IF(AND(AND(91&gt;Corte,91&lt;=Corte+n_Ventana),ISNUMBER(Detalle_24m!CR$46)),Detalle_24m!CR$46,INDEX(Precio_V,5)*INDEX(IdxPrecio_V,1,MIN(10,CR$173)))*(1+V_dPrecio))</f>
        <v>0</v>
      </c>
      <c r="CS206" s="48">
        <f>IF(CS$8=1,IF(Reales!$C$42="PYG",IF(CS$10&gt;0,N(Reales!CS42)/CS$10,0),N(Reales!CS42)),CS$181*IF(AND(AND(92&gt;Corte,92&lt;=Corte+n_Ventana),ISNUMBER(Detalle_24m!CS$46)),Detalle_24m!CS$46,INDEX(Precio_V,5)*INDEX(IdxPrecio_V,1,MIN(10,CS$173)))*(1+V_dPrecio))</f>
        <v>0</v>
      </c>
      <c r="CT206" s="48">
        <f>IF(CT$8=1,IF(Reales!$C$42="PYG",IF(CT$10&gt;0,N(Reales!CT42)/CT$10,0),N(Reales!CT42)),CT$181*IF(AND(AND(93&gt;Corte,93&lt;=Corte+n_Ventana),ISNUMBER(Detalle_24m!CT$46)),Detalle_24m!CT$46,INDEX(Precio_V,5)*INDEX(IdxPrecio_V,1,MIN(10,CT$173)))*(1+V_dPrecio))</f>
        <v>0</v>
      </c>
      <c r="CU206" s="48">
        <f>IF(CU$8=1,IF(Reales!$C$42="PYG",IF(CU$10&gt;0,N(Reales!CU42)/CU$10,0),N(Reales!CU42)),CU$181*IF(AND(AND(94&gt;Corte,94&lt;=Corte+n_Ventana),ISNUMBER(Detalle_24m!CU$46)),Detalle_24m!CU$46,INDEX(Precio_V,5)*INDEX(IdxPrecio_V,1,MIN(10,CU$173)))*(1+V_dPrecio))</f>
        <v>0</v>
      </c>
      <c r="CV206" s="48">
        <f>IF(CV$8=1,IF(Reales!$C$42="PYG",IF(CV$10&gt;0,N(Reales!CV42)/CV$10,0),N(Reales!CV42)),CV$181*IF(AND(AND(95&gt;Corte,95&lt;=Corte+n_Ventana),ISNUMBER(Detalle_24m!CV$46)),Detalle_24m!CV$46,INDEX(Precio_V,5)*INDEX(IdxPrecio_V,1,MIN(10,CV$173)))*(1+V_dPrecio))</f>
        <v>0</v>
      </c>
      <c r="CW206" s="48">
        <f>IF(CW$8=1,IF(Reales!$C$42="PYG",IF(CW$10&gt;0,N(Reales!CW42)/CW$10,0),N(Reales!CW42)),CW$181*IF(AND(AND(96&gt;Corte,96&lt;=Corte+n_Ventana),ISNUMBER(Detalle_24m!CW$46)),Detalle_24m!CW$46,INDEX(Precio_V,5)*INDEX(IdxPrecio_V,1,MIN(10,CW$173)))*(1+V_dPrecio))</f>
        <v>0</v>
      </c>
      <c r="CX206" s="48">
        <f>IF(CX$8=1,IF(Reales!$C$42="PYG",IF(CX$10&gt;0,N(Reales!CX42)/CX$10,0),N(Reales!CX42)),CX$181*IF(AND(AND(97&gt;Corte,97&lt;=Corte+n_Ventana),ISNUMBER(Detalle_24m!CX$46)),Detalle_24m!CX$46,INDEX(Precio_V,5)*INDEX(IdxPrecio_V,1,MIN(10,CX$173)))*(1+V_dPrecio))</f>
        <v>0</v>
      </c>
      <c r="CY206" s="48">
        <f>IF(CY$8=1,IF(Reales!$C$42="PYG",IF(CY$10&gt;0,N(Reales!CY42)/CY$10,0),N(Reales!CY42)),CY$181*IF(AND(AND(98&gt;Corte,98&lt;=Corte+n_Ventana),ISNUMBER(Detalle_24m!CY$46)),Detalle_24m!CY$46,INDEX(Precio_V,5)*INDEX(IdxPrecio_V,1,MIN(10,CY$173)))*(1+V_dPrecio))</f>
        <v>0</v>
      </c>
      <c r="CZ206" s="48">
        <f>IF(CZ$8=1,IF(Reales!$C$42="PYG",IF(CZ$10&gt;0,N(Reales!CZ42)/CZ$10,0),N(Reales!CZ42)),CZ$181*IF(AND(AND(99&gt;Corte,99&lt;=Corte+n_Ventana),ISNUMBER(Detalle_24m!CZ$46)),Detalle_24m!CZ$46,INDEX(Precio_V,5)*INDEX(IdxPrecio_V,1,MIN(10,CZ$173)))*(1+V_dPrecio))</f>
        <v>0</v>
      </c>
      <c r="DA206" s="48">
        <f>IF(DA$8=1,IF(Reales!$C$42="PYG",IF(DA$10&gt;0,N(Reales!DA42)/DA$10,0),N(Reales!DA42)),DA$181*IF(AND(AND(100&gt;Corte,100&lt;=Corte+n_Ventana),ISNUMBER(Detalle_24m!DA$46)),Detalle_24m!DA$46,INDEX(Precio_V,5)*INDEX(IdxPrecio_V,1,MIN(10,DA$173)))*(1+V_dPrecio))</f>
        <v>0</v>
      </c>
      <c r="DB206" s="48">
        <f>IF(DB$8=1,IF(Reales!$C$42="PYG",IF(DB$10&gt;0,N(Reales!DB42)/DB$10,0),N(Reales!DB42)),DB$181*IF(AND(AND(101&gt;Corte,101&lt;=Corte+n_Ventana),ISNUMBER(Detalle_24m!DB$46)),Detalle_24m!DB$46,INDEX(Precio_V,5)*INDEX(IdxPrecio_V,1,MIN(10,DB$173)))*(1+V_dPrecio))</f>
        <v>0</v>
      </c>
      <c r="DC206" s="48">
        <f>IF(DC$8=1,IF(Reales!$C$42="PYG",IF(DC$10&gt;0,N(Reales!DC42)/DC$10,0),N(Reales!DC42)),DC$181*IF(AND(AND(102&gt;Corte,102&lt;=Corte+n_Ventana),ISNUMBER(Detalle_24m!DC$46)),Detalle_24m!DC$46,INDEX(Precio_V,5)*INDEX(IdxPrecio_V,1,MIN(10,DC$173)))*(1+V_dPrecio))</f>
        <v>0</v>
      </c>
      <c r="DD206" s="48">
        <f>IF(DD$8=1,IF(Reales!$C$42="PYG",IF(DD$10&gt;0,N(Reales!DD42)/DD$10,0),N(Reales!DD42)),DD$181*IF(AND(AND(103&gt;Corte,103&lt;=Corte+n_Ventana),ISNUMBER(Detalle_24m!DD$46)),Detalle_24m!DD$46,INDEX(Precio_V,5)*INDEX(IdxPrecio_V,1,MIN(10,DD$173)))*(1+V_dPrecio))</f>
        <v>0</v>
      </c>
      <c r="DE206" s="48">
        <f>IF(DE$8=1,IF(Reales!$C$42="PYG",IF(DE$10&gt;0,N(Reales!DE42)/DE$10,0),N(Reales!DE42)),DE$181*IF(AND(AND(104&gt;Corte,104&lt;=Corte+n_Ventana),ISNUMBER(Detalle_24m!DE$46)),Detalle_24m!DE$46,INDEX(Precio_V,5)*INDEX(IdxPrecio_V,1,MIN(10,DE$173)))*(1+V_dPrecio))</f>
        <v>0</v>
      </c>
      <c r="DF206" s="48">
        <f>IF(DF$8=1,IF(Reales!$C$42="PYG",IF(DF$10&gt;0,N(Reales!DF42)/DF$10,0),N(Reales!DF42)),DF$181*IF(AND(AND(105&gt;Corte,105&lt;=Corte+n_Ventana),ISNUMBER(Detalle_24m!DF$46)),Detalle_24m!DF$46,INDEX(Precio_V,5)*INDEX(IdxPrecio_V,1,MIN(10,DF$173)))*(1+V_dPrecio))</f>
        <v>0</v>
      </c>
      <c r="DG206" s="48">
        <f>IF(DG$8=1,IF(Reales!$C$42="PYG",IF(DG$10&gt;0,N(Reales!DG42)/DG$10,0),N(Reales!DG42)),DG$181*IF(AND(AND(106&gt;Corte,106&lt;=Corte+n_Ventana),ISNUMBER(Detalle_24m!DG$46)),Detalle_24m!DG$46,INDEX(Precio_V,5)*INDEX(IdxPrecio_V,1,MIN(10,DG$173)))*(1+V_dPrecio))</f>
        <v>0</v>
      </c>
      <c r="DH206" s="48">
        <f>IF(DH$8=1,IF(Reales!$C$42="PYG",IF(DH$10&gt;0,N(Reales!DH42)/DH$10,0),N(Reales!DH42)),DH$181*IF(AND(AND(107&gt;Corte,107&lt;=Corte+n_Ventana),ISNUMBER(Detalle_24m!DH$46)),Detalle_24m!DH$46,INDEX(Precio_V,5)*INDEX(IdxPrecio_V,1,MIN(10,DH$173)))*(1+V_dPrecio))</f>
        <v>0</v>
      </c>
      <c r="DI206" s="48">
        <f>IF(DI$8=1,IF(Reales!$C$42="PYG",IF(DI$10&gt;0,N(Reales!DI42)/DI$10,0),N(Reales!DI42)),DI$181*IF(AND(AND(108&gt;Corte,108&lt;=Corte+n_Ventana),ISNUMBER(Detalle_24m!DI$46)),Detalle_24m!DI$46,INDEX(Precio_V,5)*INDEX(IdxPrecio_V,1,MIN(10,DI$173)))*(1+V_dPrecio))</f>
        <v>0</v>
      </c>
      <c r="DJ206" s="48">
        <f>IF(DJ$8=1,IF(Reales!$C$42="PYG",IF(DJ$10&gt;0,N(Reales!DJ42)/DJ$10,0),N(Reales!DJ42)),DJ$181*IF(AND(AND(109&gt;Corte,109&lt;=Corte+n_Ventana),ISNUMBER(Detalle_24m!DJ$46)),Detalle_24m!DJ$46,INDEX(Precio_V,5)*INDEX(IdxPrecio_V,1,MIN(10,DJ$173)))*(1+V_dPrecio))</f>
        <v>0</v>
      </c>
      <c r="DK206" s="48">
        <f>IF(DK$8=1,IF(Reales!$C$42="PYG",IF(DK$10&gt;0,N(Reales!DK42)/DK$10,0),N(Reales!DK42)),DK$181*IF(AND(AND(110&gt;Corte,110&lt;=Corte+n_Ventana),ISNUMBER(Detalle_24m!DK$46)),Detalle_24m!DK$46,INDEX(Precio_V,5)*INDEX(IdxPrecio_V,1,MIN(10,DK$173)))*(1+V_dPrecio))</f>
        <v>0</v>
      </c>
      <c r="DL206" s="48">
        <f>IF(DL$8=1,IF(Reales!$C$42="PYG",IF(DL$10&gt;0,N(Reales!DL42)/DL$10,0),N(Reales!DL42)),DL$181*IF(AND(AND(111&gt;Corte,111&lt;=Corte+n_Ventana),ISNUMBER(Detalle_24m!DL$46)),Detalle_24m!DL$46,INDEX(Precio_V,5)*INDEX(IdxPrecio_V,1,MIN(10,DL$173)))*(1+V_dPrecio))</f>
        <v>0</v>
      </c>
      <c r="DM206" s="48">
        <f>IF(DM$8=1,IF(Reales!$C$42="PYG",IF(DM$10&gt;0,N(Reales!DM42)/DM$10,0),N(Reales!DM42)),DM$181*IF(AND(AND(112&gt;Corte,112&lt;=Corte+n_Ventana),ISNUMBER(Detalle_24m!DM$46)),Detalle_24m!DM$46,INDEX(Precio_V,5)*INDEX(IdxPrecio_V,1,MIN(10,DM$173)))*(1+V_dPrecio))</f>
        <v>0</v>
      </c>
      <c r="DN206" s="48">
        <f>IF(DN$8=1,IF(Reales!$C$42="PYG",IF(DN$10&gt;0,N(Reales!DN42)/DN$10,0),N(Reales!DN42)),DN$181*IF(AND(AND(113&gt;Corte,113&lt;=Corte+n_Ventana),ISNUMBER(Detalle_24m!DN$46)),Detalle_24m!DN$46,INDEX(Precio_V,5)*INDEX(IdxPrecio_V,1,MIN(10,DN$173)))*(1+V_dPrecio))</f>
        <v>0</v>
      </c>
      <c r="DO206" s="48">
        <f>IF(DO$8=1,IF(Reales!$C$42="PYG",IF(DO$10&gt;0,N(Reales!DO42)/DO$10,0),N(Reales!DO42)),DO$181*IF(AND(AND(114&gt;Corte,114&lt;=Corte+n_Ventana),ISNUMBER(Detalle_24m!DO$46)),Detalle_24m!DO$46,INDEX(Precio_V,5)*INDEX(IdxPrecio_V,1,MIN(10,DO$173)))*(1+V_dPrecio))</f>
        <v>0</v>
      </c>
      <c r="DP206" s="48">
        <f>IF(DP$8=1,IF(Reales!$C$42="PYG",IF(DP$10&gt;0,N(Reales!DP42)/DP$10,0),N(Reales!DP42)),DP$181*IF(AND(AND(115&gt;Corte,115&lt;=Corte+n_Ventana),ISNUMBER(Detalle_24m!DP$46)),Detalle_24m!DP$46,INDEX(Precio_V,5)*INDEX(IdxPrecio_V,1,MIN(10,DP$173)))*(1+V_dPrecio))</f>
        <v>0</v>
      </c>
      <c r="DQ206" s="48">
        <f>IF(DQ$8=1,IF(Reales!$C$42="PYG",IF(DQ$10&gt;0,N(Reales!DQ42)/DQ$10,0),N(Reales!DQ42)),DQ$181*IF(AND(AND(116&gt;Corte,116&lt;=Corte+n_Ventana),ISNUMBER(Detalle_24m!DQ$46)),Detalle_24m!DQ$46,INDEX(Precio_V,5)*INDEX(IdxPrecio_V,1,MIN(10,DQ$173)))*(1+V_dPrecio))</f>
        <v>0</v>
      </c>
      <c r="DR206" s="48">
        <f>IF(DR$8=1,IF(Reales!$C$42="PYG",IF(DR$10&gt;0,N(Reales!DR42)/DR$10,0),N(Reales!DR42)),DR$181*IF(AND(AND(117&gt;Corte,117&lt;=Corte+n_Ventana),ISNUMBER(Detalle_24m!DR$46)),Detalle_24m!DR$46,INDEX(Precio_V,5)*INDEX(IdxPrecio_V,1,MIN(10,DR$173)))*(1+V_dPrecio))</f>
        <v>0</v>
      </c>
      <c r="DS206" s="48">
        <f>IF(DS$8=1,IF(Reales!$C$42="PYG",IF(DS$10&gt;0,N(Reales!DS42)/DS$10,0),N(Reales!DS42)),DS$181*IF(AND(AND(118&gt;Corte,118&lt;=Corte+n_Ventana),ISNUMBER(Detalle_24m!DS$46)),Detalle_24m!DS$46,INDEX(Precio_V,5)*INDEX(IdxPrecio_V,1,MIN(10,DS$173)))*(1+V_dPrecio))</f>
        <v>0</v>
      </c>
      <c r="DT206" s="48">
        <f>IF(DT$8=1,IF(Reales!$C$42="PYG",IF(DT$10&gt;0,N(Reales!DT42)/DT$10,0),N(Reales!DT42)),DT$181*IF(AND(AND(119&gt;Corte,119&lt;=Corte+n_Ventana),ISNUMBER(Detalle_24m!DT$46)),Detalle_24m!DT$46,INDEX(Precio_V,5)*INDEX(IdxPrecio_V,1,MIN(10,DT$173)))*(1+V_dPrecio))</f>
        <v>0</v>
      </c>
      <c r="DU206" s="48">
        <f>IF(DU$8=1,IF(Reales!$C$42="PYG",IF(DU$10&gt;0,N(Reales!DU42)/DU$10,0),N(Reales!DU42)),DU$181*IF(AND(AND(120&gt;Corte,120&lt;=Corte+n_Ventana),ISNUMBER(Detalle_24m!DU$46)),Detalle_24m!DU$46,INDEX(Precio_V,5)*INDEX(IdxPrecio_V,1,MIN(10,DU$173)))*(1+V_dPrecio))</f>
        <v>0</v>
      </c>
      <c r="DV206" s="48">
        <f>IF(DV$8=1,IF(Reales!$C$42="PYG",IF(DV$10&gt;0,N(Reales!DV42)/DV$10,0),N(Reales!DV42)),DV$181*IF(AND(AND(121&gt;Corte,121&lt;=Corte+n_Ventana),ISNUMBER(Detalle_24m!DV$46)),Detalle_24m!DV$46,INDEX(Precio_V,5)*INDEX(IdxPrecio_V,1,MIN(10,DV$173)))*(1+V_dPrecio))</f>
        <v>0</v>
      </c>
      <c r="DW206" s="48">
        <f>IF(DW$8=1,IF(Reales!$C$42="PYG",IF(DW$10&gt;0,N(Reales!DW42)/DW$10,0),N(Reales!DW42)),DW$181*IF(AND(AND(122&gt;Corte,122&lt;=Corte+n_Ventana),ISNUMBER(Detalle_24m!DW$46)),Detalle_24m!DW$46,INDEX(Precio_V,5)*INDEX(IdxPrecio_V,1,MIN(10,DW$173)))*(1+V_dPrecio))</f>
        <v>0</v>
      </c>
      <c r="DX206" s="48">
        <f>IF(DX$8=1,IF(Reales!$C$42="PYG",IF(DX$10&gt;0,N(Reales!DX42)/DX$10,0),N(Reales!DX42)),DX$181*IF(AND(AND(123&gt;Corte,123&lt;=Corte+n_Ventana),ISNUMBER(Detalle_24m!DX$46)),Detalle_24m!DX$46,INDEX(Precio_V,5)*INDEX(IdxPrecio_V,1,MIN(10,DX$173)))*(1+V_dPrecio))</f>
        <v>0</v>
      </c>
      <c r="DY206" s="48">
        <f>IF(DY$8=1,IF(Reales!$C$42="PYG",IF(DY$10&gt;0,N(Reales!DY42)/DY$10,0),N(Reales!DY42)),DY$181*IF(AND(AND(124&gt;Corte,124&lt;=Corte+n_Ventana),ISNUMBER(Detalle_24m!DY$46)),Detalle_24m!DY$46,INDEX(Precio_V,5)*INDEX(IdxPrecio_V,1,MIN(10,DY$173)))*(1+V_dPrecio))</f>
        <v>0</v>
      </c>
      <c r="DZ206" s="48">
        <f>IF(DZ$8=1,IF(Reales!$C$42="PYG",IF(DZ$10&gt;0,N(Reales!DZ42)/DZ$10,0),N(Reales!DZ42)),DZ$181*IF(AND(AND(125&gt;Corte,125&lt;=Corte+n_Ventana),ISNUMBER(Detalle_24m!DZ$46)),Detalle_24m!DZ$46,INDEX(Precio_V,5)*INDEX(IdxPrecio_V,1,MIN(10,DZ$173)))*(1+V_dPrecio))</f>
        <v>0</v>
      </c>
      <c r="EA206" s="48">
        <f>IF(EA$8=1,IF(Reales!$C$42="PYG",IF(EA$10&gt;0,N(Reales!EA42)/EA$10,0),N(Reales!EA42)),EA$181*IF(AND(AND(126&gt;Corte,126&lt;=Corte+n_Ventana),ISNUMBER(Detalle_24m!EA$46)),Detalle_24m!EA$46,INDEX(Precio_V,5)*INDEX(IdxPrecio_V,1,MIN(10,EA$173)))*(1+V_dPrecio))</f>
        <v>0</v>
      </c>
      <c r="EB206" s="48">
        <f>IF(EB$8=1,IF(Reales!$C$42="PYG",IF(EB$10&gt;0,N(Reales!EB42)/EB$10,0),N(Reales!EB42)),EB$181*IF(AND(AND(127&gt;Corte,127&lt;=Corte+n_Ventana),ISNUMBER(Detalle_24m!EB$46)),Detalle_24m!EB$46,INDEX(Precio_V,5)*INDEX(IdxPrecio_V,1,MIN(10,EB$173)))*(1+V_dPrecio))</f>
        <v>0</v>
      </c>
      <c r="EC206" s="48">
        <f>IF(EC$8=1,IF(Reales!$C$42="PYG",IF(EC$10&gt;0,N(Reales!EC42)/EC$10,0),N(Reales!EC42)),EC$181*IF(AND(AND(128&gt;Corte,128&lt;=Corte+n_Ventana),ISNUMBER(Detalle_24m!EC$46)),Detalle_24m!EC$46,INDEX(Precio_V,5)*INDEX(IdxPrecio_V,1,MIN(10,EC$173)))*(1+V_dPrecio))</f>
        <v>0</v>
      </c>
      <c r="ED206" s="48">
        <f>IF(ED$8=1,IF(Reales!$C$42="PYG",IF(ED$10&gt;0,N(Reales!ED42)/ED$10,0),N(Reales!ED42)),ED$181*IF(AND(AND(129&gt;Corte,129&lt;=Corte+n_Ventana),ISNUMBER(Detalle_24m!ED$46)),Detalle_24m!ED$46,INDEX(Precio_V,5)*INDEX(IdxPrecio_V,1,MIN(10,ED$173)))*(1+V_dPrecio))</f>
        <v>0</v>
      </c>
      <c r="EE206" s="48">
        <f>IF(EE$8=1,IF(Reales!$C$42="PYG",IF(EE$10&gt;0,N(Reales!EE42)/EE$10,0),N(Reales!EE42)),EE$181*IF(AND(AND(130&gt;Corte,130&lt;=Corte+n_Ventana),ISNUMBER(Detalle_24m!EE$46)),Detalle_24m!EE$46,INDEX(Precio_V,5)*INDEX(IdxPrecio_V,1,MIN(10,EE$173)))*(1+V_dPrecio))</f>
        <v>0</v>
      </c>
      <c r="EF206" s="48">
        <f>IF(EF$8=1,IF(Reales!$C$42="PYG",IF(EF$10&gt;0,N(Reales!EF42)/EF$10,0),N(Reales!EF42)),EF$181*IF(AND(AND(131&gt;Corte,131&lt;=Corte+n_Ventana),ISNUMBER(Detalle_24m!EF$46)),Detalle_24m!EF$46,INDEX(Precio_V,5)*INDEX(IdxPrecio_V,1,MIN(10,EF$173)))*(1+V_dPrecio))</f>
        <v>0</v>
      </c>
      <c r="EG206" s="48">
        <f>IF(EG$8=1,IF(Reales!$C$42="PYG",IF(EG$10&gt;0,N(Reales!EG42)/EG$10,0),N(Reales!EG42)),EG$181*IF(AND(AND(132&gt;Corte,132&lt;=Corte+n_Ventana),ISNUMBER(Detalle_24m!EG$46)),Detalle_24m!EG$46,INDEX(Precio_V,5)*INDEX(IdxPrecio_V,1,MIN(10,EG$173)))*(1+V_dPrecio))</f>
        <v>0</v>
      </c>
      <c r="EH206" s="48">
        <f>IF(EH$8=1,IF(Reales!$C$42="PYG",IF(EH$10&gt;0,N(Reales!EH42)/EH$10,0),N(Reales!EH42)),EH$181*IF(AND(AND(133&gt;Corte,133&lt;=Corte+n_Ventana),ISNUMBER(Detalle_24m!EH$46)),Detalle_24m!EH$46,INDEX(Precio_V,5)*INDEX(IdxPrecio_V,1,MIN(10,EH$173)))*(1+V_dPrecio))</f>
        <v>0</v>
      </c>
      <c r="EI206" s="48">
        <f>IF(EI$8=1,IF(Reales!$C$42="PYG",IF(EI$10&gt;0,N(Reales!EI42)/EI$10,0),N(Reales!EI42)),EI$181*IF(AND(AND(134&gt;Corte,134&lt;=Corte+n_Ventana),ISNUMBER(Detalle_24m!EI$46)),Detalle_24m!EI$46,INDEX(Precio_V,5)*INDEX(IdxPrecio_V,1,MIN(10,EI$173)))*(1+V_dPrecio))</f>
        <v>0</v>
      </c>
      <c r="EJ206" s="48">
        <f>IF(EJ$8=1,IF(Reales!$C$42="PYG",IF(EJ$10&gt;0,N(Reales!EJ42)/EJ$10,0),N(Reales!EJ42)),EJ$181*IF(AND(AND(135&gt;Corte,135&lt;=Corte+n_Ventana),ISNUMBER(Detalle_24m!EJ$46)),Detalle_24m!EJ$46,INDEX(Precio_V,5)*INDEX(IdxPrecio_V,1,MIN(10,EJ$173)))*(1+V_dPrecio))</f>
        <v>0</v>
      </c>
      <c r="EK206" s="48">
        <f>IF(EK$8=1,IF(Reales!$C$42="PYG",IF(EK$10&gt;0,N(Reales!EK42)/EK$10,0),N(Reales!EK42)),EK$181*IF(AND(AND(136&gt;Corte,136&lt;=Corte+n_Ventana),ISNUMBER(Detalle_24m!EK$46)),Detalle_24m!EK$46,INDEX(Precio_V,5)*INDEX(IdxPrecio_V,1,MIN(10,EK$173)))*(1+V_dPrecio))</f>
        <v>0</v>
      </c>
      <c r="EL206" s="48">
        <f>IF(EL$8=1,IF(Reales!$C$42="PYG",IF(EL$10&gt;0,N(Reales!EL42)/EL$10,0),N(Reales!EL42)),EL$181*IF(AND(AND(137&gt;Corte,137&lt;=Corte+n_Ventana),ISNUMBER(Detalle_24m!EL$46)),Detalle_24m!EL$46,INDEX(Precio_V,5)*INDEX(IdxPrecio_V,1,MIN(10,EL$173)))*(1+V_dPrecio))</f>
        <v>0</v>
      </c>
      <c r="EM206" s="48">
        <f>IF(EM$8=1,IF(Reales!$C$42="PYG",IF(EM$10&gt;0,N(Reales!EM42)/EM$10,0),N(Reales!EM42)),EM$181*IF(AND(AND(138&gt;Corte,138&lt;=Corte+n_Ventana),ISNUMBER(Detalle_24m!EM$46)),Detalle_24m!EM$46,INDEX(Precio_V,5)*INDEX(IdxPrecio_V,1,MIN(10,EM$173)))*(1+V_dPrecio))</f>
        <v>0</v>
      </c>
      <c r="EN206" s="48">
        <f>IF(EN$8=1,IF(Reales!$C$42="PYG",IF(EN$10&gt;0,N(Reales!EN42)/EN$10,0),N(Reales!EN42)),EN$181*IF(AND(AND(139&gt;Corte,139&lt;=Corte+n_Ventana),ISNUMBER(Detalle_24m!EN$46)),Detalle_24m!EN$46,INDEX(Precio_V,5)*INDEX(IdxPrecio_V,1,MIN(10,EN$173)))*(1+V_dPrecio))</f>
        <v>0</v>
      </c>
      <c r="EO206" s="48">
        <f>IF(EO$8=1,IF(Reales!$C$42="PYG",IF(EO$10&gt;0,N(Reales!EO42)/EO$10,0),N(Reales!EO42)),EO$181*IF(AND(AND(140&gt;Corte,140&lt;=Corte+n_Ventana),ISNUMBER(Detalle_24m!EO$46)),Detalle_24m!EO$46,INDEX(Precio_V,5)*INDEX(IdxPrecio_V,1,MIN(10,EO$173)))*(1+V_dPrecio))</f>
        <v>0</v>
      </c>
      <c r="EP206" s="48">
        <f>IF(EP$8=1,IF(Reales!$C$42="PYG",IF(EP$10&gt;0,N(Reales!EP42)/EP$10,0),N(Reales!EP42)),EP$181*IF(AND(AND(141&gt;Corte,141&lt;=Corte+n_Ventana),ISNUMBER(Detalle_24m!EP$46)),Detalle_24m!EP$46,INDEX(Precio_V,5)*INDEX(IdxPrecio_V,1,MIN(10,EP$173)))*(1+V_dPrecio))</f>
        <v>0</v>
      </c>
      <c r="EQ206" s="48">
        <f>IF(EQ$8=1,IF(Reales!$C$42="PYG",IF(EQ$10&gt;0,N(Reales!EQ42)/EQ$10,0),N(Reales!EQ42)),EQ$181*IF(AND(AND(142&gt;Corte,142&lt;=Corte+n_Ventana),ISNUMBER(Detalle_24m!EQ$46)),Detalle_24m!EQ$46,INDEX(Precio_V,5)*INDEX(IdxPrecio_V,1,MIN(10,EQ$173)))*(1+V_dPrecio))</f>
        <v>0</v>
      </c>
      <c r="ER206" s="48">
        <f>IF(ER$8=1,IF(Reales!$C$42="PYG",IF(ER$10&gt;0,N(Reales!ER42)/ER$10,0),N(Reales!ER42)),ER$181*IF(AND(AND(143&gt;Corte,143&lt;=Corte+n_Ventana),ISNUMBER(Detalle_24m!ER$46)),Detalle_24m!ER$46,INDEX(Precio_V,5)*INDEX(IdxPrecio_V,1,MIN(10,ER$173)))*(1+V_dPrecio))</f>
        <v>0</v>
      </c>
      <c r="ES206" s="48">
        <f>IF(ES$8=1,IF(Reales!$C$42="PYG",IF(ES$10&gt;0,N(Reales!ES42)/ES$10,0),N(Reales!ES42)),ES$181*IF(AND(AND(144&gt;Corte,144&lt;=Corte+n_Ventana),ISNUMBER(Detalle_24m!ES$46)),Detalle_24m!ES$46,INDEX(Precio_V,5)*INDEX(IdxPrecio_V,1,MIN(10,ES$173)))*(1+V_dPrecio))</f>
        <v>0</v>
      </c>
    </row>
    <row r="207" spans="1:149" x14ac:dyDescent="0.3">
      <c r="A207" s="14" t="s">
        <v>1262</v>
      </c>
      <c r="B207" s="53" t="str">
        <f>IF(INDEX(Prod_Nombre,6)="","Producto 6",INDEX(Prod_Nombre,6))&amp;" — ventas USD"</f>
        <v>Producto 6 — ventas USD</v>
      </c>
      <c r="C207" s="18" t="s">
        <v>439</v>
      </c>
      <c r="E207" s="54">
        <f t="shared" si="604"/>
        <v>0</v>
      </c>
      <c r="F207" s="48">
        <f>IF(F$8=1,IF(Reales!$C$43="PYG",IF(F$10&gt;0,N(Reales!F43)/F$10,0),N(Reales!F43)),F$182*IF(AND(AND(1&gt;Corte,1&lt;=Corte+n_Ventana),ISNUMBER(Detalle_24m!F$47)),Detalle_24m!F$47,INDEX(Precio_V,6)*INDEX(IdxPrecio_V,1,MIN(10,F$173)))*(1+V_dPrecio))</f>
        <v>0</v>
      </c>
      <c r="G207" s="48">
        <f>IF(G$8=1,IF(Reales!$C$43="PYG",IF(G$10&gt;0,N(Reales!G43)/G$10,0),N(Reales!G43)),G$182*IF(AND(AND(2&gt;Corte,2&lt;=Corte+n_Ventana),ISNUMBER(Detalle_24m!G$47)),Detalle_24m!G$47,INDEX(Precio_V,6)*INDEX(IdxPrecio_V,1,MIN(10,G$173)))*(1+V_dPrecio))</f>
        <v>0</v>
      </c>
      <c r="H207" s="48">
        <f>IF(H$8=1,IF(Reales!$C$43="PYG",IF(H$10&gt;0,N(Reales!H43)/H$10,0),N(Reales!H43)),H$182*IF(AND(AND(3&gt;Corte,3&lt;=Corte+n_Ventana),ISNUMBER(Detalle_24m!H$47)),Detalle_24m!H$47,INDEX(Precio_V,6)*INDEX(IdxPrecio_V,1,MIN(10,H$173)))*(1+V_dPrecio))</f>
        <v>0</v>
      </c>
      <c r="I207" s="48">
        <f>IF(I$8=1,IF(Reales!$C$43="PYG",IF(I$10&gt;0,N(Reales!I43)/I$10,0),N(Reales!I43)),I$182*IF(AND(AND(4&gt;Corte,4&lt;=Corte+n_Ventana),ISNUMBER(Detalle_24m!I$47)),Detalle_24m!I$47,INDEX(Precio_V,6)*INDEX(IdxPrecio_V,1,MIN(10,I$173)))*(1+V_dPrecio))</f>
        <v>0</v>
      </c>
      <c r="J207" s="48">
        <f>IF(J$8=1,IF(Reales!$C$43="PYG",IF(J$10&gt;0,N(Reales!J43)/J$10,0),N(Reales!J43)),J$182*IF(AND(AND(5&gt;Corte,5&lt;=Corte+n_Ventana),ISNUMBER(Detalle_24m!J$47)),Detalle_24m!J$47,INDEX(Precio_V,6)*INDEX(IdxPrecio_V,1,MIN(10,J$173)))*(1+V_dPrecio))</f>
        <v>0</v>
      </c>
      <c r="K207" s="48">
        <f>IF(K$8=1,IF(Reales!$C$43="PYG",IF(K$10&gt;0,N(Reales!K43)/K$10,0),N(Reales!K43)),K$182*IF(AND(AND(6&gt;Corte,6&lt;=Corte+n_Ventana),ISNUMBER(Detalle_24m!K$47)),Detalle_24m!K$47,INDEX(Precio_V,6)*INDEX(IdxPrecio_V,1,MIN(10,K$173)))*(1+V_dPrecio))</f>
        <v>0</v>
      </c>
      <c r="L207" s="48">
        <f>IF(L$8=1,IF(Reales!$C$43="PYG",IF(L$10&gt;0,N(Reales!L43)/L$10,0),N(Reales!L43)),L$182*IF(AND(AND(7&gt;Corte,7&lt;=Corte+n_Ventana),ISNUMBER(Detalle_24m!L$47)),Detalle_24m!L$47,INDEX(Precio_V,6)*INDEX(IdxPrecio_V,1,MIN(10,L$173)))*(1+V_dPrecio))</f>
        <v>0</v>
      </c>
      <c r="M207" s="48">
        <f>IF(M$8=1,IF(Reales!$C$43="PYG",IF(M$10&gt;0,N(Reales!M43)/M$10,0),N(Reales!M43)),M$182*IF(AND(AND(8&gt;Corte,8&lt;=Corte+n_Ventana),ISNUMBER(Detalle_24m!M$47)),Detalle_24m!M$47,INDEX(Precio_V,6)*INDEX(IdxPrecio_V,1,MIN(10,M$173)))*(1+V_dPrecio))</f>
        <v>0</v>
      </c>
      <c r="N207" s="48">
        <f>IF(N$8=1,IF(Reales!$C$43="PYG",IF(N$10&gt;0,N(Reales!N43)/N$10,0),N(Reales!N43)),N$182*IF(AND(AND(9&gt;Corte,9&lt;=Corte+n_Ventana),ISNUMBER(Detalle_24m!N$47)),Detalle_24m!N$47,INDEX(Precio_V,6)*INDEX(IdxPrecio_V,1,MIN(10,N$173)))*(1+V_dPrecio))</f>
        <v>0</v>
      </c>
      <c r="O207" s="48">
        <f>IF(O$8=1,IF(Reales!$C$43="PYG",IF(O$10&gt;0,N(Reales!O43)/O$10,0),N(Reales!O43)),O$182*IF(AND(AND(10&gt;Corte,10&lt;=Corte+n_Ventana),ISNUMBER(Detalle_24m!O$47)),Detalle_24m!O$47,INDEX(Precio_V,6)*INDEX(IdxPrecio_V,1,MIN(10,O$173)))*(1+V_dPrecio))</f>
        <v>0</v>
      </c>
      <c r="P207" s="48">
        <f>IF(P$8=1,IF(Reales!$C$43="PYG",IF(P$10&gt;0,N(Reales!P43)/P$10,0),N(Reales!P43)),P$182*IF(AND(AND(11&gt;Corte,11&lt;=Corte+n_Ventana),ISNUMBER(Detalle_24m!P$47)),Detalle_24m!P$47,INDEX(Precio_V,6)*INDEX(IdxPrecio_V,1,MIN(10,P$173)))*(1+V_dPrecio))</f>
        <v>0</v>
      </c>
      <c r="Q207" s="48">
        <f>IF(Q$8=1,IF(Reales!$C$43="PYG",IF(Q$10&gt;0,N(Reales!Q43)/Q$10,0),N(Reales!Q43)),Q$182*IF(AND(AND(12&gt;Corte,12&lt;=Corte+n_Ventana),ISNUMBER(Detalle_24m!Q$47)),Detalle_24m!Q$47,INDEX(Precio_V,6)*INDEX(IdxPrecio_V,1,MIN(10,Q$173)))*(1+V_dPrecio))</f>
        <v>0</v>
      </c>
      <c r="R207" s="48">
        <f>IF(R$8=1,IF(Reales!$C$43="PYG",IF(R$10&gt;0,N(Reales!R43)/R$10,0),N(Reales!R43)),R$182*IF(AND(AND(13&gt;Corte,13&lt;=Corte+n_Ventana),ISNUMBER(Detalle_24m!R$47)),Detalle_24m!R$47,INDEX(Precio_V,6)*INDEX(IdxPrecio_V,1,MIN(10,R$173)))*(1+V_dPrecio))</f>
        <v>0</v>
      </c>
      <c r="S207" s="48">
        <f>IF(S$8=1,IF(Reales!$C$43="PYG",IF(S$10&gt;0,N(Reales!S43)/S$10,0),N(Reales!S43)),S$182*IF(AND(AND(14&gt;Corte,14&lt;=Corte+n_Ventana),ISNUMBER(Detalle_24m!S$47)),Detalle_24m!S$47,INDEX(Precio_V,6)*INDEX(IdxPrecio_V,1,MIN(10,S$173)))*(1+V_dPrecio))</f>
        <v>0</v>
      </c>
      <c r="T207" s="48">
        <f>IF(T$8=1,IF(Reales!$C$43="PYG",IF(T$10&gt;0,N(Reales!T43)/T$10,0),N(Reales!T43)),T$182*IF(AND(AND(15&gt;Corte,15&lt;=Corte+n_Ventana),ISNUMBER(Detalle_24m!T$47)),Detalle_24m!T$47,INDEX(Precio_V,6)*INDEX(IdxPrecio_V,1,MIN(10,T$173)))*(1+V_dPrecio))</f>
        <v>0</v>
      </c>
      <c r="U207" s="48">
        <f>IF(U$8=1,IF(Reales!$C$43="PYG",IF(U$10&gt;0,N(Reales!U43)/U$10,0),N(Reales!U43)),U$182*IF(AND(AND(16&gt;Corte,16&lt;=Corte+n_Ventana),ISNUMBER(Detalle_24m!U$47)),Detalle_24m!U$47,INDEX(Precio_V,6)*INDEX(IdxPrecio_V,1,MIN(10,U$173)))*(1+V_dPrecio))</f>
        <v>0</v>
      </c>
      <c r="V207" s="48">
        <f>IF(V$8=1,IF(Reales!$C$43="PYG",IF(V$10&gt;0,N(Reales!V43)/V$10,0),N(Reales!V43)),V$182*IF(AND(AND(17&gt;Corte,17&lt;=Corte+n_Ventana),ISNUMBER(Detalle_24m!V$47)),Detalle_24m!V$47,INDEX(Precio_V,6)*INDEX(IdxPrecio_V,1,MIN(10,V$173)))*(1+V_dPrecio))</f>
        <v>0</v>
      </c>
      <c r="W207" s="48">
        <f>IF(W$8=1,IF(Reales!$C$43="PYG",IF(W$10&gt;0,N(Reales!W43)/W$10,0),N(Reales!W43)),W$182*IF(AND(AND(18&gt;Corte,18&lt;=Corte+n_Ventana),ISNUMBER(Detalle_24m!W$47)),Detalle_24m!W$47,INDEX(Precio_V,6)*INDEX(IdxPrecio_V,1,MIN(10,W$173)))*(1+V_dPrecio))</f>
        <v>0</v>
      </c>
      <c r="X207" s="48">
        <f>IF(X$8=1,IF(Reales!$C$43="PYG",IF(X$10&gt;0,N(Reales!X43)/X$10,0),N(Reales!X43)),X$182*IF(AND(AND(19&gt;Corte,19&lt;=Corte+n_Ventana),ISNUMBER(Detalle_24m!X$47)),Detalle_24m!X$47,INDEX(Precio_V,6)*INDEX(IdxPrecio_V,1,MIN(10,X$173)))*(1+V_dPrecio))</f>
        <v>0</v>
      </c>
      <c r="Y207" s="48">
        <f>IF(Y$8=1,IF(Reales!$C$43="PYG",IF(Y$10&gt;0,N(Reales!Y43)/Y$10,0),N(Reales!Y43)),Y$182*IF(AND(AND(20&gt;Corte,20&lt;=Corte+n_Ventana),ISNUMBER(Detalle_24m!Y$47)),Detalle_24m!Y$47,INDEX(Precio_V,6)*INDEX(IdxPrecio_V,1,MIN(10,Y$173)))*(1+V_dPrecio))</f>
        <v>0</v>
      </c>
      <c r="Z207" s="48">
        <f>IF(Z$8=1,IF(Reales!$C$43="PYG",IF(Z$10&gt;0,N(Reales!Z43)/Z$10,0),N(Reales!Z43)),Z$182*IF(AND(AND(21&gt;Corte,21&lt;=Corte+n_Ventana),ISNUMBER(Detalle_24m!Z$47)),Detalle_24m!Z$47,INDEX(Precio_V,6)*INDEX(IdxPrecio_V,1,MIN(10,Z$173)))*(1+V_dPrecio))</f>
        <v>0</v>
      </c>
      <c r="AA207" s="48">
        <f>IF(AA$8=1,IF(Reales!$C$43="PYG",IF(AA$10&gt;0,N(Reales!AA43)/AA$10,0),N(Reales!AA43)),AA$182*IF(AND(AND(22&gt;Corte,22&lt;=Corte+n_Ventana),ISNUMBER(Detalle_24m!AA$47)),Detalle_24m!AA$47,INDEX(Precio_V,6)*INDEX(IdxPrecio_V,1,MIN(10,AA$173)))*(1+V_dPrecio))</f>
        <v>0</v>
      </c>
      <c r="AB207" s="48">
        <f>IF(AB$8=1,IF(Reales!$C$43="PYG",IF(AB$10&gt;0,N(Reales!AB43)/AB$10,0),N(Reales!AB43)),AB$182*IF(AND(AND(23&gt;Corte,23&lt;=Corte+n_Ventana),ISNUMBER(Detalle_24m!AB$47)),Detalle_24m!AB$47,INDEX(Precio_V,6)*INDEX(IdxPrecio_V,1,MIN(10,AB$173)))*(1+V_dPrecio))</f>
        <v>0</v>
      </c>
      <c r="AC207" s="48">
        <f>IF(AC$8=1,IF(Reales!$C$43="PYG",IF(AC$10&gt;0,N(Reales!AC43)/AC$10,0),N(Reales!AC43)),AC$182*IF(AND(AND(24&gt;Corte,24&lt;=Corte+n_Ventana),ISNUMBER(Detalle_24m!AC$47)),Detalle_24m!AC$47,INDEX(Precio_V,6)*INDEX(IdxPrecio_V,1,MIN(10,AC$173)))*(1+V_dPrecio))</f>
        <v>0</v>
      </c>
      <c r="AD207" s="48">
        <f>IF(AD$8=1,IF(Reales!$C$43="PYG",IF(AD$10&gt;0,N(Reales!AD43)/AD$10,0),N(Reales!AD43)),AD$182*IF(AND(AND(25&gt;Corte,25&lt;=Corte+n_Ventana),ISNUMBER(Detalle_24m!AD$47)),Detalle_24m!AD$47,INDEX(Precio_V,6)*INDEX(IdxPrecio_V,1,MIN(10,AD$173)))*(1+V_dPrecio))</f>
        <v>0</v>
      </c>
      <c r="AE207" s="48">
        <f>IF(AE$8=1,IF(Reales!$C$43="PYG",IF(AE$10&gt;0,N(Reales!AE43)/AE$10,0),N(Reales!AE43)),AE$182*IF(AND(AND(26&gt;Corte,26&lt;=Corte+n_Ventana),ISNUMBER(Detalle_24m!AE$47)),Detalle_24m!AE$47,INDEX(Precio_V,6)*INDEX(IdxPrecio_V,1,MIN(10,AE$173)))*(1+V_dPrecio))</f>
        <v>0</v>
      </c>
      <c r="AF207" s="48">
        <f>IF(AF$8=1,IF(Reales!$C$43="PYG",IF(AF$10&gt;0,N(Reales!AF43)/AF$10,0),N(Reales!AF43)),AF$182*IF(AND(AND(27&gt;Corte,27&lt;=Corte+n_Ventana),ISNUMBER(Detalle_24m!AF$47)),Detalle_24m!AF$47,INDEX(Precio_V,6)*INDEX(IdxPrecio_V,1,MIN(10,AF$173)))*(1+V_dPrecio))</f>
        <v>0</v>
      </c>
      <c r="AG207" s="48">
        <f>IF(AG$8=1,IF(Reales!$C$43="PYG",IF(AG$10&gt;0,N(Reales!AG43)/AG$10,0),N(Reales!AG43)),AG$182*IF(AND(AND(28&gt;Corte,28&lt;=Corte+n_Ventana),ISNUMBER(Detalle_24m!AG$47)),Detalle_24m!AG$47,INDEX(Precio_V,6)*INDEX(IdxPrecio_V,1,MIN(10,AG$173)))*(1+V_dPrecio))</f>
        <v>0</v>
      </c>
      <c r="AH207" s="48">
        <f>IF(AH$8=1,IF(Reales!$C$43="PYG",IF(AH$10&gt;0,N(Reales!AH43)/AH$10,0),N(Reales!AH43)),AH$182*IF(AND(AND(29&gt;Corte,29&lt;=Corte+n_Ventana),ISNUMBER(Detalle_24m!AH$47)),Detalle_24m!AH$47,INDEX(Precio_V,6)*INDEX(IdxPrecio_V,1,MIN(10,AH$173)))*(1+V_dPrecio))</f>
        <v>0</v>
      </c>
      <c r="AI207" s="48">
        <f>IF(AI$8=1,IF(Reales!$C$43="PYG",IF(AI$10&gt;0,N(Reales!AI43)/AI$10,0),N(Reales!AI43)),AI$182*IF(AND(AND(30&gt;Corte,30&lt;=Corte+n_Ventana),ISNUMBER(Detalle_24m!AI$47)),Detalle_24m!AI$47,INDEX(Precio_V,6)*INDEX(IdxPrecio_V,1,MIN(10,AI$173)))*(1+V_dPrecio))</f>
        <v>0</v>
      </c>
      <c r="AJ207" s="48">
        <f>IF(AJ$8=1,IF(Reales!$C$43="PYG",IF(AJ$10&gt;0,N(Reales!AJ43)/AJ$10,0),N(Reales!AJ43)),AJ$182*IF(AND(AND(31&gt;Corte,31&lt;=Corte+n_Ventana),ISNUMBER(Detalle_24m!AJ$47)),Detalle_24m!AJ$47,INDEX(Precio_V,6)*INDEX(IdxPrecio_V,1,MIN(10,AJ$173)))*(1+V_dPrecio))</f>
        <v>0</v>
      </c>
      <c r="AK207" s="48">
        <f>IF(AK$8=1,IF(Reales!$C$43="PYG",IF(AK$10&gt;0,N(Reales!AK43)/AK$10,0),N(Reales!AK43)),AK$182*IF(AND(AND(32&gt;Corte,32&lt;=Corte+n_Ventana),ISNUMBER(Detalle_24m!AK$47)),Detalle_24m!AK$47,INDEX(Precio_V,6)*INDEX(IdxPrecio_V,1,MIN(10,AK$173)))*(1+V_dPrecio))</f>
        <v>0</v>
      </c>
      <c r="AL207" s="48">
        <f>IF(AL$8=1,IF(Reales!$C$43="PYG",IF(AL$10&gt;0,N(Reales!AL43)/AL$10,0),N(Reales!AL43)),AL$182*IF(AND(AND(33&gt;Corte,33&lt;=Corte+n_Ventana),ISNUMBER(Detalle_24m!AL$47)),Detalle_24m!AL$47,INDEX(Precio_V,6)*INDEX(IdxPrecio_V,1,MIN(10,AL$173)))*(1+V_dPrecio))</f>
        <v>0</v>
      </c>
      <c r="AM207" s="48">
        <f>IF(AM$8=1,IF(Reales!$C$43="PYG",IF(AM$10&gt;0,N(Reales!AM43)/AM$10,0),N(Reales!AM43)),AM$182*IF(AND(AND(34&gt;Corte,34&lt;=Corte+n_Ventana),ISNUMBER(Detalle_24m!AM$47)),Detalle_24m!AM$47,INDEX(Precio_V,6)*INDEX(IdxPrecio_V,1,MIN(10,AM$173)))*(1+V_dPrecio))</f>
        <v>0</v>
      </c>
      <c r="AN207" s="48">
        <f>IF(AN$8=1,IF(Reales!$C$43="PYG",IF(AN$10&gt;0,N(Reales!AN43)/AN$10,0),N(Reales!AN43)),AN$182*IF(AND(AND(35&gt;Corte,35&lt;=Corte+n_Ventana),ISNUMBER(Detalle_24m!AN$47)),Detalle_24m!AN$47,INDEX(Precio_V,6)*INDEX(IdxPrecio_V,1,MIN(10,AN$173)))*(1+V_dPrecio))</f>
        <v>0</v>
      </c>
      <c r="AO207" s="48">
        <f>IF(AO$8=1,IF(Reales!$C$43="PYG",IF(AO$10&gt;0,N(Reales!AO43)/AO$10,0),N(Reales!AO43)),AO$182*IF(AND(AND(36&gt;Corte,36&lt;=Corte+n_Ventana),ISNUMBER(Detalle_24m!AO$47)),Detalle_24m!AO$47,INDEX(Precio_V,6)*INDEX(IdxPrecio_V,1,MIN(10,AO$173)))*(1+V_dPrecio))</f>
        <v>0</v>
      </c>
      <c r="AP207" s="48">
        <f>IF(AP$8=1,IF(Reales!$C$43="PYG",IF(AP$10&gt;0,N(Reales!AP43)/AP$10,0),N(Reales!AP43)),AP$182*IF(AND(AND(37&gt;Corte,37&lt;=Corte+n_Ventana),ISNUMBER(Detalle_24m!AP$47)),Detalle_24m!AP$47,INDEX(Precio_V,6)*INDEX(IdxPrecio_V,1,MIN(10,AP$173)))*(1+V_dPrecio))</f>
        <v>0</v>
      </c>
      <c r="AQ207" s="48">
        <f>IF(AQ$8=1,IF(Reales!$C$43="PYG",IF(AQ$10&gt;0,N(Reales!AQ43)/AQ$10,0),N(Reales!AQ43)),AQ$182*IF(AND(AND(38&gt;Corte,38&lt;=Corte+n_Ventana),ISNUMBER(Detalle_24m!AQ$47)),Detalle_24m!AQ$47,INDEX(Precio_V,6)*INDEX(IdxPrecio_V,1,MIN(10,AQ$173)))*(1+V_dPrecio))</f>
        <v>0</v>
      </c>
      <c r="AR207" s="48">
        <f>IF(AR$8=1,IF(Reales!$C$43="PYG",IF(AR$10&gt;0,N(Reales!AR43)/AR$10,0),N(Reales!AR43)),AR$182*IF(AND(AND(39&gt;Corte,39&lt;=Corte+n_Ventana),ISNUMBER(Detalle_24m!AR$47)),Detalle_24m!AR$47,INDEX(Precio_V,6)*INDEX(IdxPrecio_V,1,MIN(10,AR$173)))*(1+V_dPrecio))</f>
        <v>0</v>
      </c>
      <c r="AS207" s="48">
        <f>IF(AS$8=1,IF(Reales!$C$43="PYG",IF(AS$10&gt;0,N(Reales!AS43)/AS$10,0),N(Reales!AS43)),AS$182*IF(AND(AND(40&gt;Corte,40&lt;=Corte+n_Ventana),ISNUMBER(Detalle_24m!AS$47)),Detalle_24m!AS$47,INDEX(Precio_V,6)*INDEX(IdxPrecio_V,1,MIN(10,AS$173)))*(1+V_dPrecio))</f>
        <v>0</v>
      </c>
      <c r="AT207" s="48">
        <f>IF(AT$8=1,IF(Reales!$C$43="PYG",IF(AT$10&gt;0,N(Reales!AT43)/AT$10,0),N(Reales!AT43)),AT$182*IF(AND(AND(41&gt;Corte,41&lt;=Corte+n_Ventana),ISNUMBER(Detalle_24m!AT$47)),Detalle_24m!AT$47,INDEX(Precio_V,6)*INDEX(IdxPrecio_V,1,MIN(10,AT$173)))*(1+V_dPrecio))</f>
        <v>0</v>
      </c>
      <c r="AU207" s="48">
        <f>IF(AU$8=1,IF(Reales!$C$43="PYG",IF(AU$10&gt;0,N(Reales!AU43)/AU$10,0),N(Reales!AU43)),AU$182*IF(AND(AND(42&gt;Corte,42&lt;=Corte+n_Ventana),ISNUMBER(Detalle_24m!AU$47)),Detalle_24m!AU$47,INDEX(Precio_V,6)*INDEX(IdxPrecio_V,1,MIN(10,AU$173)))*(1+V_dPrecio))</f>
        <v>0</v>
      </c>
      <c r="AV207" s="48">
        <f>IF(AV$8=1,IF(Reales!$C$43="PYG",IF(AV$10&gt;0,N(Reales!AV43)/AV$10,0),N(Reales!AV43)),AV$182*IF(AND(AND(43&gt;Corte,43&lt;=Corte+n_Ventana),ISNUMBER(Detalle_24m!AV$47)),Detalle_24m!AV$47,INDEX(Precio_V,6)*INDEX(IdxPrecio_V,1,MIN(10,AV$173)))*(1+V_dPrecio))</f>
        <v>0</v>
      </c>
      <c r="AW207" s="48">
        <f>IF(AW$8=1,IF(Reales!$C$43="PYG",IF(AW$10&gt;0,N(Reales!AW43)/AW$10,0),N(Reales!AW43)),AW$182*IF(AND(AND(44&gt;Corte,44&lt;=Corte+n_Ventana),ISNUMBER(Detalle_24m!AW$47)),Detalle_24m!AW$47,INDEX(Precio_V,6)*INDEX(IdxPrecio_V,1,MIN(10,AW$173)))*(1+V_dPrecio))</f>
        <v>0</v>
      </c>
      <c r="AX207" s="48">
        <f>IF(AX$8=1,IF(Reales!$C$43="PYG",IF(AX$10&gt;0,N(Reales!AX43)/AX$10,0),N(Reales!AX43)),AX$182*IF(AND(AND(45&gt;Corte,45&lt;=Corte+n_Ventana),ISNUMBER(Detalle_24m!AX$47)),Detalle_24m!AX$47,INDEX(Precio_V,6)*INDEX(IdxPrecio_V,1,MIN(10,AX$173)))*(1+V_dPrecio))</f>
        <v>0</v>
      </c>
      <c r="AY207" s="48">
        <f>IF(AY$8=1,IF(Reales!$C$43="PYG",IF(AY$10&gt;0,N(Reales!AY43)/AY$10,0),N(Reales!AY43)),AY$182*IF(AND(AND(46&gt;Corte,46&lt;=Corte+n_Ventana),ISNUMBER(Detalle_24m!AY$47)),Detalle_24m!AY$47,INDEX(Precio_V,6)*INDEX(IdxPrecio_V,1,MIN(10,AY$173)))*(1+V_dPrecio))</f>
        <v>0</v>
      </c>
      <c r="AZ207" s="48">
        <f>IF(AZ$8=1,IF(Reales!$C$43="PYG",IF(AZ$10&gt;0,N(Reales!AZ43)/AZ$10,0),N(Reales!AZ43)),AZ$182*IF(AND(AND(47&gt;Corte,47&lt;=Corte+n_Ventana),ISNUMBER(Detalle_24m!AZ$47)),Detalle_24m!AZ$47,INDEX(Precio_V,6)*INDEX(IdxPrecio_V,1,MIN(10,AZ$173)))*(1+V_dPrecio))</f>
        <v>0</v>
      </c>
      <c r="BA207" s="48">
        <f>IF(BA$8=1,IF(Reales!$C$43="PYG",IF(BA$10&gt;0,N(Reales!BA43)/BA$10,0),N(Reales!BA43)),BA$182*IF(AND(AND(48&gt;Corte,48&lt;=Corte+n_Ventana),ISNUMBER(Detalle_24m!BA$47)),Detalle_24m!BA$47,INDEX(Precio_V,6)*INDEX(IdxPrecio_V,1,MIN(10,BA$173)))*(1+V_dPrecio))</f>
        <v>0</v>
      </c>
      <c r="BB207" s="48">
        <f>IF(BB$8=1,IF(Reales!$C$43="PYG",IF(BB$10&gt;0,N(Reales!BB43)/BB$10,0),N(Reales!BB43)),BB$182*IF(AND(AND(49&gt;Corte,49&lt;=Corte+n_Ventana),ISNUMBER(Detalle_24m!BB$47)),Detalle_24m!BB$47,INDEX(Precio_V,6)*INDEX(IdxPrecio_V,1,MIN(10,BB$173)))*(1+V_dPrecio))</f>
        <v>0</v>
      </c>
      <c r="BC207" s="48">
        <f>IF(BC$8=1,IF(Reales!$C$43="PYG",IF(BC$10&gt;0,N(Reales!BC43)/BC$10,0),N(Reales!BC43)),BC$182*IF(AND(AND(50&gt;Corte,50&lt;=Corte+n_Ventana),ISNUMBER(Detalle_24m!BC$47)),Detalle_24m!BC$47,INDEX(Precio_V,6)*INDEX(IdxPrecio_V,1,MIN(10,BC$173)))*(1+V_dPrecio))</f>
        <v>0</v>
      </c>
      <c r="BD207" s="48">
        <f>IF(BD$8=1,IF(Reales!$C$43="PYG",IF(BD$10&gt;0,N(Reales!BD43)/BD$10,0),N(Reales!BD43)),BD$182*IF(AND(AND(51&gt;Corte,51&lt;=Corte+n_Ventana),ISNUMBER(Detalle_24m!BD$47)),Detalle_24m!BD$47,INDEX(Precio_V,6)*INDEX(IdxPrecio_V,1,MIN(10,BD$173)))*(1+V_dPrecio))</f>
        <v>0</v>
      </c>
      <c r="BE207" s="48">
        <f>IF(BE$8=1,IF(Reales!$C$43="PYG",IF(BE$10&gt;0,N(Reales!BE43)/BE$10,0),N(Reales!BE43)),BE$182*IF(AND(AND(52&gt;Corte,52&lt;=Corte+n_Ventana),ISNUMBER(Detalle_24m!BE$47)),Detalle_24m!BE$47,INDEX(Precio_V,6)*INDEX(IdxPrecio_V,1,MIN(10,BE$173)))*(1+V_dPrecio))</f>
        <v>0</v>
      </c>
      <c r="BF207" s="48">
        <f>IF(BF$8=1,IF(Reales!$C$43="PYG",IF(BF$10&gt;0,N(Reales!BF43)/BF$10,0),N(Reales!BF43)),BF$182*IF(AND(AND(53&gt;Corte,53&lt;=Corte+n_Ventana),ISNUMBER(Detalle_24m!BF$47)),Detalle_24m!BF$47,INDEX(Precio_V,6)*INDEX(IdxPrecio_V,1,MIN(10,BF$173)))*(1+V_dPrecio))</f>
        <v>0</v>
      </c>
      <c r="BG207" s="48">
        <f>IF(BG$8=1,IF(Reales!$C$43="PYG",IF(BG$10&gt;0,N(Reales!BG43)/BG$10,0),N(Reales!BG43)),BG$182*IF(AND(AND(54&gt;Corte,54&lt;=Corte+n_Ventana),ISNUMBER(Detalle_24m!BG$47)),Detalle_24m!BG$47,INDEX(Precio_V,6)*INDEX(IdxPrecio_V,1,MIN(10,BG$173)))*(1+V_dPrecio))</f>
        <v>0</v>
      </c>
      <c r="BH207" s="48">
        <f>IF(BH$8=1,IF(Reales!$C$43="PYG",IF(BH$10&gt;0,N(Reales!BH43)/BH$10,0),N(Reales!BH43)),BH$182*IF(AND(AND(55&gt;Corte,55&lt;=Corte+n_Ventana),ISNUMBER(Detalle_24m!BH$47)),Detalle_24m!BH$47,INDEX(Precio_V,6)*INDEX(IdxPrecio_V,1,MIN(10,BH$173)))*(1+V_dPrecio))</f>
        <v>0</v>
      </c>
      <c r="BI207" s="48">
        <f>IF(BI$8=1,IF(Reales!$C$43="PYG",IF(BI$10&gt;0,N(Reales!BI43)/BI$10,0),N(Reales!BI43)),BI$182*IF(AND(AND(56&gt;Corte,56&lt;=Corte+n_Ventana),ISNUMBER(Detalle_24m!BI$47)),Detalle_24m!BI$47,INDEX(Precio_V,6)*INDEX(IdxPrecio_V,1,MIN(10,BI$173)))*(1+V_dPrecio))</f>
        <v>0</v>
      </c>
      <c r="BJ207" s="48">
        <f>IF(BJ$8=1,IF(Reales!$C$43="PYG",IF(BJ$10&gt;0,N(Reales!BJ43)/BJ$10,0),N(Reales!BJ43)),BJ$182*IF(AND(AND(57&gt;Corte,57&lt;=Corte+n_Ventana),ISNUMBER(Detalle_24m!BJ$47)),Detalle_24m!BJ$47,INDEX(Precio_V,6)*INDEX(IdxPrecio_V,1,MIN(10,BJ$173)))*(1+V_dPrecio))</f>
        <v>0</v>
      </c>
      <c r="BK207" s="48">
        <f>IF(BK$8=1,IF(Reales!$C$43="PYG",IF(BK$10&gt;0,N(Reales!BK43)/BK$10,0),N(Reales!BK43)),BK$182*IF(AND(AND(58&gt;Corte,58&lt;=Corte+n_Ventana),ISNUMBER(Detalle_24m!BK$47)),Detalle_24m!BK$47,INDEX(Precio_V,6)*INDEX(IdxPrecio_V,1,MIN(10,BK$173)))*(1+V_dPrecio))</f>
        <v>0</v>
      </c>
      <c r="BL207" s="48">
        <f>IF(BL$8=1,IF(Reales!$C$43="PYG",IF(BL$10&gt;0,N(Reales!BL43)/BL$10,0),N(Reales!BL43)),BL$182*IF(AND(AND(59&gt;Corte,59&lt;=Corte+n_Ventana),ISNUMBER(Detalle_24m!BL$47)),Detalle_24m!BL$47,INDEX(Precio_V,6)*INDEX(IdxPrecio_V,1,MIN(10,BL$173)))*(1+V_dPrecio))</f>
        <v>0</v>
      </c>
      <c r="BM207" s="48">
        <f>IF(BM$8=1,IF(Reales!$C$43="PYG",IF(BM$10&gt;0,N(Reales!BM43)/BM$10,0),N(Reales!BM43)),BM$182*IF(AND(AND(60&gt;Corte,60&lt;=Corte+n_Ventana),ISNUMBER(Detalle_24m!BM$47)),Detalle_24m!BM$47,INDEX(Precio_V,6)*INDEX(IdxPrecio_V,1,MIN(10,BM$173)))*(1+V_dPrecio))</f>
        <v>0</v>
      </c>
      <c r="BN207" s="48">
        <f>IF(BN$8=1,IF(Reales!$C$43="PYG",IF(BN$10&gt;0,N(Reales!BN43)/BN$10,0),N(Reales!BN43)),BN$182*IF(AND(AND(61&gt;Corte,61&lt;=Corte+n_Ventana),ISNUMBER(Detalle_24m!BN$47)),Detalle_24m!BN$47,INDEX(Precio_V,6)*INDEX(IdxPrecio_V,1,MIN(10,BN$173)))*(1+V_dPrecio))</f>
        <v>0</v>
      </c>
      <c r="BO207" s="48">
        <f>IF(BO$8=1,IF(Reales!$C$43="PYG",IF(BO$10&gt;0,N(Reales!BO43)/BO$10,0),N(Reales!BO43)),BO$182*IF(AND(AND(62&gt;Corte,62&lt;=Corte+n_Ventana),ISNUMBER(Detalle_24m!BO$47)),Detalle_24m!BO$47,INDEX(Precio_V,6)*INDEX(IdxPrecio_V,1,MIN(10,BO$173)))*(1+V_dPrecio))</f>
        <v>0</v>
      </c>
      <c r="BP207" s="48">
        <f>IF(BP$8=1,IF(Reales!$C$43="PYG",IF(BP$10&gt;0,N(Reales!BP43)/BP$10,0),N(Reales!BP43)),BP$182*IF(AND(AND(63&gt;Corte,63&lt;=Corte+n_Ventana),ISNUMBER(Detalle_24m!BP$47)),Detalle_24m!BP$47,INDEX(Precio_V,6)*INDEX(IdxPrecio_V,1,MIN(10,BP$173)))*(1+V_dPrecio))</f>
        <v>0</v>
      </c>
      <c r="BQ207" s="48">
        <f>IF(BQ$8=1,IF(Reales!$C$43="PYG",IF(BQ$10&gt;0,N(Reales!BQ43)/BQ$10,0),N(Reales!BQ43)),BQ$182*IF(AND(AND(64&gt;Corte,64&lt;=Corte+n_Ventana),ISNUMBER(Detalle_24m!BQ$47)),Detalle_24m!BQ$47,INDEX(Precio_V,6)*INDEX(IdxPrecio_V,1,MIN(10,BQ$173)))*(1+V_dPrecio))</f>
        <v>0</v>
      </c>
      <c r="BR207" s="48">
        <f>IF(BR$8=1,IF(Reales!$C$43="PYG",IF(BR$10&gt;0,N(Reales!BR43)/BR$10,0),N(Reales!BR43)),BR$182*IF(AND(AND(65&gt;Corte,65&lt;=Corte+n_Ventana),ISNUMBER(Detalle_24m!BR$47)),Detalle_24m!BR$47,INDEX(Precio_V,6)*INDEX(IdxPrecio_V,1,MIN(10,BR$173)))*(1+V_dPrecio))</f>
        <v>0</v>
      </c>
      <c r="BS207" s="48">
        <f>IF(BS$8=1,IF(Reales!$C$43="PYG",IF(BS$10&gt;0,N(Reales!BS43)/BS$10,0),N(Reales!BS43)),BS$182*IF(AND(AND(66&gt;Corte,66&lt;=Corte+n_Ventana),ISNUMBER(Detalle_24m!BS$47)),Detalle_24m!BS$47,INDEX(Precio_V,6)*INDEX(IdxPrecio_V,1,MIN(10,BS$173)))*(1+V_dPrecio))</f>
        <v>0</v>
      </c>
      <c r="BT207" s="48">
        <f>IF(BT$8=1,IF(Reales!$C$43="PYG",IF(BT$10&gt;0,N(Reales!BT43)/BT$10,0),N(Reales!BT43)),BT$182*IF(AND(AND(67&gt;Corte,67&lt;=Corte+n_Ventana),ISNUMBER(Detalle_24m!BT$47)),Detalle_24m!BT$47,INDEX(Precio_V,6)*INDEX(IdxPrecio_V,1,MIN(10,BT$173)))*(1+V_dPrecio))</f>
        <v>0</v>
      </c>
      <c r="BU207" s="48">
        <f>IF(BU$8=1,IF(Reales!$C$43="PYG",IF(BU$10&gt;0,N(Reales!BU43)/BU$10,0),N(Reales!BU43)),BU$182*IF(AND(AND(68&gt;Corte,68&lt;=Corte+n_Ventana),ISNUMBER(Detalle_24m!BU$47)),Detalle_24m!BU$47,INDEX(Precio_V,6)*INDEX(IdxPrecio_V,1,MIN(10,BU$173)))*(1+V_dPrecio))</f>
        <v>0</v>
      </c>
      <c r="BV207" s="48">
        <f>IF(BV$8=1,IF(Reales!$C$43="PYG",IF(BV$10&gt;0,N(Reales!BV43)/BV$10,0),N(Reales!BV43)),BV$182*IF(AND(AND(69&gt;Corte,69&lt;=Corte+n_Ventana),ISNUMBER(Detalle_24m!BV$47)),Detalle_24m!BV$47,INDEX(Precio_V,6)*INDEX(IdxPrecio_V,1,MIN(10,BV$173)))*(1+V_dPrecio))</f>
        <v>0</v>
      </c>
      <c r="BW207" s="48">
        <f>IF(BW$8=1,IF(Reales!$C$43="PYG",IF(BW$10&gt;0,N(Reales!BW43)/BW$10,0),N(Reales!BW43)),BW$182*IF(AND(AND(70&gt;Corte,70&lt;=Corte+n_Ventana),ISNUMBER(Detalle_24m!BW$47)),Detalle_24m!BW$47,INDEX(Precio_V,6)*INDEX(IdxPrecio_V,1,MIN(10,BW$173)))*(1+V_dPrecio))</f>
        <v>0</v>
      </c>
      <c r="BX207" s="48">
        <f>IF(BX$8=1,IF(Reales!$C$43="PYG",IF(BX$10&gt;0,N(Reales!BX43)/BX$10,0),N(Reales!BX43)),BX$182*IF(AND(AND(71&gt;Corte,71&lt;=Corte+n_Ventana),ISNUMBER(Detalle_24m!BX$47)),Detalle_24m!BX$47,INDEX(Precio_V,6)*INDEX(IdxPrecio_V,1,MIN(10,BX$173)))*(1+V_dPrecio))</f>
        <v>0</v>
      </c>
      <c r="BY207" s="48">
        <f>IF(BY$8=1,IF(Reales!$C$43="PYG",IF(BY$10&gt;0,N(Reales!BY43)/BY$10,0),N(Reales!BY43)),BY$182*IF(AND(AND(72&gt;Corte,72&lt;=Corte+n_Ventana),ISNUMBER(Detalle_24m!BY$47)),Detalle_24m!BY$47,INDEX(Precio_V,6)*INDEX(IdxPrecio_V,1,MIN(10,BY$173)))*(1+V_dPrecio))</f>
        <v>0</v>
      </c>
      <c r="BZ207" s="48">
        <f>IF(BZ$8=1,IF(Reales!$C$43="PYG",IF(BZ$10&gt;0,N(Reales!BZ43)/BZ$10,0),N(Reales!BZ43)),BZ$182*IF(AND(AND(73&gt;Corte,73&lt;=Corte+n_Ventana),ISNUMBER(Detalle_24m!BZ$47)),Detalle_24m!BZ$47,INDEX(Precio_V,6)*INDEX(IdxPrecio_V,1,MIN(10,BZ$173)))*(1+V_dPrecio))</f>
        <v>0</v>
      </c>
      <c r="CA207" s="48">
        <f>IF(CA$8=1,IF(Reales!$C$43="PYG",IF(CA$10&gt;0,N(Reales!CA43)/CA$10,0),N(Reales!CA43)),CA$182*IF(AND(AND(74&gt;Corte,74&lt;=Corte+n_Ventana),ISNUMBER(Detalle_24m!CA$47)),Detalle_24m!CA$47,INDEX(Precio_V,6)*INDEX(IdxPrecio_V,1,MIN(10,CA$173)))*(1+V_dPrecio))</f>
        <v>0</v>
      </c>
      <c r="CB207" s="48">
        <f>IF(CB$8=1,IF(Reales!$C$43="PYG",IF(CB$10&gt;0,N(Reales!CB43)/CB$10,0),N(Reales!CB43)),CB$182*IF(AND(AND(75&gt;Corte,75&lt;=Corte+n_Ventana),ISNUMBER(Detalle_24m!CB$47)),Detalle_24m!CB$47,INDEX(Precio_V,6)*INDEX(IdxPrecio_V,1,MIN(10,CB$173)))*(1+V_dPrecio))</f>
        <v>0</v>
      </c>
      <c r="CC207" s="48">
        <f>IF(CC$8=1,IF(Reales!$C$43="PYG",IF(CC$10&gt;0,N(Reales!CC43)/CC$10,0),N(Reales!CC43)),CC$182*IF(AND(AND(76&gt;Corte,76&lt;=Corte+n_Ventana),ISNUMBER(Detalle_24m!CC$47)),Detalle_24m!CC$47,INDEX(Precio_V,6)*INDEX(IdxPrecio_V,1,MIN(10,CC$173)))*(1+V_dPrecio))</f>
        <v>0</v>
      </c>
      <c r="CD207" s="48">
        <f>IF(CD$8=1,IF(Reales!$C$43="PYG",IF(CD$10&gt;0,N(Reales!CD43)/CD$10,0),N(Reales!CD43)),CD$182*IF(AND(AND(77&gt;Corte,77&lt;=Corte+n_Ventana),ISNUMBER(Detalle_24m!CD$47)),Detalle_24m!CD$47,INDEX(Precio_V,6)*INDEX(IdxPrecio_V,1,MIN(10,CD$173)))*(1+V_dPrecio))</f>
        <v>0</v>
      </c>
      <c r="CE207" s="48">
        <f>IF(CE$8=1,IF(Reales!$C$43="PYG",IF(CE$10&gt;0,N(Reales!CE43)/CE$10,0),N(Reales!CE43)),CE$182*IF(AND(AND(78&gt;Corte,78&lt;=Corte+n_Ventana),ISNUMBER(Detalle_24m!CE$47)),Detalle_24m!CE$47,INDEX(Precio_V,6)*INDEX(IdxPrecio_V,1,MIN(10,CE$173)))*(1+V_dPrecio))</f>
        <v>0</v>
      </c>
      <c r="CF207" s="48">
        <f>IF(CF$8=1,IF(Reales!$C$43="PYG",IF(CF$10&gt;0,N(Reales!CF43)/CF$10,0),N(Reales!CF43)),CF$182*IF(AND(AND(79&gt;Corte,79&lt;=Corte+n_Ventana),ISNUMBER(Detalle_24m!CF$47)),Detalle_24m!CF$47,INDEX(Precio_V,6)*INDEX(IdxPrecio_V,1,MIN(10,CF$173)))*(1+V_dPrecio))</f>
        <v>0</v>
      </c>
      <c r="CG207" s="48">
        <f>IF(CG$8=1,IF(Reales!$C$43="PYG",IF(CG$10&gt;0,N(Reales!CG43)/CG$10,0),N(Reales!CG43)),CG$182*IF(AND(AND(80&gt;Corte,80&lt;=Corte+n_Ventana),ISNUMBER(Detalle_24m!CG$47)),Detalle_24m!CG$47,INDEX(Precio_V,6)*INDEX(IdxPrecio_V,1,MIN(10,CG$173)))*(1+V_dPrecio))</f>
        <v>0</v>
      </c>
      <c r="CH207" s="48">
        <f>IF(CH$8=1,IF(Reales!$C$43="PYG",IF(CH$10&gt;0,N(Reales!CH43)/CH$10,0),N(Reales!CH43)),CH$182*IF(AND(AND(81&gt;Corte,81&lt;=Corte+n_Ventana),ISNUMBER(Detalle_24m!CH$47)),Detalle_24m!CH$47,INDEX(Precio_V,6)*INDEX(IdxPrecio_V,1,MIN(10,CH$173)))*(1+V_dPrecio))</f>
        <v>0</v>
      </c>
      <c r="CI207" s="48">
        <f>IF(CI$8=1,IF(Reales!$C$43="PYG",IF(CI$10&gt;0,N(Reales!CI43)/CI$10,0),N(Reales!CI43)),CI$182*IF(AND(AND(82&gt;Corte,82&lt;=Corte+n_Ventana),ISNUMBER(Detalle_24m!CI$47)),Detalle_24m!CI$47,INDEX(Precio_V,6)*INDEX(IdxPrecio_V,1,MIN(10,CI$173)))*(1+V_dPrecio))</f>
        <v>0</v>
      </c>
      <c r="CJ207" s="48">
        <f>IF(CJ$8=1,IF(Reales!$C$43="PYG",IF(CJ$10&gt;0,N(Reales!CJ43)/CJ$10,0),N(Reales!CJ43)),CJ$182*IF(AND(AND(83&gt;Corte,83&lt;=Corte+n_Ventana),ISNUMBER(Detalle_24m!CJ$47)),Detalle_24m!CJ$47,INDEX(Precio_V,6)*INDEX(IdxPrecio_V,1,MIN(10,CJ$173)))*(1+V_dPrecio))</f>
        <v>0</v>
      </c>
      <c r="CK207" s="48">
        <f>IF(CK$8=1,IF(Reales!$C$43="PYG",IF(CK$10&gt;0,N(Reales!CK43)/CK$10,0),N(Reales!CK43)),CK$182*IF(AND(AND(84&gt;Corte,84&lt;=Corte+n_Ventana),ISNUMBER(Detalle_24m!CK$47)),Detalle_24m!CK$47,INDEX(Precio_V,6)*INDEX(IdxPrecio_V,1,MIN(10,CK$173)))*(1+V_dPrecio))</f>
        <v>0</v>
      </c>
      <c r="CL207" s="48">
        <f>IF(CL$8=1,IF(Reales!$C$43="PYG",IF(CL$10&gt;0,N(Reales!CL43)/CL$10,0),N(Reales!CL43)),CL$182*IF(AND(AND(85&gt;Corte,85&lt;=Corte+n_Ventana),ISNUMBER(Detalle_24m!CL$47)),Detalle_24m!CL$47,INDEX(Precio_V,6)*INDEX(IdxPrecio_V,1,MIN(10,CL$173)))*(1+V_dPrecio))</f>
        <v>0</v>
      </c>
      <c r="CM207" s="48">
        <f>IF(CM$8=1,IF(Reales!$C$43="PYG",IF(CM$10&gt;0,N(Reales!CM43)/CM$10,0),N(Reales!CM43)),CM$182*IF(AND(AND(86&gt;Corte,86&lt;=Corte+n_Ventana),ISNUMBER(Detalle_24m!CM$47)),Detalle_24m!CM$47,INDEX(Precio_V,6)*INDEX(IdxPrecio_V,1,MIN(10,CM$173)))*(1+V_dPrecio))</f>
        <v>0</v>
      </c>
      <c r="CN207" s="48">
        <f>IF(CN$8=1,IF(Reales!$C$43="PYG",IF(CN$10&gt;0,N(Reales!CN43)/CN$10,0),N(Reales!CN43)),CN$182*IF(AND(AND(87&gt;Corte,87&lt;=Corte+n_Ventana),ISNUMBER(Detalle_24m!CN$47)),Detalle_24m!CN$47,INDEX(Precio_V,6)*INDEX(IdxPrecio_V,1,MIN(10,CN$173)))*(1+V_dPrecio))</f>
        <v>0</v>
      </c>
      <c r="CO207" s="48">
        <f>IF(CO$8=1,IF(Reales!$C$43="PYG",IF(CO$10&gt;0,N(Reales!CO43)/CO$10,0),N(Reales!CO43)),CO$182*IF(AND(AND(88&gt;Corte,88&lt;=Corte+n_Ventana),ISNUMBER(Detalle_24m!CO$47)),Detalle_24m!CO$47,INDEX(Precio_V,6)*INDEX(IdxPrecio_V,1,MIN(10,CO$173)))*(1+V_dPrecio))</f>
        <v>0</v>
      </c>
      <c r="CP207" s="48">
        <f>IF(CP$8=1,IF(Reales!$C$43="PYG",IF(CP$10&gt;0,N(Reales!CP43)/CP$10,0),N(Reales!CP43)),CP$182*IF(AND(AND(89&gt;Corte,89&lt;=Corte+n_Ventana),ISNUMBER(Detalle_24m!CP$47)),Detalle_24m!CP$47,INDEX(Precio_V,6)*INDEX(IdxPrecio_V,1,MIN(10,CP$173)))*(1+V_dPrecio))</f>
        <v>0</v>
      </c>
      <c r="CQ207" s="48">
        <f>IF(CQ$8=1,IF(Reales!$C$43="PYG",IF(CQ$10&gt;0,N(Reales!CQ43)/CQ$10,0),N(Reales!CQ43)),CQ$182*IF(AND(AND(90&gt;Corte,90&lt;=Corte+n_Ventana),ISNUMBER(Detalle_24m!CQ$47)),Detalle_24m!CQ$47,INDEX(Precio_V,6)*INDEX(IdxPrecio_V,1,MIN(10,CQ$173)))*(1+V_dPrecio))</f>
        <v>0</v>
      </c>
      <c r="CR207" s="48">
        <f>IF(CR$8=1,IF(Reales!$C$43="PYG",IF(CR$10&gt;0,N(Reales!CR43)/CR$10,0),N(Reales!CR43)),CR$182*IF(AND(AND(91&gt;Corte,91&lt;=Corte+n_Ventana),ISNUMBER(Detalle_24m!CR$47)),Detalle_24m!CR$47,INDEX(Precio_V,6)*INDEX(IdxPrecio_V,1,MIN(10,CR$173)))*(1+V_dPrecio))</f>
        <v>0</v>
      </c>
      <c r="CS207" s="48">
        <f>IF(CS$8=1,IF(Reales!$C$43="PYG",IF(CS$10&gt;0,N(Reales!CS43)/CS$10,0),N(Reales!CS43)),CS$182*IF(AND(AND(92&gt;Corte,92&lt;=Corte+n_Ventana),ISNUMBER(Detalle_24m!CS$47)),Detalle_24m!CS$47,INDEX(Precio_V,6)*INDEX(IdxPrecio_V,1,MIN(10,CS$173)))*(1+V_dPrecio))</f>
        <v>0</v>
      </c>
      <c r="CT207" s="48">
        <f>IF(CT$8=1,IF(Reales!$C$43="PYG",IF(CT$10&gt;0,N(Reales!CT43)/CT$10,0),N(Reales!CT43)),CT$182*IF(AND(AND(93&gt;Corte,93&lt;=Corte+n_Ventana),ISNUMBER(Detalle_24m!CT$47)),Detalle_24m!CT$47,INDEX(Precio_V,6)*INDEX(IdxPrecio_V,1,MIN(10,CT$173)))*(1+V_dPrecio))</f>
        <v>0</v>
      </c>
      <c r="CU207" s="48">
        <f>IF(CU$8=1,IF(Reales!$C$43="PYG",IF(CU$10&gt;0,N(Reales!CU43)/CU$10,0),N(Reales!CU43)),CU$182*IF(AND(AND(94&gt;Corte,94&lt;=Corte+n_Ventana),ISNUMBER(Detalle_24m!CU$47)),Detalle_24m!CU$47,INDEX(Precio_V,6)*INDEX(IdxPrecio_V,1,MIN(10,CU$173)))*(1+V_dPrecio))</f>
        <v>0</v>
      </c>
      <c r="CV207" s="48">
        <f>IF(CV$8=1,IF(Reales!$C$43="PYG",IF(CV$10&gt;0,N(Reales!CV43)/CV$10,0),N(Reales!CV43)),CV$182*IF(AND(AND(95&gt;Corte,95&lt;=Corte+n_Ventana),ISNUMBER(Detalle_24m!CV$47)),Detalle_24m!CV$47,INDEX(Precio_V,6)*INDEX(IdxPrecio_V,1,MIN(10,CV$173)))*(1+V_dPrecio))</f>
        <v>0</v>
      </c>
      <c r="CW207" s="48">
        <f>IF(CW$8=1,IF(Reales!$C$43="PYG",IF(CW$10&gt;0,N(Reales!CW43)/CW$10,0),N(Reales!CW43)),CW$182*IF(AND(AND(96&gt;Corte,96&lt;=Corte+n_Ventana),ISNUMBER(Detalle_24m!CW$47)),Detalle_24m!CW$47,INDEX(Precio_V,6)*INDEX(IdxPrecio_V,1,MIN(10,CW$173)))*(1+V_dPrecio))</f>
        <v>0</v>
      </c>
      <c r="CX207" s="48">
        <f>IF(CX$8=1,IF(Reales!$C$43="PYG",IF(CX$10&gt;0,N(Reales!CX43)/CX$10,0),N(Reales!CX43)),CX$182*IF(AND(AND(97&gt;Corte,97&lt;=Corte+n_Ventana),ISNUMBER(Detalle_24m!CX$47)),Detalle_24m!CX$47,INDEX(Precio_V,6)*INDEX(IdxPrecio_V,1,MIN(10,CX$173)))*(1+V_dPrecio))</f>
        <v>0</v>
      </c>
      <c r="CY207" s="48">
        <f>IF(CY$8=1,IF(Reales!$C$43="PYG",IF(CY$10&gt;0,N(Reales!CY43)/CY$10,0),N(Reales!CY43)),CY$182*IF(AND(AND(98&gt;Corte,98&lt;=Corte+n_Ventana),ISNUMBER(Detalle_24m!CY$47)),Detalle_24m!CY$47,INDEX(Precio_V,6)*INDEX(IdxPrecio_V,1,MIN(10,CY$173)))*(1+V_dPrecio))</f>
        <v>0</v>
      </c>
      <c r="CZ207" s="48">
        <f>IF(CZ$8=1,IF(Reales!$C$43="PYG",IF(CZ$10&gt;0,N(Reales!CZ43)/CZ$10,0),N(Reales!CZ43)),CZ$182*IF(AND(AND(99&gt;Corte,99&lt;=Corte+n_Ventana),ISNUMBER(Detalle_24m!CZ$47)),Detalle_24m!CZ$47,INDEX(Precio_V,6)*INDEX(IdxPrecio_V,1,MIN(10,CZ$173)))*(1+V_dPrecio))</f>
        <v>0</v>
      </c>
      <c r="DA207" s="48">
        <f>IF(DA$8=1,IF(Reales!$C$43="PYG",IF(DA$10&gt;0,N(Reales!DA43)/DA$10,0),N(Reales!DA43)),DA$182*IF(AND(AND(100&gt;Corte,100&lt;=Corte+n_Ventana),ISNUMBER(Detalle_24m!DA$47)),Detalle_24m!DA$47,INDEX(Precio_V,6)*INDEX(IdxPrecio_V,1,MIN(10,DA$173)))*(1+V_dPrecio))</f>
        <v>0</v>
      </c>
      <c r="DB207" s="48">
        <f>IF(DB$8=1,IF(Reales!$C$43="PYG",IF(DB$10&gt;0,N(Reales!DB43)/DB$10,0),N(Reales!DB43)),DB$182*IF(AND(AND(101&gt;Corte,101&lt;=Corte+n_Ventana),ISNUMBER(Detalle_24m!DB$47)),Detalle_24m!DB$47,INDEX(Precio_V,6)*INDEX(IdxPrecio_V,1,MIN(10,DB$173)))*(1+V_dPrecio))</f>
        <v>0</v>
      </c>
      <c r="DC207" s="48">
        <f>IF(DC$8=1,IF(Reales!$C$43="PYG",IF(DC$10&gt;0,N(Reales!DC43)/DC$10,0),N(Reales!DC43)),DC$182*IF(AND(AND(102&gt;Corte,102&lt;=Corte+n_Ventana),ISNUMBER(Detalle_24m!DC$47)),Detalle_24m!DC$47,INDEX(Precio_V,6)*INDEX(IdxPrecio_V,1,MIN(10,DC$173)))*(1+V_dPrecio))</f>
        <v>0</v>
      </c>
      <c r="DD207" s="48">
        <f>IF(DD$8=1,IF(Reales!$C$43="PYG",IF(DD$10&gt;0,N(Reales!DD43)/DD$10,0),N(Reales!DD43)),DD$182*IF(AND(AND(103&gt;Corte,103&lt;=Corte+n_Ventana),ISNUMBER(Detalle_24m!DD$47)),Detalle_24m!DD$47,INDEX(Precio_V,6)*INDEX(IdxPrecio_V,1,MIN(10,DD$173)))*(1+V_dPrecio))</f>
        <v>0</v>
      </c>
      <c r="DE207" s="48">
        <f>IF(DE$8=1,IF(Reales!$C$43="PYG",IF(DE$10&gt;0,N(Reales!DE43)/DE$10,0),N(Reales!DE43)),DE$182*IF(AND(AND(104&gt;Corte,104&lt;=Corte+n_Ventana),ISNUMBER(Detalle_24m!DE$47)),Detalle_24m!DE$47,INDEX(Precio_V,6)*INDEX(IdxPrecio_V,1,MIN(10,DE$173)))*(1+V_dPrecio))</f>
        <v>0</v>
      </c>
      <c r="DF207" s="48">
        <f>IF(DF$8=1,IF(Reales!$C$43="PYG",IF(DF$10&gt;0,N(Reales!DF43)/DF$10,0),N(Reales!DF43)),DF$182*IF(AND(AND(105&gt;Corte,105&lt;=Corte+n_Ventana),ISNUMBER(Detalle_24m!DF$47)),Detalle_24m!DF$47,INDEX(Precio_V,6)*INDEX(IdxPrecio_V,1,MIN(10,DF$173)))*(1+V_dPrecio))</f>
        <v>0</v>
      </c>
      <c r="DG207" s="48">
        <f>IF(DG$8=1,IF(Reales!$C$43="PYG",IF(DG$10&gt;0,N(Reales!DG43)/DG$10,0),N(Reales!DG43)),DG$182*IF(AND(AND(106&gt;Corte,106&lt;=Corte+n_Ventana),ISNUMBER(Detalle_24m!DG$47)),Detalle_24m!DG$47,INDEX(Precio_V,6)*INDEX(IdxPrecio_V,1,MIN(10,DG$173)))*(1+V_dPrecio))</f>
        <v>0</v>
      </c>
      <c r="DH207" s="48">
        <f>IF(DH$8=1,IF(Reales!$C$43="PYG",IF(DH$10&gt;0,N(Reales!DH43)/DH$10,0),N(Reales!DH43)),DH$182*IF(AND(AND(107&gt;Corte,107&lt;=Corte+n_Ventana),ISNUMBER(Detalle_24m!DH$47)),Detalle_24m!DH$47,INDEX(Precio_V,6)*INDEX(IdxPrecio_V,1,MIN(10,DH$173)))*(1+V_dPrecio))</f>
        <v>0</v>
      </c>
      <c r="DI207" s="48">
        <f>IF(DI$8=1,IF(Reales!$C$43="PYG",IF(DI$10&gt;0,N(Reales!DI43)/DI$10,0),N(Reales!DI43)),DI$182*IF(AND(AND(108&gt;Corte,108&lt;=Corte+n_Ventana),ISNUMBER(Detalle_24m!DI$47)),Detalle_24m!DI$47,INDEX(Precio_V,6)*INDEX(IdxPrecio_V,1,MIN(10,DI$173)))*(1+V_dPrecio))</f>
        <v>0</v>
      </c>
      <c r="DJ207" s="48">
        <f>IF(DJ$8=1,IF(Reales!$C$43="PYG",IF(DJ$10&gt;0,N(Reales!DJ43)/DJ$10,0),N(Reales!DJ43)),DJ$182*IF(AND(AND(109&gt;Corte,109&lt;=Corte+n_Ventana),ISNUMBER(Detalle_24m!DJ$47)),Detalle_24m!DJ$47,INDEX(Precio_V,6)*INDEX(IdxPrecio_V,1,MIN(10,DJ$173)))*(1+V_dPrecio))</f>
        <v>0</v>
      </c>
      <c r="DK207" s="48">
        <f>IF(DK$8=1,IF(Reales!$C$43="PYG",IF(DK$10&gt;0,N(Reales!DK43)/DK$10,0),N(Reales!DK43)),DK$182*IF(AND(AND(110&gt;Corte,110&lt;=Corte+n_Ventana),ISNUMBER(Detalle_24m!DK$47)),Detalle_24m!DK$47,INDEX(Precio_V,6)*INDEX(IdxPrecio_V,1,MIN(10,DK$173)))*(1+V_dPrecio))</f>
        <v>0</v>
      </c>
      <c r="DL207" s="48">
        <f>IF(DL$8=1,IF(Reales!$C$43="PYG",IF(DL$10&gt;0,N(Reales!DL43)/DL$10,0),N(Reales!DL43)),DL$182*IF(AND(AND(111&gt;Corte,111&lt;=Corte+n_Ventana),ISNUMBER(Detalle_24m!DL$47)),Detalle_24m!DL$47,INDEX(Precio_V,6)*INDEX(IdxPrecio_V,1,MIN(10,DL$173)))*(1+V_dPrecio))</f>
        <v>0</v>
      </c>
      <c r="DM207" s="48">
        <f>IF(DM$8=1,IF(Reales!$C$43="PYG",IF(DM$10&gt;0,N(Reales!DM43)/DM$10,0),N(Reales!DM43)),DM$182*IF(AND(AND(112&gt;Corte,112&lt;=Corte+n_Ventana),ISNUMBER(Detalle_24m!DM$47)),Detalle_24m!DM$47,INDEX(Precio_V,6)*INDEX(IdxPrecio_V,1,MIN(10,DM$173)))*(1+V_dPrecio))</f>
        <v>0</v>
      </c>
      <c r="DN207" s="48">
        <f>IF(DN$8=1,IF(Reales!$C$43="PYG",IF(DN$10&gt;0,N(Reales!DN43)/DN$10,0),N(Reales!DN43)),DN$182*IF(AND(AND(113&gt;Corte,113&lt;=Corte+n_Ventana),ISNUMBER(Detalle_24m!DN$47)),Detalle_24m!DN$47,INDEX(Precio_V,6)*INDEX(IdxPrecio_V,1,MIN(10,DN$173)))*(1+V_dPrecio))</f>
        <v>0</v>
      </c>
      <c r="DO207" s="48">
        <f>IF(DO$8=1,IF(Reales!$C$43="PYG",IF(DO$10&gt;0,N(Reales!DO43)/DO$10,0),N(Reales!DO43)),DO$182*IF(AND(AND(114&gt;Corte,114&lt;=Corte+n_Ventana),ISNUMBER(Detalle_24m!DO$47)),Detalle_24m!DO$47,INDEX(Precio_V,6)*INDEX(IdxPrecio_V,1,MIN(10,DO$173)))*(1+V_dPrecio))</f>
        <v>0</v>
      </c>
      <c r="DP207" s="48">
        <f>IF(DP$8=1,IF(Reales!$C$43="PYG",IF(DP$10&gt;0,N(Reales!DP43)/DP$10,0),N(Reales!DP43)),DP$182*IF(AND(AND(115&gt;Corte,115&lt;=Corte+n_Ventana),ISNUMBER(Detalle_24m!DP$47)),Detalle_24m!DP$47,INDEX(Precio_V,6)*INDEX(IdxPrecio_V,1,MIN(10,DP$173)))*(1+V_dPrecio))</f>
        <v>0</v>
      </c>
      <c r="DQ207" s="48">
        <f>IF(DQ$8=1,IF(Reales!$C$43="PYG",IF(DQ$10&gt;0,N(Reales!DQ43)/DQ$10,0),N(Reales!DQ43)),DQ$182*IF(AND(AND(116&gt;Corte,116&lt;=Corte+n_Ventana),ISNUMBER(Detalle_24m!DQ$47)),Detalle_24m!DQ$47,INDEX(Precio_V,6)*INDEX(IdxPrecio_V,1,MIN(10,DQ$173)))*(1+V_dPrecio))</f>
        <v>0</v>
      </c>
      <c r="DR207" s="48">
        <f>IF(DR$8=1,IF(Reales!$C$43="PYG",IF(DR$10&gt;0,N(Reales!DR43)/DR$10,0),N(Reales!DR43)),DR$182*IF(AND(AND(117&gt;Corte,117&lt;=Corte+n_Ventana),ISNUMBER(Detalle_24m!DR$47)),Detalle_24m!DR$47,INDEX(Precio_V,6)*INDEX(IdxPrecio_V,1,MIN(10,DR$173)))*(1+V_dPrecio))</f>
        <v>0</v>
      </c>
      <c r="DS207" s="48">
        <f>IF(DS$8=1,IF(Reales!$C$43="PYG",IF(DS$10&gt;0,N(Reales!DS43)/DS$10,0),N(Reales!DS43)),DS$182*IF(AND(AND(118&gt;Corte,118&lt;=Corte+n_Ventana),ISNUMBER(Detalle_24m!DS$47)),Detalle_24m!DS$47,INDEX(Precio_V,6)*INDEX(IdxPrecio_V,1,MIN(10,DS$173)))*(1+V_dPrecio))</f>
        <v>0</v>
      </c>
      <c r="DT207" s="48">
        <f>IF(DT$8=1,IF(Reales!$C$43="PYG",IF(DT$10&gt;0,N(Reales!DT43)/DT$10,0),N(Reales!DT43)),DT$182*IF(AND(AND(119&gt;Corte,119&lt;=Corte+n_Ventana),ISNUMBER(Detalle_24m!DT$47)),Detalle_24m!DT$47,INDEX(Precio_V,6)*INDEX(IdxPrecio_V,1,MIN(10,DT$173)))*(1+V_dPrecio))</f>
        <v>0</v>
      </c>
      <c r="DU207" s="48">
        <f>IF(DU$8=1,IF(Reales!$C$43="PYG",IF(DU$10&gt;0,N(Reales!DU43)/DU$10,0),N(Reales!DU43)),DU$182*IF(AND(AND(120&gt;Corte,120&lt;=Corte+n_Ventana),ISNUMBER(Detalle_24m!DU$47)),Detalle_24m!DU$47,INDEX(Precio_V,6)*INDEX(IdxPrecio_V,1,MIN(10,DU$173)))*(1+V_dPrecio))</f>
        <v>0</v>
      </c>
      <c r="DV207" s="48">
        <f>IF(DV$8=1,IF(Reales!$C$43="PYG",IF(DV$10&gt;0,N(Reales!DV43)/DV$10,0),N(Reales!DV43)),DV$182*IF(AND(AND(121&gt;Corte,121&lt;=Corte+n_Ventana),ISNUMBER(Detalle_24m!DV$47)),Detalle_24m!DV$47,INDEX(Precio_V,6)*INDEX(IdxPrecio_V,1,MIN(10,DV$173)))*(1+V_dPrecio))</f>
        <v>0</v>
      </c>
      <c r="DW207" s="48">
        <f>IF(DW$8=1,IF(Reales!$C$43="PYG",IF(DW$10&gt;0,N(Reales!DW43)/DW$10,0),N(Reales!DW43)),DW$182*IF(AND(AND(122&gt;Corte,122&lt;=Corte+n_Ventana),ISNUMBER(Detalle_24m!DW$47)),Detalle_24m!DW$47,INDEX(Precio_V,6)*INDEX(IdxPrecio_V,1,MIN(10,DW$173)))*(1+V_dPrecio))</f>
        <v>0</v>
      </c>
      <c r="DX207" s="48">
        <f>IF(DX$8=1,IF(Reales!$C$43="PYG",IF(DX$10&gt;0,N(Reales!DX43)/DX$10,0),N(Reales!DX43)),DX$182*IF(AND(AND(123&gt;Corte,123&lt;=Corte+n_Ventana),ISNUMBER(Detalle_24m!DX$47)),Detalle_24m!DX$47,INDEX(Precio_V,6)*INDEX(IdxPrecio_V,1,MIN(10,DX$173)))*(1+V_dPrecio))</f>
        <v>0</v>
      </c>
      <c r="DY207" s="48">
        <f>IF(DY$8=1,IF(Reales!$C$43="PYG",IF(DY$10&gt;0,N(Reales!DY43)/DY$10,0),N(Reales!DY43)),DY$182*IF(AND(AND(124&gt;Corte,124&lt;=Corte+n_Ventana),ISNUMBER(Detalle_24m!DY$47)),Detalle_24m!DY$47,INDEX(Precio_V,6)*INDEX(IdxPrecio_V,1,MIN(10,DY$173)))*(1+V_dPrecio))</f>
        <v>0</v>
      </c>
      <c r="DZ207" s="48">
        <f>IF(DZ$8=1,IF(Reales!$C$43="PYG",IF(DZ$10&gt;0,N(Reales!DZ43)/DZ$10,0),N(Reales!DZ43)),DZ$182*IF(AND(AND(125&gt;Corte,125&lt;=Corte+n_Ventana),ISNUMBER(Detalle_24m!DZ$47)),Detalle_24m!DZ$47,INDEX(Precio_V,6)*INDEX(IdxPrecio_V,1,MIN(10,DZ$173)))*(1+V_dPrecio))</f>
        <v>0</v>
      </c>
      <c r="EA207" s="48">
        <f>IF(EA$8=1,IF(Reales!$C$43="PYG",IF(EA$10&gt;0,N(Reales!EA43)/EA$10,0),N(Reales!EA43)),EA$182*IF(AND(AND(126&gt;Corte,126&lt;=Corte+n_Ventana),ISNUMBER(Detalle_24m!EA$47)),Detalle_24m!EA$47,INDEX(Precio_V,6)*INDEX(IdxPrecio_V,1,MIN(10,EA$173)))*(1+V_dPrecio))</f>
        <v>0</v>
      </c>
      <c r="EB207" s="48">
        <f>IF(EB$8=1,IF(Reales!$C$43="PYG",IF(EB$10&gt;0,N(Reales!EB43)/EB$10,0),N(Reales!EB43)),EB$182*IF(AND(AND(127&gt;Corte,127&lt;=Corte+n_Ventana),ISNUMBER(Detalle_24m!EB$47)),Detalle_24m!EB$47,INDEX(Precio_V,6)*INDEX(IdxPrecio_V,1,MIN(10,EB$173)))*(1+V_dPrecio))</f>
        <v>0</v>
      </c>
      <c r="EC207" s="48">
        <f>IF(EC$8=1,IF(Reales!$C$43="PYG",IF(EC$10&gt;0,N(Reales!EC43)/EC$10,0),N(Reales!EC43)),EC$182*IF(AND(AND(128&gt;Corte,128&lt;=Corte+n_Ventana),ISNUMBER(Detalle_24m!EC$47)),Detalle_24m!EC$47,INDEX(Precio_V,6)*INDEX(IdxPrecio_V,1,MIN(10,EC$173)))*(1+V_dPrecio))</f>
        <v>0</v>
      </c>
      <c r="ED207" s="48">
        <f>IF(ED$8=1,IF(Reales!$C$43="PYG",IF(ED$10&gt;0,N(Reales!ED43)/ED$10,0),N(Reales!ED43)),ED$182*IF(AND(AND(129&gt;Corte,129&lt;=Corte+n_Ventana),ISNUMBER(Detalle_24m!ED$47)),Detalle_24m!ED$47,INDEX(Precio_V,6)*INDEX(IdxPrecio_V,1,MIN(10,ED$173)))*(1+V_dPrecio))</f>
        <v>0</v>
      </c>
      <c r="EE207" s="48">
        <f>IF(EE$8=1,IF(Reales!$C$43="PYG",IF(EE$10&gt;0,N(Reales!EE43)/EE$10,0),N(Reales!EE43)),EE$182*IF(AND(AND(130&gt;Corte,130&lt;=Corte+n_Ventana),ISNUMBER(Detalle_24m!EE$47)),Detalle_24m!EE$47,INDEX(Precio_V,6)*INDEX(IdxPrecio_V,1,MIN(10,EE$173)))*(1+V_dPrecio))</f>
        <v>0</v>
      </c>
      <c r="EF207" s="48">
        <f>IF(EF$8=1,IF(Reales!$C$43="PYG",IF(EF$10&gt;0,N(Reales!EF43)/EF$10,0),N(Reales!EF43)),EF$182*IF(AND(AND(131&gt;Corte,131&lt;=Corte+n_Ventana),ISNUMBER(Detalle_24m!EF$47)),Detalle_24m!EF$47,INDEX(Precio_V,6)*INDEX(IdxPrecio_V,1,MIN(10,EF$173)))*(1+V_dPrecio))</f>
        <v>0</v>
      </c>
      <c r="EG207" s="48">
        <f>IF(EG$8=1,IF(Reales!$C$43="PYG",IF(EG$10&gt;0,N(Reales!EG43)/EG$10,0),N(Reales!EG43)),EG$182*IF(AND(AND(132&gt;Corte,132&lt;=Corte+n_Ventana),ISNUMBER(Detalle_24m!EG$47)),Detalle_24m!EG$47,INDEX(Precio_V,6)*INDEX(IdxPrecio_V,1,MIN(10,EG$173)))*(1+V_dPrecio))</f>
        <v>0</v>
      </c>
      <c r="EH207" s="48">
        <f>IF(EH$8=1,IF(Reales!$C$43="PYG",IF(EH$10&gt;0,N(Reales!EH43)/EH$10,0),N(Reales!EH43)),EH$182*IF(AND(AND(133&gt;Corte,133&lt;=Corte+n_Ventana),ISNUMBER(Detalle_24m!EH$47)),Detalle_24m!EH$47,INDEX(Precio_V,6)*INDEX(IdxPrecio_V,1,MIN(10,EH$173)))*(1+V_dPrecio))</f>
        <v>0</v>
      </c>
      <c r="EI207" s="48">
        <f>IF(EI$8=1,IF(Reales!$C$43="PYG",IF(EI$10&gt;0,N(Reales!EI43)/EI$10,0),N(Reales!EI43)),EI$182*IF(AND(AND(134&gt;Corte,134&lt;=Corte+n_Ventana),ISNUMBER(Detalle_24m!EI$47)),Detalle_24m!EI$47,INDEX(Precio_V,6)*INDEX(IdxPrecio_V,1,MIN(10,EI$173)))*(1+V_dPrecio))</f>
        <v>0</v>
      </c>
      <c r="EJ207" s="48">
        <f>IF(EJ$8=1,IF(Reales!$C$43="PYG",IF(EJ$10&gt;0,N(Reales!EJ43)/EJ$10,0),N(Reales!EJ43)),EJ$182*IF(AND(AND(135&gt;Corte,135&lt;=Corte+n_Ventana),ISNUMBER(Detalle_24m!EJ$47)),Detalle_24m!EJ$47,INDEX(Precio_V,6)*INDEX(IdxPrecio_V,1,MIN(10,EJ$173)))*(1+V_dPrecio))</f>
        <v>0</v>
      </c>
      <c r="EK207" s="48">
        <f>IF(EK$8=1,IF(Reales!$C$43="PYG",IF(EK$10&gt;0,N(Reales!EK43)/EK$10,0),N(Reales!EK43)),EK$182*IF(AND(AND(136&gt;Corte,136&lt;=Corte+n_Ventana),ISNUMBER(Detalle_24m!EK$47)),Detalle_24m!EK$47,INDEX(Precio_V,6)*INDEX(IdxPrecio_V,1,MIN(10,EK$173)))*(1+V_dPrecio))</f>
        <v>0</v>
      </c>
      <c r="EL207" s="48">
        <f>IF(EL$8=1,IF(Reales!$C$43="PYG",IF(EL$10&gt;0,N(Reales!EL43)/EL$10,0),N(Reales!EL43)),EL$182*IF(AND(AND(137&gt;Corte,137&lt;=Corte+n_Ventana),ISNUMBER(Detalle_24m!EL$47)),Detalle_24m!EL$47,INDEX(Precio_V,6)*INDEX(IdxPrecio_V,1,MIN(10,EL$173)))*(1+V_dPrecio))</f>
        <v>0</v>
      </c>
      <c r="EM207" s="48">
        <f>IF(EM$8=1,IF(Reales!$C$43="PYG",IF(EM$10&gt;0,N(Reales!EM43)/EM$10,0),N(Reales!EM43)),EM$182*IF(AND(AND(138&gt;Corte,138&lt;=Corte+n_Ventana),ISNUMBER(Detalle_24m!EM$47)),Detalle_24m!EM$47,INDEX(Precio_V,6)*INDEX(IdxPrecio_V,1,MIN(10,EM$173)))*(1+V_dPrecio))</f>
        <v>0</v>
      </c>
      <c r="EN207" s="48">
        <f>IF(EN$8=1,IF(Reales!$C$43="PYG",IF(EN$10&gt;0,N(Reales!EN43)/EN$10,0),N(Reales!EN43)),EN$182*IF(AND(AND(139&gt;Corte,139&lt;=Corte+n_Ventana),ISNUMBER(Detalle_24m!EN$47)),Detalle_24m!EN$47,INDEX(Precio_V,6)*INDEX(IdxPrecio_V,1,MIN(10,EN$173)))*(1+V_dPrecio))</f>
        <v>0</v>
      </c>
      <c r="EO207" s="48">
        <f>IF(EO$8=1,IF(Reales!$C$43="PYG",IF(EO$10&gt;0,N(Reales!EO43)/EO$10,0),N(Reales!EO43)),EO$182*IF(AND(AND(140&gt;Corte,140&lt;=Corte+n_Ventana),ISNUMBER(Detalle_24m!EO$47)),Detalle_24m!EO$47,INDEX(Precio_V,6)*INDEX(IdxPrecio_V,1,MIN(10,EO$173)))*(1+V_dPrecio))</f>
        <v>0</v>
      </c>
      <c r="EP207" s="48">
        <f>IF(EP$8=1,IF(Reales!$C$43="PYG",IF(EP$10&gt;0,N(Reales!EP43)/EP$10,0),N(Reales!EP43)),EP$182*IF(AND(AND(141&gt;Corte,141&lt;=Corte+n_Ventana),ISNUMBER(Detalle_24m!EP$47)),Detalle_24m!EP$47,INDEX(Precio_V,6)*INDEX(IdxPrecio_V,1,MIN(10,EP$173)))*(1+V_dPrecio))</f>
        <v>0</v>
      </c>
      <c r="EQ207" s="48">
        <f>IF(EQ$8=1,IF(Reales!$C$43="PYG",IF(EQ$10&gt;0,N(Reales!EQ43)/EQ$10,0),N(Reales!EQ43)),EQ$182*IF(AND(AND(142&gt;Corte,142&lt;=Corte+n_Ventana),ISNUMBER(Detalle_24m!EQ$47)),Detalle_24m!EQ$47,INDEX(Precio_V,6)*INDEX(IdxPrecio_V,1,MIN(10,EQ$173)))*(1+V_dPrecio))</f>
        <v>0</v>
      </c>
      <c r="ER207" s="48">
        <f>IF(ER$8=1,IF(Reales!$C$43="PYG",IF(ER$10&gt;0,N(Reales!ER43)/ER$10,0),N(Reales!ER43)),ER$182*IF(AND(AND(143&gt;Corte,143&lt;=Corte+n_Ventana),ISNUMBER(Detalle_24m!ER$47)),Detalle_24m!ER$47,INDEX(Precio_V,6)*INDEX(IdxPrecio_V,1,MIN(10,ER$173)))*(1+V_dPrecio))</f>
        <v>0</v>
      </c>
      <c r="ES207" s="48">
        <f>IF(ES$8=1,IF(Reales!$C$43="PYG",IF(ES$10&gt;0,N(Reales!ES43)/ES$10,0),N(Reales!ES43)),ES$182*IF(AND(AND(144&gt;Corte,144&lt;=Corte+n_Ventana),ISNUMBER(Detalle_24m!ES$47)),Detalle_24m!ES$47,INDEX(Precio_V,6)*INDEX(IdxPrecio_V,1,MIN(10,ES$173)))*(1+V_dPrecio))</f>
        <v>0</v>
      </c>
    </row>
    <row r="208" spans="1:149" x14ac:dyDescent="0.3">
      <c r="A208" s="14" t="s">
        <v>1263</v>
      </c>
      <c r="B208" s="53" t="str">
        <f>IF(INDEX(Prod_Nombre,7)="","Producto 7",INDEX(Prod_Nombre,7))&amp;" — ventas USD"</f>
        <v>Producto 7 — ventas USD</v>
      </c>
      <c r="C208" s="18" t="s">
        <v>439</v>
      </c>
      <c r="E208" s="54">
        <f t="shared" si="604"/>
        <v>0</v>
      </c>
      <c r="F208" s="48">
        <f>IF(F$8=1,IF(Reales!$C$44="PYG",IF(F$10&gt;0,N(Reales!F44)/F$10,0),N(Reales!F44)),F$183*IF(AND(AND(1&gt;Corte,1&lt;=Corte+n_Ventana),ISNUMBER(Detalle_24m!F$48)),Detalle_24m!F$48,INDEX(Precio_V,7)*INDEX(IdxPrecio_V,1,MIN(10,F$173)))*(1+V_dPrecio))</f>
        <v>0</v>
      </c>
      <c r="G208" s="48">
        <f>IF(G$8=1,IF(Reales!$C$44="PYG",IF(G$10&gt;0,N(Reales!G44)/G$10,0),N(Reales!G44)),G$183*IF(AND(AND(2&gt;Corte,2&lt;=Corte+n_Ventana),ISNUMBER(Detalle_24m!G$48)),Detalle_24m!G$48,INDEX(Precio_V,7)*INDEX(IdxPrecio_V,1,MIN(10,G$173)))*(1+V_dPrecio))</f>
        <v>0</v>
      </c>
      <c r="H208" s="48">
        <f>IF(H$8=1,IF(Reales!$C$44="PYG",IF(H$10&gt;0,N(Reales!H44)/H$10,0),N(Reales!H44)),H$183*IF(AND(AND(3&gt;Corte,3&lt;=Corte+n_Ventana),ISNUMBER(Detalle_24m!H$48)),Detalle_24m!H$48,INDEX(Precio_V,7)*INDEX(IdxPrecio_V,1,MIN(10,H$173)))*(1+V_dPrecio))</f>
        <v>0</v>
      </c>
      <c r="I208" s="48">
        <f>IF(I$8=1,IF(Reales!$C$44="PYG",IF(I$10&gt;0,N(Reales!I44)/I$10,0),N(Reales!I44)),I$183*IF(AND(AND(4&gt;Corte,4&lt;=Corte+n_Ventana),ISNUMBER(Detalle_24m!I$48)),Detalle_24m!I$48,INDEX(Precio_V,7)*INDEX(IdxPrecio_V,1,MIN(10,I$173)))*(1+V_dPrecio))</f>
        <v>0</v>
      </c>
      <c r="J208" s="48">
        <f>IF(J$8=1,IF(Reales!$C$44="PYG",IF(J$10&gt;0,N(Reales!J44)/J$10,0),N(Reales!J44)),J$183*IF(AND(AND(5&gt;Corte,5&lt;=Corte+n_Ventana),ISNUMBER(Detalle_24m!J$48)),Detalle_24m!J$48,INDEX(Precio_V,7)*INDEX(IdxPrecio_V,1,MIN(10,J$173)))*(1+V_dPrecio))</f>
        <v>0</v>
      </c>
      <c r="K208" s="48">
        <f>IF(K$8=1,IF(Reales!$C$44="PYG",IF(K$10&gt;0,N(Reales!K44)/K$10,0),N(Reales!K44)),K$183*IF(AND(AND(6&gt;Corte,6&lt;=Corte+n_Ventana),ISNUMBER(Detalle_24m!K$48)),Detalle_24m!K$48,INDEX(Precio_V,7)*INDEX(IdxPrecio_V,1,MIN(10,K$173)))*(1+V_dPrecio))</f>
        <v>0</v>
      </c>
      <c r="L208" s="48">
        <f>IF(L$8=1,IF(Reales!$C$44="PYG",IF(L$10&gt;0,N(Reales!L44)/L$10,0),N(Reales!L44)),L$183*IF(AND(AND(7&gt;Corte,7&lt;=Corte+n_Ventana),ISNUMBER(Detalle_24m!L$48)),Detalle_24m!L$48,INDEX(Precio_V,7)*INDEX(IdxPrecio_V,1,MIN(10,L$173)))*(1+V_dPrecio))</f>
        <v>0</v>
      </c>
      <c r="M208" s="48">
        <f>IF(M$8=1,IF(Reales!$C$44="PYG",IF(M$10&gt;0,N(Reales!M44)/M$10,0),N(Reales!M44)),M$183*IF(AND(AND(8&gt;Corte,8&lt;=Corte+n_Ventana),ISNUMBER(Detalle_24m!M$48)),Detalle_24m!M$48,INDEX(Precio_V,7)*INDEX(IdxPrecio_V,1,MIN(10,M$173)))*(1+V_dPrecio))</f>
        <v>0</v>
      </c>
      <c r="N208" s="48">
        <f>IF(N$8=1,IF(Reales!$C$44="PYG",IF(N$10&gt;0,N(Reales!N44)/N$10,0),N(Reales!N44)),N$183*IF(AND(AND(9&gt;Corte,9&lt;=Corte+n_Ventana),ISNUMBER(Detalle_24m!N$48)),Detalle_24m!N$48,INDEX(Precio_V,7)*INDEX(IdxPrecio_V,1,MIN(10,N$173)))*(1+V_dPrecio))</f>
        <v>0</v>
      </c>
      <c r="O208" s="48">
        <f>IF(O$8=1,IF(Reales!$C$44="PYG",IF(O$10&gt;0,N(Reales!O44)/O$10,0),N(Reales!O44)),O$183*IF(AND(AND(10&gt;Corte,10&lt;=Corte+n_Ventana),ISNUMBER(Detalle_24m!O$48)),Detalle_24m!O$48,INDEX(Precio_V,7)*INDEX(IdxPrecio_V,1,MIN(10,O$173)))*(1+V_dPrecio))</f>
        <v>0</v>
      </c>
      <c r="P208" s="48">
        <f>IF(P$8=1,IF(Reales!$C$44="PYG",IF(P$10&gt;0,N(Reales!P44)/P$10,0),N(Reales!P44)),P$183*IF(AND(AND(11&gt;Corte,11&lt;=Corte+n_Ventana),ISNUMBER(Detalle_24m!P$48)),Detalle_24m!P$48,INDEX(Precio_V,7)*INDEX(IdxPrecio_V,1,MIN(10,P$173)))*(1+V_dPrecio))</f>
        <v>0</v>
      </c>
      <c r="Q208" s="48">
        <f>IF(Q$8=1,IF(Reales!$C$44="PYG",IF(Q$10&gt;0,N(Reales!Q44)/Q$10,0),N(Reales!Q44)),Q$183*IF(AND(AND(12&gt;Corte,12&lt;=Corte+n_Ventana),ISNUMBER(Detalle_24m!Q$48)),Detalle_24m!Q$48,INDEX(Precio_V,7)*INDEX(IdxPrecio_V,1,MIN(10,Q$173)))*(1+V_dPrecio))</f>
        <v>0</v>
      </c>
      <c r="R208" s="48">
        <f>IF(R$8=1,IF(Reales!$C$44="PYG",IF(R$10&gt;0,N(Reales!R44)/R$10,0),N(Reales!R44)),R$183*IF(AND(AND(13&gt;Corte,13&lt;=Corte+n_Ventana),ISNUMBER(Detalle_24m!R$48)),Detalle_24m!R$48,INDEX(Precio_V,7)*INDEX(IdxPrecio_V,1,MIN(10,R$173)))*(1+V_dPrecio))</f>
        <v>0</v>
      </c>
      <c r="S208" s="48">
        <f>IF(S$8=1,IF(Reales!$C$44="PYG",IF(S$10&gt;0,N(Reales!S44)/S$10,0),N(Reales!S44)),S$183*IF(AND(AND(14&gt;Corte,14&lt;=Corte+n_Ventana),ISNUMBER(Detalle_24m!S$48)),Detalle_24m!S$48,INDEX(Precio_V,7)*INDEX(IdxPrecio_V,1,MIN(10,S$173)))*(1+V_dPrecio))</f>
        <v>0</v>
      </c>
      <c r="T208" s="48">
        <f>IF(T$8=1,IF(Reales!$C$44="PYG",IF(T$10&gt;0,N(Reales!T44)/T$10,0),N(Reales!T44)),T$183*IF(AND(AND(15&gt;Corte,15&lt;=Corte+n_Ventana),ISNUMBER(Detalle_24m!T$48)),Detalle_24m!T$48,INDEX(Precio_V,7)*INDEX(IdxPrecio_V,1,MIN(10,T$173)))*(1+V_dPrecio))</f>
        <v>0</v>
      </c>
      <c r="U208" s="48">
        <f>IF(U$8=1,IF(Reales!$C$44="PYG",IF(U$10&gt;0,N(Reales!U44)/U$10,0),N(Reales!U44)),U$183*IF(AND(AND(16&gt;Corte,16&lt;=Corte+n_Ventana),ISNUMBER(Detalle_24m!U$48)),Detalle_24m!U$48,INDEX(Precio_V,7)*INDEX(IdxPrecio_V,1,MIN(10,U$173)))*(1+V_dPrecio))</f>
        <v>0</v>
      </c>
      <c r="V208" s="48">
        <f>IF(V$8=1,IF(Reales!$C$44="PYG",IF(V$10&gt;0,N(Reales!V44)/V$10,0),N(Reales!V44)),V$183*IF(AND(AND(17&gt;Corte,17&lt;=Corte+n_Ventana),ISNUMBER(Detalle_24m!V$48)),Detalle_24m!V$48,INDEX(Precio_V,7)*INDEX(IdxPrecio_V,1,MIN(10,V$173)))*(1+V_dPrecio))</f>
        <v>0</v>
      </c>
      <c r="W208" s="48">
        <f>IF(W$8=1,IF(Reales!$C$44="PYG",IF(W$10&gt;0,N(Reales!W44)/W$10,0),N(Reales!W44)),W$183*IF(AND(AND(18&gt;Corte,18&lt;=Corte+n_Ventana),ISNUMBER(Detalle_24m!W$48)),Detalle_24m!W$48,INDEX(Precio_V,7)*INDEX(IdxPrecio_V,1,MIN(10,W$173)))*(1+V_dPrecio))</f>
        <v>0</v>
      </c>
      <c r="X208" s="48">
        <f>IF(X$8=1,IF(Reales!$C$44="PYG",IF(X$10&gt;0,N(Reales!X44)/X$10,0),N(Reales!X44)),X$183*IF(AND(AND(19&gt;Corte,19&lt;=Corte+n_Ventana),ISNUMBER(Detalle_24m!X$48)),Detalle_24m!X$48,INDEX(Precio_V,7)*INDEX(IdxPrecio_V,1,MIN(10,X$173)))*(1+V_dPrecio))</f>
        <v>0</v>
      </c>
      <c r="Y208" s="48">
        <f>IF(Y$8=1,IF(Reales!$C$44="PYG",IF(Y$10&gt;0,N(Reales!Y44)/Y$10,0),N(Reales!Y44)),Y$183*IF(AND(AND(20&gt;Corte,20&lt;=Corte+n_Ventana),ISNUMBER(Detalle_24m!Y$48)),Detalle_24m!Y$48,INDEX(Precio_V,7)*INDEX(IdxPrecio_V,1,MIN(10,Y$173)))*(1+V_dPrecio))</f>
        <v>0</v>
      </c>
      <c r="Z208" s="48">
        <f>IF(Z$8=1,IF(Reales!$C$44="PYG",IF(Z$10&gt;0,N(Reales!Z44)/Z$10,0),N(Reales!Z44)),Z$183*IF(AND(AND(21&gt;Corte,21&lt;=Corte+n_Ventana),ISNUMBER(Detalle_24m!Z$48)),Detalle_24m!Z$48,INDEX(Precio_V,7)*INDEX(IdxPrecio_V,1,MIN(10,Z$173)))*(1+V_dPrecio))</f>
        <v>0</v>
      </c>
      <c r="AA208" s="48">
        <f>IF(AA$8=1,IF(Reales!$C$44="PYG",IF(AA$10&gt;0,N(Reales!AA44)/AA$10,0),N(Reales!AA44)),AA$183*IF(AND(AND(22&gt;Corte,22&lt;=Corte+n_Ventana),ISNUMBER(Detalle_24m!AA$48)),Detalle_24m!AA$48,INDEX(Precio_V,7)*INDEX(IdxPrecio_V,1,MIN(10,AA$173)))*(1+V_dPrecio))</f>
        <v>0</v>
      </c>
      <c r="AB208" s="48">
        <f>IF(AB$8=1,IF(Reales!$C$44="PYG",IF(AB$10&gt;0,N(Reales!AB44)/AB$10,0),N(Reales!AB44)),AB$183*IF(AND(AND(23&gt;Corte,23&lt;=Corte+n_Ventana),ISNUMBER(Detalle_24m!AB$48)),Detalle_24m!AB$48,INDEX(Precio_V,7)*INDEX(IdxPrecio_V,1,MIN(10,AB$173)))*(1+V_dPrecio))</f>
        <v>0</v>
      </c>
      <c r="AC208" s="48">
        <f>IF(AC$8=1,IF(Reales!$C$44="PYG",IF(AC$10&gt;0,N(Reales!AC44)/AC$10,0),N(Reales!AC44)),AC$183*IF(AND(AND(24&gt;Corte,24&lt;=Corte+n_Ventana),ISNUMBER(Detalle_24m!AC$48)),Detalle_24m!AC$48,INDEX(Precio_V,7)*INDEX(IdxPrecio_V,1,MIN(10,AC$173)))*(1+V_dPrecio))</f>
        <v>0</v>
      </c>
      <c r="AD208" s="48">
        <f>IF(AD$8=1,IF(Reales!$C$44="PYG",IF(AD$10&gt;0,N(Reales!AD44)/AD$10,0),N(Reales!AD44)),AD$183*IF(AND(AND(25&gt;Corte,25&lt;=Corte+n_Ventana),ISNUMBER(Detalle_24m!AD$48)),Detalle_24m!AD$48,INDEX(Precio_V,7)*INDEX(IdxPrecio_V,1,MIN(10,AD$173)))*(1+V_dPrecio))</f>
        <v>0</v>
      </c>
      <c r="AE208" s="48">
        <f>IF(AE$8=1,IF(Reales!$C$44="PYG",IF(AE$10&gt;0,N(Reales!AE44)/AE$10,0),N(Reales!AE44)),AE$183*IF(AND(AND(26&gt;Corte,26&lt;=Corte+n_Ventana),ISNUMBER(Detalle_24m!AE$48)),Detalle_24m!AE$48,INDEX(Precio_V,7)*INDEX(IdxPrecio_V,1,MIN(10,AE$173)))*(1+V_dPrecio))</f>
        <v>0</v>
      </c>
      <c r="AF208" s="48">
        <f>IF(AF$8=1,IF(Reales!$C$44="PYG",IF(AF$10&gt;0,N(Reales!AF44)/AF$10,0),N(Reales!AF44)),AF$183*IF(AND(AND(27&gt;Corte,27&lt;=Corte+n_Ventana),ISNUMBER(Detalle_24m!AF$48)),Detalle_24m!AF$48,INDEX(Precio_V,7)*INDEX(IdxPrecio_V,1,MIN(10,AF$173)))*(1+V_dPrecio))</f>
        <v>0</v>
      </c>
      <c r="AG208" s="48">
        <f>IF(AG$8=1,IF(Reales!$C$44="PYG",IF(AG$10&gt;0,N(Reales!AG44)/AG$10,0),N(Reales!AG44)),AG$183*IF(AND(AND(28&gt;Corte,28&lt;=Corte+n_Ventana),ISNUMBER(Detalle_24m!AG$48)),Detalle_24m!AG$48,INDEX(Precio_V,7)*INDEX(IdxPrecio_V,1,MIN(10,AG$173)))*(1+V_dPrecio))</f>
        <v>0</v>
      </c>
      <c r="AH208" s="48">
        <f>IF(AH$8=1,IF(Reales!$C$44="PYG",IF(AH$10&gt;0,N(Reales!AH44)/AH$10,0),N(Reales!AH44)),AH$183*IF(AND(AND(29&gt;Corte,29&lt;=Corte+n_Ventana),ISNUMBER(Detalle_24m!AH$48)),Detalle_24m!AH$48,INDEX(Precio_V,7)*INDEX(IdxPrecio_V,1,MIN(10,AH$173)))*(1+V_dPrecio))</f>
        <v>0</v>
      </c>
      <c r="AI208" s="48">
        <f>IF(AI$8=1,IF(Reales!$C$44="PYG",IF(AI$10&gt;0,N(Reales!AI44)/AI$10,0),N(Reales!AI44)),AI$183*IF(AND(AND(30&gt;Corte,30&lt;=Corte+n_Ventana),ISNUMBER(Detalle_24m!AI$48)),Detalle_24m!AI$48,INDEX(Precio_V,7)*INDEX(IdxPrecio_V,1,MIN(10,AI$173)))*(1+V_dPrecio))</f>
        <v>0</v>
      </c>
      <c r="AJ208" s="48">
        <f>IF(AJ$8=1,IF(Reales!$C$44="PYG",IF(AJ$10&gt;0,N(Reales!AJ44)/AJ$10,0),N(Reales!AJ44)),AJ$183*IF(AND(AND(31&gt;Corte,31&lt;=Corte+n_Ventana),ISNUMBER(Detalle_24m!AJ$48)),Detalle_24m!AJ$48,INDEX(Precio_V,7)*INDEX(IdxPrecio_V,1,MIN(10,AJ$173)))*(1+V_dPrecio))</f>
        <v>0</v>
      </c>
      <c r="AK208" s="48">
        <f>IF(AK$8=1,IF(Reales!$C$44="PYG",IF(AK$10&gt;0,N(Reales!AK44)/AK$10,0),N(Reales!AK44)),AK$183*IF(AND(AND(32&gt;Corte,32&lt;=Corte+n_Ventana),ISNUMBER(Detalle_24m!AK$48)),Detalle_24m!AK$48,INDEX(Precio_V,7)*INDEX(IdxPrecio_V,1,MIN(10,AK$173)))*(1+V_dPrecio))</f>
        <v>0</v>
      </c>
      <c r="AL208" s="48">
        <f>IF(AL$8=1,IF(Reales!$C$44="PYG",IF(AL$10&gt;0,N(Reales!AL44)/AL$10,0),N(Reales!AL44)),AL$183*IF(AND(AND(33&gt;Corte,33&lt;=Corte+n_Ventana),ISNUMBER(Detalle_24m!AL$48)),Detalle_24m!AL$48,INDEX(Precio_V,7)*INDEX(IdxPrecio_V,1,MIN(10,AL$173)))*(1+V_dPrecio))</f>
        <v>0</v>
      </c>
      <c r="AM208" s="48">
        <f>IF(AM$8=1,IF(Reales!$C$44="PYG",IF(AM$10&gt;0,N(Reales!AM44)/AM$10,0),N(Reales!AM44)),AM$183*IF(AND(AND(34&gt;Corte,34&lt;=Corte+n_Ventana),ISNUMBER(Detalle_24m!AM$48)),Detalle_24m!AM$48,INDEX(Precio_V,7)*INDEX(IdxPrecio_V,1,MIN(10,AM$173)))*(1+V_dPrecio))</f>
        <v>0</v>
      </c>
      <c r="AN208" s="48">
        <f>IF(AN$8=1,IF(Reales!$C$44="PYG",IF(AN$10&gt;0,N(Reales!AN44)/AN$10,0),N(Reales!AN44)),AN$183*IF(AND(AND(35&gt;Corte,35&lt;=Corte+n_Ventana),ISNUMBER(Detalle_24m!AN$48)),Detalle_24m!AN$48,INDEX(Precio_V,7)*INDEX(IdxPrecio_V,1,MIN(10,AN$173)))*(1+V_dPrecio))</f>
        <v>0</v>
      </c>
      <c r="AO208" s="48">
        <f>IF(AO$8=1,IF(Reales!$C$44="PYG",IF(AO$10&gt;0,N(Reales!AO44)/AO$10,0),N(Reales!AO44)),AO$183*IF(AND(AND(36&gt;Corte,36&lt;=Corte+n_Ventana),ISNUMBER(Detalle_24m!AO$48)),Detalle_24m!AO$48,INDEX(Precio_V,7)*INDEX(IdxPrecio_V,1,MIN(10,AO$173)))*(1+V_dPrecio))</f>
        <v>0</v>
      </c>
      <c r="AP208" s="48">
        <f>IF(AP$8=1,IF(Reales!$C$44="PYG",IF(AP$10&gt;0,N(Reales!AP44)/AP$10,0),N(Reales!AP44)),AP$183*IF(AND(AND(37&gt;Corte,37&lt;=Corte+n_Ventana),ISNUMBER(Detalle_24m!AP$48)),Detalle_24m!AP$48,INDEX(Precio_V,7)*INDEX(IdxPrecio_V,1,MIN(10,AP$173)))*(1+V_dPrecio))</f>
        <v>0</v>
      </c>
      <c r="AQ208" s="48">
        <f>IF(AQ$8=1,IF(Reales!$C$44="PYG",IF(AQ$10&gt;0,N(Reales!AQ44)/AQ$10,0),N(Reales!AQ44)),AQ$183*IF(AND(AND(38&gt;Corte,38&lt;=Corte+n_Ventana),ISNUMBER(Detalle_24m!AQ$48)),Detalle_24m!AQ$48,INDEX(Precio_V,7)*INDEX(IdxPrecio_V,1,MIN(10,AQ$173)))*(1+V_dPrecio))</f>
        <v>0</v>
      </c>
      <c r="AR208" s="48">
        <f>IF(AR$8=1,IF(Reales!$C$44="PYG",IF(AR$10&gt;0,N(Reales!AR44)/AR$10,0),N(Reales!AR44)),AR$183*IF(AND(AND(39&gt;Corte,39&lt;=Corte+n_Ventana),ISNUMBER(Detalle_24m!AR$48)),Detalle_24m!AR$48,INDEX(Precio_V,7)*INDEX(IdxPrecio_V,1,MIN(10,AR$173)))*(1+V_dPrecio))</f>
        <v>0</v>
      </c>
      <c r="AS208" s="48">
        <f>IF(AS$8=1,IF(Reales!$C$44="PYG",IF(AS$10&gt;0,N(Reales!AS44)/AS$10,0),N(Reales!AS44)),AS$183*IF(AND(AND(40&gt;Corte,40&lt;=Corte+n_Ventana),ISNUMBER(Detalle_24m!AS$48)),Detalle_24m!AS$48,INDEX(Precio_V,7)*INDEX(IdxPrecio_V,1,MIN(10,AS$173)))*(1+V_dPrecio))</f>
        <v>0</v>
      </c>
      <c r="AT208" s="48">
        <f>IF(AT$8=1,IF(Reales!$C$44="PYG",IF(AT$10&gt;0,N(Reales!AT44)/AT$10,0),N(Reales!AT44)),AT$183*IF(AND(AND(41&gt;Corte,41&lt;=Corte+n_Ventana),ISNUMBER(Detalle_24m!AT$48)),Detalle_24m!AT$48,INDEX(Precio_V,7)*INDEX(IdxPrecio_V,1,MIN(10,AT$173)))*(1+V_dPrecio))</f>
        <v>0</v>
      </c>
      <c r="AU208" s="48">
        <f>IF(AU$8=1,IF(Reales!$C$44="PYG",IF(AU$10&gt;0,N(Reales!AU44)/AU$10,0),N(Reales!AU44)),AU$183*IF(AND(AND(42&gt;Corte,42&lt;=Corte+n_Ventana),ISNUMBER(Detalle_24m!AU$48)),Detalle_24m!AU$48,INDEX(Precio_V,7)*INDEX(IdxPrecio_V,1,MIN(10,AU$173)))*(1+V_dPrecio))</f>
        <v>0</v>
      </c>
      <c r="AV208" s="48">
        <f>IF(AV$8=1,IF(Reales!$C$44="PYG",IF(AV$10&gt;0,N(Reales!AV44)/AV$10,0),N(Reales!AV44)),AV$183*IF(AND(AND(43&gt;Corte,43&lt;=Corte+n_Ventana),ISNUMBER(Detalle_24m!AV$48)),Detalle_24m!AV$48,INDEX(Precio_V,7)*INDEX(IdxPrecio_V,1,MIN(10,AV$173)))*(1+V_dPrecio))</f>
        <v>0</v>
      </c>
      <c r="AW208" s="48">
        <f>IF(AW$8=1,IF(Reales!$C$44="PYG",IF(AW$10&gt;0,N(Reales!AW44)/AW$10,0),N(Reales!AW44)),AW$183*IF(AND(AND(44&gt;Corte,44&lt;=Corte+n_Ventana),ISNUMBER(Detalle_24m!AW$48)),Detalle_24m!AW$48,INDEX(Precio_V,7)*INDEX(IdxPrecio_V,1,MIN(10,AW$173)))*(1+V_dPrecio))</f>
        <v>0</v>
      </c>
      <c r="AX208" s="48">
        <f>IF(AX$8=1,IF(Reales!$C$44="PYG",IF(AX$10&gt;0,N(Reales!AX44)/AX$10,0),N(Reales!AX44)),AX$183*IF(AND(AND(45&gt;Corte,45&lt;=Corte+n_Ventana),ISNUMBER(Detalle_24m!AX$48)),Detalle_24m!AX$48,INDEX(Precio_V,7)*INDEX(IdxPrecio_V,1,MIN(10,AX$173)))*(1+V_dPrecio))</f>
        <v>0</v>
      </c>
      <c r="AY208" s="48">
        <f>IF(AY$8=1,IF(Reales!$C$44="PYG",IF(AY$10&gt;0,N(Reales!AY44)/AY$10,0),N(Reales!AY44)),AY$183*IF(AND(AND(46&gt;Corte,46&lt;=Corte+n_Ventana),ISNUMBER(Detalle_24m!AY$48)),Detalle_24m!AY$48,INDEX(Precio_V,7)*INDEX(IdxPrecio_V,1,MIN(10,AY$173)))*(1+V_dPrecio))</f>
        <v>0</v>
      </c>
      <c r="AZ208" s="48">
        <f>IF(AZ$8=1,IF(Reales!$C$44="PYG",IF(AZ$10&gt;0,N(Reales!AZ44)/AZ$10,0),N(Reales!AZ44)),AZ$183*IF(AND(AND(47&gt;Corte,47&lt;=Corte+n_Ventana),ISNUMBER(Detalle_24m!AZ$48)),Detalle_24m!AZ$48,INDEX(Precio_V,7)*INDEX(IdxPrecio_V,1,MIN(10,AZ$173)))*(1+V_dPrecio))</f>
        <v>0</v>
      </c>
      <c r="BA208" s="48">
        <f>IF(BA$8=1,IF(Reales!$C$44="PYG",IF(BA$10&gt;0,N(Reales!BA44)/BA$10,0),N(Reales!BA44)),BA$183*IF(AND(AND(48&gt;Corte,48&lt;=Corte+n_Ventana),ISNUMBER(Detalle_24m!BA$48)),Detalle_24m!BA$48,INDEX(Precio_V,7)*INDEX(IdxPrecio_V,1,MIN(10,BA$173)))*(1+V_dPrecio))</f>
        <v>0</v>
      </c>
      <c r="BB208" s="48">
        <f>IF(BB$8=1,IF(Reales!$C$44="PYG",IF(BB$10&gt;0,N(Reales!BB44)/BB$10,0),N(Reales!BB44)),BB$183*IF(AND(AND(49&gt;Corte,49&lt;=Corte+n_Ventana),ISNUMBER(Detalle_24m!BB$48)),Detalle_24m!BB$48,INDEX(Precio_V,7)*INDEX(IdxPrecio_V,1,MIN(10,BB$173)))*(1+V_dPrecio))</f>
        <v>0</v>
      </c>
      <c r="BC208" s="48">
        <f>IF(BC$8=1,IF(Reales!$C$44="PYG",IF(BC$10&gt;0,N(Reales!BC44)/BC$10,0),N(Reales!BC44)),BC$183*IF(AND(AND(50&gt;Corte,50&lt;=Corte+n_Ventana),ISNUMBER(Detalle_24m!BC$48)),Detalle_24m!BC$48,INDEX(Precio_V,7)*INDEX(IdxPrecio_V,1,MIN(10,BC$173)))*(1+V_dPrecio))</f>
        <v>0</v>
      </c>
      <c r="BD208" s="48">
        <f>IF(BD$8=1,IF(Reales!$C$44="PYG",IF(BD$10&gt;0,N(Reales!BD44)/BD$10,0),N(Reales!BD44)),BD$183*IF(AND(AND(51&gt;Corte,51&lt;=Corte+n_Ventana),ISNUMBER(Detalle_24m!BD$48)),Detalle_24m!BD$48,INDEX(Precio_V,7)*INDEX(IdxPrecio_V,1,MIN(10,BD$173)))*(1+V_dPrecio))</f>
        <v>0</v>
      </c>
      <c r="BE208" s="48">
        <f>IF(BE$8=1,IF(Reales!$C$44="PYG",IF(BE$10&gt;0,N(Reales!BE44)/BE$10,0),N(Reales!BE44)),BE$183*IF(AND(AND(52&gt;Corte,52&lt;=Corte+n_Ventana),ISNUMBER(Detalle_24m!BE$48)),Detalle_24m!BE$48,INDEX(Precio_V,7)*INDEX(IdxPrecio_V,1,MIN(10,BE$173)))*(1+V_dPrecio))</f>
        <v>0</v>
      </c>
      <c r="BF208" s="48">
        <f>IF(BF$8=1,IF(Reales!$C$44="PYG",IF(BF$10&gt;0,N(Reales!BF44)/BF$10,0),N(Reales!BF44)),BF$183*IF(AND(AND(53&gt;Corte,53&lt;=Corte+n_Ventana),ISNUMBER(Detalle_24m!BF$48)),Detalle_24m!BF$48,INDEX(Precio_V,7)*INDEX(IdxPrecio_V,1,MIN(10,BF$173)))*(1+V_dPrecio))</f>
        <v>0</v>
      </c>
      <c r="BG208" s="48">
        <f>IF(BG$8=1,IF(Reales!$C$44="PYG",IF(BG$10&gt;0,N(Reales!BG44)/BG$10,0),N(Reales!BG44)),BG$183*IF(AND(AND(54&gt;Corte,54&lt;=Corte+n_Ventana),ISNUMBER(Detalle_24m!BG$48)),Detalle_24m!BG$48,INDEX(Precio_V,7)*INDEX(IdxPrecio_V,1,MIN(10,BG$173)))*(1+V_dPrecio))</f>
        <v>0</v>
      </c>
      <c r="BH208" s="48">
        <f>IF(BH$8=1,IF(Reales!$C$44="PYG",IF(BH$10&gt;0,N(Reales!BH44)/BH$10,0),N(Reales!BH44)),BH$183*IF(AND(AND(55&gt;Corte,55&lt;=Corte+n_Ventana),ISNUMBER(Detalle_24m!BH$48)),Detalle_24m!BH$48,INDEX(Precio_V,7)*INDEX(IdxPrecio_V,1,MIN(10,BH$173)))*(1+V_dPrecio))</f>
        <v>0</v>
      </c>
      <c r="BI208" s="48">
        <f>IF(BI$8=1,IF(Reales!$C$44="PYG",IF(BI$10&gt;0,N(Reales!BI44)/BI$10,0),N(Reales!BI44)),BI$183*IF(AND(AND(56&gt;Corte,56&lt;=Corte+n_Ventana),ISNUMBER(Detalle_24m!BI$48)),Detalle_24m!BI$48,INDEX(Precio_V,7)*INDEX(IdxPrecio_V,1,MIN(10,BI$173)))*(1+V_dPrecio))</f>
        <v>0</v>
      </c>
      <c r="BJ208" s="48">
        <f>IF(BJ$8=1,IF(Reales!$C$44="PYG",IF(BJ$10&gt;0,N(Reales!BJ44)/BJ$10,0),N(Reales!BJ44)),BJ$183*IF(AND(AND(57&gt;Corte,57&lt;=Corte+n_Ventana),ISNUMBER(Detalle_24m!BJ$48)),Detalle_24m!BJ$48,INDEX(Precio_V,7)*INDEX(IdxPrecio_V,1,MIN(10,BJ$173)))*(1+V_dPrecio))</f>
        <v>0</v>
      </c>
      <c r="BK208" s="48">
        <f>IF(BK$8=1,IF(Reales!$C$44="PYG",IF(BK$10&gt;0,N(Reales!BK44)/BK$10,0),N(Reales!BK44)),BK$183*IF(AND(AND(58&gt;Corte,58&lt;=Corte+n_Ventana),ISNUMBER(Detalle_24m!BK$48)),Detalle_24m!BK$48,INDEX(Precio_V,7)*INDEX(IdxPrecio_V,1,MIN(10,BK$173)))*(1+V_dPrecio))</f>
        <v>0</v>
      </c>
      <c r="BL208" s="48">
        <f>IF(BL$8=1,IF(Reales!$C$44="PYG",IF(BL$10&gt;0,N(Reales!BL44)/BL$10,0),N(Reales!BL44)),BL$183*IF(AND(AND(59&gt;Corte,59&lt;=Corte+n_Ventana),ISNUMBER(Detalle_24m!BL$48)),Detalle_24m!BL$48,INDEX(Precio_V,7)*INDEX(IdxPrecio_V,1,MIN(10,BL$173)))*(1+V_dPrecio))</f>
        <v>0</v>
      </c>
      <c r="BM208" s="48">
        <f>IF(BM$8=1,IF(Reales!$C$44="PYG",IF(BM$10&gt;0,N(Reales!BM44)/BM$10,0),N(Reales!BM44)),BM$183*IF(AND(AND(60&gt;Corte,60&lt;=Corte+n_Ventana),ISNUMBER(Detalle_24m!BM$48)),Detalle_24m!BM$48,INDEX(Precio_V,7)*INDEX(IdxPrecio_V,1,MIN(10,BM$173)))*(1+V_dPrecio))</f>
        <v>0</v>
      </c>
      <c r="BN208" s="48">
        <f>IF(BN$8=1,IF(Reales!$C$44="PYG",IF(BN$10&gt;0,N(Reales!BN44)/BN$10,0),N(Reales!BN44)),BN$183*IF(AND(AND(61&gt;Corte,61&lt;=Corte+n_Ventana),ISNUMBER(Detalle_24m!BN$48)),Detalle_24m!BN$48,INDEX(Precio_V,7)*INDEX(IdxPrecio_V,1,MIN(10,BN$173)))*(1+V_dPrecio))</f>
        <v>0</v>
      </c>
      <c r="BO208" s="48">
        <f>IF(BO$8=1,IF(Reales!$C$44="PYG",IF(BO$10&gt;0,N(Reales!BO44)/BO$10,0),N(Reales!BO44)),BO$183*IF(AND(AND(62&gt;Corte,62&lt;=Corte+n_Ventana),ISNUMBER(Detalle_24m!BO$48)),Detalle_24m!BO$48,INDEX(Precio_V,7)*INDEX(IdxPrecio_V,1,MIN(10,BO$173)))*(1+V_dPrecio))</f>
        <v>0</v>
      </c>
      <c r="BP208" s="48">
        <f>IF(BP$8=1,IF(Reales!$C$44="PYG",IF(BP$10&gt;0,N(Reales!BP44)/BP$10,0),N(Reales!BP44)),BP$183*IF(AND(AND(63&gt;Corte,63&lt;=Corte+n_Ventana),ISNUMBER(Detalle_24m!BP$48)),Detalle_24m!BP$48,INDEX(Precio_V,7)*INDEX(IdxPrecio_V,1,MIN(10,BP$173)))*(1+V_dPrecio))</f>
        <v>0</v>
      </c>
      <c r="BQ208" s="48">
        <f>IF(BQ$8=1,IF(Reales!$C$44="PYG",IF(BQ$10&gt;0,N(Reales!BQ44)/BQ$10,0),N(Reales!BQ44)),BQ$183*IF(AND(AND(64&gt;Corte,64&lt;=Corte+n_Ventana),ISNUMBER(Detalle_24m!BQ$48)),Detalle_24m!BQ$48,INDEX(Precio_V,7)*INDEX(IdxPrecio_V,1,MIN(10,BQ$173)))*(1+V_dPrecio))</f>
        <v>0</v>
      </c>
      <c r="BR208" s="48">
        <f>IF(BR$8=1,IF(Reales!$C$44="PYG",IF(BR$10&gt;0,N(Reales!BR44)/BR$10,0),N(Reales!BR44)),BR$183*IF(AND(AND(65&gt;Corte,65&lt;=Corte+n_Ventana),ISNUMBER(Detalle_24m!BR$48)),Detalle_24m!BR$48,INDEX(Precio_V,7)*INDEX(IdxPrecio_V,1,MIN(10,BR$173)))*(1+V_dPrecio))</f>
        <v>0</v>
      </c>
      <c r="BS208" s="48">
        <f>IF(BS$8=1,IF(Reales!$C$44="PYG",IF(BS$10&gt;0,N(Reales!BS44)/BS$10,0),N(Reales!BS44)),BS$183*IF(AND(AND(66&gt;Corte,66&lt;=Corte+n_Ventana),ISNUMBER(Detalle_24m!BS$48)),Detalle_24m!BS$48,INDEX(Precio_V,7)*INDEX(IdxPrecio_V,1,MIN(10,BS$173)))*(1+V_dPrecio))</f>
        <v>0</v>
      </c>
      <c r="BT208" s="48">
        <f>IF(BT$8=1,IF(Reales!$C$44="PYG",IF(BT$10&gt;0,N(Reales!BT44)/BT$10,0),N(Reales!BT44)),BT$183*IF(AND(AND(67&gt;Corte,67&lt;=Corte+n_Ventana),ISNUMBER(Detalle_24m!BT$48)),Detalle_24m!BT$48,INDEX(Precio_V,7)*INDEX(IdxPrecio_V,1,MIN(10,BT$173)))*(1+V_dPrecio))</f>
        <v>0</v>
      </c>
      <c r="BU208" s="48">
        <f>IF(BU$8=1,IF(Reales!$C$44="PYG",IF(BU$10&gt;0,N(Reales!BU44)/BU$10,0),N(Reales!BU44)),BU$183*IF(AND(AND(68&gt;Corte,68&lt;=Corte+n_Ventana),ISNUMBER(Detalle_24m!BU$48)),Detalle_24m!BU$48,INDEX(Precio_V,7)*INDEX(IdxPrecio_V,1,MIN(10,BU$173)))*(1+V_dPrecio))</f>
        <v>0</v>
      </c>
      <c r="BV208" s="48">
        <f>IF(BV$8=1,IF(Reales!$C$44="PYG",IF(BV$10&gt;0,N(Reales!BV44)/BV$10,0),N(Reales!BV44)),BV$183*IF(AND(AND(69&gt;Corte,69&lt;=Corte+n_Ventana),ISNUMBER(Detalle_24m!BV$48)),Detalle_24m!BV$48,INDEX(Precio_V,7)*INDEX(IdxPrecio_V,1,MIN(10,BV$173)))*(1+V_dPrecio))</f>
        <v>0</v>
      </c>
      <c r="BW208" s="48">
        <f>IF(BW$8=1,IF(Reales!$C$44="PYG",IF(BW$10&gt;0,N(Reales!BW44)/BW$10,0),N(Reales!BW44)),BW$183*IF(AND(AND(70&gt;Corte,70&lt;=Corte+n_Ventana),ISNUMBER(Detalle_24m!BW$48)),Detalle_24m!BW$48,INDEX(Precio_V,7)*INDEX(IdxPrecio_V,1,MIN(10,BW$173)))*(1+V_dPrecio))</f>
        <v>0</v>
      </c>
      <c r="BX208" s="48">
        <f>IF(BX$8=1,IF(Reales!$C$44="PYG",IF(BX$10&gt;0,N(Reales!BX44)/BX$10,0),N(Reales!BX44)),BX$183*IF(AND(AND(71&gt;Corte,71&lt;=Corte+n_Ventana),ISNUMBER(Detalle_24m!BX$48)),Detalle_24m!BX$48,INDEX(Precio_V,7)*INDEX(IdxPrecio_V,1,MIN(10,BX$173)))*(1+V_dPrecio))</f>
        <v>0</v>
      </c>
      <c r="BY208" s="48">
        <f>IF(BY$8=1,IF(Reales!$C$44="PYG",IF(BY$10&gt;0,N(Reales!BY44)/BY$10,0),N(Reales!BY44)),BY$183*IF(AND(AND(72&gt;Corte,72&lt;=Corte+n_Ventana),ISNUMBER(Detalle_24m!BY$48)),Detalle_24m!BY$48,INDEX(Precio_V,7)*INDEX(IdxPrecio_V,1,MIN(10,BY$173)))*(1+V_dPrecio))</f>
        <v>0</v>
      </c>
      <c r="BZ208" s="48">
        <f>IF(BZ$8=1,IF(Reales!$C$44="PYG",IF(BZ$10&gt;0,N(Reales!BZ44)/BZ$10,0),N(Reales!BZ44)),BZ$183*IF(AND(AND(73&gt;Corte,73&lt;=Corte+n_Ventana),ISNUMBER(Detalle_24m!BZ$48)),Detalle_24m!BZ$48,INDEX(Precio_V,7)*INDEX(IdxPrecio_V,1,MIN(10,BZ$173)))*(1+V_dPrecio))</f>
        <v>0</v>
      </c>
      <c r="CA208" s="48">
        <f>IF(CA$8=1,IF(Reales!$C$44="PYG",IF(CA$10&gt;0,N(Reales!CA44)/CA$10,0),N(Reales!CA44)),CA$183*IF(AND(AND(74&gt;Corte,74&lt;=Corte+n_Ventana),ISNUMBER(Detalle_24m!CA$48)),Detalle_24m!CA$48,INDEX(Precio_V,7)*INDEX(IdxPrecio_V,1,MIN(10,CA$173)))*(1+V_dPrecio))</f>
        <v>0</v>
      </c>
      <c r="CB208" s="48">
        <f>IF(CB$8=1,IF(Reales!$C$44="PYG",IF(CB$10&gt;0,N(Reales!CB44)/CB$10,0),N(Reales!CB44)),CB$183*IF(AND(AND(75&gt;Corte,75&lt;=Corte+n_Ventana),ISNUMBER(Detalle_24m!CB$48)),Detalle_24m!CB$48,INDEX(Precio_V,7)*INDEX(IdxPrecio_V,1,MIN(10,CB$173)))*(1+V_dPrecio))</f>
        <v>0</v>
      </c>
      <c r="CC208" s="48">
        <f>IF(CC$8=1,IF(Reales!$C$44="PYG",IF(CC$10&gt;0,N(Reales!CC44)/CC$10,0),N(Reales!CC44)),CC$183*IF(AND(AND(76&gt;Corte,76&lt;=Corte+n_Ventana),ISNUMBER(Detalle_24m!CC$48)),Detalle_24m!CC$48,INDEX(Precio_V,7)*INDEX(IdxPrecio_V,1,MIN(10,CC$173)))*(1+V_dPrecio))</f>
        <v>0</v>
      </c>
      <c r="CD208" s="48">
        <f>IF(CD$8=1,IF(Reales!$C$44="PYG",IF(CD$10&gt;0,N(Reales!CD44)/CD$10,0),N(Reales!CD44)),CD$183*IF(AND(AND(77&gt;Corte,77&lt;=Corte+n_Ventana),ISNUMBER(Detalle_24m!CD$48)),Detalle_24m!CD$48,INDEX(Precio_V,7)*INDEX(IdxPrecio_V,1,MIN(10,CD$173)))*(1+V_dPrecio))</f>
        <v>0</v>
      </c>
      <c r="CE208" s="48">
        <f>IF(CE$8=1,IF(Reales!$C$44="PYG",IF(CE$10&gt;0,N(Reales!CE44)/CE$10,0),N(Reales!CE44)),CE$183*IF(AND(AND(78&gt;Corte,78&lt;=Corte+n_Ventana),ISNUMBER(Detalle_24m!CE$48)),Detalle_24m!CE$48,INDEX(Precio_V,7)*INDEX(IdxPrecio_V,1,MIN(10,CE$173)))*(1+V_dPrecio))</f>
        <v>0</v>
      </c>
      <c r="CF208" s="48">
        <f>IF(CF$8=1,IF(Reales!$C$44="PYG",IF(CF$10&gt;0,N(Reales!CF44)/CF$10,0),N(Reales!CF44)),CF$183*IF(AND(AND(79&gt;Corte,79&lt;=Corte+n_Ventana),ISNUMBER(Detalle_24m!CF$48)),Detalle_24m!CF$48,INDEX(Precio_V,7)*INDEX(IdxPrecio_V,1,MIN(10,CF$173)))*(1+V_dPrecio))</f>
        <v>0</v>
      </c>
      <c r="CG208" s="48">
        <f>IF(CG$8=1,IF(Reales!$C$44="PYG",IF(CG$10&gt;0,N(Reales!CG44)/CG$10,0),N(Reales!CG44)),CG$183*IF(AND(AND(80&gt;Corte,80&lt;=Corte+n_Ventana),ISNUMBER(Detalle_24m!CG$48)),Detalle_24m!CG$48,INDEX(Precio_V,7)*INDEX(IdxPrecio_V,1,MIN(10,CG$173)))*(1+V_dPrecio))</f>
        <v>0</v>
      </c>
      <c r="CH208" s="48">
        <f>IF(CH$8=1,IF(Reales!$C$44="PYG",IF(CH$10&gt;0,N(Reales!CH44)/CH$10,0),N(Reales!CH44)),CH$183*IF(AND(AND(81&gt;Corte,81&lt;=Corte+n_Ventana),ISNUMBER(Detalle_24m!CH$48)),Detalle_24m!CH$48,INDEX(Precio_V,7)*INDEX(IdxPrecio_V,1,MIN(10,CH$173)))*(1+V_dPrecio))</f>
        <v>0</v>
      </c>
      <c r="CI208" s="48">
        <f>IF(CI$8=1,IF(Reales!$C$44="PYG",IF(CI$10&gt;0,N(Reales!CI44)/CI$10,0),N(Reales!CI44)),CI$183*IF(AND(AND(82&gt;Corte,82&lt;=Corte+n_Ventana),ISNUMBER(Detalle_24m!CI$48)),Detalle_24m!CI$48,INDEX(Precio_V,7)*INDEX(IdxPrecio_V,1,MIN(10,CI$173)))*(1+V_dPrecio))</f>
        <v>0</v>
      </c>
      <c r="CJ208" s="48">
        <f>IF(CJ$8=1,IF(Reales!$C$44="PYG",IF(CJ$10&gt;0,N(Reales!CJ44)/CJ$10,0),N(Reales!CJ44)),CJ$183*IF(AND(AND(83&gt;Corte,83&lt;=Corte+n_Ventana),ISNUMBER(Detalle_24m!CJ$48)),Detalle_24m!CJ$48,INDEX(Precio_V,7)*INDEX(IdxPrecio_V,1,MIN(10,CJ$173)))*(1+V_dPrecio))</f>
        <v>0</v>
      </c>
      <c r="CK208" s="48">
        <f>IF(CK$8=1,IF(Reales!$C$44="PYG",IF(CK$10&gt;0,N(Reales!CK44)/CK$10,0),N(Reales!CK44)),CK$183*IF(AND(AND(84&gt;Corte,84&lt;=Corte+n_Ventana),ISNUMBER(Detalle_24m!CK$48)),Detalle_24m!CK$48,INDEX(Precio_V,7)*INDEX(IdxPrecio_V,1,MIN(10,CK$173)))*(1+V_dPrecio))</f>
        <v>0</v>
      </c>
      <c r="CL208" s="48">
        <f>IF(CL$8=1,IF(Reales!$C$44="PYG",IF(CL$10&gt;0,N(Reales!CL44)/CL$10,0),N(Reales!CL44)),CL$183*IF(AND(AND(85&gt;Corte,85&lt;=Corte+n_Ventana),ISNUMBER(Detalle_24m!CL$48)),Detalle_24m!CL$48,INDEX(Precio_V,7)*INDEX(IdxPrecio_V,1,MIN(10,CL$173)))*(1+V_dPrecio))</f>
        <v>0</v>
      </c>
      <c r="CM208" s="48">
        <f>IF(CM$8=1,IF(Reales!$C$44="PYG",IF(CM$10&gt;0,N(Reales!CM44)/CM$10,0),N(Reales!CM44)),CM$183*IF(AND(AND(86&gt;Corte,86&lt;=Corte+n_Ventana),ISNUMBER(Detalle_24m!CM$48)),Detalle_24m!CM$48,INDEX(Precio_V,7)*INDEX(IdxPrecio_V,1,MIN(10,CM$173)))*(1+V_dPrecio))</f>
        <v>0</v>
      </c>
      <c r="CN208" s="48">
        <f>IF(CN$8=1,IF(Reales!$C$44="PYG",IF(CN$10&gt;0,N(Reales!CN44)/CN$10,0),N(Reales!CN44)),CN$183*IF(AND(AND(87&gt;Corte,87&lt;=Corte+n_Ventana),ISNUMBER(Detalle_24m!CN$48)),Detalle_24m!CN$48,INDEX(Precio_V,7)*INDEX(IdxPrecio_V,1,MIN(10,CN$173)))*(1+V_dPrecio))</f>
        <v>0</v>
      </c>
      <c r="CO208" s="48">
        <f>IF(CO$8=1,IF(Reales!$C$44="PYG",IF(CO$10&gt;0,N(Reales!CO44)/CO$10,0),N(Reales!CO44)),CO$183*IF(AND(AND(88&gt;Corte,88&lt;=Corte+n_Ventana),ISNUMBER(Detalle_24m!CO$48)),Detalle_24m!CO$48,INDEX(Precio_V,7)*INDEX(IdxPrecio_V,1,MIN(10,CO$173)))*(1+V_dPrecio))</f>
        <v>0</v>
      </c>
      <c r="CP208" s="48">
        <f>IF(CP$8=1,IF(Reales!$C$44="PYG",IF(CP$10&gt;0,N(Reales!CP44)/CP$10,0),N(Reales!CP44)),CP$183*IF(AND(AND(89&gt;Corte,89&lt;=Corte+n_Ventana),ISNUMBER(Detalle_24m!CP$48)),Detalle_24m!CP$48,INDEX(Precio_V,7)*INDEX(IdxPrecio_V,1,MIN(10,CP$173)))*(1+V_dPrecio))</f>
        <v>0</v>
      </c>
      <c r="CQ208" s="48">
        <f>IF(CQ$8=1,IF(Reales!$C$44="PYG",IF(CQ$10&gt;0,N(Reales!CQ44)/CQ$10,0),N(Reales!CQ44)),CQ$183*IF(AND(AND(90&gt;Corte,90&lt;=Corte+n_Ventana),ISNUMBER(Detalle_24m!CQ$48)),Detalle_24m!CQ$48,INDEX(Precio_V,7)*INDEX(IdxPrecio_V,1,MIN(10,CQ$173)))*(1+V_dPrecio))</f>
        <v>0</v>
      </c>
      <c r="CR208" s="48">
        <f>IF(CR$8=1,IF(Reales!$C$44="PYG",IF(CR$10&gt;0,N(Reales!CR44)/CR$10,0),N(Reales!CR44)),CR$183*IF(AND(AND(91&gt;Corte,91&lt;=Corte+n_Ventana),ISNUMBER(Detalle_24m!CR$48)),Detalle_24m!CR$48,INDEX(Precio_V,7)*INDEX(IdxPrecio_V,1,MIN(10,CR$173)))*(1+V_dPrecio))</f>
        <v>0</v>
      </c>
      <c r="CS208" s="48">
        <f>IF(CS$8=1,IF(Reales!$C$44="PYG",IF(CS$10&gt;0,N(Reales!CS44)/CS$10,0),N(Reales!CS44)),CS$183*IF(AND(AND(92&gt;Corte,92&lt;=Corte+n_Ventana),ISNUMBER(Detalle_24m!CS$48)),Detalle_24m!CS$48,INDEX(Precio_V,7)*INDEX(IdxPrecio_V,1,MIN(10,CS$173)))*(1+V_dPrecio))</f>
        <v>0</v>
      </c>
      <c r="CT208" s="48">
        <f>IF(CT$8=1,IF(Reales!$C$44="PYG",IF(CT$10&gt;0,N(Reales!CT44)/CT$10,0),N(Reales!CT44)),CT$183*IF(AND(AND(93&gt;Corte,93&lt;=Corte+n_Ventana),ISNUMBER(Detalle_24m!CT$48)),Detalle_24m!CT$48,INDEX(Precio_V,7)*INDEX(IdxPrecio_V,1,MIN(10,CT$173)))*(1+V_dPrecio))</f>
        <v>0</v>
      </c>
      <c r="CU208" s="48">
        <f>IF(CU$8=1,IF(Reales!$C$44="PYG",IF(CU$10&gt;0,N(Reales!CU44)/CU$10,0),N(Reales!CU44)),CU$183*IF(AND(AND(94&gt;Corte,94&lt;=Corte+n_Ventana),ISNUMBER(Detalle_24m!CU$48)),Detalle_24m!CU$48,INDEX(Precio_V,7)*INDEX(IdxPrecio_V,1,MIN(10,CU$173)))*(1+V_dPrecio))</f>
        <v>0</v>
      </c>
      <c r="CV208" s="48">
        <f>IF(CV$8=1,IF(Reales!$C$44="PYG",IF(CV$10&gt;0,N(Reales!CV44)/CV$10,0),N(Reales!CV44)),CV$183*IF(AND(AND(95&gt;Corte,95&lt;=Corte+n_Ventana),ISNUMBER(Detalle_24m!CV$48)),Detalle_24m!CV$48,INDEX(Precio_V,7)*INDEX(IdxPrecio_V,1,MIN(10,CV$173)))*(1+V_dPrecio))</f>
        <v>0</v>
      </c>
      <c r="CW208" s="48">
        <f>IF(CW$8=1,IF(Reales!$C$44="PYG",IF(CW$10&gt;0,N(Reales!CW44)/CW$10,0),N(Reales!CW44)),CW$183*IF(AND(AND(96&gt;Corte,96&lt;=Corte+n_Ventana),ISNUMBER(Detalle_24m!CW$48)),Detalle_24m!CW$48,INDEX(Precio_V,7)*INDEX(IdxPrecio_V,1,MIN(10,CW$173)))*(1+V_dPrecio))</f>
        <v>0</v>
      </c>
      <c r="CX208" s="48">
        <f>IF(CX$8=1,IF(Reales!$C$44="PYG",IF(CX$10&gt;0,N(Reales!CX44)/CX$10,0),N(Reales!CX44)),CX$183*IF(AND(AND(97&gt;Corte,97&lt;=Corte+n_Ventana),ISNUMBER(Detalle_24m!CX$48)),Detalle_24m!CX$48,INDEX(Precio_V,7)*INDEX(IdxPrecio_V,1,MIN(10,CX$173)))*(1+V_dPrecio))</f>
        <v>0</v>
      </c>
      <c r="CY208" s="48">
        <f>IF(CY$8=1,IF(Reales!$C$44="PYG",IF(CY$10&gt;0,N(Reales!CY44)/CY$10,0),N(Reales!CY44)),CY$183*IF(AND(AND(98&gt;Corte,98&lt;=Corte+n_Ventana),ISNUMBER(Detalle_24m!CY$48)),Detalle_24m!CY$48,INDEX(Precio_V,7)*INDEX(IdxPrecio_V,1,MIN(10,CY$173)))*(1+V_dPrecio))</f>
        <v>0</v>
      </c>
      <c r="CZ208" s="48">
        <f>IF(CZ$8=1,IF(Reales!$C$44="PYG",IF(CZ$10&gt;0,N(Reales!CZ44)/CZ$10,0),N(Reales!CZ44)),CZ$183*IF(AND(AND(99&gt;Corte,99&lt;=Corte+n_Ventana),ISNUMBER(Detalle_24m!CZ$48)),Detalle_24m!CZ$48,INDEX(Precio_V,7)*INDEX(IdxPrecio_V,1,MIN(10,CZ$173)))*(1+V_dPrecio))</f>
        <v>0</v>
      </c>
      <c r="DA208" s="48">
        <f>IF(DA$8=1,IF(Reales!$C$44="PYG",IF(DA$10&gt;0,N(Reales!DA44)/DA$10,0),N(Reales!DA44)),DA$183*IF(AND(AND(100&gt;Corte,100&lt;=Corte+n_Ventana),ISNUMBER(Detalle_24m!DA$48)),Detalle_24m!DA$48,INDEX(Precio_V,7)*INDEX(IdxPrecio_V,1,MIN(10,DA$173)))*(1+V_dPrecio))</f>
        <v>0</v>
      </c>
      <c r="DB208" s="48">
        <f>IF(DB$8=1,IF(Reales!$C$44="PYG",IF(DB$10&gt;0,N(Reales!DB44)/DB$10,0),N(Reales!DB44)),DB$183*IF(AND(AND(101&gt;Corte,101&lt;=Corte+n_Ventana),ISNUMBER(Detalle_24m!DB$48)),Detalle_24m!DB$48,INDEX(Precio_V,7)*INDEX(IdxPrecio_V,1,MIN(10,DB$173)))*(1+V_dPrecio))</f>
        <v>0</v>
      </c>
      <c r="DC208" s="48">
        <f>IF(DC$8=1,IF(Reales!$C$44="PYG",IF(DC$10&gt;0,N(Reales!DC44)/DC$10,0),N(Reales!DC44)),DC$183*IF(AND(AND(102&gt;Corte,102&lt;=Corte+n_Ventana),ISNUMBER(Detalle_24m!DC$48)),Detalle_24m!DC$48,INDEX(Precio_V,7)*INDEX(IdxPrecio_V,1,MIN(10,DC$173)))*(1+V_dPrecio))</f>
        <v>0</v>
      </c>
      <c r="DD208" s="48">
        <f>IF(DD$8=1,IF(Reales!$C$44="PYG",IF(DD$10&gt;0,N(Reales!DD44)/DD$10,0),N(Reales!DD44)),DD$183*IF(AND(AND(103&gt;Corte,103&lt;=Corte+n_Ventana),ISNUMBER(Detalle_24m!DD$48)),Detalle_24m!DD$48,INDEX(Precio_V,7)*INDEX(IdxPrecio_V,1,MIN(10,DD$173)))*(1+V_dPrecio))</f>
        <v>0</v>
      </c>
      <c r="DE208" s="48">
        <f>IF(DE$8=1,IF(Reales!$C$44="PYG",IF(DE$10&gt;0,N(Reales!DE44)/DE$10,0),N(Reales!DE44)),DE$183*IF(AND(AND(104&gt;Corte,104&lt;=Corte+n_Ventana),ISNUMBER(Detalle_24m!DE$48)),Detalle_24m!DE$48,INDEX(Precio_V,7)*INDEX(IdxPrecio_V,1,MIN(10,DE$173)))*(1+V_dPrecio))</f>
        <v>0</v>
      </c>
      <c r="DF208" s="48">
        <f>IF(DF$8=1,IF(Reales!$C$44="PYG",IF(DF$10&gt;0,N(Reales!DF44)/DF$10,0),N(Reales!DF44)),DF$183*IF(AND(AND(105&gt;Corte,105&lt;=Corte+n_Ventana),ISNUMBER(Detalle_24m!DF$48)),Detalle_24m!DF$48,INDEX(Precio_V,7)*INDEX(IdxPrecio_V,1,MIN(10,DF$173)))*(1+V_dPrecio))</f>
        <v>0</v>
      </c>
      <c r="DG208" s="48">
        <f>IF(DG$8=1,IF(Reales!$C$44="PYG",IF(DG$10&gt;0,N(Reales!DG44)/DG$10,0),N(Reales!DG44)),DG$183*IF(AND(AND(106&gt;Corte,106&lt;=Corte+n_Ventana),ISNUMBER(Detalle_24m!DG$48)),Detalle_24m!DG$48,INDEX(Precio_V,7)*INDEX(IdxPrecio_V,1,MIN(10,DG$173)))*(1+V_dPrecio))</f>
        <v>0</v>
      </c>
      <c r="DH208" s="48">
        <f>IF(DH$8=1,IF(Reales!$C$44="PYG",IF(DH$10&gt;0,N(Reales!DH44)/DH$10,0),N(Reales!DH44)),DH$183*IF(AND(AND(107&gt;Corte,107&lt;=Corte+n_Ventana),ISNUMBER(Detalle_24m!DH$48)),Detalle_24m!DH$48,INDEX(Precio_V,7)*INDEX(IdxPrecio_V,1,MIN(10,DH$173)))*(1+V_dPrecio))</f>
        <v>0</v>
      </c>
      <c r="DI208" s="48">
        <f>IF(DI$8=1,IF(Reales!$C$44="PYG",IF(DI$10&gt;0,N(Reales!DI44)/DI$10,0),N(Reales!DI44)),DI$183*IF(AND(AND(108&gt;Corte,108&lt;=Corte+n_Ventana),ISNUMBER(Detalle_24m!DI$48)),Detalle_24m!DI$48,INDEX(Precio_V,7)*INDEX(IdxPrecio_V,1,MIN(10,DI$173)))*(1+V_dPrecio))</f>
        <v>0</v>
      </c>
      <c r="DJ208" s="48">
        <f>IF(DJ$8=1,IF(Reales!$C$44="PYG",IF(DJ$10&gt;0,N(Reales!DJ44)/DJ$10,0),N(Reales!DJ44)),DJ$183*IF(AND(AND(109&gt;Corte,109&lt;=Corte+n_Ventana),ISNUMBER(Detalle_24m!DJ$48)),Detalle_24m!DJ$48,INDEX(Precio_V,7)*INDEX(IdxPrecio_V,1,MIN(10,DJ$173)))*(1+V_dPrecio))</f>
        <v>0</v>
      </c>
      <c r="DK208" s="48">
        <f>IF(DK$8=1,IF(Reales!$C$44="PYG",IF(DK$10&gt;0,N(Reales!DK44)/DK$10,0),N(Reales!DK44)),DK$183*IF(AND(AND(110&gt;Corte,110&lt;=Corte+n_Ventana),ISNUMBER(Detalle_24m!DK$48)),Detalle_24m!DK$48,INDEX(Precio_V,7)*INDEX(IdxPrecio_V,1,MIN(10,DK$173)))*(1+V_dPrecio))</f>
        <v>0</v>
      </c>
      <c r="DL208" s="48">
        <f>IF(DL$8=1,IF(Reales!$C$44="PYG",IF(DL$10&gt;0,N(Reales!DL44)/DL$10,0),N(Reales!DL44)),DL$183*IF(AND(AND(111&gt;Corte,111&lt;=Corte+n_Ventana),ISNUMBER(Detalle_24m!DL$48)),Detalle_24m!DL$48,INDEX(Precio_V,7)*INDEX(IdxPrecio_V,1,MIN(10,DL$173)))*(1+V_dPrecio))</f>
        <v>0</v>
      </c>
      <c r="DM208" s="48">
        <f>IF(DM$8=1,IF(Reales!$C$44="PYG",IF(DM$10&gt;0,N(Reales!DM44)/DM$10,0),N(Reales!DM44)),DM$183*IF(AND(AND(112&gt;Corte,112&lt;=Corte+n_Ventana),ISNUMBER(Detalle_24m!DM$48)),Detalle_24m!DM$48,INDEX(Precio_V,7)*INDEX(IdxPrecio_V,1,MIN(10,DM$173)))*(1+V_dPrecio))</f>
        <v>0</v>
      </c>
      <c r="DN208" s="48">
        <f>IF(DN$8=1,IF(Reales!$C$44="PYG",IF(DN$10&gt;0,N(Reales!DN44)/DN$10,0),N(Reales!DN44)),DN$183*IF(AND(AND(113&gt;Corte,113&lt;=Corte+n_Ventana),ISNUMBER(Detalle_24m!DN$48)),Detalle_24m!DN$48,INDEX(Precio_V,7)*INDEX(IdxPrecio_V,1,MIN(10,DN$173)))*(1+V_dPrecio))</f>
        <v>0</v>
      </c>
      <c r="DO208" s="48">
        <f>IF(DO$8=1,IF(Reales!$C$44="PYG",IF(DO$10&gt;0,N(Reales!DO44)/DO$10,0),N(Reales!DO44)),DO$183*IF(AND(AND(114&gt;Corte,114&lt;=Corte+n_Ventana),ISNUMBER(Detalle_24m!DO$48)),Detalle_24m!DO$48,INDEX(Precio_V,7)*INDEX(IdxPrecio_V,1,MIN(10,DO$173)))*(1+V_dPrecio))</f>
        <v>0</v>
      </c>
      <c r="DP208" s="48">
        <f>IF(DP$8=1,IF(Reales!$C$44="PYG",IF(DP$10&gt;0,N(Reales!DP44)/DP$10,0),N(Reales!DP44)),DP$183*IF(AND(AND(115&gt;Corte,115&lt;=Corte+n_Ventana),ISNUMBER(Detalle_24m!DP$48)),Detalle_24m!DP$48,INDEX(Precio_V,7)*INDEX(IdxPrecio_V,1,MIN(10,DP$173)))*(1+V_dPrecio))</f>
        <v>0</v>
      </c>
      <c r="DQ208" s="48">
        <f>IF(DQ$8=1,IF(Reales!$C$44="PYG",IF(DQ$10&gt;0,N(Reales!DQ44)/DQ$10,0),N(Reales!DQ44)),DQ$183*IF(AND(AND(116&gt;Corte,116&lt;=Corte+n_Ventana),ISNUMBER(Detalle_24m!DQ$48)),Detalle_24m!DQ$48,INDEX(Precio_V,7)*INDEX(IdxPrecio_V,1,MIN(10,DQ$173)))*(1+V_dPrecio))</f>
        <v>0</v>
      </c>
      <c r="DR208" s="48">
        <f>IF(DR$8=1,IF(Reales!$C$44="PYG",IF(DR$10&gt;0,N(Reales!DR44)/DR$10,0),N(Reales!DR44)),DR$183*IF(AND(AND(117&gt;Corte,117&lt;=Corte+n_Ventana),ISNUMBER(Detalle_24m!DR$48)),Detalle_24m!DR$48,INDEX(Precio_V,7)*INDEX(IdxPrecio_V,1,MIN(10,DR$173)))*(1+V_dPrecio))</f>
        <v>0</v>
      </c>
      <c r="DS208" s="48">
        <f>IF(DS$8=1,IF(Reales!$C$44="PYG",IF(DS$10&gt;0,N(Reales!DS44)/DS$10,0),N(Reales!DS44)),DS$183*IF(AND(AND(118&gt;Corte,118&lt;=Corte+n_Ventana),ISNUMBER(Detalle_24m!DS$48)),Detalle_24m!DS$48,INDEX(Precio_V,7)*INDEX(IdxPrecio_V,1,MIN(10,DS$173)))*(1+V_dPrecio))</f>
        <v>0</v>
      </c>
      <c r="DT208" s="48">
        <f>IF(DT$8=1,IF(Reales!$C$44="PYG",IF(DT$10&gt;0,N(Reales!DT44)/DT$10,0),N(Reales!DT44)),DT$183*IF(AND(AND(119&gt;Corte,119&lt;=Corte+n_Ventana),ISNUMBER(Detalle_24m!DT$48)),Detalle_24m!DT$48,INDEX(Precio_V,7)*INDEX(IdxPrecio_V,1,MIN(10,DT$173)))*(1+V_dPrecio))</f>
        <v>0</v>
      </c>
      <c r="DU208" s="48">
        <f>IF(DU$8=1,IF(Reales!$C$44="PYG",IF(DU$10&gt;0,N(Reales!DU44)/DU$10,0),N(Reales!DU44)),DU$183*IF(AND(AND(120&gt;Corte,120&lt;=Corte+n_Ventana),ISNUMBER(Detalle_24m!DU$48)),Detalle_24m!DU$48,INDEX(Precio_V,7)*INDEX(IdxPrecio_V,1,MIN(10,DU$173)))*(1+V_dPrecio))</f>
        <v>0</v>
      </c>
      <c r="DV208" s="48">
        <f>IF(DV$8=1,IF(Reales!$C$44="PYG",IF(DV$10&gt;0,N(Reales!DV44)/DV$10,0),N(Reales!DV44)),DV$183*IF(AND(AND(121&gt;Corte,121&lt;=Corte+n_Ventana),ISNUMBER(Detalle_24m!DV$48)),Detalle_24m!DV$48,INDEX(Precio_V,7)*INDEX(IdxPrecio_V,1,MIN(10,DV$173)))*(1+V_dPrecio))</f>
        <v>0</v>
      </c>
      <c r="DW208" s="48">
        <f>IF(DW$8=1,IF(Reales!$C$44="PYG",IF(DW$10&gt;0,N(Reales!DW44)/DW$10,0),N(Reales!DW44)),DW$183*IF(AND(AND(122&gt;Corte,122&lt;=Corte+n_Ventana),ISNUMBER(Detalle_24m!DW$48)),Detalle_24m!DW$48,INDEX(Precio_V,7)*INDEX(IdxPrecio_V,1,MIN(10,DW$173)))*(1+V_dPrecio))</f>
        <v>0</v>
      </c>
      <c r="DX208" s="48">
        <f>IF(DX$8=1,IF(Reales!$C$44="PYG",IF(DX$10&gt;0,N(Reales!DX44)/DX$10,0),N(Reales!DX44)),DX$183*IF(AND(AND(123&gt;Corte,123&lt;=Corte+n_Ventana),ISNUMBER(Detalle_24m!DX$48)),Detalle_24m!DX$48,INDEX(Precio_V,7)*INDEX(IdxPrecio_V,1,MIN(10,DX$173)))*(1+V_dPrecio))</f>
        <v>0</v>
      </c>
      <c r="DY208" s="48">
        <f>IF(DY$8=1,IF(Reales!$C$44="PYG",IF(DY$10&gt;0,N(Reales!DY44)/DY$10,0),N(Reales!DY44)),DY$183*IF(AND(AND(124&gt;Corte,124&lt;=Corte+n_Ventana),ISNUMBER(Detalle_24m!DY$48)),Detalle_24m!DY$48,INDEX(Precio_V,7)*INDEX(IdxPrecio_V,1,MIN(10,DY$173)))*(1+V_dPrecio))</f>
        <v>0</v>
      </c>
      <c r="DZ208" s="48">
        <f>IF(DZ$8=1,IF(Reales!$C$44="PYG",IF(DZ$10&gt;0,N(Reales!DZ44)/DZ$10,0),N(Reales!DZ44)),DZ$183*IF(AND(AND(125&gt;Corte,125&lt;=Corte+n_Ventana),ISNUMBER(Detalle_24m!DZ$48)),Detalle_24m!DZ$48,INDEX(Precio_V,7)*INDEX(IdxPrecio_V,1,MIN(10,DZ$173)))*(1+V_dPrecio))</f>
        <v>0</v>
      </c>
      <c r="EA208" s="48">
        <f>IF(EA$8=1,IF(Reales!$C$44="PYG",IF(EA$10&gt;0,N(Reales!EA44)/EA$10,0),N(Reales!EA44)),EA$183*IF(AND(AND(126&gt;Corte,126&lt;=Corte+n_Ventana),ISNUMBER(Detalle_24m!EA$48)),Detalle_24m!EA$48,INDEX(Precio_V,7)*INDEX(IdxPrecio_V,1,MIN(10,EA$173)))*(1+V_dPrecio))</f>
        <v>0</v>
      </c>
      <c r="EB208" s="48">
        <f>IF(EB$8=1,IF(Reales!$C$44="PYG",IF(EB$10&gt;0,N(Reales!EB44)/EB$10,0),N(Reales!EB44)),EB$183*IF(AND(AND(127&gt;Corte,127&lt;=Corte+n_Ventana),ISNUMBER(Detalle_24m!EB$48)),Detalle_24m!EB$48,INDEX(Precio_V,7)*INDEX(IdxPrecio_V,1,MIN(10,EB$173)))*(1+V_dPrecio))</f>
        <v>0</v>
      </c>
      <c r="EC208" s="48">
        <f>IF(EC$8=1,IF(Reales!$C$44="PYG",IF(EC$10&gt;0,N(Reales!EC44)/EC$10,0),N(Reales!EC44)),EC$183*IF(AND(AND(128&gt;Corte,128&lt;=Corte+n_Ventana),ISNUMBER(Detalle_24m!EC$48)),Detalle_24m!EC$48,INDEX(Precio_V,7)*INDEX(IdxPrecio_V,1,MIN(10,EC$173)))*(1+V_dPrecio))</f>
        <v>0</v>
      </c>
      <c r="ED208" s="48">
        <f>IF(ED$8=1,IF(Reales!$C$44="PYG",IF(ED$10&gt;0,N(Reales!ED44)/ED$10,0),N(Reales!ED44)),ED$183*IF(AND(AND(129&gt;Corte,129&lt;=Corte+n_Ventana),ISNUMBER(Detalle_24m!ED$48)),Detalle_24m!ED$48,INDEX(Precio_V,7)*INDEX(IdxPrecio_V,1,MIN(10,ED$173)))*(1+V_dPrecio))</f>
        <v>0</v>
      </c>
      <c r="EE208" s="48">
        <f>IF(EE$8=1,IF(Reales!$C$44="PYG",IF(EE$10&gt;0,N(Reales!EE44)/EE$10,0),N(Reales!EE44)),EE$183*IF(AND(AND(130&gt;Corte,130&lt;=Corte+n_Ventana),ISNUMBER(Detalle_24m!EE$48)),Detalle_24m!EE$48,INDEX(Precio_V,7)*INDEX(IdxPrecio_V,1,MIN(10,EE$173)))*(1+V_dPrecio))</f>
        <v>0</v>
      </c>
      <c r="EF208" s="48">
        <f>IF(EF$8=1,IF(Reales!$C$44="PYG",IF(EF$10&gt;0,N(Reales!EF44)/EF$10,0),N(Reales!EF44)),EF$183*IF(AND(AND(131&gt;Corte,131&lt;=Corte+n_Ventana),ISNUMBER(Detalle_24m!EF$48)),Detalle_24m!EF$48,INDEX(Precio_V,7)*INDEX(IdxPrecio_V,1,MIN(10,EF$173)))*(1+V_dPrecio))</f>
        <v>0</v>
      </c>
      <c r="EG208" s="48">
        <f>IF(EG$8=1,IF(Reales!$C$44="PYG",IF(EG$10&gt;0,N(Reales!EG44)/EG$10,0),N(Reales!EG44)),EG$183*IF(AND(AND(132&gt;Corte,132&lt;=Corte+n_Ventana),ISNUMBER(Detalle_24m!EG$48)),Detalle_24m!EG$48,INDEX(Precio_V,7)*INDEX(IdxPrecio_V,1,MIN(10,EG$173)))*(1+V_dPrecio))</f>
        <v>0</v>
      </c>
      <c r="EH208" s="48">
        <f>IF(EH$8=1,IF(Reales!$C$44="PYG",IF(EH$10&gt;0,N(Reales!EH44)/EH$10,0),N(Reales!EH44)),EH$183*IF(AND(AND(133&gt;Corte,133&lt;=Corte+n_Ventana),ISNUMBER(Detalle_24m!EH$48)),Detalle_24m!EH$48,INDEX(Precio_V,7)*INDEX(IdxPrecio_V,1,MIN(10,EH$173)))*(1+V_dPrecio))</f>
        <v>0</v>
      </c>
      <c r="EI208" s="48">
        <f>IF(EI$8=1,IF(Reales!$C$44="PYG",IF(EI$10&gt;0,N(Reales!EI44)/EI$10,0),N(Reales!EI44)),EI$183*IF(AND(AND(134&gt;Corte,134&lt;=Corte+n_Ventana),ISNUMBER(Detalle_24m!EI$48)),Detalle_24m!EI$48,INDEX(Precio_V,7)*INDEX(IdxPrecio_V,1,MIN(10,EI$173)))*(1+V_dPrecio))</f>
        <v>0</v>
      </c>
      <c r="EJ208" s="48">
        <f>IF(EJ$8=1,IF(Reales!$C$44="PYG",IF(EJ$10&gt;0,N(Reales!EJ44)/EJ$10,0),N(Reales!EJ44)),EJ$183*IF(AND(AND(135&gt;Corte,135&lt;=Corte+n_Ventana),ISNUMBER(Detalle_24m!EJ$48)),Detalle_24m!EJ$48,INDEX(Precio_V,7)*INDEX(IdxPrecio_V,1,MIN(10,EJ$173)))*(1+V_dPrecio))</f>
        <v>0</v>
      </c>
      <c r="EK208" s="48">
        <f>IF(EK$8=1,IF(Reales!$C$44="PYG",IF(EK$10&gt;0,N(Reales!EK44)/EK$10,0),N(Reales!EK44)),EK$183*IF(AND(AND(136&gt;Corte,136&lt;=Corte+n_Ventana),ISNUMBER(Detalle_24m!EK$48)),Detalle_24m!EK$48,INDEX(Precio_V,7)*INDEX(IdxPrecio_V,1,MIN(10,EK$173)))*(1+V_dPrecio))</f>
        <v>0</v>
      </c>
      <c r="EL208" s="48">
        <f>IF(EL$8=1,IF(Reales!$C$44="PYG",IF(EL$10&gt;0,N(Reales!EL44)/EL$10,0),N(Reales!EL44)),EL$183*IF(AND(AND(137&gt;Corte,137&lt;=Corte+n_Ventana),ISNUMBER(Detalle_24m!EL$48)),Detalle_24m!EL$48,INDEX(Precio_V,7)*INDEX(IdxPrecio_V,1,MIN(10,EL$173)))*(1+V_dPrecio))</f>
        <v>0</v>
      </c>
      <c r="EM208" s="48">
        <f>IF(EM$8=1,IF(Reales!$C$44="PYG",IF(EM$10&gt;0,N(Reales!EM44)/EM$10,0),N(Reales!EM44)),EM$183*IF(AND(AND(138&gt;Corte,138&lt;=Corte+n_Ventana),ISNUMBER(Detalle_24m!EM$48)),Detalle_24m!EM$48,INDEX(Precio_V,7)*INDEX(IdxPrecio_V,1,MIN(10,EM$173)))*(1+V_dPrecio))</f>
        <v>0</v>
      </c>
      <c r="EN208" s="48">
        <f>IF(EN$8=1,IF(Reales!$C$44="PYG",IF(EN$10&gt;0,N(Reales!EN44)/EN$10,0),N(Reales!EN44)),EN$183*IF(AND(AND(139&gt;Corte,139&lt;=Corte+n_Ventana),ISNUMBER(Detalle_24m!EN$48)),Detalle_24m!EN$48,INDEX(Precio_V,7)*INDEX(IdxPrecio_V,1,MIN(10,EN$173)))*(1+V_dPrecio))</f>
        <v>0</v>
      </c>
      <c r="EO208" s="48">
        <f>IF(EO$8=1,IF(Reales!$C$44="PYG",IF(EO$10&gt;0,N(Reales!EO44)/EO$10,0),N(Reales!EO44)),EO$183*IF(AND(AND(140&gt;Corte,140&lt;=Corte+n_Ventana),ISNUMBER(Detalle_24m!EO$48)),Detalle_24m!EO$48,INDEX(Precio_V,7)*INDEX(IdxPrecio_V,1,MIN(10,EO$173)))*(1+V_dPrecio))</f>
        <v>0</v>
      </c>
      <c r="EP208" s="48">
        <f>IF(EP$8=1,IF(Reales!$C$44="PYG",IF(EP$10&gt;0,N(Reales!EP44)/EP$10,0),N(Reales!EP44)),EP$183*IF(AND(AND(141&gt;Corte,141&lt;=Corte+n_Ventana),ISNUMBER(Detalle_24m!EP$48)),Detalle_24m!EP$48,INDEX(Precio_V,7)*INDEX(IdxPrecio_V,1,MIN(10,EP$173)))*(1+V_dPrecio))</f>
        <v>0</v>
      </c>
      <c r="EQ208" s="48">
        <f>IF(EQ$8=1,IF(Reales!$C$44="PYG",IF(EQ$10&gt;0,N(Reales!EQ44)/EQ$10,0),N(Reales!EQ44)),EQ$183*IF(AND(AND(142&gt;Corte,142&lt;=Corte+n_Ventana),ISNUMBER(Detalle_24m!EQ$48)),Detalle_24m!EQ$48,INDEX(Precio_V,7)*INDEX(IdxPrecio_V,1,MIN(10,EQ$173)))*(1+V_dPrecio))</f>
        <v>0</v>
      </c>
      <c r="ER208" s="48">
        <f>IF(ER$8=1,IF(Reales!$C$44="PYG",IF(ER$10&gt;0,N(Reales!ER44)/ER$10,0),N(Reales!ER44)),ER$183*IF(AND(AND(143&gt;Corte,143&lt;=Corte+n_Ventana),ISNUMBER(Detalle_24m!ER$48)),Detalle_24m!ER$48,INDEX(Precio_V,7)*INDEX(IdxPrecio_V,1,MIN(10,ER$173)))*(1+V_dPrecio))</f>
        <v>0</v>
      </c>
      <c r="ES208" s="48">
        <f>IF(ES$8=1,IF(Reales!$C$44="PYG",IF(ES$10&gt;0,N(Reales!ES44)/ES$10,0),N(Reales!ES44)),ES$183*IF(AND(AND(144&gt;Corte,144&lt;=Corte+n_Ventana),ISNUMBER(Detalle_24m!ES$48)),Detalle_24m!ES$48,INDEX(Precio_V,7)*INDEX(IdxPrecio_V,1,MIN(10,ES$173)))*(1+V_dPrecio))</f>
        <v>0</v>
      </c>
    </row>
    <row r="209" spans="1:149" x14ac:dyDescent="0.3">
      <c r="A209" s="14" t="s">
        <v>1264</v>
      </c>
      <c r="B209" s="53" t="str">
        <f>IF(INDEX(Prod_Nombre,8)="","Producto 8",INDEX(Prod_Nombre,8))&amp;" — ventas USD"</f>
        <v>Producto 8 — ventas USD</v>
      </c>
      <c r="C209" s="18" t="s">
        <v>439</v>
      </c>
      <c r="E209" s="54">
        <f t="shared" ref="E209:E227" si="605">SUM(F209:ES209)</f>
        <v>0</v>
      </c>
      <c r="F209" s="48">
        <f>IF(F$8=1,IF(Reales!$C$45="PYG",IF(F$10&gt;0,N(Reales!F45)/F$10,0),N(Reales!F45)),F$184*IF(AND(AND(1&gt;Corte,1&lt;=Corte+n_Ventana),ISNUMBER(Detalle_24m!F$49)),Detalle_24m!F$49,INDEX(Precio_V,8)*INDEX(IdxPrecio_V,1,MIN(10,F$173)))*(1+V_dPrecio))</f>
        <v>0</v>
      </c>
      <c r="G209" s="48">
        <f>IF(G$8=1,IF(Reales!$C$45="PYG",IF(G$10&gt;0,N(Reales!G45)/G$10,0),N(Reales!G45)),G$184*IF(AND(AND(2&gt;Corte,2&lt;=Corte+n_Ventana),ISNUMBER(Detalle_24m!G$49)),Detalle_24m!G$49,INDEX(Precio_V,8)*INDEX(IdxPrecio_V,1,MIN(10,G$173)))*(1+V_dPrecio))</f>
        <v>0</v>
      </c>
      <c r="H209" s="48">
        <f>IF(H$8=1,IF(Reales!$C$45="PYG",IF(H$10&gt;0,N(Reales!H45)/H$10,0),N(Reales!H45)),H$184*IF(AND(AND(3&gt;Corte,3&lt;=Corte+n_Ventana),ISNUMBER(Detalle_24m!H$49)),Detalle_24m!H$49,INDEX(Precio_V,8)*INDEX(IdxPrecio_V,1,MIN(10,H$173)))*(1+V_dPrecio))</f>
        <v>0</v>
      </c>
      <c r="I209" s="48">
        <f>IF(I$8=1,IF(Reales!$C$45="PYG",IF(I$10&gt;0,N(Reales!I45)/I$10,0),N(Reales!I45)),I$184*IF(AND(AND(4&gt;Corte,4&lt;=Corte+n_Ventana),ISNUMBER(Detalle_24m!I$49)),Detalle_24m!I$49,INDEX(Precio_V,8)*INDEX(IdxPrecio_V,1,MIN(10,I$173)))*(1+V_dPrecio))</f>
        <v>0</v>
      </c>
      <c r="J209" s="48">
        <f>IF(J$8=1,IF(Reales!$C$45="PYG",IF(J$10&gt;0,N(Reales!J45)/J$10,0),N(Reales!J45)),J$184*IF(AND(AND(5&gt;Corte,5&lt;=Corte+n_Ventana),ISNUMBER(Detalle_24m!J$49)),Detalle_24m!J$49,INDEX(Precio_V,8)*INDEX(IdxPrecio_V,1,MIN(10,J$173)))*(1+V_dPrecio))</f>
        <v>0</v>
      </c>
      <c r="K209" s="48">
        <f>IF(K$8=1,IF(Reales!$C$45="PYG",IF(K$10&gt;0,N(Reales!K45)/K$10,0),N(Reales!K45)),K$184*IF(AND(AND(6&gt;Corte,6&lt;=Corte+n_Ventana),ISNUMBER(Detalle_24m!K$49)),Detalle_24m!K$49,INDEX(Precio_V,8)*INDEX(IdxPrecio_V,1,MIN(10,K$173)))*(1+V_dPrecio))</f>
        <v>0</v>
      </c>
      <c r="L209" s="48">
        <f>IF(L$8=1,IF(Reales!$C$45="PYG",IF(L$10&gt;0,N(Reales!L45)/L$10,0),N(Reales!L45)),L$184*IF(AND(AND(7&gt;Corte,7&lt;=Corte+n_Ventana),ISNUMBER(Detalle_24m!L$49)),Detalle_24m!L$49,INDEX(Precio_V,8)*INDEX(IdxPrecio_V,1,MIN(10,L$173)))*(1+V_dPrecio))</f>
        <v>0</v>
      </c>
      <c r="M209" s="48">
        <f>IF(M$8=1,IF(Reales!$C$45="PYG",IF(M$10&gt;0,N(Reales!M45)/M$10,0),N(Reales!M45)),M$184*IF(AND(AND(8&gt;Corte,8&lt;=Corte+n_Ventana),ISNUMBER(Detalle_24m!M$49)),Detalle_24m!M$49,INDEX(Precio_V,8)*INDEX(IdxPrecio_V,1,MIN(10,M$173)))*(1+V_dPrecio))</f>
        <v>0</v>
      </c>
      <c r="N209" s="48">
        <f>IF(N$8=1,IF(Reales!$C$45="PYG",IF(N$10&gt;0,N(Reales!N45)/N$10,0),N(Reales!N45)),N$184*IF(AND(AND(9&gt;Corte,9&lt;=Corte+n_Ventana),ISNUMBER(Detalle_24m!N$49)),Detalle_24m!N$49,INDEX(Precio_V,8)*INDEX(IdxPrecio_V,1,MIN(10,N$173)))*(1+V_dPrecio))</f>
        <v>0</v>
      </c>
      <c r="O209" s="48">
        <f>IF(O$8=1,IF(Reales!$C$45="PYG",IF(O$10&gt;0,N(Reales!O45)/O$10,0),N(Reales!O45)),O$184*IF(AND(AND(10&gt;Corte,10&lt;=Corte+n_Ventana),ISNUMBER(Detalle_24m!O$49)),Detalle_24m!O$49,INDEX(Precio_V,8)*INDEX(IdxPrecio_V,1,MIN(10,O$173)))*(1+V_dPrecio))</f>
        <v>0</v>
      </c>
      <c r="P209" s="48">
        <f>IF(P$8=1,IF(Reales!$C$45="PYG",IF(P$10&gt;0,N(Reales!P45)/P$10,0),N(Reales!P45)),P$184*IF(AND(AND(11&gt;Corte,11&lt;=Corte+n_Ventana),ISNUMBER(Detalle_24m!P$49)),Detalle_24m!P$49,INDEX(Precio_V,8)*INDEX(IdxPrecio_V,1,MIN(10,P$173)))*(1+V_dPrecio))</f>
        <v>0</v>
      </c>
      <c r="Q209" s="48">
        <f>IF(Q$8=1,IF(Reales!$C$45="PYG",IF(Q$10&gt;0,N(Reales!Q45)/Q$10,0),N(Reales!Q45)),Q$184*IF(AND(AND(12&gt;Corte,12&lt;=Corte+n_Ventana),ISNUMBER(Detalle_24m!Q$49)),Detalle_24m!Q$49,INDEX(Precio_V,8)*INDEX(IdxPrecio_V,1,MIN(10,Q$173)))*(1+V_dPrecio))</f>
        <v>0</v>
      </c>
      <c r="R209" s="48">
        <f>IF(R$8=1,IF(Reales!$C$45="PYG",IF(R$10&gt;0,N(Reales!R45)/R$10,0),N(Reales!R45)),R$184*IF(AND(AND(13&gt;Corte,13&lt;=Corte+n_Ventana),ISNUMBER(Detalle_24m!R$49)),Detalle_24m!R$49,INDEX(Precio_V,8)*INDEX(IdxPrecio_V,1,MIN(10,R$173)))*(1+V_dPrecio))</f>
        <v>0</v>
      </c>
      <c r="S209" s="48">
        <f>IF(S$8=1,IF(Reales!$C$45="PYG",IF(S$10&gt;0,N(Reales!S45)/S$10,0),N(Reales!S45)),S$184*IF(AND(AND(14&gt;Corte,14&lt;=Corte+n_Ventana),ISNUMBER(Detalle_24m!S$49)),Detalle_24m!S$49,INDEX(Precio_V,8)*INDEX(IdxPrecio_V,1,MIN(10,S$173)))*(1+V_dPrecio))</f>
        <v>0</v>
      </c>
      <c r="T209" s="48">
        <f>IF(T$8=1,IF(Reales!$C$45="PYG",IF(T$10&gt;0,N(Reales!T45)/T$10,0),N(Reales!T45)),T$184*IF(AND(AND(15&gt;Corte,15&lt;=Corte+n_Ventana),ISNUMBER(Detalle_24m!T$49)),Detalle_24m!T$49,INDEX(Precio_V,8)*INDEX(IdxPrecio_V,1,MIN(10,T$173)))*(1+V_dPrecio))</f>
        <v>0</v>
      </c>
      <c r="U209" s="48">
        <f>IF(U$8=1,IF(Reales!$C$45="PYG",IF(U$10&gt;0,N(Reales!U45)/U$10,0),N(Reales!U45)),U$184*IF(AND(AND(16&gt;Corte,16&lt;=Corte+n_Ventana),ISNUMBER(Detalle_24m!U$49)),Detalle_24m!U$49,INDEX(Precio_V,8)*INDEX(IdxPrecio_V,1,MIN(10,U$173)))*(1+V_dPrecio))</f>
        <v>0</v>
      </c>
      <c r="V209" s="48">
        <f>IF(V$8=1,IF(Reales!$C$45="PYG",IF(V$10&gt;0,N(Reales!V45)/V$10,0),N(Reales!V45)),V$184*IF(AND(AND(17&gt;Corte,17&lt;=Corte+n_Ventana),ISNUMBER(Detalle_24m!V$49)),Detalle_24m!V$49,INDEX(Precio_V,8)*INDEX(IdxPrecio_V,1,MIN(10,V$173)))*(1+V_dPrecio))</f>
        <v>0</v>
      </c>
      <c r="W209" s="48">
        <f>IF(W$8=1,IF(Reales!$C$45="PYG",IF(W$10&gt;0,N(Reales!W45)/W$10,0),N(Reales!W45)),W$184*IF(AND(AND(18&gt;Corte,18&lt;=Corte+n_Ventana),ISNUMBER(Detalle_24m!W$49)),Detalle_24m!W$49,INDEX(Precio_V,8)*INDEX(IdxPrecio_V,1,MIN(10,W$173)))*(1+V_dPrecio))</f>
        <v>0</v>
      </c>
      <c r="X209" s="48">
        <f>IF(X$8=1,IF(Reales!$C$45="PYG",IF(X$10&gt;0,N(Reales!X45)/X$10,0),N(Reales!X45)),X$184*IF(AND(AND(19&gt;Corte,19&lt;=Corte+n_Ventana),ISNUMBER(Detalle_24m!X$49)),Detalle_24m!X$49,INDEX(Precio_V,8)*INDEX(IdxPrecio_V,1,MIN(10,X$173)))*(1+V_dPrecio))</f>
        <v>0</v>
      </c>
      <c r="Y209" s="48">
        <f>IF(Y$8=1,IF(Reales!$C$45="PYG",IF(Y$10&gt;0,N(Reales!Y45)/Y$10,0),N(Reales!Y45)),Y$184*IF(AND(AND(20&gt;Corte,20&lt;=Corte+n_Ventana),ISNUMBER(Detalle_24m!Y$49)),Detalle_24m!Y$49,INDEX(Precio_V,8)*INDEX(IdxPrecio_V,1,MIN(10,Y$173)))*(1+V_dPrecio))</f>
        <v>0</v>
      </c>
      <c r="Z209" s="48">
        <f>IF(Z$8=1,IF(Reales!$C$45="PYG",IF(Z$10&gt;0,N(Reales!Z45)/Z$10,0),N(Reales!Z45)),Z$184*IF(AND(AND(21&gt;Corte,21&lt;=Corte+n_Ventana),ISNUMBER(Detalle_24m!Z$49)),Detalle_24m!Z$49,INDEX(Precio_V,8)*INDEX(IdxPrecio_V,1,MIN(10,Z$173)))*(1+V_dPrecio))</f>
        <v>0</v>
      </c>
      <c r="AA209" s="48">
        <f>IF(AA$8=1,IF(Reales!$C$45="PYG",IF(AA$10&gt;0,N(Reales!AA45)/AA$10,0),N(Reales!AA45)),AA$184*IF(AND(AND(22&gt;Corte,22&lt;=Corte+n_Ventana),ISNUMBER(Detalle_24m!AA$49)),Detalle_24m!AA$49,INDEX(Precio_V,8)*INDEX(IdxPrecio_V,1,MIN(10,AA$173)))*(1+V_dPrecio))</f>
        <v>0</v>
      </c>
      <c r="AB209" s="48">
        <f>IF(AB$8=1,IF(Reales!$C$45="PYG",IF(AB$10&gt;0,N(Reales!AB45)/AB$10,0),N(Reales!AB45)),AB$184*IF(AND(AND(23&gt;Corte,23&lt;=Corte+n_Ventana),ISNUMBER(Detalle_24m!AB$49)),Detalle_24m!AB$49,INDEX(Precio_V,8)*INDEX(IdxPrecio_V,1,MIN(10,AB$173)))*(1+V_dPrecio))</f>
        <v>0</v>
      </c>
      <c r="AC209" s="48">
        <f>IF(AC$8=1,IF(Reales!$C$45="PYG",IF(AC$10&gt;0,N(Reales!AC45)/AC$10,0),N(Reales!AC45)),AC$184*IF(AND(AND(24&gt;Corte,24&lt;=Corte+n_Ventana),ISNUMBER(Detalle_24m!AC$49)),Detalle_24m!AC$49,INDEX(Precio_V,8)*INDEX(IdxPrecio_V,1,MIN(10,AC$173)))*(1+V_dPrecio))</f>
        <v>0</v>
      </c>
      <c r="AD209" s="48">
        <f>IF(AD$8=1,IF(Reales!$C$45="PYG",IF(AD$10&gt;0,N(Reales!AD45)/AD$10,0),N(Reales!AD45)),AD$184*IF(AND(AND(25&gt;Corte,25&lt;=Corte+n_Ventana),ISNUMBER(Detalle_24m!AD$49)),Detalle_24m!AD$49,INDEX(Precio_V,8)*INDEX(IdxPrecio_V,1,MIN(10,AD$173)))*(1+V_dPrecio))</f>
        <v>0</v>
      </c>
      <c r="AE209" s="48">
        <f>IF(AE$8=1,IF(Reales!$C$45="PYG",IF(AE$10&gt;0,N(Reales!AE45)/AE$10,0),N(Reales!AE45)),AE$184*IF(AND(AND(26&gt;Corte,26&lt;=Corte+n_Ventana),ISNUMBER(Detalle_24m!AE$49)),Detalle_24m!AE$49,INDEX(Precio_V,8)*INDEX(IdxPrecio_V,1,MIN(10,AE$173)))*(1+V_dPrecio))</f>
        <v>0</v>
      </c>
      <c r="AF209" s="48">
        <f>IF(AF$8=1,IF(Reales!$C$45="PYG",IF(AF$10&gt;0,N(Reales!AF45)/AF$10,0),N(Reales!AF45)),AF$184*IF(AND(AND(27&gt;Corte,27&lt;=Corte+n_Ventana),ISNUMBER(Detalle_24m!AF$49)),Detalle_24m!AF$49,INDEX(Precio_V,8)*INDEX(IdxPrecio_V,1,MIN(10,AF$173)))*(1+V_dPrecio))</f>
        <v>0</v>
      </c>
      <c r="AG209" s="48">
        <f>IF(AG$8=1,IF(Reales!$C$45="PYG",IF(AG$10&gt;0,N(Reales!AG45)/AG$10,0),N(Reales!AG45)),AG$184*IF(AND(AND(28&gt;Corte,28&lt;=Corte+n_Ventana),ISNUMBER(Detalle_24m!AG$49)),Detalle_24m!AG$49,INDEX(Precio_V,8)*INDEX(IdxPrecio_V,1,MIN(10,AG$173)))*(1+V_dPrecio))</f>
        <v>0</v>
      </c>
      <c r="AH209" s="48">
        <f>IF(AH$8=1,IF(Reales!$C$45="PYG",IF(AH$10&gt;0,N(Reales!AH45)/AH$10,0),N(Reales!AH45)),AH$184*IF(AND(AND(29&gt;Corte,29&lt;=Corte+n_Ventana),ISNUMBER(Detalle_24m!AH$49)),Detalle_24m!AH$49,INDEX(Precio_V,8)*INDEX(IdxPrecio_V,1,MIN(10,AH$173)))*(1+V_dPrecio))</f>
        <v>0</v>
      </c>
      <c r="AI209" s="48">
        <f>IF(AI$8=1,IF(Reales!$C$45="PYG",IF(AI$10&gt;0,N(Reales!AI45)/AI$10,0),N(Reales!AI45)),AI$184*IF(AND(AND(30&gt;Corte,30&lt;=Corte+n_Ventana),ISNUMBER(Detalle_24m!AI$49)),Detalle_24m!AI$49,INDEX(Precio_V,8)*INDEX(IdxPrecio_V,1,MIN(10,AI$173)))*(1+V_dPrecio))</f>
        <v>0</v>
      </c>
      <c r="AJ209" s="48">
        <f>IF(AJ$8=1,IF(Reales!$C$45="PYG",IF(AJ$10&gt;0,N(Reales!AJ45)/AJ$10,0),N(Reales!AJ45)),AJ$184*IF(AND(AND(31&gt;Corte,31&lt;=Corte+n_Ventana),ISNUMBER(Detalle_24m!AJ$49)),Detalle_24m!AJ$49,INDEX(Precio_V,8)*INDEX(IdxPrecio_V,1,MIN(10,AJ$173)))*(1+V_dPrecio))</f>
        <v>0</v>
      </c>
      <c r="AK209" s="48">
        <f>IF(AK$8=1,IF(Reales!$C$45="PYG",IF(AK$10&gt;0,N(Reales!AK45)/AK$10,0),N(Reales!AK45)),AK$184*IF(AND(AND(32&gt;Corte,32&lt;=Corte+n_Ventana),ISNUMBER(Detalle_24m!AK$49)),Detalle_24m!AK$49,INDEX(Precio_V,8)*INDEX(IdxPrecio_V,1,MIN(10,AK$173)))*(1+V_dPrecio))</f>
        <v>0</v>
      </c>
      <c r="AL209" s="48">
        <f>IF(AL$8=1,IF(Reales!$C$45="PYG",IF(AL$10&gt;0,N(Reales!AL45)/AL$10,0),N(Reales!AL45)),AL$184*IF(AND(AND(33&gt;Corte,33&lt;=Corte+n_Ventana),ISNUMBER(Detalle_24m!AL$49)),Detalle_24m!AL$49,INDEX(Precio_V,8)*INDEX(IdxPrecio_V,1,MIN(10,AL$173)))*(1+V_dPrecio))</f>
        <v>0</v>
      </c>
      <c r="AM209" s="48">
        <f>IF(AM$8=1,IF(Reales!$C$45="PYG",IF(AM$10&gt;0,N(Reales!AM45)/AM$10,0),N(Reales!AM45)),AM$184*IF(AND(AND(34&gt;Corte,34&lt;=Corte+n_Ventana),ISNUMBER(Detalle_24m!AM$49)),Detalle_24m!AM$49,INDEX(Precio_V,8)*INDEX(IdxPrecio_V,1,MIN(10,AM$173)))*(1+V_dPrecio))</f>
        <v>0</v>
      </c>
      <c r="AN209" s="48">
        <f>IF(AN$8=1,IF(Reales!$C$45="PYG",IF(AN$10&gt;0,N(Reales!AN45)/AN$10,0),N(Reales!AN45)),AN$184*IF(AND(AND(35&gt;Corte,35&lt;=Corte+n_Ventana),ISNUMBER(Detalle_24m!AN$49)),Detalle_24m!AN$49,INDEX(Precio_V,8)*INDEX(IdxPrecio_V,1,MIN(10,AN$173)))*(1+V_dPrecio))</f>
        <v>0</v>
      </c>
      <c r="AO209" s="48">
        <f>IF(AO$8=1,IF(Reales!$C$45="PYG",IF(AO$10&gt;0,N(Reales!AO45)/AO$10,0),N(Reales!AO45)),AO$184*IF(AND(AND(36&gt;Corte,36&lt;=Corte+n_Ventana),ISNUMBER(Detalle_24m!AO$49)),Detalle_24m!AO$49,INDEX(Precio_V,8)*INDEX(IdxPrecio_V,1,MIN(10,AO$173)))*(1+V_dPrecio))</f>
        <v>0</v>
      </c>
      <c r="AP209" s="48">
        <f>IF(AP$8=1,IF(Reales!$C$45="PYG",IF(AP$10&gt;0,N(Reales!AP45)/AP$10,0),N(Reales!AP45)),AP$184*IF(AND(AND(37&gt;Corte,37&lt;=Corte+n_Ventana),ISNUMBER(Detalle_24m!AP$49)),Detalle_24m!AP$49,INDEX(Precio_V,8)*INDEX(IdxPrecio_V,1,MIN(10,AP$173)))*(1+V_dPrecio))</f>
        <v>0</v>
      </c>
      <c r="AQ209" s="48">
        <f>IF(AQ$8=1,IF(Reales!$C$45="PYG",IF(AQ$10&gt;0,N(Reales!AQ45)/AQ$10,0),N(Reales!AQ45)),AQ$184*IF(AND(AND(38&gt;Corte,38&lt;=Corte+n_Ventana),ISNUMBER(Detalle_24m!AQ$49)),Detalle_24m!AQ$49,INDEX(Precio_V,8)*INDEX(IdxPrecio_V,1,MIN(10,AQ$173)))*(1+V_dPrecio))</f>
        <v>0</v>
      </c>
      <c r="AR209" s="48">
        <f>IF(AR$8=1,IF(Reales!$C$45="PYG",IF(AR$10&gt;0,N(Reales!AR45)/AR$10,0),N(Reales!AR45)),AR$184*IF(AND(AND(39&gt;Corte,39&lt;=Corte+n_Ventana),ISNUMBER(Detalle_24m!AR$49)),Detalle_24m!AR$49,INDEX(Precio_V,8)*INDEX(IdxPrecio_V,1,MIN(10,AR$173)))*(1+V_dPrecio))</f>
        <v>0</v>
      </c>
      <c r="AS209" s="48">
        <f>IF(AS$8=1,IF(Reales!$C$45="PYG",IF(AS$10&gt;0,N(Reales!AS45)/AS$10,0),N(Reales!AS45)),AS$184*IF(AND(AND(40&gt;Corte,40&lt;=Corte+n_Ventana),ISNUMBER(Detalle_24m!AS$49)),Detalle_24m!AS$49,INDEX(Precio_V,8)*INDEX(IdxPrecio_V,1,MIN(10,AS$173)))*(1+V_dPrecio))</f>
        <v>0</v>
      </c>
      <c r="AT209" s="48">
        <f>IF(AT$8=1,IF(Reales!$C$45="PYG",IF(AT$10&gt;0,N(Reales!AT45)/AT$10,0),N(Reales!AT45)),AT$184*IF(AND(AND(41&gt;Corte,41&lt;=Corte+n_Ventana),ISNUMBER(Detalle_24m!AT$49)),Detalle_24m!AT$49,INDEX(Precio_V,8)*INDEX(IdxPrecio_V,1,MIN(10,AT$173)))*(1+V_dPrecio))</f>
        <v>0</v>
      </c>
      <c r="AU209" s="48">
        <f>IF(AU$8=1,IF(Reales!$C$45="PYG",IF(AU$10&gt;0,N(Reales!AU45)/AU$10,0),N(Reales!AU45)),AU$184*IF(AND(AND(42&gt;Corte,42&lt;=Corte+n_Ventana),ISNUMBER(Detalle_24m!AU$49)),Detalle_24m!AU$49,INDEX(Precio_V,8)*INDEX(IdxPrecio_V,1,MIN(10,AU$173)))*(1+V_dPrecio))</f>
        <v>0</v>
      </c>
      <c r="AV209" s="48">
        <f>IF(AV$8=1,IF(Reales!$C$45="PYG",IF(AV$10&gt;0,N(Reales!AV45)/AV$10,0),N(Reales!AV45)),AV$184*IF(AND(AND(43&gt;Corte,43&lt;=Corte+n_Ventana),ISNUMBER(Detalle_24m!AV$49)),Detalle_24m!AV$49,INDEX(Precio_V,8)*INDEX(IdxPrecio_V,1,MIN(10,AV$173)))*(1+V_dPrecio))</f>
        <v>0</v>
      </c>
      <c r="AW209" s="48">
        <f>IF(AW$8=1,IF(Reales!$C$45="PYG",IF(AW$10&gt;0,N(Reales!AW45)/AW$10,0),N(Reales!AW45)),AW$184*IF(AND(AND(44&gt;Corte,44&lt;=Corte+n_Ventana),ISNUMBER(Detalle_24m!AW$49)),Detalle_24m!AW$49,INDEX(Precio_V,8)*INDEX(IdxPrecio_V,1,MIN(10,AW$173)))*(1+V_dPrecio))</f>
        <v>0</v>
      </c>
      <c r="AX209" s="48">
        <f>IF(AX$8=1,IF(Reales!$C$45="PYG",IF(AX$10&gt;0,N(Reales!AX45)/AX$10,0),N(Reales!AX45)),AX$184*IF(AND(AND(45&gt;Corte,45&lt;=Corte+n_Ventana),ISNUMBER(Detalle_24m!AX$49)),Detalle_24m!AX$49,INDEX(Precio_V,8)*INDEX(IdxPrecio_V,1,MIN(10,AX$173)))*(1+V_dPrecio))</f>
        <v>0</v>
      </c>
      <c r="AY209" s="48">
        <f>IF(AY$8=1,IF(Reales!$C$45="PYG",IF(AY$10&gt;0,N(Reales!AY45)/AY$10,0),N(Reales!AY45)),AY$184*IF(AND(AND(46&gt;Corte,46&lt;=Corte+n_Ventana),ISNUMBER(Detalle_24m!AY$49)),Detalle_24m!AY$49,INDEX(Precio_V,8)*INDEX(IdxPrecio_V,1,MIN(10,AY$173)))*(1+V_dPrecio))</f>
        <v>0</v>
      </c>
      <c r="AZ209" s="48">
        <f>IF(AZ$8=1,IF(Reales!$C$45="PYG",IF(AZ$10&gt;0,N(Reales!AZ45)/AZ$10,0),N(Reales!AZ45)),AZ$184*IF(AND(AND(47&gt;Corte,47&lt;=Corte+n_Ventana),ISNUMBER(Detalle_24m!AZ$49)),Detalle_24m!AZ$49,INDEX(Precio_V,8)*INDEX(IdxPrecio_V,1,MIN(10,AZ$173)))*(1+V_dPrecio))</f>
        <v>0</v>
      </c>
      <c r="BA209" s="48">
        <f>IF(BA$8=1,IF(Reales!$C$45="PYG",IF(BA$10&gt;0,N(Reales!BA45)/BA$10,0),N(Reales!BA45)),BA$184*IF(AND(AND(48&gt;Corte,48&lt;=Corte+n_Ventana),ISNUMBER(Detalle_24m!BA$49)),Detalle_24m!BA$49,INDEX(Precio_V,8)*INDEX(IdxPrecio_V,1,MIN(10,BA$173)))*(1+V_dPrecio))</f>
        <v>0</v>
      </c>
      <c r="BB209" s="48">
        <f>IF(BB$8=1,IF(Reales!$C$45="PYG",IF(BB$10&gt;0,N(Reales!BB45)/BB$10,0),N(Reales!BB45)),BB$184*IF(AND(AND(49&gt;Corte,49&lt;=Corte+n_Ventana),ISNUMBER(Detalle_24m!BB$49)),Detalle_24m!BB$49,INDEX(Precio_V,8)*INDEX(IdxPrecio_V,1,MIN(10,BB$173)))*(1+V_dPrecio))</f>
        <v>0</v>
      </c>
      <c r="BC209" s="48">
        <f>IF(BC$8=1,IF(Reales!$C$45="PYG",IF(BC$10&gt;0,N(Reales!BC45)/BC$10,0),N(Reales!BC45)),BC$184*IF(AND(AND(50&gt;Corte,50&lt;=Corte+n_Ventana),ISNUMBER(Detalle_24m!BC$49)),Detalle_24m!BC$49,INDEX(Precio_V,8)*INDEX(IdxPrecio_V,1,MIN(10,BC$173)))*(1+V_dPrecio))</f>
        <v>0</v>
      </c>
      <c r="BD209" s="48">
        <f>IF(BD$8=1,IF(Reales!$C$45="PYG",IF(BD$10&gt;0,N(Reales!BD45)/BD$10,0),N(Reales!BD45)),BD$184*IF(AND(AND(51&gt;Corte,51&lt;=Corte+n_Ventana),ISNUMBER(Detalle_24m!BD$49)),Detalle_24m!BD$49,INDEX(Precio_V,8)*INDEX(IdxPrecio_V,1,MIN(10,BD$173)))*(1+V_dPrecio))</f>
        <v>0</v>
      </c>
      <c r="BE209" s="48">
        <f>IF(BE$8=1,IF(Reales!$C$45="PYG",IF(BE$10&gt;0,N(Reales!BE45)/BE$10,0),N(Reales!BE45)),BE$184*IF(AND(AND(52&gt;Corte,52&lt;=Corte+n_Ventana),ISNUMBER(Detalle_24m!BE$49)),Detalle_24m!BE$49,INDEX(Precio_V,8)*INDEX(IdxPrecio_V,1,MIN(10,BE$173)))*(1+V_dPrecio))</f>
        <v>0</v>
      </c>
      <c r="BF209" s="48">
        <f>IF(BF$8=1,IF(Reales!$C$45="PYG",IF(BF$10&gt;0,N(Reales!BF45)/BF$10,0),N(Reales!BF45)),BF$184*IF(AND(AND(53&gt;Corte,53&lt;=Corte+n_Ventana),ISNUMBER(Detalle_24m!BF$49)),Detalle_24m!BF$49,INDEX(Precio_V,8)*INDEX(IdxPrecio_V,1,MIN(10,BF$173)))*(1+V_dPrecio))</f>
        <v>0</v>
      </c>
      <c r="BG209" s="48">
        <f>IF(BG$8=1,IF(Reales!$C$45="PYG",IF(BG$10&gt;0,N(Reales!BG45)/BG$10,0),N(Reales!BG45)),BG$184*IF(AND(AND(54&gt;Corte,54&lt;=Corte+n_Ventana),ISNUMBER(Detalle_24m!BG$49)),Detalle_24m!BG$49,INDEX(Precio_V,8)*INDEX(IdxPrecio_V,1,MIN(10,BG$173)))*(1+V_dPrecio))</f>
        <v>0</v>
      </c>
      <c r="BH209" s="48">
        <f>IF(BH$8=1,IF(Reales!$C$45="PYG",IF(BH$10&gt;0,N(Reales!BH45)/BH$10,0),N(Reales!BH45)),BH$184*IF(AND(AND(55&gt;Corte,55&lt;=Corte+n_Ventana),ISNUMBER(Detalle_24m!BH$49)),Detalle_24m!BH$49,INDEX(Precio_V,8)*INDEX(IdxPrecio_V,1,MIN(10,BH$173)))*(1+V_dPrecio))</f>
        <v>0</v>
      </c>
      <c r="BI209" s="48">
        <f>IF(BI$8=1,IF(Reales!$C$45="PYG",IF(BI$10&gt;0,N(Reales!BI45)/BI$10,0),N(Reales!BI45)),BI$184*IF(AND(AND(56&gt;Corte,56&lt;=Corte+n_Ventana),ISNUMBER(Detalle_24m!BI$49)),Detalle_24m!BI$49,INDEX(Precio_V,8)*INDEX(IdxPrecio_V,1,MIN(10,BI$173)))*(1+V_dPrecio))</f>
        <v>0</v>
      </c>
      <c r="BJ209" s="48">
        <f>IF(BJ$8=1,IF(Reales!$C$45="PYG",IF(BJ$10&gt;0,N(Reales!BJ45)/BJ$10,0),N(Reales!BJ45)),BJ$184*IF(AND(AND(57&gt;Corte,57&lt;=Corte+n_Ventana),ISNUMBER(Detalle_24m!BJ$49)),Detalle_24m!BJ$49,INDEX(Precio_V,8)*INDEX(IdxPrecio_V,1,MIN(10,BJ$173)))*(1+V_dPrecio))</f>
        <v>0</v>
      </c>
      <c r="BK209" s="48">
        <f>IF(BK$8=1,IF(Reales!$C$45="PYG",IF(BK$10&gt;0,N(Reales!BK45)/BK$10,0),N(Reales!BK45)),BK$184*IF(AND(AND(58&gt;Corte,58&lt;=Corte+n_Ventana),ISNUMBER(Detalle_24m!BK$49)),Detalle_24m!BK$49,INDEX(Precio_V,8)*INDEX(IdxPrecio_V,1,MIN(10,BK$173)))*(1+V_dPrecio))</f>
        <v>0</v>
      </c>
      <c r="BL209" s="48">
        <f>IF(BL$8=1,IF(Reales!$C$45="PYG",IF(BL$10&gt;0,N(Reales!BL45)/BL$10,0),N(Reales!BL45)),BL$184*IF(AND(AND(59&gt;Corte,59&lt;=Corte+n_Ventana),ISNUMBER(Detalle_24m!BL$49)),Detalle_24m!BL$49,INDEX(Precio_V,8)*INDEX(IdxPrecio_V,1,MIN(10,BL$173)))*(1+V_dPrecio))</f>
        <v>0</v>
      </c>
      <c r="BM209" s="48">
        <f>IF(BM$8=1,IF(Reales!$C$45="PYG",IF(BM$10&gt;0,N(Reales!BM45)/BM$10,0),N(Reales!BM45)),BM$184*IF(AND(AND(60&gt;Corte,60&lt;=Corte+n_Ventana),ISNUMBER(Detalle_24m!BM$49)),Detalle_24m!BM$49,INDEX(Precio_V,8)*INDEX(IdxPrecio_V,1,MIN(10,BM$173)))*(1+V_dPrecio))</f>
        <v>0</v>
      </c>
      <c r="BN209" s="48">
        <f>IF(BN$8=1,IF(Reales!$C$45="PYG",IF(BN$10&gt;0,N(Reales!BN45)/BN$10,0),N(Reales!BN45)),BN$184*IF(AND(AND(61&gt;Corte,61&lt;=Corte+n_Ventana),ISNUMBER(Detalle_24m!BN$49)),Detalle_24m!BN$49,INDEX(Precio_V,8)*INDEX(IdxPrecio_V,1,MIN(10,BN$173)))*(1+V_dPrecio))</f>
        <v>0</v>
      </c>
      <c r="BO209" s="48">
        <f>IF(BO$8=1,IF(Reales!$C$45="PYG",IF(BO$10&gt;0,N(Reales!BO45)/BO$10,0),N(Reales!BO45)),BO$184*IF(AND(AND(62&gt;Corte,62&lt;=Corte+n_Ventana),ISNUMBER(Detalle_24m!BO$49)),Detalle_24m!BO$49,INDEX(Precio_V,8)*INDEX(IdxPrecio_V,1,MIN(10,BO$173)))*(1+V_dPrecio))</f>
        <v>0</v>
      </c>
      <c r="BP209" s="48">
        <f>IF(BP$8=1,IF(Reales!$C$45="PYG",IF(BP$10&gt;0,N(Reales!BP45)/BP$10,0),N(Reales!BP45)),BP$184*IF(AND(AND(63&gt;Corte,63&lt;=Corte+n_Ventana),ISNUMBER(Detalle_24m!BP$49)),Detalle_24m!BP$49,INDEX(Precio_V,8)*INDEX(IdxPrecio_V,1,MIN(10,BP$173)))*(1+V_dPrecio))</f>
        <v>0</v>
      </c>
      <c r="BQ209" s="48">
        <f>IF(BQ$8=1,IF(Reales!$C$45="PYG",IF(BQ$10&gt;0,N(Reales!BQ45)/BQ$10,0),N(Reales!BQ45)),BQ$184*IF(AND(AND(64&gt;Corte,64&lt;=Corte+n_Ventana),ISNUMBER(Detalle_24m!BQ$49)),Detalle_24m!BQ$49,INDEX(Precio_V,8)*INDEX(IdxPrecio_V,1,MIN(10,BQ$173)))*(1+V_dPrecio))</f>
        <v>0</v>
      </c>
      <c r="BR209" s="48">
        <f>IF(BR$8=1,IF(Reales!$C$45="PYG",IF(BR$10&gt;0,N(Reales!BR45)/BR$10,0),N(Reales!BR45)),BR$184*IF(AND(AND(65&gt;Corte,65&lt;=Corte+n_Ventana),ISNUMBER(Detalle_24m!BR$49)),Detalle_24m!BR$49,INDEX(Precio_V,8)*INDEX(IdxPrecio_V,1,MIN(10,BR$173)))*(1+V_dPrecio))</f>
        <v>0</v>
      </c>
      <c r="BS209" s="48">
        <f>IF(BS$8=1,IF(Reales!$C$45="PYG",IF(BS$10&gt;0,N(Reales!BS45)/BS$10,0),N(Reales!BS45)),BS$184*IF(AND(AND(66&gt;Corte,66&lt;=Corte+n_Ventana),ISNUMBER(Detalle_24m!BS$49)),Detalle_24m!BS$49,INDEX(Precio_V,8)*INDEX(IdxPrecio_V,1,MIN(10,BS$173)))*(1+V_dPrecio))</f>
        <v>0</v>
      </c>
      <c r="BT209" s="48">
        <f>IF(BT$8=1,IF(Reales!$C$45="PYG",IF(BT$10&gt;0,N(Reales!BT45)/BT$10,0),N(Reales!BT45)),BT$184*IF(AND(AND(67&gt;Corte,67&lt;=Corte+n_Ventana),ISNUMBER(Detalle_24m!BT$49)),Detalle_24m!BT$49,INDEX(Precio_V,8)*INDEX(IdxPrecio_V,1,MIN(10,BT$173)))*(1+V_dPrecio))</f>
        <v>0</v>
      </c>
      <c r="BU209" s="48">
        <f>IF(BU$8=1,IF(Reales!$C$45="PYG",IF(BU$10&gt;0,N(Reales!BU45)/BU$10,0),N(Reales!BU45)),BU$184*IF(AND(AND(68&gt;Corte,68&lt;=Corte+n_Ventana),ISNUMBER(Detalle_24m!BU$49)),Detalle_24m!BU$49,INDEX(Precio_V,8)*INDEX(IdxPrecio_V,1,MIN(10,BU$173)))*(1+V_dPrecio))</f>
        <v>0</v>
      </c>
      <c r="BV209" s="48">
        <f>IF(BV$8=1,IF(Reales!$C$45="PYG",IF(BV$10&gt;0,N(Reales!BV45)/BV$10,0),N(Reales!BV45)),BV$184*IF(AND(AND(69&gt;Corte,69&lt;=Corte+n_Ventana),ISNUMBER(Detalle_24m!BV$49)),Detalle_24m!BV$49,INDEX(Precio_V,8)*INDEX(IdxPrecio_V,1,MIN(10,BV$173)))*(1+V_dPrecio))</f>
        <v>0</v>
      </c>
      <c r="BW209" s="48">
        <f>IF(BW$8=1,IF(Reales!$C$45="PYG",IF(BW$10&gt;0,N(Reales!BW45)/BW$10,0),N(Reales!BW45)),BW$184*IF(AND(AND(70&gt;Corte,70&lt;=Corte+n_Ventana),ISNUMBER(Detalle_24m!BW$49)),Detalle_24m!BW$49,INDEX(Precio_V,8)*INDEX(IdxPrecio_V,1,MIN(10,BW$173)))*(1+V_dPrecio))</f>
        <v>0</v>
      </c>
      <c r="BX209" s="48">
        <f>IF(BX$8=1,IF(Reales!$C$45="PYG",IF(BX$10&gt;0,N(Reales!BX45)/BX$10,0),N(Reales!BX45)),BX$184*IF(AND(AND(71&gt;Corte,71&lt;=Corte+n_Ventana),ISNUMBER(Detalle_24m!BX$49)),Detalle_24m!BX$49,INDEX(Precio_V,8)*INDEX(IdxPrecio_V,1,MIN(10,BX$173)))*(1+V_dPrecio))</f>
        <v>0</v>
      </c>
      <c r="BY209" s="48">
        <f>IF(BY$8=1,IF(Reales!$C$45="PYG",IF(BY$10&gt;0,N(Reales!BY45)/BY$10,0),N(Reales!BY45)),BY$184*IF(AND(AND(72&gt;Corte,72&lt;=Corte+n_Ventana),ISNUMBER(Detalle_24m!BY$49)),Detalle_24m!BY$49,INDEX(Precio_V,8)*INDEX(IdxPrecio_V,1,MIN(10,BY$173)))*(1+V_dPrecio))</f>
        <v>0</v>
      </c>
      <c r="BZ209" s="48">
        <f>IF(BZ$8=1,IF(Reales!$C$45="PYG",IF(BZ$10&gt;0,N(Reales!BZ45)/BZ$10,0),N(Reales!BZ45)),BZ$184*IF(AND(AND(73&gt;Corte,73&lt;=Corte+n_Ventana),ISNUMBER(Detalle_24m!BZ$49)),Detalle_24m!BZ$49,INDEX(Precio_V,8)*INDEX(IdxPrecio_V,1,MIN(10,BZ$173)))*(1+V_dPrecio))</f>
        <v>0</v>
      </c>
      <c r="CA209" s="48">
        <f>IF(CA$8=1,IF(Reales!$C$45="PYG",IF(CA$10&gt;0,N(Reales!CA45)/CA$10,0),N(Reales!CA45)),CA$184*IF(AND(AND(74&gt;Corte,74&lt;=Corte+n_Ventana),ISNUMBER(Detalle_24m!CA$49)),Detalle_24m!CA$49,INDEX(Precio_V,8)*INDEX(IdxPrecio_V,1,MIN(10,CA$173)))*(1+V_dPrecio))</f>
        <v>0</v>
      </c>
      <c r="CB209" s="48">
        <f>IF(CB$8=1,IF(Reales!$C$45="PYG",IF(CB$10&gt;0,N(Reales!CB45)/CB$10,0),N(Reales!CB45)),CB$184*IF(AND(AND(75&gt;Corte,75&lt;=Corte+n_Ventana),ISNUMBER(Detalle_24m!CB$49)),Detalle_24m!CB$49,INDEX(Precio_V,8)*INDEX(IdxPrecio_V,1,MIN(10,CB$173)))*(1+V_dPrecio))</f>
        <v>0</v>
      </c>
      <c r="CC209" s="48">
        <f>IF(CC$8=1,IF(Reales!$C$45="PYG",IF(CC$10&gt;0,N(Reales!CC45)/CC$10,0),N(Reales!CC45)),CC$184*IF(AND(AND(76&gt;Corte,76&lt;=Corte+n_Ventana),ISNUMBER(Detalle_24m!CC$49)),Detalle_24m!CC$49,INDEX(Precio_V,8)*INDEX(IdxPrecio_V,1,MIN(10,CC$173)))*(1+V_dPrecio))</f>
        <v>0</v>
      </c>
      <c r="CD209" s="48">
        <f>IF(CD$8=1,IF(Reales!$C$45="PYG",IF(CD$10&gt;0,N(Reales!CD45)/CD$10,0),N(Reales!CD45)),CD$184*IF(AND(AND(77&gt;Corte,77&lt;=Corte+n_Ventana),ISNUMBER(Detalle_24m!CD$49)),Detalle_24m!CD$49,INDEX(Precio_V,8)*INDEX(IdxPrecio_V,1,MIN(10,CD$173)))*(1+V_dPrecio))</f>
        <v>0</v>
      </c>
      <c r="CE209" s="48">
        <f>IF(CE$8=1,IF(Reales!$C$45="PYG",IF(CE$10&gt;0,N(Reales!CE45)/CE$10,0),N(Reales!CE45)),CE$184*IF(AND(AND(78&gt;Corte,78&lt;=Corte+n_Ventana),ISNUMBER(Detalle_24m!CE$49)),Detalle_24m!CE$49,INDEX(Precio_V,8)*INDEX(IdxPrecio_V,1,MIN(10,CE$173)))*(1+V_dPrecio))</f>
        <v>0</v>
      </c>
      <c r="CF209" s="48">
        <f>IF(CF$8=1,IF(Reales!$C$45="PYG",IF(CF$10&gt;0,N(Reales!CF45)/CF$10,0),N(Reales!CF45)),CF$184*IF(AND(AND(79&gt;Corte,79&lt;=Corte+n_Ventana),ISNUMBER(Detalle_24m!CF$49)),Detalle_24m!CF$49,INDEX(Precio_V,8)*INDEX(IdxPrecio_V,1,MIN(10,CF$173)))*(1+V_dPrecio))</f>
        <v>0</v>
      </c>
      <c r="CG209" s="48">
        <f>IF(CG$8=1,IF(Reales!$C$45="PYG",IF(CG$10&gt;0,N(Reales!CG45)/CG$10,0),N(Reales!CG45)),CG$184*IF(AND(AND(80&gt;Corte,80&lt;=Corte+n_Ventana),ISNUMBER(Detalle_24m!CG$49)),Detalle_24m!CG$49,INDEX(Precio_V,8)*INDEX(IdxPrecio_V,1,MIN(10,CG$173)))*(1+V_dPrecio))</f>
        <v>0</v>
      </c>
      <c r="CH209" s="48">
        <f>IF(CH$8=1,IF(Reales!$C$45="PYG",IF(CH$10&gt;0,N(Reales!CH45)/CH$10,0),N(Reales!CH45)),CH$184*IF(AND(AND(81&gt;Corte,81&lt;=Corte+n_Ventana),ISNUMBER(Detalle_24m!CH$49)),Detalle_24m!CH$49,INDEX(Precio_V,8)*INDEX(IdxPrecio_V,1,MIN(10,CH$173)))*(1+V_dPrecio))</f>
        <v>0</v>
      </c>
      <c r="CI209" s="48">
        <f>IF(CI$8=1,IF(Reales!$C$45="PYG",IF(CI$10&gt;0,N(Reales!CI45)/CI$10,0),N(Reales!CI45)),CI$184*IF(AND(AND(82&gt;Corte,82&lt;=Corte+n_Ventana),ISNUMBER(Detalle_24m!CI$49)),Detalle_24m!CI$49,INDEX(Precio_V,8)*INDEX(IdxPrecio_V,1,MIN(10,CI$173)))*(1+V_dPrecio))</f>
        <v>0</v>
      </c>
      <c r="CJ209" s="48">
        <f>IF(CJ$8=1,IF(Reales!$C$45="PYG",IF(CJ$10&gt;0,N(Reales!CJ45)/CJ$10,0),N(Reales!CJ45)),CJ$184*IF(AND(AND(83&gt;Corte,83&lt;=Corte+n_Ventana),ISNUMBER(Detalle_24m!CJ$49)),Detalle_24m!CJ$49,INDEX(Precio_V,8)*INDEX(IdxPrecio_V,1,MIN(10,CJ$173)))*(1+V_dPrecio))</f>
        <v>0</v>
      </c>
      <c r="CK209" s="48">
        <f>IF(CK$8=1,IF(Reales!$C$45="PYG",IF(CK$10&gt;0,N(Reales!CK45)/CK$10,0),N(Reales!CK45)),CK$184*IF(AND(AND(84&gt;Corte,84&lt;=Corte+n_Ventana),ISNUMBER(Detalle_24m!CK$49)),Detalle_24m!CK$49,INDEX(Precio_V,8)*INDEX(IdxPrecio_V,1,MIN(10,CK$173)))*(1+V_dPrecio))</f>
        <v>0</v>
      </c>
      <c r="CL209" s="48">
        <f>IF(CL$8=1,IF(Reales!$C$45="PYG",IF(CL$10&gt;0,N(Reales!CL45)/CL$10,0),N(Reales!CL45)),CL$184*IF(AND(AND(85&gt;Corte,85&lt;=Corte+n_Ventana),ISNUMBER(Detalle_24m!CL$49)),Detalle_24m!CL$49,INDEX(Precio_V,8)*INDEX(IdxPrecio_V,1,MIN(10,CL$173)))*(1+V_dPrecio))</f>
        <v>0</v>
      </c>
      <c r="CM209" s="48">
        <f>IF(CM$8=1,IF(Reales!$C$45="PYG",IF(CM$10&gt;0,N(Reales!CM45)/CM$10,0),N(Reales!CM45)),CM$184*IF(AND(AND(86&gt;Corte,86&lt;=Corte+n_Ventana),ISNUMBER(Detalle_24m!CM$49)),Detalle_24m!CM$49,INDEX(Precio_V,8)*INDEX(IdxPrecio_V,1,MIN(10,CM$173)))*(1+V_dPrecio))</f>
        <v>0</v>
      </c>
      <c r="CN209" s="48">
        <f>IF(CN$8=1,IF(Reales!$C$45="PYG",IF(CN$10&gt;0,N(Reales!CN45)/CN$10,0),N(Reales!CN45)),CN$184*IF(AND(AND(87&gt;Corte,87&lt;=Corte+n_Ventana),ISNUMBER(Detalle_24m!CN$49)),Detalle_24m!CN$49,INDEX(Precio_V,8)*INDEX(IdxPrecio_V,1,MIN(10,CN$173)))*(1+V_dPrecio))</f>
        <v>0</v>
      </c>
      <c r="CO209" s="48">
        <f>IF(CO$8=1,IF(Reales!$C$45="PYG",IF(CO$10&gt;0,N(Reales!CO45)/CO$10,0),N(Reales!CO45)),CO$184*IF(AND(AND(88&gt;Corte,88&lt;=Corte+n_Ventana),ISNUMBER(Detalle_24m!CO$49)),Detalle_24m!CO$49,INDEX(Precio_V,8)*INDEX(IdxPrecio_V,1,MIN(10,CO$173)))*(1+V_dPrecio))</f>
        <v>0</v>
      </c>
      <c r="CP209" s="48">
        <f>IF(CP$8=1,IF(Reales!$C$45="PYG",IF(CP$10&gt;0,N(Reales!CP45)/CP$10,0),N(Reales!CP45)),CP$184*IF(AND(AND(89&gt;Corte,89&lt;=Corte+n_Ventana),ISNUMBER(Detalle_24m!CP$49)),Detalle_24m!CP$49,INDEX(Precio_V,8)*INDEX(IdxPrecio_V,1,MIN(10,CP$173)))*(1+V_dPrecio))</f>
        <v>0</v>
      </c>
      <c r="CQ209" s="48">
        <f>IF(CQ$8=1,IF(Reales!$C$45="PYG",IF(CQ$10&gt;0,N(Reales!CQ45)/CQ$10,0),N(Reales!CQ45)),CQ$184*IF(AND(AND(90&gt;Corte,90&lt;=Corte+n_Ventana),ISNUMBER(Detalle_24m!CQ$49)),Detalle_24m!CQ$49,INDEX(Precio_V,8)*INDEX(IdxPrecio_V,1,MIN(10,CQ$173)))*(1+V_dPrecio))</f>
        <v>0</v>
      </c>
      <c r="CR209" s="48">
        <f>IF(CR$8=1,IF(Reales!$C$45="PYG",IF(CR$10&gt;0,N(Reales!CR45)/CR$10,0),N(Reales!CR45)),CR$184*IF(AND(AND(91&gt;Corte,91&lt;=Corte+n_Ventana),ISNUMBER(Detalle_24m!CR$49)),Detalle_24m!CR$49,INDEX(Precio_V,8)*INDEX(IdxPrecio_V,1,MIN(10,CR$173)))*(1+V_dPrecio))</f>
        <v>0</v>
      </c>
      <c r="CS209" s="48">
        <f>IF(CS$8=1,IF(Reales!$C$45="PYG",IF(CS$10&gt;0,N(Reales!CS45)/CS$10,0),N(Reales!CS45)),CS$184*IF(AND(AND(92&gt;Corte,92&lt;=Corte+n_Ventana),ISNUMBER(Detalle_24m!CS$49)),Detalle_24m!CS$49,INDEX(Precio_V,8)*INDEX(IdxPrecio_V,1,MIN(10,CS$173)))*(1+V_dPrecio))</f>
        <v>0</v>
      </c>
      <c r="CT209" s="48">
        <f>IF(CT$8=1,IF(Reales!$C$45="PYG",IF(CT$10&gt;0,N(Reales!CT45)/CT$10,0),N(Reales!CT45)),CT$184*IF(AND(AND(93&gt;Corte,93&lt;=Corte+n_Ventana),ISNUMBER(Detalle_24m!CT$49)),Detalle_24m!CT$49,INDEX(Precio_V,8)*INDEX(IdxPrecio_V,1,MIN(10,CT$173)))*(1+V_dPrecio))</f>
        <v>0</v>
      </c>
      <c r="CU209" s="48">
        <f>IF(CU$8=1,IF(Reales!$C$45="PYG",IF(CU$10&gt;0,N(Reales!CU45)/CU$10,0),N(Reales!CU45)),CU$184*IF(AND(AND(94&gt;Corte,94&lt;=Corte+n_Ventana),ISNUMBER(Detalle_24m!CU$49)),Detalle_24m!CU$49,INDEX(Precio_V,8)*INDEX(IdxPrecio_V,1,MIN(10,CU$173)))*(1+V_dPrecio))</f>
        <v>0</v>
      </c>
      <c r="CV209" s="48">
        <f>IF(CV$8=1,IF(Reales!$C$45="PYG",IF(CV$10&gt;0,N(Reales!CV45)/CV$10,0),N(Reales!CV45)),CV$184*IF(AND(AND(95&gt;Corte,95&lt;=Corte+n_Ventana),ISNUMBER(Detalle_24m!CV$49)),Detalle_24m!CV$49,INDEX(Precio_V,8)*INDEX(IdxPrecio_V,1,MIN(10,CV$173)))*(1+V_dPrecio))</f>
        <v>0</v>
      </c>
      <c r="CW209" s="48">
        <f>IF(CW$8=1,IF(Reales!$C$45="PYG",IF(CW$10&gt;0,N(Reales!CW45)/CW$10,0),N(Reales!CW45)),CW$184*IF(AND(AND(96&gt;Corte,96&lt;=Corte+n_Ventana),ISNUMBER(Detalle_24m!CW$49)),Detalle_24m!CW$49,INDEX(Precio_V,8)*INDEX(IdxPrecio_V,1,MIN(10,CW$173)))*(1+V_dPrecio))</f>
        <v>0</v>
      </c>
      <c r="CX209" s="48">
        <f>IF(CX$8=1,IF(Reales!$C$45="PYG",IF(CX$10&gt;0,N(Reales!CX45)/CX$10,0),N(Reales!CX45)),CX$184*IF(AND(AND(97&gt;Corte,97&lt;=Corte+n_Ventana),ISNUMBER(Detalle_24m!CX$49)),Detalle_24m!CX$49,INDEX(Precio_V,8)*INDEX(IdxPrecio_V,1,MIN(10,CX$173)))*(1+V_dPrecio))</f>
        <v>0</v>
      </c>
      <c r="CY209" s="48">
        <f>IF(CY$8=1,IF(Reales!$C$45="PYG",IF(CY$10&gt;0,N(Reales!CY45)/CY$10,0),N(Reales!CY45)),CY$184*IF(AND(AND(98&gt;Corte,98&lt;=Corte+n_Ventana),ISNUMBER(Detalle_24m!CY$49)),Detalle_24m!CY$49,INDEX(Precio_V,8)*INDEX(IdxPrecio_V,1,MIN(10,CY$173)))*(1+V_dPrecio))</f>
        <v>0</v>
      </c>
      <c r="CZ209" s="48">
        <f>IF(CZ$8=1,IF(Reales!$C$45="PYG",IF(CZ$10&gt;0,N(Reales!CZ45)/CZ$10,0),N(Reales!CZ45)),CZ$184*IF(AND(AND(99&gt;Corte,99&lt;=Corte+n_Ventana),ISNUMBER(Detalle_24m!CZ$49)),Detalle_24m!CZ$49,INDEX(Precio_V,8)*INDEX(IdxPrecio_V,1,MIN(10,CZ$173)))*(1+V_dPrecio))</f>
        <v>0</v>
      </c>
      <c r="DA209" s="48">
        <f>IF(DA$8=1,IF(Reales!$C$45="PYG",IF(DA$10&gt;0,N(Reales!DA45)/DA$10,0),N(Reales!DA45)),DA$184*IF(AND(AND(100&gt;Corte,100&lt;=Corte+n_Ventana),ISNUMBER(Detalle_24m!DA$49)),Detalle_24m!DA$49,INDEX(Precio_V,8)*INDEX(IdxPrecio_V,1,MIN(10,DA$173)))*(1+V_dPrecio))</f>
        <v>0</v>
      </c>
      <c r="DB209" s="48">
        <f>IF(DB$8=1,IF(Reales!$C$45="PYG",IF(DB$10&gt;0,N(Reales!DB45)/DB$10,0),N(Reales!DB45)),DB$184*IF(AND(AND(101&gt;Corte,101&lt;=Corte+n_Ventana),ISNUMBER(Detalle_24m!DB$49)),Detalle_24m!DB$49,INDEX(Precio_V,8)*INDEX(IdxPrecio_V,1,MIN(10,DB$173)))*(1+V_dPrecio))</f>
        <v>0</v>
      </c>
      <c r="DC209" s="48">
        <f>IF(DC$8=1,IF(Reales!$C$45="PYG",IF(DC$10&gt;0,N(Reales!DC45)/DC$10,0),N(Reales!DC45)),DC$184*IF(AND(AND(102&gt;Corte,102&lt;=Corte+n_Ventana),ISNUMBER(Detalle_24m!DC$49)),Detalle_24m!DC$49,INDEX(Precio_V,8)*INDEX(IdxPrecio_V,1,MIN(10,DC$173)))*(1+V_dPrecio))</f>
        <v>0</v>
      </c>
      <c r="DD209" s="48">
        <f>IF(DD$8=1,IF(Reales!$C$45="PYG",IF(DD$10&gt;0,N(Reales!DD45)/DD$10,0),N(Reales!DD45)),DD$184*IF(AND(AND(103&gt;Corte,103&lt;=Corte+n_Ventana),ISNUMBER(Detalle_24m!DD$49)),Detalle_24m!DD$49,INDEX(Precio_V,8)*INDEX(IdxPrecio_V,1,MIN(10,DD$173)))*(1+V_dPrecio))</f>
        <v>0</v>
      </c>
      <c r="DE209" s="48">
        <f>IF(DE$8=1,IF(Reales!$C$45="PYG",IF(DE$10&gt;0,N(Reales!DE45)/DE$10,0),N(Reales!DE45)),DE$184*IF(AND(AND(104&gt;Corte,104&lt;=Corte+n_Ventana),ISNUMBER(Detalle_24m!DE$49)),Detalle_24m!DE$49,INDEX(Precio_V,8)*INDEX(IdxPrecio_V,1,MIN(10,DE$173)))*(1+V_dPrecio))</f>
        <v>0</v>
      </c>
      <c r="DF209" s="48">
        <f>IF(DF$8=1,IF(Reales!$C$45="PYG",IF(DF$10&gt;0,N(Reales!DF45)/DF$10,0),N(Reales!DF45)),DF$184*IF(AND(AND(105&gt;Corte,105&lt;=Corte+n_Ventana),ISNUMBER(Detalle_24m!DF$49)),Detalle_24m!DF$49,INDEX(Precio_V,8)*INDEX(IdxPrecio_V,1,MIN(10,DF$173)))*(1+V_dPrecio))</f>
        <v>0</v>
      </c>
      <c r="DG209" s="48">
        <f>IF(DG$8=1,IF(Reales!$C$45="PYG",IF(DG$10&gt;0,N(Reales!DG45)/DG$10,0),N(Reales!DG45)),DG$184*IF(AND(AND(106&gt;Corte,106&lt;=Corte+n_Ventana),ISNUMBER(Detalle_24m!DG$49)),Detalle_24m!DG$49,INDEX(Precio_V,8)*INDEX(IdxPrecio_V,1,MIN(10,DG$173)))*(1+V_dPrecio))</f>
        <v>0</v>
      </c>
      <c r="DH209" s="48">
        <f>IF(DH$8=1,IF(Reales!$C$45="PYG",IF(DH$10&gt;0,N(Reales!DH45)/DH$10,0),N(Reales!DH45)),DH$184*IF(AND(AND(107&gt;Corte,107&lt;=Corte+n_Ventana),ISNUMBER(Detalle_24m!DH$49)),Detalle_24m!DH$49,INDEX(Precio_V,8)*INDEX(IdxPrecio_V,1,MIN(10,DH$173)))*(1+V_dPrecio))</f>
        <v>0</v>
      </c>
      <c r="DI209" s="48">
        <f>IF(DI$8=1,IF(Reales!$C$45="PYG",IF(DI$10&gt;0,N(Reales!DI45)/DI$10,0),N(Reales!DI45)),DI$184*IF(AND(AND(108&gt;Corte,108&lt;=Corte+n_Ventana),ISNUMBER(Detalle_24m!DI$49)),Detalle_24m!DI$49,INDEX(Precio_V,8)*INDEX(IdxPrecio_V,1,MIN(10,DI$173)))*(1+V_dPrecio))</f>
        <v>0</v>
      </c>
      <c r="DJ209" s="48">
        <f>IF(DJ$8=1,IF(Reales!$C$45="PYG",IF(DJ$10&gt;0,N(Reales!DJ45)/DJ$10,0),N(Reales!DJ45)),DJ$184*IF(AND(AND(109&gt;Corte,109&lt;=Corte+n_Ventana),ISNUMBER(Detalle_24m!DJ$49)),Detalle_24m!DJ$49,INDEX(Precio_V,8)*INDEX(IdxPrecio_V,1,MIN(10,DJ$173)))*(1+V_dPrecio))</f>
        <v>0</v>
      </c>
      <c r="DK209" s="48">
        <f>IF(DK$8=1,IF(Reales!$C$45="PYG",IF(DK$10&gt;0,N(Reales!DK45)/DK$10,0),N(Reales!DK45)),DK$184*IF(AND(AND(110&gt;Corte,110&lt;=Corte+n_Ventana),ISNUMBER(Detalle_24m!DK$49)),Detalle_24m!DK$49,INDEX(Precio_V,8)*INDEX(IdxPrecio_V,1,MIN(10,DK$173)))*(1+V_dPrecio))</f>
        <v>0</v>
      </c>
      <c r="DL209" s="48">
        <f>IF(DL$8=1,IF(Reales!$C$45="PYG",IF(DL$10&gt;0,N(Reales!DL45)/DL$10,0),N(Reales!DL45)),DL$184*IF(AND(AND(111&gt;Corte,111&lt;=Corte+n_Ventana),ISNUMBER(Detalle_24m!DL$49)),Detalle_24m!DL$49,INDEX(Precio_V,8)*INDEX(IdxPrecio_V,1,MIN(10,DL$173)))*(1+V_dPrecio))</f>
        <v>0</v>
      </c>
      <c r="DM209" s="48">
        <f>IF(DM$8=1,IF(Reales!$C$45="PYG",IF(DM$10&gt;0,N(Reales!DM45)/DM$10,0),N(Reales!DM45)),DM$184*IF(AND(AND(112&gt;Corte,112&lt;=Corte+n_Ventana),ISNUMBER(Detalle_24m!DM$49)),Detalle_24m!DM$49,INDEX(Precio_V,8)*INDEX(IdxPrecio_V,1,MIN(10,DM$173)))*(1+V_dPrecio))</f>
        <v>0</v>
      </c>
      <c r="DN209" s="48">
        <f>IF(DN$8=1,IF(Reales!$C$45="PYG",IF(DN$10&gt;0,N(Reales!DN45)/DN$10,0),N(Reales!DN45)),DN$184*IF(AND(AND(113&gt;Corte,113&lt;=Corte+n_Ventana),ISNUMBER(Detalle_24m!DN$49)),Detalle_24m!DN$49,INDEX(Precio_V,8)*INDEX(IdxPrecio_V,1,MIN(10,DN$173)))*(1+V_dPrecio))</f>
        <v>0</v>
      </c>
      <c r="DO209" s="48">
        <f>IF(DO$8=1,IF(Reales!$C$45="PYG",IF(DO$10&gt;0,N(Reales!DO45)/DO$10,0),N(Reales!DO45)),DO$184*IF(AND(AND(114&gt;Corte,114&lt;=Corte+n_Ventana),ISNUMBER(Detalle_24m!DO$49)),Detalle_24m!DO$49,INDEX(Precio_V,8)*INDEX(IdxPrecio_V,1,MIN(10,DO$173)))*(1+V_dPrecio))</f>
        <v>0</v>
      </c>
      <c r="DP209" s="48">
        <f>IF(DP$8=1,IF(Reales!$C$45="PYG",IF(DP$10&gt;0,N(Reales!DP45)/DP$10,0),N(Reales!DP45)),DP$184*IF(AND(AND(115&gt;Corte,115&lt;=Corte+n_Ventana),ISNUMBER(Detalle_24m!DP$49)),Detalle_24m!DP$49,INDEX(Precio_V,8)*INDEX(IdxPrecio_V,1,MIN(10,DP$173)))*(1+V_dPrecio))</f>
        <v>0</v>
      </c>
      <c r="DQ209" s="48">
        <f>IF(DQ$8=1,IF(Reales!$C$45="PYG",IF(DQ$10&gt;0,N(Reales!DQ45)/DQ$10,0),N(Reales!DQ45)),DQ$184*IF(AND(AND(116&gt;Corte,116&lt;=Corte+n_Ventana),ISNUMBER(Detalle_24m!DQ$49)),Detalle_24m!DQ$49,INDEX(Precio_V,8)*INDEX(IdxPrecio_V,1,MIN(10,DQ$173)))*(1+V_dPrecio))</f>
        <v>0</v>
      </c>
      <c r="DR209" s="48">
        <f>IF(DR$8=1,IF(Reales!$C$45="PYG",IF(DR$10&gt;0,N(Reales!DR45)/DR$10,0),N(Reales!DR45)),DR$184*IF(AND(AND(117&gt;Corte,117&lt;=Corte+n_Ventana),ISNUMBER(Detalle_24m!DR$49)),Detalle_24m!DR$49,INDEX(Precio_V,8)*INDEX(IdxPrecio_V,1,MIN(10,DR$173)))*(1+V_dPrecio))</f>
        <v>0</v>
      </c>
      <c r="DS209" s="48">
        <f>IF(DS$8=1,IF(Reales!$C$45="PYG",IF(DS$10&gt;0,N(Reales!DS45)/DS$10,0),N(Reales!DS45)),DS$184*IF(AND(AND(118&gt;Corte,118&lt;=Corte+n_Ventana),ISNUMBER(Detalle_24m!DS$49)),Detalle_24m!DS$49,INDEX(Precio_V,8)*INDEX(IdxPrecio_V,1,MIN(10,DS$173)))*(1+V_dPrecio))</f>
        <v>0</v>
      </c>
      <c r="DT209" s="48">
        <f>IF(DT$8=1,IF(Reales!$C$45="PYG",IF(DT$10&gt;0,N(Reales!DT45)/DT$10,0),N(Reales!DT45)),DT$184*IF(AND(AND(119&gt;Corte,119&lt;=Corte+n_Ventana),ISNUMBER(Detalle_24m!DT$49)),Detalle_24m!DT$49,INDEX(Precio_V,8)*INDEX(IdxPrecio_V,1,MIN(10,DT$173)))*(1+V_dPrecio))</f>
        <v>0</v>
      </c>
      <c r="DU209" s="48">
        <f>IF(DU$8=1,IF(Reales!$C$45="PYG",IF(DU$10&gt;0,N(Reales!DU45)/DU$10,0),N(Reales!DU45)),DU$184*IF(AND(AND(120&gt;Corte,120&lt;=Corte+n_Ventana),ISNUMBER(Detalle_24m!DU$49)),Detalle_24m!DU$49,INDEX(Precio_V,8)*INDEX(IdxPrecio_V,1,MIN(10,DU$173)))*(1+V_dPrecio))</f>
        <v>0</v>
      </c>
      <c r="DV209" s="48">
        <f>IF(DV$8=1,IF(Reales!$C$45="PYG",IF(DV$10&gt;0,N(Reales!DV45)/DV$10,0),N(Reales!DV45)),DV$184*IF(AND(AND(121&gt;Corte,121&lt;=Corte+n_Ventana),ISNUMBER(Detalle_24m!DV$49)),Detalle_24m!DV$49,INDEX(Precio_V,8)*INDEX(IdxPrecio_V,1,MIN(10,DV$173)))*(1+V_dPrecio))</f>
        <v>0</v>
      </c>
      <c r="DW209" s="48">
        <f>IF(DW$8=1,IF(Reales!$C$45="PYG",IF(DW$10&gt;0,N(Reales!DW45)/DW$10,0),N(Reales!DW45)),DW$184*IF(AND(AND(122&gt;Corte,122&lt;=Corte+n_Ventana),ISNUMBER(Detalle_24m!DW$49)),Detalle_24m!DW$49,INDEX(Precio_V,8)*INDEX(IdxPrecio_V,1,MIN(10,DW$173)))*(1+V_dPrecio))</f>
        <v>0</v>
      </c>
      <c r="DX209" s="48">
        <f>IF(DX$8=1,IF(Reales!$C$45="PYG",IF(DX$10&gt;0,N(Reales!DX45)/DX$10,0),N(Reales!DX45)),DX$184*IF(AND(AND(123&gt;Corte,123&lt;=Corte+n_Ventana),ISNUMBER(Detalle_24m!DX$49)),Detalle_24m!DX$49,INDEX(Precio_V,8)*INDEX(IdxPrecio_V,1,MIN(10,DX$173)))*(1+V_dPrecio))</f>
        <v>0</v>
      </c>
      <c r="DY209" s="48">
        <f>IF(DY$8=1,IF(Reales!$C$45="PYG",IF(DY$10&gt;0,N(Reales!DY45)/DY$10,0),N(Reales!DY45)),DY$184*IF(AND(AND(124&gt;Corte,124&lt;=Corte+n_Ventana),ISNUMBER(Detalle_24m!DY$49)),Detalle_24m!DY$49,INDEX(Precio_V,8)*INDEX(IdxPrecio_V,1,MIN(10,DY$173)))*(1+V_dPrecio))</f>
        <v>0</v>
      </c>
      <c r="DZ209" s="48">
        <f>IF(DZ$8=1,IF(Reales!$C$45="PYG",IF(DZ$10&gt;0,N(Reales!DZ45)/DZ$10,0),N(Reales!DZ45)),DZ$184*IF(AND(AND(125&gt;Corte,125&lt;=Corte+n_Ventana),ISNUMBER(Detalle_24m!DZ$49)),Detalle_24m!DZ$49,INDEX(Precio_V,8)*INDEX(IdxPrecio_V,1,MIN(10,DZ$173)))*(1+V_dPrecio))</f>
        <v>0</v>
      </c>
      <c r="EA209" s="48">
        <f>IF(EA$8=1,IF(Reales!$C$45="PYG",IF(EA$10&gt;0,N(Reales!EA45)/EA$10,0),N(Reales!EA45)),EA$184*IF(AND(AND(126&gt;Corte,126&lt;=Corte+n_Ventana),ISNUMBER(Detalle_24m!EA$49)),Detalle_24m!EA$49,INDEX(Precio_V,8)*INDEX(IdxPrecio_V,1,MIN(10,EA$173)))*(1+V_dPrecio))</f>
        <v>0</v>
      </c>
      <c r="EB209" s="48">
        <f>IF(EB$8=1,IF(Reales!$C$45="PYG",IF(EB$10&gt;0,N(Reales!EB45)/EB$10,0),N(Reales!EB45)),EB$184*IF(AND(AND(127&gt;Corte,127&lt;=Corte+n_Ventana),ISNUMBER(Detalle_24m!EB$49)),Detalle_24m!EB$49,INDEX(Precio_V,8)*INDEX(IdxPrecio_V,1,MIN(10,EB$173)))*(1+V_dPrecio))</f>
        <v>0</v>
      </c>
      <c r="EC209" s="48">
        <f>IF(EC$8=1,IF(Reales!$C$45="PYG",IF(EC$10&gt;0,N(Reales!EC45)/EC$10,0),N(Reales!EC45)),EC$184*IF(AND(AND(128&gt;Corte,128&lt;=Corte+n_Ventana),ISNUMBER(Detalle_24m!EC$49)),Detalle_24m!EC$49,INDEX(Precio_V,8)*INDEX(IdxPrecio_V,1,MIN(10,EC$173)))*(1+V_dPrecio))</f>
        <v>0</v>
      </c>
      <c r="ED209" s="48">
        <f>IF(ED$8=1,IF(Reales!$C$45="PYG",IF(ED$10&gt;0,N(Reales!ED45)/ED$10,0),N(Reales!ED45)),ED$184*IF(AND(AND(129&gt;Corte,129&lt;=Corte+n_Ventana),ISNUMBER(Detalle_24m!ED$49)),Detalle_24m!ED$49,INDEX(Precio_V,8)*INDEX(IdxPrecio_V,1,MIN(10,ED$173)))*(1+V_dPrecio))</f>
        <v>0</v>
      </c>
      <c r="EE209" s="48">
        <f>IF(EE$8=1,IF(Reales!$C$45="PYG",IF(EE$10&gt;0,N(Reales!EE45)/EE$10,0),N(Reales!EE45)),EE$184*IF(AND(AND(130&gt;Corte,130&lt;=Corte+n_Ventana),ISNUMBER(Detalle_24m!EE$49)),Detalle_24m!EE$49,INDEX(Precio_V,8)*INDEX(IdxPrecio_V,1,MIN(10,EE$173)))*(1+V_dPrecio))</f>
        <v>0</v>
      </c>
      <c r="EF209" s="48">
        <f>IF(EF$8=1,IF(Reales!$C$45="PYG",IF(EF$10&gt;0,N(Reales!EF45)/EF$10,0),N(Reales!EF45)),EF$184*IF(AND(AND(131&gt;Corte,131&lt;=Corte+n_Ventana),ISNUMBER(Detalle_24m!EF$49)),Detalle_24m!EF$49,INDEX(Precio_V,8)*INDEX(IdxPrecio_V,1,MIN(10,EF$173)))*(1+V_dPrecio))</f>
        <v>0</v>
      </c>
      <c r="EG209" s="48">
        <f>IF(EG$8=1,IF(Reales!$C$45="PYG",IF(EG$10&gt;0,N(Reales!EG45)/EG$10,0),N(Reales!EG45)),EG$184*IF(AND(AND(132&gt;Corte,132&lt;=Corte+n_Ventana),ISNUMBER(Detalle_24m!EG$49)),Detalle_24m!EG$49,INDEX(Precio_V,8)*INDEX(IdxPrecio_V,1,MIN(10,EG$173)))*(1+V_dPrecio))</f>
        <v>0</v>
      </c>
      <c r="EH209" s="48">
        <f>IF(EH$8=1,IF(Reales!$C$45="PYG",IF(EH$10&gt;0,N(Reales!EH45)/EH$10,0),N(Reales!EH45)),EH$184*IF(AND(AND(133&gt;Corte,133&lt;=Corte+n_Ventana),ISNUMBER(Detalle_24m!EH$49)),Detalle_24m!EH$49,INDEX(Precio_V,8)*INDEX(IdxPrecio_V,1,MIN(10,EH$173)))*(1+V_dPrecio))</f>
        <v>0</v>
      </c>
      <c r="EI209" s="48">
        <f>IF(EI$8=1,IF(Reales!$C$45="PYG",IF(EI$10&gt;0,N(Reales!EI45)/EI$10,0),N(Reales!EI45)),EI$184*IF(AND(AND(134&gt;Corte,134&lt;=Corte+n_Ventana),ISNUMBER(Detalle_24m!EI$49)),Detalle_24m!EI$49,INDEX(Precio_V,8)*INDEX(IdxPrecio_V,1,MIN(10,EI$173)))*(1+V_dPrecio))</f>
        <v>0</v>
      </c>
      <c r="EJ209" s="48">
        <f>IF(EJ$8=1,IF(Reales!$C$45="PYG",IF(EJ$10&gt;0,N(Reales!EJ45)/EJ$10,0),N(Reales!EJ45)),EJ$184*IF(AND(AND(135&gt;Corte,135&lt;=Corte+n_Ventana),ISNUMBER(Detalle_24m!EJ$49)),Detalle_24m!EJ$49,INDEX(Precio_V,8)*INDEX(IdxPrecio_V,1,MIN(10,EJ$173)))*(1+V_dPrecio))</f>
        <v>0</v>
      </c>
      <c r="EK209" s="48">
        <f>IF(EK$8=1,IF(Reales!$C$45="PYG",IF(EK$10&gt;0,N(Reales!EK45)/EK$10,0),N(Reales!EK45)),EK$184*IF(AND(AND(136&gt;Corte,136&lt;=Corte+n_Ventana),ISNUMBER(Detalle_24m!EK$49)),Detalle_24m!EK$49,INDEX(Precio_V,8)*INDEX(IdxPrecio_V,1,MIN(10,EK$173)))*(1+V_dPrecio))</f>
        <v>0</v>
      </c>
      <c r="EL209" s="48">
        <f>IF(EL$8=1,IF(Reales!$C$45="PYG",IF(EL$10&gt;0,N(Reales!EL45)/EL$10,0),N(Reales!EL45)),EL$184*IF(AND(AND(137&gt;Corte,137&lt;=Corte+n_Ventana),ISNUMBER(Detalle_24m!EL$49)),Detalle_24m!EL$49,INDEX(Precio_V,8)*INDEX(IdxPrecio_V,1,MIN(10,EL$173)))*(1+V_dPrecio))</f>
        <v>0</v>
      </c>
      <c r="EM209" s="48">
        <f>IF(EM$8=1,IF(Reales!$C$45="PYG",IF(EM$10&gt;0,N(Reales!EM45)/EM$10,0),N(Reales!EM45)),EM$184*IF(AND(AND(138&gt;Corte,138&lt;=Corte+n_Ventana),ISNUMBER(Detalle_24m!EM$49)),Detalle_24m!EM$49,INDEX(Precio_V,8)*INDEX(IdxPrecio_V,1,MIN(10,EM$173)))*(1+V_dPrecio))</f>
        <v>0</v>
      </c>
      <c r="EN209" s="48">
        <f>IF(EN$8=1,IF(Reales!$C$45="PYG",IF(EN$10&gt;0,N(Reales!EN45)/EN$10,0),N(Reales!EN45)),EN$184*IF(AND(AND(139&gt;Corte,139&lt;=Corte+n_Ventana),ISNUMBER(Detalle_24m!EN$49)),Detalle_24m!EN$49,INDEX(Precio_V,8)*INDEX(IdxPrecio_V,1,MIN(10,EN$173)))*(1+V_dPrecio))</f>
        <v>0</v>
      </c>
      <c r="EO209" s="48">
        <f>IF(EO$8=1,IF(Reales!$C$45="PYG",IF(EO$10&gt;0,N(Reales!EO45)/EO$10,0),N(Reales!EO45)),EO$184*IF(AND(AND(140&gt;Corte,140&lt;=Corte+n_Ventana),ISNUMBER(Detalle_24m!EO$49)),Detalle_24m!EO$49,INDEX(Precio_V,8)*INDEX(IdxPrecio_V,1,MIN(10,EO$173)))*(1+V_dPrecio))</f>
        <v>0</v>
      </c>
      <c r="EP209" s="48">
        <f>IF(EP$8=1,IF(Reales!$C$45="PYG",IF(EP$10&gt;0,N(Reales!EP45)/EP$10,0),N(Reales!EP45)),EP$184*IF(AND(AND(141&gt;Corte,141&lt;=Corte+n_Ventana),ISNUMBER(Detalle_24m!EP$49)),Detalle_24m!EP$49,INDEX(Precio_V,8)*INDEX(IdxPrecio_V,1,MIN(10,EP$173)))*(1+V_dPrecio))</f>
        <v>0</v>
      </c>
      <c r="EQ209" s="48">
        <f>IF(EQ$8=1,IF(Reales!$C$45="PYG",IF(EQ$10&gt;0,N(Reales!EQ45)/EQ$10,0),N(Reales!EQ45)),EQ$184*IF(AND(AND(142&gt;Corte,142&lt;=Corte+n_Ventana),ISNUMBER(Detalle_24m!EQ$49)),Detalle_24m!EQ$49,INDEX(Precio_V,8)*INDEX(IdxPrecio_V,1,MIN(10,EQ$173)))*(1+V_dPrecio))</f>
        <v>0</v>
      </c>
      <c r="ER209" s="48">
        <f>IF(ER$8=1,IF(Reales!$C$45="PYG",IF(ER$10&gt;0,N(Reales!ER45)/ER$10,0),N(Reales!ER45)),ER$184*IF(AND(AND(143&gt;Corte,143&lt;=Corte+n_Ventana),ISNUMBER(Detalle_24m!ER$49)),Detalle_24m!ER$49,INDEX(Precio_V,8)*INDEX(IdxPrecio_V,1,MIN(10,ER$173)))*(1+V_dPrecio))</f>
        <v>0</v>
      </c>
      <c r="ES209" s="48">
        <f>IF(ES$8=1,IF(Reales!$C$45="PYG",IF(ES$10&gt;0,N(Reales!ES45)/ES$10,0),N(Reales!ES45)),ES$184*IF(AND(AND(144&gt;Corte,144&lt;=Corte+n_Ventana),ISNUMBER(Detalle_24m!ES$49)),Detalle_24m!ES$49,INDEX(Precio_V,8)*INDEX(IdxPrecio_V,1,MIN(10,ES$173)))*(1+V_dPrecio))</f>
        <v>0</v>
      </c>
    </row>
    <row r="210" spans="1:149" x14ac:dyDescent="0.3">
      <c r="A210" s="14" t="s">
        <v>1265</v>
      </c>
      <c r="B210" s="53" t="str">
        <f>IF(INDEX(Prod_Nombre,9)="","Producto 9",INDEX(Prod_Nombre,9))&amp;" — ventas USD"</f>
        <v>Producto 9 — ventas USD</v>
      </c>
      <c r="C210" s="18" t="s">
        <v>439</v>
      </c>
      <c r="E210" s="54">
        <f t="shared" si="605"/>
        <v>0</v>
      </c>
      <c r="F210" s="48">
        <f>IF(F$8=1,IF(Reales!$C$46="PYG",IF(F$10&gt;0,N(Reales!F46)/F$10,0),N(Reales!F46)),F$185*IF(AND(AND(1&gt;Corte,1&lt;=Corte+n_Ventana),ISNUMBER(Detalle_24m!F$50)),Detalle_24m!F$50,INDEX(Precio_V,9)*INDEX(IdxPrecio_V,1,MIN(10,F$173)))*(1+V_dPrecio))</f>
        <v>0</v>
      </c>
      <c r="G210" s="48">
        <f>IF(G$8=1,IF(Reales!$C$46="PYG",IF(G$10&gt;0,N(Reales!G46)/G$10,0),N(Reales!G46)),G$185*IF(AND(AND(2&gt;Corte,2&lt;=Corte+n_Ventana),ISNUMBER(Detalle_24m!G$50)),Detalle_24m!G$50,INDEX(Precio_V,9)*INDEX(IdxPrecio_V,1,MIN(10,G$173)))*(1+V_dPrecio))</f>
        <v>0</v>
      </c>
      <c r="H210" s="48">
        <f>IF(H$8=1,IF(Reales!$C$46="PYG",IF(H$10&gt;0,N(Reales!H46)/H$10,0),N(Reales!H46)),H$185*IF(AND(AND(3&gt;Corte,3&lt;=Corte+n_Ventana),ISNUMBER(Detalle_24m!H$50)),Detalle_24m!H$50,INDEX(Precio_V,9)*INDEX(IdxPrecio_V,1,MIN(10,H$173)))*(1+V_dPrecio))</f>
        <v>0</v>
      </c>
      <c r="I210" s="48">
        <f>IF(I$8=1,IF(Reales!$C$46="PYG",IF(I$10&gt;0,N(Reales!I46)/I$10,0),N(Reales!I46)),I$185*IF(AND(AND(4&gt;Corte,4&lt;=Corte+n_Ventana),ISNUMBER(Detalle_24m!I$50)),Detalle_24m!I$50,INDEX(Precio_V,9)*INDEX(IdxPrecio_V,1,MIN(10,I$173)))*(1+V_dPrecio))</f>
        <v>0</v>
      </c>
      <c r="J210" s="48">
        <f>IF(J$8=1,IF(Reales!$C$46="PYG",IF(J$10&gt;0,N(Reales!J46)/J$10,0),N(Reales!J46)),J$185*IF(AND(AND(5&gt;Corte,5&lt;=Corte+n_Ventana),ISNUMBER(Detalle_24m!J$50)),Detalle_24m!J$50,INDEX(Precio_V,9)*INDEX(IdxPrecio_V,1,MIN(10,J$173)))*(1+V_dPrecio))</f>
        <v>0</v>
      </c>
      <c r="K210" s="48">
        <f>IF(K$8=1,IF(Reales!$C$46="PYG",IF(K$10&gt;0,N(Reales!K46)/K$10,0),N(Reales!K46)),K$185*IF(AND(AND(6&gt;Corte,6&lt;=Corte+n_Ventana),ISNUMBER(Detalle_24m!K$50)),Detalle_24m!K$50,INDEX(Precio_V,9)*INDEX(IdxPrecio_V,1,MIN(10,K$173)))*(1+V_dPrecio))</f>
        <v>0</v>
      </c>
      <c r="L210" s="48">
        <f>IF(L$8=1,IF(Reales!$C$46="PYG",IF(L$10&gt;0,N(Reales!L46)/L$10,0),N(Reales!L46)),L$185*IF(AND(AND(7&gt;Corte,7&lt;=Corte+n_Ventana),ISNUMBER(Detalle_24m!L$50)),Detalle_24m!L$50,INDEX(Precio_V,9)*INDEX(IdxPrecio_V,1,MIN(10,L$173)))*(1+V_dPrecio))</f>
        <v>0</v>
      </c>
      <c r="M210" s="48">
        <f>IF(M$8=1,IF(Reales!$C$46="PYG",IF(M$10&gt;0,N(Reales!M46)/M$10,0),N(Reales!M46)),M$185*IF(AND(AND(8&gt;Corte,8&lt;=Corte+n_Ventana),ISNUMBER(Detalle_24m!M$50)),Detalle_24m!M$50,INDEX(Precio_V,9)*INDEX(IdxPrecio_V,1,MIN(10,M$173)))*(1+V_dPrecio))</f>
        <v>0</v>
      </c>
      <c r="N210" s="48">
        <f>IF(N$8=1,IF(Reales!$C$46="PYG",IF(N$10&gt;0,N(Reales!N46)/N$10,0),N(Reales!N46)),N$185*IF(AND(AND(9&gt;Corte,9&lt;=Corte+n_Ventana),ISNUMBER(Detalle_24m!N$50)),Detalle_24m!N$50,INDEX(Precio_V,9)*INDEX(IdxPrecio_V,1,MIN(10,N$173)))*(1+V_dPrecio))</f>
        <v>0</v>
      </c>
      <c r="O210" s="48">
        <f>IF(O$8=1,IF(Reales!$C$46="PYG",IF(O$10&gt;0,N(Reales!O46)/O$10,0),N(Reales!O46)),O$185*IF(AND(AND(10&gt;Corte,10&lt;=Corte+n_Ventana),ISNUMBER(Detalle_24m!O$50)),Detalle_24m!O$50,INDEX(Precio_V,9)*INDEX(IdxPrecio_V,1,MIN(10,O$173)))*(1+V_dPrecio))</f>
        <v>0</v>
      </c>
      <c r="P210" s="48">
        <f>IF(P$8=1,IF(Reales!$C$46="PYG",IF(P$10&gt;0,N(Reales!P46)/P$10,0),N(Reales!P46)),P$185*IF(AND(AND(11&gt;Corte,11&lt;=Corte+n_Ventana),ISNUMBER(Detalle_24m!P$50)),Detalle_24m!P$50,INDEX(Precio_V,9)*INDEX(IdxPrecio_V,1,MIN(10,P$173)))*(1+V_dPrecio))</f>
        <v>0</v>
      </c>
      <c r="Q210" s="48">
        <f>IF(Q$8=1,IF(Reales!$C$46="PYG",IF(Q$10&gt;0,N(Reales!Q46)/Q$10,0),N(Reales!Q46)),Q$185*IF(AND(AND(12&gt;Corte,12&lt;=Corte+n_Ventana),ISNUMBER(Detalle_24m!Q$50)),Detalle_24m!Q$50,INDEX(Precio_V,9)*INDEX(IdxPrecio_V,1,MIN(10,Q$173)))*(1+V_dPrecio))</f>
        <v>0</v>
      </c>
      <c r="R210" s="48">
        <f>IF(R$8=1,IF(Reales!$C$46="PYG",IF(R$10&gt;0,N(Reales!R46)/R$10,0),N(Reales!R46)),R$185*IF(AND(AND(13&gt;Corte,13&lt;=Corte+n_Ventana),ISNUMBER(Detalle_24m!R$50)),Detalle_24m!R$50,INDEX(Precio_V,9)*INDEX(IdxPrecio_V,1,MIN(10,R$173)))*(1+V_dPrecio))</f>
        <v>0</v>
      </c>
      <c r="S210" s="48">
        <f>IF(S$8=1,IF(Reales!$C$46="PYG",IF(S$10&gt;0,N(Reales!S46)/S$10,0),N(Reales!S46)),S$185*IF(AND(AND(14&gt;Corte,14&lt;=Corte+n_Ventana),ISNUMBER(Detalle_24m!S$50)),Detalle_24m!S$50,INDEX(Precio_V,9)*INDEX(IdxPrecio_V,1,MIN(10,S$173)))*(1+V_dPrecio))</f>
        <v>0</v>
      </c>
      <c r="T210" s="48">
        <f>IF(T$8=1,IF(Reales!$C$46="PYG",IF(T$10&gt;0,N(Reales!T46)/T$10,0),N(Reales!T46)),T$185*IF(AND(AND(15&gt;Corte,15&lt;=Corte+n_Ventana),ISNUMBER(Detalle_24m!T$50)),Detalle_24m!T$50,INDEX(Precio_V,9)*INDEX(IdxPrecio_V,1,MIN(10,T$173)))*(1+V_dPrecio))</f>
        <v>0</v>
      </c>
      <c r="U210" s="48">
        <f>IF(U$8=1,IF(Reales!$C$46="PYG",IF(U$10&gt;0,N(Reales!U46)/U$10,0),N(Reales!U46)),U$185*IF(AND(AND(16&gt;Corte,16&lt;=Corte+n_Ventana),ISNUMBER(Detalle_24m!U$50)),Detalle_24m!U$50,INDEX(Precio_V,9)*INDEX(IdxPrecio_V,1,MIN(10,U$173)))*(1+V_dPrecio))</f>
        <v>0</v>
      </c>
      <c r="V210" s="48">
        <f>IF(V$8=1,IF(Reales!$C$46="PYG",IF(V$10&gt;0,N(Reales!V46)/V$10,0),N(Reales!V46)),V$185*IF(AND(AND(17&gt;Corte,17&lt;=Corte+n_Ventana),ISNUMBER(Detalle_24m!V$50)),Detalle_24m!V$50,INDEX(Precio_V,9)*INDEX(IdxPrecio_V,1,MIN(10,V$173)))*(1+V_dPrecio))</f>
        <v>0</v>
      </c>
      <c r="W210" s="48">
        <f>IF(W$8=1,IF(Reales!$C$46="PYG",IF(W$10&gt;0,N(Reales!W46)/W$10,0),N(Reales!W46)),W$185*IF(AND(AND(18&gt;Corte,18&lt;=Corte+n_Ventana),ISNUMBER(Detalle_24m!W$50)),Detalle_24m!W$50,INDEX(Precio_V,9)*INDEX(IdxPrecio_V,1,MIN(10,W$173)))*(1+V_dPrecio))</f>
        <v>0</v>
      </c>
      <c r="X210" s="48">
        <f>IF(X$8=1,IF(Reales!$C$46="PYG",IF(X$10&gt;0,N(Reales!X46)/X$10,0),N(Reales!X46)),X$185*IF(AND(AND(19&gt;Corte,19&lt;=Corte+n_Ventana),ISNUMBER(Detalle_24m!X$50)),Detalle_24m!X$50,INDEX(Precio_V,9)*INDEX(IdxPrecio_V,1,MIN(10,X$173)))*(1+V_dPrecio))</f>
        <v>0</v>
      </c>
      <c r="Y210" s="48">
        <f>IF(Y$8=1,IF(Reales!$C$46="PYG",IF(Y$10&gt;0,N(Reales!Y46)/Y$10,0),N(Reales!Y46)),Y$185*IF(AND(AND(20&gt;Corte,20&lt;=Corte+n_Ventana),ISNUMBER(Detalle_24m!Y$50)),Detalle_24m!Y$50,INDEX(Precio_V,9)*INDEX(IdxPrecio_V,1,MIN(10,Y$173)))*(1+V_dPrecio))</f>
        <v>0</v>
      </c>
      <c r="Z210" s="48">
        <f>IF(Z$8=1,IF(Reales!$C$46="PYG",IF(Z$10&gt;0,N(Reales!Z46)/Z$10,0),N(Reales!Z46)),Z$185*IF(AND(AND(21&gt;Corte,21&lt;=Corte+n_Ventana),ISNUMBER(Detalle_24m!Z$50)),Detalle_24m!Z$50,INDEX(Precio_V,9)*INDEX(IdxPrecio_V,1,MIN(10,Z$173)))*(1+V_dPrecio))</f>
        <v>0</v>
      </c>
      <c r="AA210" s="48">
        <f>IF(AA$8=1,IF(Reales!$C$46="PYG",IF(AA$10&gt;0,N(Reales!AA46)/AA$10,0),N(Reales!AA46)),AA$185*IF(AND(AND(22&gt;Corte,22&lt;=Corte+n_Ventana),ISNUMBER(Detalle_24m!AA$50)),Detalle_24m!AA$50,INDEX(Precio_V,9)*INDEX(IdxPrecio_V,1,MIN(10,AA$173)))*(1+V_dPrecio))</f>
        <v>0</v>
      </c>
      <c r="AB210" s="48">
        <f>IF(AB$8=1,IF(Reales!$C$46="PYG",IF(AB$10&gt;0,N(Reales!AB46)/AB$10,0),N(Reales!AB46)),AB$185*IF(AND(AND(23&gt;Corte,23&lt;=Corte+n_Ventana),ISNUMBER(Detalle_24m!AB$50)),Detalle_24m!AB$50,INDEX(Precio_V,9)*INDEX(IdxPrecio_V,1,MIN(10,AB$173)))*(1+V_dPrecio))</f>
        <v>0</v>
      </c>
      <c r="AC210" s="48">
        <f>IF(AC$8=1,IF(Reales!$C$46="PYG",IF(AC$10&gt;0,N(Reales!AC46)/AC$10,0),N(Reales!AC46)),AC$185*IF(AND(AND(24&gt;Corte,24&lt;=Corte+n_Ventana),ISNUMBER(Detalle_24m!AC$50)),Detalle_24m!AC$50,INDEX(Precio_V,9)*INDEX(IdxPrecio_V,1,MIN(10,AC$173)))*(1+V_dPrecio))</f>
        <v>0</v>
      </c>
      <c r="AD210" s="48">
        <f>IF(AD$8=1,IF(Reales!$C$46="PYG",IF(AD$10&gt;0,N(Reales!AD46)/AD$10,0),N(Reales!AD46)),AD$185*IF(AND(AND(25&gt;Corte,25&lt;=Corte+n_Ventana),ISNUMBER(Detalle_24m!AD$50)),Detalle_24m!AD$50,INDEX(Precio_V,9)*INDEX(IdxPrecio_V,1,MIN(10,AD$173)))*(1+V_dPrecio))</f>
        <v>0</v>
      </c>
      <c r="AE210" s="48">
        <f>IF(AE$8=1,IF(Reales!$C$46="PYG",IF(AE$10&gt;0,N(Reales!AE46)/AE$10,0),N(Reales!AE46)),AE$185*IF(AND(AND(26&gt;Corte,26&lt;=Corte+n_Ventana),ISNUMBER(Detalle_24m!AE$50)),Detalle_24m!AE$50,INDEX(Precio_V,9)*INDEX(IdxPrecio_V,1,MIN(10,AE$173)))*(1+V_dPrecio))</f>
        <v>0</v>
      </c>
      <c r="AF210" s="48">
        <f>IF(AF$8=1,IF(Reales!$C$46="PYG",IF(AF$10&gt;0,N(Reales!AF46)/AF$10,0),N(Reales!AF46)),AF$185*IF(AND(AND(27&gt;Corte,27&lt;=Corte+n_Ventana),ISNUMBER(Detalle_24m!AF$50)),Detalle_24m!AF$50,INDEX(Precio_V,9)*INDEX(IdxPrecio_V,1,MIN(10,AF$173)))*(1+V_dPrecio))</f>
        <v>0</v>
      </c>
      <c r="AG210" s="48">
        <f>IF(AG$8=1,IF(Reales!$C$46="PYG",IF(AG$10&gt;0,N(Reales!AG46)/AG$10,0),N(Reales!AG46)),AG$185*IF(AND(AND(28&gt;Corte,28&lt;=Corte+n_Ventana),ISNUMBER(Detalle_24m!AG$50)),Detalle_24m!AG$50,INDEX(Precio_V,9)*INDEX(IdxPrecio_V,1,MIN(10,AG$173)))*(1+V_dPrecio))</f>
        <v>0</v>
      </c>
      <c r="AH210" s="48">
        <f>IF(AH$8=1,IF(Reales!$C$46="PYG",IF(AH$10&gt;0,N(Reales!AH46)/AH$10,0),N(Reales!AH46)),AH$185*IF(AND(AND(29&gt;Corte,29&lt;=Corte+n_Ventana),ISNUMBER(Detalle_24m!AH$50)),Detalle_24m!AH$50,INDEX(Precio_V,9)*INDEX(IdxPrecio_V,1,MIN(10,AH$173)))*(1+V_dPrecio))</f>
        <v>0</v>
      </c>
      <c r="AI210" s="48">
        <f>IF(AI$8=1,IF(Reales!$C$46="PYG",IF(AI$10&gt;0,N(Reales!AI46)/AI$10,0),N(Reales!AI46)),AI$185*IF(AND(AND(30&gt;Corte,30&lt;=Corte+n_Ventana),ISNUMBER(Detalle_24m!AI$50)),Detalle_24m!AI$50,INDEX(Precio_V,9)*INDEX(IdxPrecio_V,1,MIN(10,AI$173)))*(1+V_dPrecio))</f>
        <v>0</v>
      </c>
      <c r="AJ210" s="48">
        <f>IF(AJ$8=1,IF(Reales!$C$46="PYG",IF(AJ$10&gt;0,N(Reales!AJ46)/AJ$10,0),N(Reales!AJ46)),AJ$185*IF(AND(AND(31&gt;Corte,31&lt;=Corte+n_Ventana),ISNUMBER(Detalle_24m!AJ$50)),Detalle_24m!AJ$50,INDEX(Precio_V,9)*INDEX(IdxPrecio_V,1,MIN(10,AJ$173)))*(1+V_dPrecio))</f>
        <v>0</v>
      </c>
      <c r="AK210" s="48">
        <f>IF(AK$8=1,IF(Reales!$C$46="PYG",IF(AK$10&gt;0,N(Reales!AK46)/AK$10,0),N(Reales!AK46)),AK$185*IF(AND(AND(32&gt;Corte,32&lt;=Corte+n_Ventana),ISNUMBER(Detalle_24m!AK$50)),Detalle_24m!AK$50,INDEX(Precio_V,9)*INDEX(IdxPrecio_V,1,MIN(10,AK$173)))*(1+V_dPrecio))</f>
        <v>0</v>
      </c>
      <c r="AL210" s="48">
        <f>IF(AL$8=1,IF(Reales!$C$46="PYG",IF(AL$10&gt;0,N(Reales!AL46)/AL$10,0),N(Reales!AL46)),AL$185*IF(AND(AND(33&gt;Corte,33&lt;=Corte+n_Ventana),ISNUMBER(Detalle_24m!AL$50)),Detalle_24m!AL$50,INDEX(Precio_V,9)*INDEX(IdxPrecio_V,1,MIN(10,AL$173)))*(1+V_dPrecio))</f>
        <v>0</v>
      </c>
      <c r="AM210" s="48">
        <f>IF(AM$8=1,IF(Reales!$C$46="PYG",IF(AM$10&gt;0,N(Reales!AM46)/AM$10,0),N(Reales!AM46)),AM$185*IF(AND(AND(34&gt;Corte,34&lt;=Corte+n_Ventana),ISNUMBER(Detalle_24m!AM$50)),Detalle_24m!AM$50,INDEX(Precio_V,9)*INDEX(IdxPrecio_V,1,MIN(10,AM$173)))*(1+V_dPrecio))</f>
        <v>0</v>
      </c>
      <c r="AN210" s="48">
        <f>IF(AN$8=1,IF(Reales!$C$46="PYG",IF(AN$10&gt;0,N(Reales!AN46)/AN$10,0),N(Reales!AN46)),AN$185*IF(AND(AND(35&gt;Corte,35&lt;=Corte+n_Ventana),ISNUMBER(Detalle_24m!AN$50)),Detalle_24m!AN$50,INDEX(Precio_V,9)*INDEX(IdxPrecio_V,1,MIN(10,AN$173)))*(1+V_dPrecio))</f>
        <v>0</v>
      </c>
      <c r="AO210" s="48">
        <f>IF(AO$8=1,IF(Reales!$C$46="PYG",IF(AO$10&gt;0,N(Reales!AO46)/AO$10,0),N(Reales!AO46)),AO$185*IF(AND(AND(36&gt;Corte,36&lt;=Corte+n_Ventana),ISNUMBER(Detalle_24m!AO$50)),Detalle_24m!AO$50,INDEX(Precio_V,9)*INDEX(IdxPrecio_V,1,MIN(10,AO$173)))*(1+V_dPrecio))</f>
        <v>0</v>
      </c>
      <c r="AP210" s="48">
        <f>IF(AP$8=1,IF(Reales!$C$46="PYG",IF(AP$10&gt;0,N(Reales!AP46)/AP$10,0),N(Reales!AP46)),AP$185*IF(AND(AND(37&gt;Corte,37&lt;=Corte+n_Ventana),ISNUMBER(Detalle_24m!AP$50)),Detalle_24m!AP$50,INDEX(Precio_V,9)*INDEX(IdxPrecio_V,1,MIN(10,AP$173)))*(1+V_dPrecio))</f>
        <v>0</v>
      </c>
      <c r="AQ210" s="48">
        <f>IF(AQ$8=1,IF(Reales!$C$46="PYG",IF(AQ$10&gt;0,N(Reales!AQ46)/AQ$10,0),N(Reales!AQ46)),AQ$185*IF(AND(AND(38&gt;Corte,38&lt;=Corte+n_Ventana),ISNUMBER(Detalle_24m!AQ$50)),Detalle_24m!AQ$50,INDEX(Precio_V,9)*INDEX(IdxPrecio_V,1,MIN(10,AQ$173)))*(1+V_dPrecio))</f>
        <v>0</v>
      </c>
      <c r="AR210" s="48">
        <f>IF(AR$8=1,IF(Reales!$C$46="PYG",IF(AR$10&gt;0,N(Reales!AR46)/AR$10,0),N(Reales!AR46)),AR$185*IF(AND(AND(39&gt;Corte,39&lt;=Corte+n_Ventana),ISNUMBER(Detalle_24m!AR$50)),Detalle_24m!AR$50,INDEX(Precio_V,9)*INDEX(IdxPrecio_V,1,MIN(10,AR$173)))*(1+V_dPrecio))</f>
        <v>0</v>
      </c>
      <c r="AS210" s="48">
        <f>IF(AS$8=1,IF(Reales!$C$46="PYG",IF(AS$10&gt;0,N(Reales!AS46)/AS$10,0),N(Reales!AS46)),AS$185*IF(AND(AND(40&gt;Corte,40&lt;=Corte+n_Ventana),ISNUMBER(Detalle_24m!AS$50)),Detalle_24m!AS$50,INDEX(Precio_V,9)*INDEX(IdxPrecio_V,1,MIN(10,AS$173)))*(1+V_dPrecio))</f>
        <v>0</v>
      </c>
      <c r="AT210" s="48">
        <f>IF(AT$8=1,IF(Reales!$C$46="PYG",IF(AT$10&gt;0,N(Reales!AT46)/AT$10,0),N(Reales!AT46)),AT$185*IF(AND(AND(41&gt;Corte,41&lt;=Corte+n_Ventana),ISNUMBER(Detalle_24m!AT$50)),Detalle_24m!AT$50,INDEX(Precio_V,9)*INDEX(IdxPrecio_V,1,MIN(10,AT$173)))*(1+V_dPrecio))</f>
        <v>0</v>
      </c>
      <c r="AU210" s="48">
        <f>IF(AU$8=1,IF(Reales!$C$46="PYG",IF(AU$10&gt;0,N(Reales!AU46)/AU$10,0),N(Reales!AU46)),AU$185*IF(AND(AND(42&gt;Corte,42&lt;=Corte+n_Ventana),ISNUMBER(Detalle_24m!AU$50)),Detalle_24m!AU$50,INDEX(Precio_V,9)*INDEX(IdxPrecio_V,1,MIN(10,AU$173)))*(1+V_dPrecio))</f>
        <v>0</v>
      </c>
      <c r="AV210" s="48">
        <f>IF(AV$8=1,IF(Reales!$C$46="PYG",IF(AV$10&gt;0,N(Reales!AV46)/AV$10,0),N(Reales!AV46)),AV$185*IF(AND(AND(43&gt;Corte,43&lt;=Corte+n_Ventana),ISNUMBER(Detalle_24m!AV$50)),Detalle_24m!AV$50,INDEX(Precio_V,9)*INDEX(IdxPrecio_V,1,MIN(10,AV$173)))*(1+V_dPrecio))</f>
        <v>0</v>
      </c>
      <c r="AW210" s="48">
        <f>IF(AW$8=1,IF(Reales!$C$46="PYG",IF(AW$10&gt;0,N(Reales!AW46)/AW$10,0),N(Reales!AW46)),AW$185*IF(AND(AND(44&gt;Corte,44&lt;=Corte+n_Ventana),ISNUMBER(Detalle_24m!AW$50)),Detalle_24m!AW$50,INDEX(Precio_V,9)*INDEX(IdxPrecio_V,1,MIN(10,AW$173)))*(1+V_dPrecio))</f>
        <v>0</v>
      </c>
      <c r="AX210" s="48">
        <f>IF(AX$8=1,IF(Reales!$C$46="PYG",IF(AX$10&gt;0,N(Reales!AX46)/AX$10,0),N(Reales!AX46)),AX$185*IF(AND(AND(45&gt;Corte,45&lt;=Corte+n_Ventana),ISNUMBER(Detalle_24m!AX$50)),Detalle_24m!AX$50,INDEX(Precio_V,9)*INDEX(IdxPrecio_V,1,MIN(10,AX$173)))*(1+V_dPrecio))</f>
        <v>0</v>
      </c>
      <c r="AY210" s="48">
        <f>IF(AY$8=1,IF(Reales!$C$46="PYG",IF(AY$10&gt;0,N(Reales!AY46)/AY$10,0),N(Reales!AY46)),AY$185*IF(AND(AND(46&gt;Corte,46&lt;=Corte+n_Ventana),ISNUMBER(Detalle_24m!AY$50)),Detalle_24m!AY$50,INDEX(Precio_V,9)*INDEX(IdxPrecio_V,1,MIN(10,AY$173)))*(1+V_dPrecio))</f>
        <v>0</v>
      </c>
      <c r="AZ210" s="48">
        <f>IF(AZ$8=1,IF(Reales!$C$46="PYG",IF(AZ$10&gt;0,N(Reales!AZ46)/AZ$10,0),N(Reales!AZ46)),AZ$185*IF(AND(AND(47&gt;Corte,47&lt;=Corte+n_Ventana),ISNUMBER(Detalle_24m!AZ$50)),Detalle_24m!AZ$50,INDEX(Precio_V,9)*INDEX(IdxPrecio_V,1,MIN(10,AZ$173)))*(1+V_dPrecio))</f>
        <v>0</v>
      </c>
      <c r="BA210" s="48">
        <f>IF(BA$8=1,IF(Reales!$C$46="PYG",IF(BA$10&gt;0,N(Reales!BA46)/BA$10,0),N(Reales!BA46)),BA$185*IF(AND(AND(48&gt;Corte,48&lt;=Corte+n_Ventana),ISNUMBER(Detalle_24m!BA$50)),Detalle_24m!BA$50,INDEX(Precio_V,9)*INDEX(IdxPrecio_V,1,MIN(10,BA$173)))*(1+V_dPrecio))</f>
        <v>0</v>
      </c>
      <c r="BB210" s="48">
        <f>IF(BB$8=1,IF(Reales!$C$46="PYG",IF(BB$10&gt;0,N(Reales!BB46)/BB$10,0),N(Reales!BB46)),BB$185*IF(AND(AND(49&gt;Corte,49&lt;=Corte+n_Ventana),ISNUMBER(Detalle_24m!BB$50)),Detalle_24m!BB$50,INDEX(Precio_V,9)*INDEX(IdxPrecio_V,1,MIN(10,BB$173)))*(1+V_dPrecio))</f>
        <v>0</v>
      </c>
      <c r="BC210" s="48">
        <f>IF(BC$8=1,IF(Reales!$C$46="PYG",IF(BC$10&gt;0,N(Reales!BC46)/BC$10,0),N(Reales!BC46)),BC$185*IF(AND(AND(50&gt;Corte,50&lt;=Corte+n_Ventana),ISNUMBER(Detalle_24m!BC$50)),Detalle_24m!BC$50,INDEX(Precio_V,9)*INDEX(IdxPrecio_V,1,MIN(10,BC$173)))*(1+V_dPrecio))</f>
        <v>0</v>
      </c>
      <c r="BD210" s="48">
        <f>IF(BD$8=1,IF(Reales!$C$46="PYG",IF(BD$10&gt;0,N(Reales!BD46)/BD$10,0),N(Reales!BD46)),BD$185*IF(AND(AND(51&gt;Corte,51&lt;=Corte+n_Ventana),ISNUMBER(Detalle_24m!BD$50)),Detalle_24m!BD$50,INDEX(Precio_V,9)*INDEX(IdxPrecio_V,1,MIN(10,BD$173)))*(1+V_dPrecio))</f>
        <v>0</v>
      </c>
      <c r="BE210" s="48">
        <f>IF(BE$8=1,IF(Reales!$C$46="PYG",IF(BE$10&gt;0,N(Reales!BE46)/BE$10,0),N(Reales!BE46)),BE$185*IF(AND(AND(52&gt;Corte,52&lt;=Corte+n_Ventana),ISNUMBER(Detalle_24m!BE$50)),Detalle_24m!BE$50,INDEX(Precio_V,9)*INDEX(IdxPrecio_V,1,MIN(10,BE$173)))*(1+V_dPrecio))</f>
        <v>0</v>
      </c>
      <c r="BF210" s="48">
        <f>IF(BF$8=1,IF(Reales!$C$46="PYG",IF(BF$10&gt;0,N(Reales!BF46)/BF$10,0),N(Reales!BF46)),BF$185*IF(AND(AND(53&gt;Corte,53&lt;=Corte+n_Ventana),ISNUMBER(Detalle_24m!BF$50)),Detalle_24m!BF$50,INDEX(Precio_V,9)*INDEX(IdxPrecio_V,1,MIN(10,BF$173)))*(1+V_dPrecio))</f>
        <v>0</v>
      </c>
      <c r="BG210" s="48">
        <f>IF(BG$8=1,IF(Reales!$C$46="PYG",IF(BG$10&gt;0,N(Reales!BG46)/BG$10,0),N(Reales!BG46)),BG$185*IF(AND(AND(54&gt;Corte,54&lt;=Corte+n_Ventana),ISNUMBER(Detalle_24m!BG$50)),Detalle_24m!BG$50,INDEX(Precio_V,9)*INDEX(IdxPrecio_V,1,MIN(10,BG$173)))*(1+V_dPrecio))</f>
        <v>0</v>
      </c>
      <c r="BH210" s="48">
        <f>IF(BH$8=1,IF(Reales!$C$46="PYG",IF(BH$10&gt;0,N(Reales!BH46)/BH$10,0),N(Reales!BH46)),BH$185*IF(AND(AND(55&gt;Corte,55&lt;=Corte+n_Ventana),ISNUMBER(Detalle_24m!BH$50)),Detalle_24m!BH$50,INDEX(Precio_V,9)*INDEX(IdxPrecio_V,1,MIN(10,BH$173)))*(1+V_dPrecio))</f>
        <v>0</v>
      </c>
      <c r="BI210" s="48">
        <f>IF(BI$8=1,IF(Reales!$C$46="PYG",IF(BI$10&gt;0,N(Reales!BI46)/BI$10,0),N(Reales!BI46)),BI$185*IF(AND(AND(56&gt;Corte,56&lt;=Corte+n_Ventana),ISNUMBER(Detalle_24m!BI$50)),Detalle_24m!BI$50,INDEX(Precio_V,9)*INDEX(IdxPrecio_V,1,MIN(10,BI$173)))*(1+V_dPrecio))</f>
        <v>0</v>
      </c>
      <c r="BJ210" s="48">
        <f>IF(BJ$8=1,IF(Reales!$C$46="PYG",IF(BJ$10&gt;0,N(Reales!BJ46)/BJ$10,0),N(Reales!BJ46)),BJ$185*IF(AND(AND(57&gt;Corte,57&lt;=Corte+n_Ventana),ISNUMBER(Detalle_24m!BJ$50)),Detalle_24m!BJ$50,INDEX(Precio_V,9)*INDEX(IdxPrecio_V,1,MIN(10,BJ$173)))*(1+V_dPrecio))</f>
        <v>0</v>
      </c>
      <c r="BK210" s="48">
        <f>IF(BK$8=1,IF(Reales!$C$46="PYG",IF(BK$10&gt;0,N(Reales!BK46)/BK$10,0),N(Reales!BK46)),BK$185*IF(AND(AND(58&gt;Corte,58&lt;=Corte+n_Ventana),ISNUMBER(Detalle_24m!BK$50)),Detalle_24m!BK$50,INDEX(Precio_V,9)*INDEX(IdxPrecio_V,1,MIN(10,BK$173)))*(1+V_dPrecio))</f>
        <v>0</v>
      </c>
      <c r="BL210" s="48">
        <f>IF(BL$8=1,IF(Reales!$C$46="PYG",IF(BL$10&gt;0,N(Reales!BL46)/BL$10,0),N(Reales!BL46)),BL$185*IF(AND(AND(59&gt;Corte,59&lt;=Corte+n_Ventana),ISNUMBER(Detalle_24m!BL$50)),Detalle_24m!BL$50,INDEX(Precio_V,9)*INDEX(IdxPrecio_V,1,MIN(10,BL$173)))*(1+V_dPrecio))</f>
        <v>0</v>
      </c>
      <c r="BM210" s="48">
        <f>IF(BM$8=1,IF(Reales!$C$46="PYG",IF(BM$10&gt;0,N(Reales!BM46)/BM$10,0),N(Reales!BM46)),BM$185*IF(AND(AND(60&gt;Corte,60&lt;=Corte+n_Ventana),ISNUMBER(Detalle_24m!BM$50)),Detalle_24m!BM$50,INDEX(Precio_V,9)*INDEX(IdxPrecio_V,1,MIN(10,BM$173)))*(1+V_dPrecio))</f>
        <v>0</v>
      </c>
      <c r="BN210" s="48">
        <f>IF(BN$8=1,IF(Reales!$C$46="PYG",IF(BN$10&gt;0,N(Reales!BN46)/BN$10,0),N(Reales!BN46)),BN$185*IF(AND(AND(61&gt;Corte,61&lt;=Corte+n_Ventana),ISNUMBER(Detalle_24m!BN$50)),Detalle_24m!BN$50,INDEX(Precio_V,9)*INDEX(IdxPrecio_V,1,MIN(10,BN$173)))*(1+V_dPrecio))</f>
        <v>0</v>
      </c>
      <c r="BO210" s="48">
        <f>IF(BO$8=1,IF(Reales!$C$46="PYG",IF(BO$10&gt;0,N(Reales!BO46)/BO$10,0),N(Reales!BO46)),BO$185*IF(AND(AND(62&gt;Corte,62&lt;=Corte+n_Ventana),ISNUMBER(Detalle_24m!BO$50)),Detalle_24m!BO$50,INDEX(Precio_V,9)*INDEX(IdxPrecio_V,1,MIN(10,BO$173)))*(1+V_dPrecio))</f>
        <v>0</v>
      </c>
      <c r="BP210" s="48">
        <f>IF(BP$8=1,IF(Reales!$C$46="PYG",IF(BP$10&gt;0,N(Reales!BP46)/BP$10,0),N(Reales!BP46)),BP$185*IF(AND(AND(63&gt;Corte,63&lt;=Corte+n_Ventana),ISNUMBER(Detalle_24m!BP$50)),Detalle_24m!BP$50,INDEX(Precio_V,9)*INDEX(IdxPrecio_V,1,MIN(10,BP$173)))*(1+V_dPrecio))</f>
        <v>0</v>
      </c>
      <c r="BQ210" s="48">
        <f>IF(BQ$8=1,IF(Reales!$C$46="PYG",IF(BQ$10&gt;0,N(Reales!BQ46)/BQ$10,0),N(Reales!BQ46)),BQ$185*IF(AND(AND(64&gt;Corte,64&lt;=Corte+n_Ventana),ISNUMBER(Detalle_24m!BQ$50)),Detalle_24m!BQ$50,INDEX(Precio_V,9)*INDEX(IdxPrecio_V,1,MIN(10,BQ$173)))*(1+V_dPrecio))</f>
        <v>0</v>
      </c>
      <c r="BR210" s="48">
        <f>IF(BR$8=1,IF(Reales!$C$46="PYG",IF(BR$10&gt;0,N(Reales!BR46)/BR$10,0),N(Reales!BR46)),BR$185*IF(AND(AND(65&gt;Corte,65&lt;=Corte+n_Ventana),ISNUMBER(Detalle_24m!BR$50)),Detalle_24m!BR$50,INDEX(Precio_V,9)*INDEX(IdxPrecio_V,1,MIN(10,BR$173)))*(1+V_dPrecio))</f>
        <v>0</v>
      </c>
      <c r="BS210" s="48">
        <f>IF(BS$8=1,IF(Reales!$C$46="PYG",IF(BS$10&gt;0,N(Reales!BS46)/BS$10,0),N(Reales!BS46)),BS$185*IF(AND(AND(66&gt;Corte,66&lt;=Corte+n_Ventana),ISNUMBER(Detalle_24m!BS$50)),Detalle_24m!BS$50,INDEX(Precio_V,9)*INDEX(IdxPrecio_V,1,MIN(10,BS$173)))*(1+V_dPrecio))</f>
        <v>0</v>
      </c>
      <c r="BT210" s="48">
        <f>IF(BT$8=1,IF(Reales!$C$46="PYG",IF(BT$10&gt;0,N(Reales!BT46)/BT$10,0),N(Reales!BT46)),BT$185*IF(AND(AND(67&gt;Corte,67&lt;=Corte+n_Ventana),ISNUMBER(Detalle_24m!BT$50)),Detalle_24m!BT$50,INDEX(Precio_V,9)*INDEX(IdxPrecio_V,1,MIN(10,BT$173)))*(1+V_dPrecio))</f>
        <v>0</v>
      </c>
      <c r="BU210" s="48">
        <f>IF(BU$8=1,IF(Reales!$C$46="PYG",IF(BU$10&gt;0,N(Reales!BU46)/BU$10,0),N(Reales!BU46)),BU$185*IF(AND(AND(68&gt;Corte,68&lt;=Corte+n_Ventana),ISNUMBER(Detalle_24m!BU$50)),Detalle_24m!BU$50,INDEX(Precio_V,9)*INDEX(IdxPrecio_V,1,MIN(10,BU$173)))*(1+V_dPrecio))</f>
        <v>0</v>
      </c>
      <c r="BV210" s="48">
        <f>IF(BV$8=1,IF(Reales!$C$46="PYG",IF(BV$10&gt;0,N(Reales!BV46)/BV$10,0),N(Reales!BV46)),BV$185*IF(AND(AND(69&gt;Corte,69&lt;=Corte+n_Ventana),ISNUMBER(Detalle_24m!BV$50)),Detalle_24m!BV$50,INDEX(Precio_V,9)*INDEX(IdxPrecio_V,1,MIN(10,BV$173)))*(1+V_dPrecio))</f>
        <v>0</v>
      </c>
      <c r="BW210" s="48">
        <f>IF(BW$8=1,IF(Reales!$C$46="PYG",IF(BW$10&gt;0,N(Reales!BW46)/BW$10,0),N(Reales!BW46)),BW$185*IF(AND(AND(70&gt;Corte,70&lt;=Corte+n_Ventana),ISNUMBER(Detalle_24m!BW$50)),Detalle_24m!BW$50,INDEX(Precio_V,9)*INDEX(IdxPrecio_V,1,MIN(10,BW$173)))*(1+V_dPrecio))</f>
        <v>0</v>
      </c>
      <c r="BX210" s="48">
        <f>IF(BX$8=1,IF(Reales!$C$46="PYG",IF(BX$10&gt;0,N(Reales!BX46)/BX$10,0),N(Reales!BX46)),BX$185*IF(AND(AND(71&gt;Corte,71&lt;=Corte+n_Ventana),ISNUMBER(Detalle_24m!BX$50)),Detalle_24m!BX$50,INDEX(Precio_V,9)*INDEX(IdxPrecio_V,1,MIN(10,BX$173)))*(1+V_dPrecio))</f>
        <v>0</v>
      </c>
      <c r="BY210" s="48">
        <f>IF(BY$8=1,IF(Reales!$C$46="PYG",IF(BY$10&gt;0,N(Reales!BY46)/BY$10,0),N(Reales!BY46)),BY$185*IF(AND(AND(72&gt;Corte,72&lt;=Corte+n_Ventana),ISNUMBER(Detalle_24m!BY$50)),Detalle_24m!BY$50,INDEX(Precio_V,9)*INDEX(IdxPrecio_V,1,MIN(10,BY$173)))*(1+V_dPrecio))</f>
        <v>0</v>
      </c>
      <c r="BZ210" s="48">
        <f>IF(BZ$8=1,IF(Reales!$C$46="PYG",IF(BZ$10&gt;0,N(Reales!BZ46)/BZ$10,0),N(Reales!BZ46)),BZ$185*IF(AND(AND(73&gt;Corte,73&lt;=Corte+n_Ventana),ISNUMBER(Detalle_24m!BZ$50)),Detalle_24m!BZ$50,INDEX(Precio_V,9)*INDEX(IdxPrecio_V,1,MIN(10,BZ$173)))*(1+V_dPrecio))</f>
        <v>0</v>
      </c>
      <c r="CA210" s="48">
        <f>IF(CA$8=1,IF(Reales!$C$46="PYG",IF(CA$10&gt;0,N(Reales!CA46)/CA$10,0),N(Reales!CA46)),CA$185*IF(AND(AND(74&gt;Corte,74&lt;=Corte+n_Ventana),ISNUMBER(Detalle_24m!CA$50)),Detalle_24m!CA$50,INDEX(Precio_V,9)*INDEX(IdxPrecio_V,1,MIN(10,CA$173)))*(1+V_dPrecio))</f>
        <v>0</v>
      </c>
      <c r="CB210" s="48">
        <f>IF(CB$8=1,IF(Reales!$C$46="PYG",IF(CB$10&gt;0,N(Reales!CB46)/CB$10,0),N(Reales!CB46)),CB$185*IF(AND(AND(75&gt;Corte,75&lt;=Corte+n_Ventana),ISNUMBER(Detalle_24m!CB$50)),Detalle_24m!CB$50,INDEX(Precio_V,9)*INDEX(IdxPrecio_V,1,MIN(10,CB$173)))*(1+V_dPrecio))</f>
        <v>0</v>
      </c>
      <c r="CC210" s="48">
        <f>IF(CC$8=1,IF(Reales!$C$46="PYG",IF(CC$10&gt;0,N(Reales!CC46)/CC$10,0),N(Reales!CC46)),CC$185*IF(AND(AND(76&gt;Corte,76&lt;=Corte+n_Ventana),ISNUMBER(Detalle_24m!CC$50)),Detalle_24m!CC$50,INDEX(Precio_V,9)*INDEX(IdxPrecio_V,1,MIN(10,CC$173)))*(1+V_dPrecio))</f>
        <v>0</v>
      </c>
      <c r="CD210" s="48">
        <f>IF(CD$8=1,IF(Reales!$C$46="PYG",IF(CD$10&gt;0,N(Reales!CD46)/CD$10,0),N(Reales!CD46)),CD$185*IF(AND(AND(77&gt;Corte,77&lt;=Corte+n_Ventana),ISNUMBER(Detalle_24m!CD$50)),Detalle_24m!CD$50,INDEX(Precio_V,9)*INDEX(IdxPrecio_V,1,MIN(10,CD$173)))*(1+V_dPrecio))</f>
        <v>0</v>
      </c>
      <c r="CE210" s="48">
        <f>IF(CE$8=1,IF(Reales!$C$46="PYG",IF(CE$10&gt;0,N(Reales!CE46)/CE$10,0),N(Reales!CE46)),CE$185*IF(AND(AND(78&gt;Corte,78&lt;=Corte+n_Ventana),ISNUMBER(Detalle_24m!CE$50)),Detalle_24m!CE$50,INDEX(Precio_V,9)*INDEX(IdxPrecio_V,1,MIN(10,CE$173)))*(1+V_dPrecio))</f>
        <v>0</v>
      </c>
      <c r="CF210" s="48">
        <f>IF(CF$8=1,IF(Reales!$C$46="PYG",IF(CF$10&gt;0,N(Reales!CF46)/CF$10,0),N(Reales!CF46)),CF$185*IF(AND(AND(79&gt;Corte,79&lt;=Corte+n_Ventana),ISNUMBER(Detalle_24m!CF$50)),Detalle_24m!CF$50,INDEX(Precio_V,9)*INDEX(IdxPrecio_V,1,MIN(10,CF$173)))*(1+V_dPrecio))</f>
        <v>0</v>
      </c>
      <c r="CG210" s="48">
        <f>IF(CG$8=1,IF(Reales!$C$46="PYG",IF(CG$10&gt;0,N(Reales!CG46)/CG$10,0),N(Reales!CG46)),CG$185*IF(AND(AND(80&gt;Corte,80&lt;=Corte+n_Ventana),ISNUMBER(Detalle_24m!CG$50)),Detalle_24m!CG$50,INDEX(Precio_V,9)*INDEX(IdxPrecio_V,1,MIN(10,CG$173)))*(1+V_dPrecio))</f>
        <v>0</v>
      </c>
      <c r="CH210" s="48">
        <f>IF(CH$8=1,IF(Reales!$C$46="PYG",IF(CH$10&gt;0,N(Reales!CH46)/CH$10,0),N(Reales!CH46)),CH$185*IF(AND(AND(81&gt;Corte,81&lt;=Corte+n_Ventana),ISNUMBER(Detalle_24m!CH$50)),Detalle_24m!CH$50,INDEX(Precio_V,9)*INDEX(IdxPrecio_V,1,MIN(10,CH$173)))*(1+V_dPrecio))</f>
        <v>0</v>
      </c>
      <c r="CI210" s="48">
        <f>IF(CI$8=1,IF(Reales!$C$46="PYG",IF(CI$10&gt;0,N(Reales!CI46)/CI$10,0),N(Reales!CI46)),CI$185*IF(AND(AND(82&gt;Corte,82&lt;=Corte+n_Ventana),ISNUMBER(Detalle_24m!CI$50)),Detalle_24m!CI$50,INDEX(Precio_V,9)*INDEX(IdxPrecio_V,1,MIN(10,CI$173)))*(1+V_dPrecio))</f>
        <v>0</v>
      </c>
      <c r="CJ210" s="48">
        <f>IF(CJ$8=1,IF(Reales!$C$46="PYG",IF(CJ$10&gt;0,N(Reales!CJ46)/CJ$10,0),N(Reales!CJ46)),CJ$185*IF(AND(AND(83&gt;Corte,83&lt;=Corte+n_Ventana),ISNUMBER(Detalle_24m!CJ$50)),Detalle_24m!CJ$50,INDEX(Precio_V,9)*INDEX(IdxPrecio_V,1,MIN(10,CJ$173)))*(1+V_dPrecio))</f>
        <v>0</v>
      </c>
      <c r="CK210" s="48">
        <f>IF(CK$8=1,IF(Reales!$C$46="PYG",IF(CK$10&gt;0,N(Reales!CK46)/CK$10,0),N(Reales!CK46)),CK$185*IF(AND(AND(84&gt;Corte,84&lt;=Corte+n_Ventana),ISNUMBER(Detalle_24m!CK$50)),Detalle_24m!CK$50,INDEX(Precio_V,9)*INDEX(IdxPrecio_V,1,MIN(10,CK$173)))*(1+V_dPrecio))</f>
        <v>0</v>
      </c>
      <c r="CL210" s="48">
        <f>IF(CL$8=1,IF(Reales!$C$46="PYG",IF(CL$10&gt;0,N(Reales!CL46)/CL$10,0),N(Reales!CL46)),CL$185*IF(AND(AND(85&gt;Corte,85&lt;=Corte+n_Ventana),ISNUMBER(Detalle_24m!CL$50)),Detalle_24m!CL$50,INDEX(Precio_V,9)*INDEX(IdxPrecio_V,1,MIN(10,CL$173)))*(1+V_dPrecio))</f>
        <v>0</v>
      </c>
      <c r="CM210" s="48">
        <f>IF(CM$8=1,IF(Reales!$C$46="PYG",IF(CM$10&gt;0,N(Reales!CM46)/CM$10,0),N(Reales!CM46)),CM$185*IF(AND(AND(86&gt;Corte,86&lt;=Corte+n_Ventana),ISNUMBER(Detalle_24m!CM$50)),Detalle_24m!CM$50,INDEX(Precio_V,9)*INDEX(IdxPrecio_V,1,MIN(10,CM$173)))*(1+V_dPrecio))</f>
        <v>0</v>
      </c>
      <c r="CN210" s="48">
        <f>IF(CN$8=1,IF(Reales!$C$46="PYG",IF(CN$10&gt;0,N(Reales!CN46)/CN$10,0),N(Reales!CN46)),CN$185*IF(AND(AND(87&gt;Corte,87&lt;=Corte+n_Ventana),ISNUMBER(Detalle_24m!CN$50)),Detalle_24m!CN$50,INDEX(Precio_V,9)*INDEX(IdxPrecio_V,1,MIN(10,CN$173)))*(1+V_dPrecio))</f>
        <v>0</v>
      </c>
      <c r="CO210" s="48">
        <f>IF(CO$8=1,IF(Reales!$C$46="PYG",IF(CO$10&gt;0,N(Reales!CO46)/CO$10,0),N(Reales!CO46)),CO$185*IF(AND(AND(88&gt;Corte,88&lt;=Corte+n_Ventana),ISNUMBER(Detalle_24m!CO$50)),Detalle_24m!CO$50,INDEX(Precio_V,9)*INDEX(IdxPrecio_V,1,MIN(10,CO$173)))*(1+V_dPrecio))</f>
        <v>0</v>
      </c>
      <c r="CP210" s="48">
        <f>IF(CP$8=1,IF(Reales!$C$46="PYG",IF(CP$10&gt;0,N(Reales!CP46)/CP$10,0),N(Reales!CP46)),CP$185*IF(AND(AND(89&gt;Corte,89&lt;=Corte+n_Ventana),ISNUMBER(Detalle_24m!CP$50)),Detalle_24m!CP$50,INDEX(Precio_V,9)*INDEX(IdxPrecio_V,1,MIN(10,CP$173)))*(1+V_dPrecio))</f>
        <v>0</v>
      </c>
      <c r="CQ210" s="48">
        <f>IF(CQ$8=1,IF(Reales!$C$46="PYG",IF(CQ$10&gt;0,N(Reales!CQ46)/CQ$10,0),N(Reales!CQ46)),CQ$185*IF(AND(AND(90&gt;Corte,90&lt;=Corte+n_Ventana),ISNUMBER(Detalle_24m!CQ$50)),Detalle_24m!CQ$50,INDEX(Precio_V,9)*INDEX(IdxPrecio_V,1,MIN(10,CQ$173)))*(1+V_dPrecio))</f>
        <v>0</v>
      </c>
      <c r="CR210" s="48">
        <f>IF(CR$8=1,IF(Reales!$C$46="PYG",IF(CR$10&gt;0,N(Reales!CR46)/CR$10,0),N(Reales!CR46)),CR$185*IF(AND(AND(91&gt;Corte,91&lt;=Corte+n_Ventana),ISNUMBER(Detalle_24m!CR$50)),Detalle_24m!CR$50,INDEX(Precio_V,9)*INDEX(IdxPrecio_V,1,MIN(10,CR$173)))*(1+V_dPrecio))</f>
        <v>0</v>
      </c>
      <c r="CS210" s="48">
        <f>IF(CS$8=1,IF(Reales!$C$46="PYG",IF(CS$10&gt;0,N(Reales!CS46)/CS$10,0),N(Reales!CS46)),CS$185*IF(AND(AND(92&gt;Corte,92&lt;=Corte+n_Ventana),ISNUMBER(Detalle_24m!CS$50)),Detalle_24m!CS$50,INDEX(Precio_V,9)*INDEX(IdxPrecio_V,1,MIN(10,CS$173)))*(1+V_dPrecio))</f>
        <v>0</v>
      </c>
      <c r="CT210" s="48">
        <f>IF(CT$8=1,IF(Reales!$C$46="PYG",IF(CT$10&gt;0,N(Reales!CT46)/CT$10,0),N(Reales!CT46)),CT$185*IF(AND(AND(93&gt;Corte,93&lt;=Corte+n_Ventana),ISNUMBER(Detalle_24m!CT$50)),Detalle_24m!CT$50,INDEX(Precio_V,9)*INDEX(IdxPrecio_V,1,MIN(10,CT$173)))*(1+V_dPrecio))</f>
        <v>0</v>
      </c>
      <c r="CU210" s="48">
        <f>IF(CU$8=1,IF(Reales!$C$46="PYG",IF(CU$10&gt;0,N(Reales!CU46)/CU$10,0),N(Reales!CU46)),CU$185*IF(AND(AND(94&gt;Corte,94&lt;=Corte+n_Ventana),ISNUMBER(Detalle_24m!CU$50)),Detalle_24m!CU$50,INDEX(Precio_V,9)*INDEX(IdxPrecio_V,1,MIN(10,CU$173)))*(1+V_dPrecio))</f>
        <v>0</v>
      </c>
      <c r="CV210" s="48">
        <f>IF(CV$8=1,IF(Reales!$C$46="PYG",IF(CV$10&gt;0,N(Reales!CV46)/CV$10,0),N(Reales!CV46)),CV$185*IF(AND(AND(95&gt;Corte,95&lt;=Corte+n_Ventana),ISNUMBER(Detalle_24m!CV$50)),Detalle_24m!CV$50,INDEX(Precio_V,9)*INDEX(IdxPrecio_V,1,MIN(10,CV$173)))*(1+V_dPrecio))</f>
        <v>0</v>
      </c>
      <c r="CW210" s="48">
        <f>IF(CW$8=1,IF(Reales!$C$46="PYG",IF(CW$10&gt;0,N(Reales!CW46)/CW$10,0),N(Reales!CW46)),CW$185*IF(AND(AND(96&gt;Corte,96&lt;=Corte+n_Ventana),ISNUMBER(Detalle_24m!CW$50)),Detalle_24m!CW$50,INDEX(Precio_V,9)*INDEX(IdxPrecio_V,1,MIN(10,CW$173)))*(1+V_dPrecio))</f>
        <v>0</v>
      </c>
      <c r="CX210" s="48">
        <f>IF(CX$8=1,IF(Reales!$C$46="PYG",IF(CX$10&gt;0,N(Reales!CX46)/CX$10,0),N(Reales!CX46)),CX$185*IF(AND(AND(97&gt;Corte,97&lt;=Corte+n_Ventana),ISNUMBER(Detalle_24m!CX$50)),Detalle_24m!CX$50,INDEX(Precio_V,9)*INDEX(IdxPrecio_V,1,MIN(10,CX$173)))*(1+V_dPrecio))</f>
        <v>0</v>
      </c>
      <c r="CY210" s="48">
        <f>IF(CY$8=1,IF(Reales!$C$46="PYG",IF(CY$10&gt;0,N(Reales!CY46)/CY$10,0),N(Reales!CY46)),CY$185*IF(AND(AND(98&gt;Corte,98&lt;=Corte+n_Ventana),ISNUMBER(Detalle_24m!CY$50)),Detalle_24m!CY$50,INDEX(Precio_V,9)*INDEX(IdxPrecio_V,1,MIN(10,CY$173)))*(1+V_dPrecio))</f>
        <v>0</v>
      </c>
      <c r="CZ210" s="48">
        <f>IF(CZ$8=1,IF(Reales!$C$46="PYG",IF(CZ$10&gt;0,N(Reales!CZ46)/CZ$10,0),N(Reales!CZ46)),CZ$185*IF(AND(AND(99&gt;Corte,99&lt;=Corte+n_Ventana),ISNUMBER(Detalle_24m!CZ$50)),Detalle_24m!CZ$50,INDEX(Precio_V,9)*INDEX(IdxPrecio_V,1,MIN(10,CZ$173)))*(1+V_dPrecio))</f>
        <v>0</v>
      </c>
      <c r="DA210" s="48">
        <f>IF(DA$8=1,IF(Reales!$C$46="PYG",IF(DA$10&gt;0,N(Reales!DA46)/DA$10,0),N(Reales!DA46)),DA$185*IF(AND(AND(100&gt;Corte,100&lt;=Corte+n_Ventana),ISNUMBER(Detalle_24m!DA$50)),Detalle_24m!DA$50,INDEX(Precio_V,9)*INDEX(IdxPrecio_V,1,MIN(10,DA$173)))*(1+V_dPrecio))</f>
        <v>0</v>
      </c>
      <c r="DB210" s="48">
        <f>IF(DB$8=1,IF(Reales!$C$46="PYG",IF(DB$10&gt;0,N(Reales!DB46)/DB$10,0),N(Reales!DB46)),DB$185*IF(AND(AND(101&gt;Corte,101&lt;=Corte+n_Ventana),ISNUMBER(Detalle_24m!DB$50)),Detalle_24m!DB$50,INDEX(Precio_V,9)*INDEX(IdxPrecio_V,1,MIN(10,DB$173)))*(1+V_dPrecio))</f>
        <v>0</v>
      </c>
      <c r="DC210" s="48">
        <f>IF(DC$8=1,IF(Reales!$C$46="PYG",IF(DC$10&gt;0,N(Reales!DC46)/DC$10,0),N(Reales!DC46)),DC$185*IF(AND(AND(102&gt;Corte,102&lt;=Corte+n_Ventana),ISNUMBER(Detalle_24m!DC$50)),Detalle_24m!DC$50,INDEX(Precio_V,9)*INDEX(IdxPrecio_V,1,MIN(10,DC$173)))*(1+V_dPrecio))</f>
        <v>0</v>
      </c>
      <c r="DD210" s="48">
        <f>IF(DD$8=1,IF(Reales!$C$46="PYG",IF(DD$10&gt;0,N(Reales!DD46)/DD$10,0),N(Reales!DD46)),DD$185*IF(AND(AND(103&gt;Corte,103&lt;=Corte+n_Ventana),ISNUMBER(Detalle_24m!DD$50)),Detalle_24m!DD$50,INDEX(Precio_V,9)*INDEX(IdxPrecio_V,1,MIN(10,DD$173)))*(1+V_dPrecio))</f>
        <v>0</v>
      </c>
      <c r="DE210" s="48">
        <f>IF(DE$8=1,IF(Reales!$C$46="PYG",IF(DE$10&gt;0,N(Reales!DE46)/DE$10,0),N(Reales!DE46)),DE$185*IF(AND(AND(104&gt;Corte,104&lt;=Corte+n_Ventana),ISNUMBER(Detalle_24m!DE$50)),Detalle_24m!DE$50,INDEX(Precio_V,9)*INDEX(IdxPrecio_V,1,MIN(10,DE$173)))*(1+V_dPrecio))</f>
        <v>0</v>
      </c>
      <c r="DF210" s="48">
        <f>IF(DF$8=1,IF(Reales!$C$46="PYG",IF(DF$10&gt;0,N(Reales!DF46)/DF$10,0),N(Reales!DF46)),DF$185*IF(AND(AND(105&gt;Corte,105&lt;=Corte+n_Ventana),ISNUMBER(Detalle_24m!DF$50)),Detalle_24m!DF$50,INDEX(Precio_V,9)*INDEX(IdxPrecio_V,1,MIN(10,DF$173)))*(1+V_dPrecio))</f>
        <v>0</v>
      </c>
      <c r="DG210" s="48">
        <f>IF(DG$8=1,IF(Reales!$C$46="PYG",IF(DG$10&gt;0,N(Reales!DG46)/DG$10,0),N(Reales!DG46)),DG$185*IF(AND(AND(106&gt;Corte,106&lt;=Corte+n_Ventana),ISNUMBER(Detalle_24m!DG$50)),Detalle_24m!DG$50,INDEX(Precio_V,9)*INDEX(IdxPrecio_V,1,MIN(10,DG$173)))*(1+V_dPrecio))</f>
        <v>0</v>
      </c>
      <c r="DH210" s="48">
        <f>IF(DH$8=1,IF(Reales!$C$46="PYG",IF(DH$10&gt;0,N(Reales!DH46)/DH$10,0),N(Reales!DH46)),DH$185*IF(AND(AND(107&gt;Corte,107&lt;=Corte+n_Ventana),ISNUMBER(Detalle_24m!DH$50)),Detalle_24m!DH$50,INDEX(Precio_V,9)*INDEX(IdxPrecio_V,1,MIN(10,DH$173)))*(1+V_dPrecio))</f>
        <v>0</v>
      </c>
      <c r="DI210" s="48">
        <f>IF(DI$8=1,IF(Reales!$C$46="PYG",IF(DI$10&gt;0,N(Reales!DI46)/DI$10,0),N(Reales!DI46)),DI$185*IF(AND(AND(108&gt;Corte,108&lt;=Corte+n_Ventana),ISNUMBER(Detalle_24m!DI$50)),Detalle_24m!DI$50,INDEX(Precio_V,9)*INDEX(IdxPrecio_V,1,MIN(10,DI$173)))*(1+V_dPrecio))</f>
        <v>0</v>
      </c>
      <c r="DJ210" s="48">
        <f>IF(DJ$8=1,IF(Reales!$C$46="PYG",IF(DJ$10&gt;0,N(Reales!DJ46)/DJ$10,0),N(Reales!DJ46)),DJ$185*IF(AND(AND(109&gt;Corte,109&lt;=Corte+n_Ventana),ISNUMBER(Detalle_24m!DJ$50)),Detalle_24m!DJ$50,INDEX(Precio_V,9)*INDEX(IdxPrecio_V,1,MIN(10,DJ$173)))*(1+V_dPrecio))</f>
        <v>0</v>
      </c>
      <c r="DK210" s="48">
        <f>IF(DK$8=1,IF(Reales!$C$46="PYG",IF(DK$10&gt;0,N(Reales!DK46)/DK$10,0),N(Reales!DK46)),DK$185*IF(AND(AND(110&gt;Corte,110&lt;=Corte+n_Ventana),ISNUMBER(Detalle_24m!DK$50)),Detalle_24m!DK$50,INDEX(Precio_V,9)*INDEX(IdxPrecio_V,1,MIN(10,DK$173)))*(1+V_dPrecio))</f>
        <v>0</v>
      </c>
      <c r="DL210" s="48">
        <f>IF(DL$8=1,IF(Reales!$C$46="PYG",IF(DL$10&gt;0,N(Reales!DL46)/DL$10,0),N(Reales!DL46)),DL$185*IF(AND(AND(111&gt;Corte,111&lt;=Corte+n_Ventana),ISNUMBER(Detalle_24m!DL$50)),Detalle_24m!DL$50,INDEX(Precio_V,9)*INDEX(IdxPrecio_V,1,MIN(10,DL$173)))*(1+V_dPrecio))</f>
        <v>0</v>
      </c>
      <c r="DM210" s="48">
        <f>IF(DM$8=1,IF(Reales!$C$46="PYG",IF(DM$10&gt;0,N(Reales!DM46)/DM$10,0),N(Reales!DM46)),DM$185*IF(AND(AND(112&gt;Corte,112&lt;=Corte+n_Ventana),ISNUMBER(Detalle_24m!DM$50)),Detalle_24m!DM$50,INDEX(Precio_V,9)*INDEX(IdxPrecio_V,1,MIN(10,DM$173)))*(1+V_dPrecio))</f>
        <v>0</v>
      </c>
      <c r="DN210" s="48">
        <f>IF(DN$8=1,IF(Reales!$C$46="PYG",IF(DN$10&gt;0,N(Reales!DN46)/DN$10,0),N(Reales!DN46)),DN$185*IF(AND(AND(113&gt;Corte,113&lt;=Corte+n_Ventana),ISNUMBER(Detalle_24m!DN$50)),Detalle_24m!DN$50,INDEX(Precio_V,9)*INDEX(IdxPrecio_V,1,MIN(10,DN$173)))*(1+V_dPrecio))</f>
        <v>0</v>
      </c>
      <c r="DO210" s="48">
        <f>IF(DO$8=1,IF(Reales!$C$46="PYG",IF(DO$10&gt;0,N(Reales!DO46)/DO$10,0),N(Reales!DO46)),DO$185*IF(AND(AND(114&gt;Corte,114&lt;=Corte+n_Ventana),ISNUMBER(Detalle_24m!DO$50)),Detalle_24m!DO$50,INDEX(Precio_V,9)*INDEX(IdxPrecio_V,1,MIN(10,DO$173)))*(1+V_dPrecio))</f>
        <v>0</v>
      </c>
      <c r="DP210" s="48">
        <f>IF(DP$8=1,IF(Reales!$C$46="PYG",IF(DP$10&gt;0,N(Reales!DP46)/DP$10,0),N(Reales!DP46)),DP$185*IF(AND(AND(115&gt;Corte,115&lt;=Corte+n_Ventana),ISNUMBER(Detalle_24m!DP$50)),Detalle_24m!DP$50,INDEX(Precio_V,9)*INDEX(IdxPrecio_V,1,MIN(10,DP$173)))*(1+V_dPrecio))</f>
        <v>0</v>
      </c>
      <c r="DQ210" s="48">
        <f>IF(DQ$8=1,IF(Reales!$C$46="PYG",IF(DQ$10&gt;0,N(Reales!DQ46)/DQ$10,0),N(Reales!DQ46)),DQ$185*IF(AND(AND(116&gt;Corte,116&lt;=Corte+n_Ventana),ISNUMBER(Detalle_24m!DQ$50)),Detalle_24m!DQ$50,INDEX(Precio_V,9)*INDEX(IdxPrecio_V,1,MIN(10,DQ$173)))*(1+V_dPrecio))</f>
        <v>0</v>
      </c>
      <c r="DR210" s="48">
        <f>IF(DR$8=1,IF(Reales!$C$46="PYG",IF(DR$10&gt;0,N(Reales!DR46)/DR$10,0),N(Reales!DR46)),DR$185*IF(AND(AND(117&gt;Corte,117&lt;=Corte+n_Ventana),ISNUMBER(Detalle_24m!DR$50)),Detalle_24m!DR$50,INDEX(Precio_V,9)*INDEX(IdxPrecio_V,1,MIN(10,DR$173)))*(1+V_dPrecio))</f>
        <v>0</v>
      </c>
      <c r="DS210" s="48">
        <f>IF(DS$8=1,IF(Reales!$C$46="PYG",IF(DS$10&gt;0,N(Reales!DS46)/DS$10,0),N(Reales!DS46)),DS$185*IF(AND(AND(118&gt;Corte,118&lt;=Corte+n_Ventana),ISNUMBER(Detalle_24m!DS$50)),Detalle_24m!DS$50,INDEX(Precio_V,9)*INDEX(IdxPrecio_V,1,MIN(10,DS$173)))*(1+V_dPrecio))</f>
        <v>0</v>
      </c>
      <c r="DT210" s="48">
        <f>IF(DT$8=1,IF(Reales!$C$46="PYG",IF(DT$10&gt;0,N(Reales!DT46)/DT$10,0),N(Reales!DT46)),DT$185*IF(AND(AND(119&gt;Corte,119&lt;=Corte+n_Ventana),ISNUMBER(Detalle_24m!DT$50)),Detalle_24m!DT$50,INDEX(Precio_V,9)*INDEX(IdxPrecio_V,1,MIN(10,DT$173)))*(1+V_dPrecio))</f>
        <v>0</v>
      </c>
      <c r="DU210" s="48">
        <f>IF(DU$8=1,IF(Reales!$C$46="PYG",IF(DU$10&gt;0,N(Reales!DU46)/DU$10,0),N(Reales!DU46)),DU$185*IF(AND(AND(120&gt;Corte,120&lt;=Corte+n_Ventana),ISNUMBER(Detalle_24m!DU$50)),Detalle_24m!DU$50,INDEX(Precio_V,9)*INDEX(IdxPrecio_V,1,MIN(10,DU$173)))*(1+V_dPrecio))</f>
        <v>0</v>
      </c>
      <c r="DV210" s="48">
        <f>IF(DV$8=1,IF(Reales!$C$46="PYG",IF(DV$10&gt;0,N(Reales!DV46)/DV$10,0),N(Reales!DV46)),DV$185*IF(AND(AND(121&gt;Corte,121&lt;=Corte+n_Ventana),ISNUMBER(Detalle_24m!DV$50)),Detalle_24m!DV$50,INDEX(Precio_V,9)*INDEX(IdxPrecio_V,1,MIN(10,DV$173)))*(1+V_dPrecio))</f>
        <v>0</v>
      </c>
      <c r="DW210" s="48">
        <f>IF(DW$8=1,IF(Reales!$C$46="PYG",IF(DW$10&gt;0,N(Reales!DW46)/DW$10,0),N(Reales!DW46)),DW$185*IF(AND(AND(122&gt;Corte,122&lt;=Corte+n_Ventana),ISNUMBER(Detalle_24m!DW$50)),Detalle_24m!DW$50,INDEX(Precio_V,9)*INDEX(IdxPrecio_V,1,MIN(10,DW$173)))*(1+V_dPrecio))</f>
        <v>0</v>
      </c>
      <c r="DX210" s="48">
        <f>IF(DX$8=1,IF(Reales!$C$46="PYG",IF(DX$10&gt;0,N(Reales!DX46)/DX$10,0),N(Reales!DX46)),DX$185*IF(AND(AND(123&gt;Corte,123&lt;=Corte+n_Ventana),ISNUMBER(Detalle_24m!DX$50)),Detalle_24m!DX$50,INDEX(Precio_V,9)*INDEX(IdxPrecio_V,1,MIN(10,DX$173)))*(1+V_dPrecio))</f>
        <v>0</v>
      </c>
      <c r="DY210" s="48">
        <f>IF(DY$8=1,IF(Reales!$C$46="PYG",IF(DY$10&gt;0,N(Reales!DY46)/DY$10,0),N(Reales!DY46)),DY$185*IF(AND(AND(124&gt;Corte,124&lt;=Corte+n_Ventana),ISNUMBER(Detalle_24m!DY$50)),Detalle_24m!DY$50,INDEX(Precio_V,9)*INDEX(IdxPrecio_V,1,MIN(10,DY$173)))*(1+V_dPrecio))</f>
        <v>0</v>
      </c>
      <c r="DZ210" s="48">
        <f>IF(DZ$8=1,IF(Reales!$C$46="PYG",IF(DZ$10&gt;0,N(Reales!DZ46)/DZ$10,0),N(Reales!DZ46)),DZ$185*IF(AND(AND(125&gt;Corte,125&lt;=Corte+n_Ventana),ISNUMBER(Detalle_24m!DZ$50)),Detalle_24m!DZ$50,INDEX(Precio_V,9)*INDEX(IdxPrecio_V,1,MIN(10,DZ$173)))*(1+V_dPrecio))</f>
        <v>0</v>
      </c>
      <c r="EA210" s="48">
        <f>IF(EA$8=1,IF(Reales!$C$46="PYG",IF(EA$10&gt;0,N(Reales!EA46)/EA$10,0),N(Reales!EA46)),EA$185*IF(AND(AND(126&gt;Corte,126&lt;=Corte+n_Ventana),ISNUMBER(Detalle_24m!EA$50)),Detalle_24m!EA$50,INDEX(Precio_V,9)*INDEX(IdxPrecio_V,1,MIN(10,EA$173)))*(1+V_dPrecio))</f>
        <v>0</v>
      </c>
      <c r="EB210" s="48">
        <f>IF(EB$8=1,IF(Reales!$C$46="PYG",IF(EB$10&gt;0,N(Reales!EB46)/EB$10,0),N(Reales!EB46)),EB$185*IF(AND(AND(127&gt;Corte,127&lt;=Corte+n_Ventana),ISNUMBER(Detalle_24m!EB$50)),Detalle_24m!EB$50,INDEX(Precio_V,9)*INDEX(IdxPrecio_V,1,MIN(10,EB$173)))*(1+V_dPrecio))</f>
        <v>0</v>
      </c>
      <c r="EC210" s="48">
        <f>IF(EC$8=1,IF(Reales!$C$46="PYG",IF(EC$10&gt;0,N(Reales!EC46)/EC$10,0),N(Reales!EC46)),EC$185*IF(AND(AND(128&gt;Corte,128&lt;=Corte+n_Ventana),ISNUMBER(Detalle_24m!EC$50)),Detalle_24m!EC$50,INDEX(Precio_V,9)*INDEX(IdxPrecio_V,1,MIN(10,EC$173)))*(1+V_dPrecio))</f>
        <v>0</v>
      </c>
      <c r="ED210" s="48">
        <f>IF(ED$8=1,IF(Reales!$C$46="PYG",IF(ED$10&gt;0,N(Reales!ED46)/ED$10,0),N(Reales!ED46)),ED$185*IF(AND(AND(129&gt;Corte,129&lt;=Corte+n_Ventana),ISNUMBER(Detalle_24m!ED$50)),Detalle_24m!ED$50,INDEX(Precio_V,9)*INDEX(IdxPrecio_V,1,MIN(10,ED$173)))*(1+V_dPrecio))</f>
        <v>0</v>
      </c>
      <c r="EE210" s="48">
        <f>IF(EE$8=1,IF(Reales!$C$46="PYG",IF(EE$10&gt;0,N(Reales!EE46)/EE$10,0),N(Reales!EE46)),EE$185*IF(AND(AND(130&gt;Corte,130&lt;=Corte+n_Ventana),ISNUMBER(Detalle_24m!EE$50)),Detalle_24m!EE$50,INDEX(Precio_V,9)*INDEX(IdxPrecio_V,1,MIN(10,EE$173)))*(1+V_dPrecio))</f>
        <v>0</v>
      </c>
      <c r="EF210" s="48">
        <f>IF(EF$8=1,IF(Reales!$C$46="PYG",IF(EF$10&gt;0,N(Reales!EF46)/EF$10,0),N(Reales!EF46)),EF$185*IF(AND(AND(131&gt;Corte,131&lt;=Corte+n_Ventana),ISNUMBER(Detalle_24m!EF$50)),Detalle_24m!EF$50,INDEX(Precio_V,9)*INDEX(IdxPrecio_V,1,MIN(10,EF$173)))*(1+V_dPrecio))</f>
        <v>0</v>
      </c>
      <c r="EG210" s="48">
        <f>IF(EG$8=1,IF(Reales!$C$46="PYG",IF(EG$10&gt;0,N(Reales!EG46)/EG$10,0),N(Reales!EG46)),EG$185*IF(AND(AND(132&gt;Corte,132&lt;=Corte+n_Ventana),ISNUMBER(Detalle_24m!EG$50)),Detalle_24m!EG$50,INDEX(Precio_V,9)*INDEX(IdxPrecio_V,1,MIN(10,EG$173)))*(1+V_dPrecio))</f>
        <v>0</v>
      </c>
      <c r="EH210" s="48">
        <f>IF(EH$8=1,IF(Reales!$C$46="PYG",IF(EH$10&gt;0,N(Reales!EH46)/EH$10,0),N(Reales!EH46)),EH$185*IF(AND(AND(133&gt;Corte,133&lt;=Corte+n_Ventana),ISNUMBER(Detalle_24m!EH$50)),Detalle_24m!EH$50,INDEX(Precio_V,9)*INDEX(IdxPrecio_V,1,MIN(10,EH$173)))*(1+V_dPrecio))</f>
        <v>0</v>
      </c>
      <c r="EI210" s="48">
        <f>IF(EI$8=1,IF(Reales!$C$46="PYG",IF(EI$10&gt;0,N(Reales!EI46)/EI$10,0),N(Reales!EI46)),EI$185*IF(AND(AND(134&gt;Corte,134&lt;=Corte+n_Ventana),ISNUMBER(Detalle_24m!EI$50)),Detalle_24m!EI$50,INDEX(Precio_V,9)*INDEX(IdxPrecio_V,1,MIN(10,EI$173)))*(1+V_dPrecio))</f>
        <v>0</v>
      </c>
      <c r="EJ210" s="48">
        <f>IF(EJ$8=1,IF(Reales!$C$46="PYG",IF(EJ$10&gt;0,N(Reales!EJ46)/EJ$10,0),N(Reales!EJ46)),EJ$185*IF(AND(AND(135&gt;Corte,135&lt;=Corte+n_Ventana),ISNUMBER(Detalle_24m!EJ$50)),Detalle_24m!EJ$50,INDEX(Precio_V,9)*INDEX(IdxPrecio_V,1,MIN(10,EJ$173)))*(1+V_dPrecio))</f>
        <v>0</v>
      </c>
      <c r="EK210" s="48">
        <f>IF(EK$8=1,IF(Reales!$C$46="PYG",IF(EK$10&gt;0,N(Reales!EK46)/EK$10,0),N(Reales!EK46)),EK$185*IF(AND(AND(136&gt;Corte,136&lt;=Corte+n_Ventana),ISNUMBER(Detalle_24m!EK$50)),Detalle_24m!EK$50,INDEX(Precio_V,9)*INDEX(IdxPrecio_V,1,MIN(10,EK$173)))*(1+V_dPrecio))</f>
        <v>0</v>
      </c>
      <c r="EL210" s="48">
        <f>IF(EL$8=1,IF(Reales!$C$46="PYG",IF(EL$10&gt;0,N(Reales!EL46)/EL$10,0),N(Reales!EL46)),EL$185*IF(AND(AND(137&gt;Corte,137&lt;=Corte+n_Ventana),ISNUMBER(Detalle_24m!EL$50)),Detalle_24m!EL$50,INDEX(Precio_V,9)*INDEX(IdxPrecio_V,1,MIN(10,EL$173)))*(1+V_dPrecio))</f>
        <v>0</v>
      </c>
      <c r="EM210" s="48">
        <f>IF(EM$8=1,IF(Reales!$C$46="PYG",IF(EM$10&gt;0,N(Reales!EM46)/EM$10,0),N(Reales!EM46)),EM$185*IF(AND(AND(138&gt;Corte,138&lt;=Corte+n_Ventana),ISNUMBER(Detalle_24m!EM$50)),Detalle_24m!EM$50,INDEX(Precio_V,9)*INDEX(IdxPrecio_V,1,MIN(10,EM$173)))*(1+V_dPrecio))</f>
        <v>0</v>
      </c>
      <c r="EN210" s="48">
        <f>IF(EN$8=1,IF(Reales!$C$46="PYG",IF(EN$10&gt;0,N(Reales!EN46)/EN$10,0),N(Reales!EN46)),EN$185*IF(AND(AND(139&gt;Corte,139&lt;=Corte+n_Ventana),ISNUMBER(Detalle_24m!EN$50)),Detalle_24m!EN$50,INDEX(Precio_V,9)*INDEX(IdxPrecio_V,1,MIN(10,EN$173)))*(1+V_dPrecio))</f>
        <v>0</v>
      </c>
      <c r="EO210" s="48">
        <f>IF(EO$8=1,IF(Reales!$C$46="PYG",IF(EO$10&gt;0,N(Reales!EO46)/EO$10,0),N(Reales!EO46)),EO$185*IF(AND(AND(140&gt;Corte,140&lt;=Corte+n_Ventana),ISNUMBER(Detalle_24m!EO$50)),Detalle_24m!EO$50,INDEX(Precio_V,9)*INDEX(IdxPrecio_V,1,MIN(10,EO$173)))*(1+V_dPrecio))</f>
        <v>0</v>
      </c>
      <c r="EP210" s="48">
        <f>IF(EP$8=1,IF(Reales!$C$46="PYG",IF(EP$10&gt;0,N(Reales!EP46)/EP$10,0),N(Reales!EP46)),EP$185*IF(AND(AND(141&gt;Corte,141&lt;=Corte+n_Ventana),ISNUMBER(Detalle_24m!EP$50)),Detalle_24m!EP$50,INDEX(Precio_V,9)*INDEX(IdxPrecio_V,1,MIN(10,EP$173)))*(1+V_dPrecio))</f>
        <v>0</v>
      </c>
      <c r="EQ210" s="48">
        <f>IF(EQ$8=1,IF(Reales!$C$46="PYG",IF(EQ$10&gt;0,N(Reales!EQ46)/EQ$10,0),N(Reales!EQ46)),EQ$185*IF(AND(AND(142&gt;Corte,142&lt;=Corte+n_Ventana),ISNUMBER(Detalle_24m!EQ$50)),Detalle_24m!EQ$50,INDEX(Precio_V,9)*INDEX(IdxPrecio_V,1,MIN(10,EQ$173)))*(1+V_dPrecio))</f>
        <v>0</v>
      </c>
      <c r="ER210" s="48">
        <f>IF(ER$8=1,IF(Reales!$C$46="PYG",IF(ER$10&gt;0,N(Reales!ER46)/ER$10,0),N(Reales!ER46)),ER$185*IF(AND(AND(143&gt;Corte,143&lt;=Corte+n_Ventana),ISNUMBER(Detalle_24m!ER$50)),Detalle_24m!ER$50,INDEX(Precio_V,9)*INDEX(IdxPrecio_V,1,MIN(10,ER$173)))*(1+V_dPrecio))</f>
        <v>0</v>
      </c>
      <c r="ES210" s="48">
        <f>IF(ES$8=1,IF(Reales!$C$46="PYG",IF(ES$10&gt;0,N(Reales!ES46)/ES$10,0),N(Reales!ES46)),ES$185*IF(AND(AND(144&gt;Corte,144&lt;=Corte+n_Ventana),ISNUMBER(Detalle_24m!ES$50)),Detalle_24m!ES$50,INDEX(Precio_V,9)*INDEX(IdxPrecio_V,1,MIN(10,ES$173)))*(1+V_dPrecio))</f>
        <v>0</v>
      </c>
    </row>
    <row r="211" spans="1:149" x14ac:dyDescent="0.3">
      <c r="A211" s="14" t="s">
        <v>1266</v>
      </c>
      <c r="B211" s="53" t="str">
        <f>IF(INDEX(Prod_Nombre,10)="","Producto 10",INDEX(Prod_Nombre,10))&amp;" — ventas USD"</f>
        <v>Producto 10 — ventas USD</v>
      </c>
      <c r="C211" s="18" t="s">
        <v>439</v>
      </c>
      <c r="E211" s="54">
        <f t="shared" si="605"/>
        <v>0</v>
      </c>
      <c r="F211" s="48">
        <f>IF(F$8=1,IF(Reales!$C$47="PYG",IF(F$10&gt;0,N(Reales!F47)/F$10,0),N(Reales!F47)),F$186*IF(AND(AND(1&gt;Corte,1&lt;=Corte+n_Ventana),ISNUMBER(Detalle_24m!F$51)),Detalle_24m!F$51,INDEX(Precio_V,10)*INDEX(IdxPrecio_V,1,MIN(10,F$173)))*(1+V_dPrecio))</f>
        <v>0</v>
      </c>
      <c r="G211" s="48">
        <f>IF(G$8=1,IF(Reales!$C$47="PYG",IF(G$10&gt;0,N(Reales!G47)/G$10,0),N(Reales!G47)),G$186*IF(AND(AND(2&gt;Corte,2&lt;=Corte+n_Ventana),ISNUMBER(Detalle_24m!G$51)),Detalle_24m!G$51,INDEX(Precio_V,10)*INDEX(IdxPrecio_V,1,MIN(10,G$173)))*(1+V_dPrecio))</f>
        <v>0</v>
      </c>
      <c r="H211" s="48">
        <f>IF(H$8=1,IF(Reales!$C$47="PYG",IF(H$10&gt;0,N(Reales!H47)/H$10,0),N(Reales!H47)),H$186*IF(AND(AND(3&gt;Corte,3&lt;=Corte+n_Ventana),ISNUMBER(Detalle_24m!H$51)),Detalle_24m!H$51,INDEX(Precio_V,10)*INDEX(IdxPrecio_V,1,MIN(10,H$173)))*(1+V_dPrecio))</f>
        <v>0</v>
      </c>
      <c r="I211" s="48">
        <f>IF(I$8=1,IF(Reales!$C$47="PYG",IF(I$10&gt;0,N(Reales!I47)/I$10,0),N(Reales!I47)),I$186*IF(AND(AND(4&gt;Corte,4&lt;=Corte+n_Ventana),ISNUMBER(Detalle_24m!I$51)),Detalle_24m!I$51,INDEX(Precio_V,10)*INDEX(IdxPrecio_V,1,MIN(10,I$173)))*(1+V_dPrecio))</f>
        <v>0</v>
      </c>
      <c r="J211" s="48">
        <f>IF(J$8=1,IF(Reales!$C$47="PYG",IF(J$10&gt;0,N(Reales!J47)/J$10,0),N(Reales!J47)),J$186*IF(AND(AND(5&gt;Corte,5&lt;=Corte+n_Ventana),ISNUMBER(Detalle_24m!J$51)),Detalle_24m!J$51,INDEX(Precio_V,10)*INDEX(IdxPrecio_V,1,MIN(10,J$173)))*(1+V_dPrecio))</f>
        <v>0</v>
      </c>
      <c r="K211" s="48">
        <f>IF(K$8=1,IF(Reales!$C$47="PYG",IF(K$10&gt;0,N(Reales!K47)/K$10,0),N(Reales!K47)),K$186*IF(AND(AND(6&gt;Corte,6&lt;=Corte+n_Ventana),ISNUMBER(Detalle_24m!K$51)),Detalle_24m!K$51,INDEX(Precio_V,10)*INDEX(IdxPrecio_V,1,MIN(10,K$173)))*(1+V_dPrecio))</f>
        <v>0</v>
      </c>
      <c r="L211" s="48">
        <f>IF(L$8=1,IF(Reales!$C$47="PYG",IF(L$10&gt;0,N(Reales!L47)/L$10,0),N(Reales!L47)),L$186*IF(AND(AND(7&gt;Corte,7&lt;=Corte+n_Ventana),ISNUMBER(Detalle_24m!L$51)),Detalle_24m!L$51,INDEX(Precio_V,10)*INDEX(IdxPrecio_V,1,MIN(10,L$173)))*(1+V_dPrecio))</f>
        <v>0</v>
      </c>
      <c r="M211" s="48">
        <f>IF(M$8=1,IF(Reales!$C$47="PYG",IF(M$10&gt;0,N(Reales!M47)/M$10,0),N(Reales!M47)),M$186*IF(AND(AND(8&gt;Corte,8&lt;=Corte+n_Ventana),ISNUMBER(Detalle_24m!M$51)),Detalle_24m!M$51,INDEX(Precio_V,10)*INDEX(IdxPrecio_V,1,MIN(10,M$173)))*(1+V_dPrecio))</f>
        <v>0</v>
      </c>
      <c r="N211" s="48">
        <f>IF(N$8=1,IF(Reales!$C$47="PYG",IF(N$10&gt;0,N(Reales!N47)/N$10,0),N(Reales!N47)),N$186*IF(AND(AND(9&gt;Corte,9&lt;=Corte+n_Ventana),ISNUMBER(Detalle_24m!N$51)),Detalle_24m!N$51,INDEX(Precio_V,10)*INDEX(IdxPrecio_V,1,MIN(10,N$173)))*(1+V_dPrecio))</f>
        <v>0</v>
      </c>
      <c r="O211" s="48">
        <f>IF(O$8=1,IF(Reales!$C$47="PYG",IF(O$10&gt;0,N(Reales!O47)/O$10,0),N(Reales!O47)),O$186*IF(AND(AND(10&gt;Corte,10&lt;=Corte+n_Ventana),ISNUMBER(Detalle_24m!O$51)),Detalle_24m!O$51,INDEX(Precio_V,10)*INDEX(IdxPrecio_V,1,MIN(10,O$173)))*(1+V_dPrecio))</f>
        <v>0</v>
      </c>
      <c r="P211" s="48">
        <f>IF(P$8=1,IF(Reales!$C$47="PYG",IF(P$10&gt;0,N(Reales!P47)/P$10,0),N(Reales!P47)),P$186*IF(AND(AND(11&gt;Corte,11&lt;=Corte+n_Ventana),ISNUMBER(Detalle_24m!P$51)),Detalle_24m!P$51,INDEX(Precio_V,10)*INDEX(IdxPrecio_V,1,MIN(10,P$173)))*(1+V_dPrecio))</f>
        <v>0</v>
      </c>
      <c r="Q211" s="48">
        <f>IF(Q$8=1,IF(Reales!$C$47="PYG",IF(Q$10&gt;0,N(Reales!Q47)/Q$10,0),N(Reales!Q47)),Q$186*IF(AND(AND(12&gt;Corte,12&lt;=Corte+n_Ventana),ISNUMBER(Detalle_24m!Q$51)),Detalle_24m!Q$51,INDEX(Precio_V,10)*INDEX(IdxPrecio_V,1,MIN(10,Q$173)))*(1+V_dPrecio))</f>
        <v>0</v>
      </c>
      <c r="R211" s="48">
        <f>IF(R$8=1,IF(Reales!$C$47="PYG",IF(R$10&gt;0,N(Reales!R47)/R$10,0),N(Reales!R47)),R$186*IF(AND(AND(13&gt;Corte,13&lt;=Corte+n_Ventana),ISNUMBER(Detalle_24m!R$51)),Detalle_24m!R$51,INDEX(Precio_V,10)*INDEX(IdxPrecio_V,1,MIN(10,R$173)))*(1+V_dPrecio))</f>
        <v>0</v>
      </c>
      <c r="S211" s="48">
        <f>IF(S$8=1,IF(Reales!$C$47="PYG",IF(S$10&gt;0,N(Reales!S47)/S$10,0),N(Reales!S47)),S$186*IF(AND(AND(14&gt;Corte,14&lt;=Corte+n_Ventana),ISNUMBER(Detalle_24m!S$51)),Detalle_24m!S$51,INDEX(Precio_V,10)*INDEX(IdxPrecio_V,1,MIN(10,S$173)))*(1+V_dPrecio))</f>
        <v>0</v>
      </c>
      <c r="T211" s="48">
        <f>IF(T$8=1,IF(Reales!$C$47="PYG",IF(T$10&gt;0,N(Reales!T47)/T$10,0),N(Reales!T47)),T$186*IF(AND(AND(15&gt;Corte,15&lt;=Corte+n_Ventana),ISNUMBER(Detalle_24m!T$51)),Detalle_24m!T$51,INDEX(Precio_V,10)*INDEX(IdxPrecio_V,1,MIN(10,T$173)))*(1+V_dPrecio))</f>
        <v>0</v>
      </c>
      <c r="U211" s="48">
        <f>IF(U$8=1,IF(Reales!$C$47="PYG",IF(U$10&gt;0,N(Reales!U47)/U$10,0),N(Reales!U47)),U$186*IF(AND(AND(16&gt;Corte,16&lt;=Corte+n_Ventana),ISNUMBER(Detalle_24m!U$51)),Detalle_24m!U$51,INDEX(Precio_V,10)*INDEX(IdxPrecio_V,1,MIN(10,U$173)))*(1+V_dPrecio))</f>
        <v>0</v>
      </c>
      <c r="V211" s="48">
        <f>IF(V$8=1,IF(Reales!$C$47="PYG",IF(V$10&gt;0,N(Reales!V47)/V$10,0),N(Reales!V47)),V$186*IF(AND(AND(17&gt;Corte,17&lt;=Corte+n_Ventana),ISNUMBER(Detalle_24m!V$51)),Detalle_24m!V$51,INDEX(Precio_V,10)*INDEX(IdxPrecio_V,1,MIN(10,V$173)))*(1+V_dPrecio))</f>
        <v>0</v>
      </c>
      <c r="W211" s="48">
        <f>IF(W$8=1,IF(Reales!$C$47="PYG",IF(W$10&gt;0,N(Reales!W47)/W$10,0),N(Reales!W47)),W$186*IF(AND(AND(18&gt;Corte,18&lt;=Corte+n_Ventana),ISNUMBER(Detalle_24m!W$51)),Detalle_24m!W$51,INDEX(Precio_V,10)*INDEX(IdxPrecio_V,1,MIN(10,W$173)))*(1+V_dPrecio))</f>
        <v>0</v>
      </c>
      <c r="X211" s="48">
        <f>IF(X$8=1,IF(Reales!$C$47="PYG",IF(X$10&gt;0,N(Reales!X47)/X$10,0),N(Reales!X47)),X$186*IF(AND(AND(19&gt;Corte,19&lt;=Corte+n_Ventana),ISNUMBER(Detalle_24m!X$51)),Detalle_24m!X$51,INDEX(Precio_V,10)*INDEX(IdxPrecio_V,1,MIN(10,X$173)))*(1+V_dPrecio))</f>
        <v>0</v>
      </c>
      <c r="Y211" s="48">
        <f>IF(Y$8=1,IF(Reales!$C$47="PYG",IF(Y$10&gt;0,N(Reales!Y47)/Y$10,0),N(Reales!Y47)),Y$186*IF(AND(AND(20&gt;Corte,20&lt;=Corte+n_Ventana),ISNUMBER(Detalle_24m!Y$51)),Detalle_24m!Y$51,INDEX(Precio_V,10)*INDEX(IdxPrecio_V,1,MIN(10,Y$173)))*(1+V_dPrecio))</f>
        <v>0</v>
      </c>
      <c r="Z211" s="48">
        <f>IF(Z$8=1,IF(Reales!$C$47="PYG",IF(Z$10&gt;0,N(Reales!Z47)/Z$10,0),N(Reales!Z47)),Z$186*IF(AND(AND(21&gt;Corte,21&lt;=Corte+n_Ventana),ISNUMBER(Detalle_24m!Z$51)),Detalle_24m!Z$51,INDEX(Precio_V,10)*INDEX(IdxPrecio_V,1,MIN(10,Z$173)))*(1+V_dPrecio))</f>
        <v>0</v>
      </c>
      <c r="AA211" s="48">
        <f>IF(AA$8=1,IF(Reales!$C$47="PYG",IF(AA$10&gt;0,N(Reales!AA47)/AA$10,0),N(Reales!AA47)),AA$186*IF(AND(AND(22&gt;Corte,22&lt;=Corte+n_Ventana),ISNUMBER(Detalle_24m!AA$51)),Detalle_24m!AA$51,INDEX(Precio_V,10)*INDEX(IdxPrecio_V,1,MIN(10,AA$173)))*(1+V_dPrecio))</f>
        <v>0</v>
      </c>
      <c r="AB211" s="48">
        <f>IF(AB$8=1,IF(Reales!$C$47="PYG",IF(AB$10&gt;0,N(Reales!AB47)/AB$10,0),N(Reales!AB47)),AB$186*IF(AND(AND(23&gt;Corte,23&lt;=Corte+n_Ventana),ISNUMBER(Detalle_24m!AB$51)),Detalle_24m!AB$51,INDEX(Precio_V,10)*INDEX(IdxPrecio_V,1,MIN(10,AB$173)))*(1+V_dPrecio))</f>
        <v>0</v>
      </c>
      <c r="AC211" s="48">
        <f>IF(AC$8=1,IF(Reales!$C$47="PYG",IF(AC$10&gt;0,N(Reales!AC47)/AC$10,0),N(Reales!AC47)),AC$186*IF(AND(AND(24&gt;Corte,24&lt;=Corte+n_Ventana),ISNUMBER(Detalle_24m!AC$51)),Detalle_24m!AC$51,INDEX(Precio_V,10)*INDEX(IdxPrecio_V,1,MIN(10,AC$173)))*(1+V_dPrecio))</f>
        <v>0</v>
      </c>
      <c r="AD211" s="48">
        <f>IF(AD$8=1,IF(Reales!$C$47="PYG",IF(AD$10&gt;0,N(Reales!AD47)/AD$10,0),N(Reales!AD47)),AD$186*IF(AND(AND(25&gt;Corte,25&lt;=Corte+n_Ventana),ISNUMBER(Detalle_24m!AD$51)),Detalle_24m!AD$51,INDEX(Precio_V,10)*INDEX(IdxPrecio_V,1,MIN(10,AD$173)))*(1+V_dPrecio))</f>
        <v>0</v>
      </c>
      <c r="AE211" s="48">
        <f>IF(AE$8=1,IF(Reales!$C$47="PYG",IF(AE$10&gt;0,N(Reales!AE47)/AE$10,0),N(Reales!AE47)),AE$186*IF(AND(AND(26&gt;Corte,26&lt;=Corte+n_Ventana),ISNUMBER(Detalle_24m!AE$51)),Detalle_24m!AE$51,INDEX(Precio_V,10)*INDEX(IdxPrecio_V,1,MIN(10,AE$173)))*(1+V_dPrecio))</f>
        <v>0</v>
      </c>
      <c r="AF211" s="48">
        <f>IF(AF$8=1,IF(Reales!$C$47="PYG",IF(AF$10&gt;0,N(Reales!AF47)/AF$10,0),N(Reales!AF47)),AF$186*IF(AND(AND(27&gt;Corte,27&lt;=Corte+n_Ventana),ISNUMBER(Detalle_24m!AF$51)),Detalle_24m!AF$51,INDEX(Precio_V,10)*INDEX(IdxPrecio_V,1,MIN(10,AF$173)))*(1+V_dPrecio))</f>
        <v>0</v>
      </c>
      <c r="AG211" s="48">
        <f>IF(AG$8=1,IF(Reales!$C$47="PYG",IF(AG$10&gt;0,N(Reales!AG47)/AG$10,0),N(Reales!AG47)),AG$186*IF(AND(AND(28&gt;Corte,28&lt;=Corte+n_Ventana),ISNUMBER(Detalle_24m!AG$51)),Detalle_24m!AG$51,INDEX(Precio_V,10)*INDEX(IdxPrecio_V,1,MIN(10,AG$173)))*(1+V_dPrecio))</f>
        <v>0</v>
      </c>
      <c r="AH211" s="48">
        <f>IF(AH$8=1,IF(Reales!$C$47="PYG",IF(AH$10&gt;0,N(Reales!AH47)/AH$10,0),N(Reales!AH47)),AH$186*IF(AND(AND(29&gt;Corte,29&lt;=Corte+n_Ventana),ISNUMBER(Detalle_24m!AH$51)),Detalle_24m!AH$51,INDEX(Precio_V,10)*INDEX(IdxPrecio_V,1,MIN(10,AH$173)))*(1+V_dPrecio))</f>
        <v>0</v>
      </c>
      <c r="AI211" s="48">
        <f>IF(AI$8=1,IF(Reales!$C$47="PYG",IF(AI$10&gt;0,N(Reales!AI47)/AI$10,0),N(Reales!AI47)),AI$186*IF(AND(AND(30&gt;Corte,30&lt;=Corte+n_Ventana),ISNUMBER(Detalle_24m!AI$51)),Detalle_24m!AI$51,INDEX(Precio_V,10)*INDEX(IdxPrecio_V,1,MIN(10,AI$173)))*(1+V_dPrecio))</f>
        <v>0</v>
      </c>
      <c r="AJ211" s="48">
        <f>IF(AJ$8=1,IF(Reales!$C$47="PYG",IF(AJ$10&gt;0,N(Reales!AJ47)/AJ$10,0),N(Reales!AJ47)),AJ$186*IF(AND(AND(31&gt;Corte,31&lt;=Corte+n_Ventana),ISNUMBER(Detalle_24m!AJ$51)),Detalle_24m!AJ$51,INDEX(Precio_V,10)*INDEX(IdxPrecio_V,1,MIN(10,AJ$173)))*(1+V_dPrecio))</f>
        <v>0</v>
      </c>
      <c r="AK211" s="48">
        <f>IF(AK$8=1,IF(Reales!$C$47="PYG",IF(AK$10&gt;0,N(Reales!AK47)/AK$10,0),N(Reales!AK47)),AK$186*IF(AND(AND(32&gt;Corte,32&lt;=Corte+n_Ventana),ISNUMBER(Detalle_24m!AK$51)),Detalle_24m!AK$51,INDEX(Precio_V,10)*INDEX(IdxPrecio_V,1,MIN(10,AK$173)))*(1+V_dPrecio))</f>
        <v>0</v>
      </c>
      <c r="AL211" s="48">
        <f>IF(AL$8=1,IF(Reales!$C$47="PYG",IF(AL$10&gt;0,N(Reales!AL47)/AL$10,0),N(Reales!AL47)),AL$186*IF(AND(AND(33&gt;Corte,33&lt;=Corte+n_Ventana),ISNUMBER(Detalle_24m!AL$51)),Detalle_24m!AL$51,INDEX(Precio_V,10)*INDEX(IdxPrecio_V,1,MIN(10,AL$173)))*(1+V_dPrecio))</f>
        <v>0</v>
      </c>
      <c r="AM211" s="48">
        <f>IF(AM$8=1,IF(Reales!$C$47="PYG",IF(AM$10&gt;0,N(Reales!AM47)/AM$10,0),N(Reales!AM47)),AM$186*IF(AND(AND(34&gt;Corte,34&lt;=Corte+n_Ventana),ISNUMBER(Detalle_24m!AM$51)),Detalle_24m!AM$51,INDEX(Precio_V,10)*INDEX(IdxPrecio_V,1,MIN(10,AM$173)))*(1+V_dPrecio))</f>
        <v>0</v>
      </c>
      <c r="AN211" s="48">
        <f>IF(AN$8=1,IF(Reales!$C$47="PYG",IF(AN$10&gt;0,N(Reales!AN47)/AN$10,0),N(Reales!AN47)),AN$186*IF(AND(AND(35&gt;Corte,35&lt;=Corte+n_Ventana),ISNUMBER(Detalle_24m!AN$51)),Detalle_24m!AN$51,INDEX(Precio_V,10)*INDEX(IdxPrecio_V,1,MIN(10,AN$173)))*(1+V_dPrecio))</f>
        <v>0</v>
      </c>
      <c r="AO211" s="48">
        <f>IF(AO$8=1,IF(Reales!$C$47="PYG",IF(AO$10&gt;0,N(Reales!AO47)/AO$10,0),N(Reales!AO47)),AO$186*IF(AND(AND(36&gt;Corte,36&lt;=Corte+n_Ventana),ISNUMBER(Detalle_24m!AO$51)),Detalle_24m!AO$51,INDEX(Precio_V,10)*INDEX(IdxPrecio_V,1,MIN(10,AO$173)))*(1+V_dPrecio))</f>
        <v>0</v>
      </c>
      <c r="AP211" s="48">
        <f>IF(AP$8=1,IF(Reales!$C$47="PYG",IF(AP$10&gt;0,N(Reales!AP47)/AP$10,0),N(Reales!AP47)),AP$186*IF(AND(AND(37&gt;Corte,37&lt;=Corte+n_Ventana),ISNUMBER(Detalle_24m!AP$51)),Detalle_24m!AP$51,INDEX(Precio_V,10)*INDEX(IdxPrecio_V,1,MIN(10,AP$173)))*(1+V_dPrecio))</f>
        <v>0</v>
      </c>
      <c r="AQ211" s="48">
        <f>IF(AQ$8=1,IF(Reales!$C$47="PYG",IF(AQ$10&gt;0,N(Reales!AQ47)/AQ$10,0),N(Reales!AQ47)),AQ$186*IF(AND(AND(38&gt;Corte,38&lt;=Corte+n_Ventana),ISNUMBER(Detalle_24m!AQ$51)),Detalle_24m!AQ$51,INDEX(Precio_V,10)*INDEX(IdxPrecio_V,1,MIN(10,AQ$173)))*(1+V_dPrecio))</f>
        <v>0</v>
      </c>
      <c r="AR211" s="48">
        <f>IF(AR$8=1,IF(Reales!$C$47="PYG",IF(AR$10&gt;0,N(Reales!AR47)/AR$10,0),N(Reales!AR47)),AR$186*IF(AND(AND(39&gt;Corte,39&lt;=Corte+n_Ventana),ISNUMBER(Detalle_24m!AR$51)),Detalle_24m!AR$51,INDEX(Precio_V,10)*INDEX(IdxPrecio_V,1,MIN(10,AR$173)))*(1+V_dPrecio))</f>
        <v>0</v>
      </c>
      <c r="AS211" s="48">
        <f>IF(AS$8=1,IF(Reales!$C$47="PYG",IF(AS$10&gt;0,N(Reales!AS47)/AS$10,0),N(Reales!AS47)),AS$186*IF(AND(AND(40&gt;Corte,40&lt;=Corte+n_Ventana),ISNUMBER(Detalle_24m!AS$51)),Detalle_24m!AS$51,INDEX(Precio_V,10)*INDEX(IdxPrecio_V,1,MIN(10,AS$173)))*(1+V_dPrecio))</f>
        <v>0</v>
      </c>
      <c r="AT211" s="48">
        <f>IF(AT$8=1,IF(Reales!$C$47="PYG",IF(AT$10&gt;0,N(Reales!AT47)/AT$10,0),N(Reales!AT47)),AT$186*IF(AND(AND(41&gt;Corte,41&lt;=Corte+n_Ventana),ISNUMBER(Detalle_24m!AT$51)),Detalle_24m!AT$51,INDEX(Precio_V,10)*INDEX(IdxPrecio_V,1,MIN(10,AT$173)))*(1+V_dPrecio))</f>
        <v>0</v>
      </c>
      <c r="AU211" s="48">
        <f>IF(AU$8=1,IF(Reales!$C$47="PYG",IF(AU$10&gt;0,N(Reales!AU47)/AU$10,0),N(Reales!AU47)),AU$186*IF(AND(AND(42&gt;Corte,42&lt;=Corte+n_Ventana),ISNUMBER(Detalle_24m!AU$51)),Detalle_24m!AU$51,INDEX(Precio_V,10)*INDEX(IdxPrecio_V,1,MIN(10,AU$173)))*(1+V_dPrecio))</f>
        <v>0</v>
      </c>
      <c r="AV211" s="48">
        <f>IF(AV$8=1,IF(Reales!$C$47="PYG",IF(AV$10&gt;0,N(Reales!AV47)/AV$10,0),N(Reales!AV47)),AV$186*IF(AND(AND(43&gt;Corte,43&lt;=Corte+n_Ventana),ISNUMBER(Detalle_24m!AV$51)),Detalle_24m!AV$51,INDEX(Precio_V,10)*INDEX(IdxPrecio_V,1,MIN(10,AV$173)))*(1+V_dPrecio))</f>
        <v>0</v>
      </c>
      <c r="AW211" s="48">
        <f>IF(AW$8=1,IF(Reales!$C$47="PYG",IF(AW$10&gt;0,N(Reales!AW47)/AW$10,0),N(Reales!AW47)),AW$186*IF(AND(AND(44&gt;Corte,44&lt;=Corte+n_Ventana),ISNUMBER(Detalle_24m!AW$51)),Detalle_24m!AW$51,INDEX(Precio_V,10)*INDEX(IdxPrecio_V,1,MIN(10,AW$173)))*(1+V_dPrecio))</f>
        <v>0</v>
      </c>
      <c r="AX211" s="48">
        <f>IF(AX$8=1,IF(Reales!$C$47="PYG",IF(AX$10&gt;0,N(Reales!AX47)/AX$10,0),N(Reales!AX47)),AX$186*IF(AND(AND(45&gt;Corte,45&lt;=Corte+n_Ventana),ISNUMBER(Detalle_24m!AX$51)),Detalle_24m!AX$51,INDEX(Precio_V,10)*INDEX(IdxPrecio_V,1,MIN(10,AX$173)))*(1+V_dPrecio))</f>
        <v>0</v>
      </c>
      <c r="AY211" s="48">
        <f>IF(AY$8=1,IF(Reales!$C$47="PYG",IF(AY$10&gt;0,N(Reales!AY47)/AY$10,0),N(Reales!AY47)),AY$186*IF(AND(AND(46&gt;Corte,46&lt;=Corte+n_Ventana),ISNUMBER(Detalle_24m!AY$51)),Detalle_24m!AY$51,INDEX(Precio_V,10)*INDEX(IdxPrecio_V,1,MIN(10,AY$173)))*(1+V_dPrecio))</f>
        <v>0</v>
      </c>
      <c r="AZ211" s="48">
        <f>IF(AZ$8=1,IF(Reales!$C$47="PYG",IF(AZ$10&gt;0,N(Reales!AZ47)/AZ$10,0),N(Reales!AZ47)),AZ$186*IF(AND(AND(47&gt;Corte,47&lt;=Corte+n_Ventana),ISNUMBER(Detalle_24m!AZ$51)),Detalle_24m!AZ$51,INDEX(Precio_V,10)*INDEX(IdxPrecio_V,1,MIN(10,AZ$173)))*(1+V_dPrecio))</f>
        <v>0</v>
      </c>
      <c r="BA211" s="48">
        <f>IF(BA$8=1,IF(Reales!$C$47="PYG",IF(BA$10&gt;0,N(Reales!BA47)/BA$10,0),N(Reales!BA47)),BA$186*IF(AND(AND(48&gt;Corte,48&lt;=Corte+n_Ventana),ISNUMBER(Detalle_24m!BA$51)),Detalle_24m!BA$51,INDEX(Precio_V,10)*INDEX(IdxPrecio_V,1,MIN(10,BA$173)))*(1+V_dPrecio))</f>
        <v>0</v>
      </c>
      <c r="BB211" s="48">
        <f>IF(BB$8=1,IF(Reales!$C$47="PYG",IF(BB$10&gt;0,N(Reales!BB47)/BB$10,0),N(Reales!BB47)),BB$186*IF(AND(AND(49&gt;Corte,49&lt;=Corte+n_Ventana),ISNUMBER(Detalle_24m!BB$51)),Detalle_24m!BB$51,INDEX(Precio_V,10)*INDEX(IdxPrecio_V,1,MIN(10,BB$173)))*(1+V_dPrecio))</f>
        <v>0</v>
      </c>
      <c r="BC211" s="48">
        <f>IF(BC$8=1,IF(Reales!$C$47="PYG",IF(BC$10&gt;0,N(Reales!BC47)/BC$10,0),N(Reales!BC47)),BC$186*IF(AND(AND(50&gt;Corte,50&lt;=Corte+n_Ventana),ISNUMBER(Detalle_24m!BC$51)),Detalle_24m!BC$51,INDEX(Precio_V,10)*INDEX(IdxPrecio_V,1,MIN(10,BC$173)))*(1+V_dPrecio))</f>
        <v>0</v>
      </c>
      <c r="BD211" s="48">
        <f>IF(BD$8=1,IF(Reales!$C$47="PYG",IF(BD$10&gt;0,N(Reales!BD47)/BD$10,0),N(Reales!BD47)),BD$186*IF(AND(AND(51&gt;Corte,51&lt;=Corte+n_Ventana),ISNUMBER(Detalle_24m!BD$51)),Detalle_24m!BD$51,INDEX(Precio_V,10)*INDEX(IdxPrecio_V,1,MIN(10,BD$173)))*(1+V_dPrecio))</f>
        <v>0</v>
      </c>
      <c r="BE211" s="48">
        <f>IF(BE$8=1,IF(Reales!$C$47="PYG",IF(BE$10&gt;0,N(Reales!BE47)/BE$10,0),N(Reales!BE47)),BE$186*IF(AND(AND(52&gt;Corte,52&lt;=Corte+n_Ventana),ISNUMBER(Detalle_24m!BE$51)),Detalle_24m!BE$51,INDEX(Precio_V,10)*INDEX(IdxPrecio_V,1,MIN(10,BE$173)))*(1+V_dPrecio))</f>
        <v>0</v>
      </c>
      <c r="BF211" s="48">
        <f>IF(BF$8=1,IF(Reales!$C$47="PYG",IF(BF$10&gt;0,N(Reales!BF47)/BF$10,0),N(Reales!BF47)),BF$186*IF(AND(AND(53&gt;Corte,53&lt;=Corte+n_Ventana),ISNUMBER(Detalle_24m!BF$51)),Detalle_24m!BF$51,INDEX(Precio_V,10)*INDEX(IdxPrecio_V,1,MIN(10,BF$173)))*(1+V_dPrecio))</f>
        <v>0</v>
      </c>
      <c r="BG211" s="48">
        <f>IF(BG$8=1,IF(Reales!$C$47="PYG",IF(BG$10&gt;0,N(Reales!BG47)/BG$10,0),N(Reales!BG47)),BG$186*IF(AND(AND(54&gt;Corte,54&lt;=Corte+n_Ventana),ISNUMBER(Detalle_24m!BG$51)),Detalle_24m!BG$51,INDEX(Precio_V,10)*INDEX(IdxPrecio_V,1,MIN(10,BG$173)))*(1+V_dPrecio))</f>
        <v>0</v>
      </c>
      <c r="BH211" s="48">
        <f>IF(BH$8=1,IF(Reales!$C$47="PYG",IF(BH$10&gt;0,N(Reales!BH47)/BH$10,0),N(Reales!BH47)),BH$186*IF(AND(AND(55&gt;Corte,55&lt;=Corte+n_Ventana),ISNUMBER(Detalle_24m!BH$51)),Detalle_24m!BH$51,INDEX(Precio_V,10)*INDEX(IdxPrecio_V,1,MIN(10,BH$173)))*(1+V_dPrecio))</f>
        <v>0</v>
      </c>
      <c r="BI211" s="48">
        <f>IF(BI$8=1,IF(Reales!$C$47="PYG",IF(BI$10&gt;0,N(Reales!BI47)/BI$10,0),N(Reales!BI47)),BI$186*IF(AND(AND(56&gt;Corte,56&lt;=Corte+n_Ventana),ISNUMBER(Detalle_24m!BI$51)),Detalle_24m!BI$51,INDEX(Precio_V,10)*INDEX(IdxPrecio_V,1,MIN(10,BI$173)))*(1+V_dPrecio))</f>
        <v>0</v>
      </c>
      <c r="BJ211" s="48">
        <f>IF(BJ$8=1,IF(Reales!$C$47="PYG",IF(BJ$10&gt;0,N(Reales!BJ47)/BJ$10,0),N(Reales!BJ47)),BJ$186*IF(AND(AND(57&gt;Corte,57&lt;=Corte+n_Ventana),ISNUMBER(Detalle_24m!BJ$51)),Detalle_24m!BJ$51,INDEX(Precio_V,10)*INDEX(IdxPrecio_V,1,MIN(10,BJ$173)))*(1+V_dPrecio))</f>
        <v>0</v>
      </c>
      <c r="BK211" s="48">
        <f>IF(BK$8=1,IF(Reales!$C$47="PYG",IF(BK$10&gt;0,N(Reales!BK47)/BK$10,0),N(Reales!BK47)),BK$186*IF(AND(AND(58&gt;Corte,58&lt;=Corte+n_Ventana),ISNUMBER(Detalle_24m!BK$51)),Detalle_24m!BK$51,INDEX(Precio_V,10)*INDEX(IdxPrecio_V,1,MIN(10,BK$173)))*(1+V_dPrecio))</f>
        <v>0</v>
      </c>
      <c r="BL211" s="48">
        <f>IF(BL$8=1,IF(Reales!$C$47="PYG",IF(BL$10&gt;0,N(Reales!BL47)/BL$10,0),N(Reales!BL47)),BL$186*IF(AND(AND(59&gt;Corte,59&lt;=Corte+n_Ventana),ISNUMBER(Detalle_24m!BL$51)),Detalle_24m!BL$51,INDEX(Precio_V,10)*INDEX(IdxPrecio_V,1,MIN(10,BL$173)))*(1+V_dPrecio))</f>
        <v>0</v>
      </c>
      <c r="BM211" s="48">
        <f>IF(BM$8=1,IF(Reales!$C$47="PYG",IF(BM$10&gt;0,N(Reales!BM47)/BM$10,0),N(Reales!BM47)),BM$186*IF(AND(AND(60&gt;Corte,60&lt;=Corte+n_Ventana),ISNUMBER(Detalle_24m!BM$51)),Detalle_24m!BM$51,INDEX(Precio_V,10)*INDEX(IdxPrecio_V,1,MIN(10,BM$173)))*(1+V_dPrecio))</f>
        <v>0</v>
      </c>
      <c r="BN211" s="48">
        <f>IF(BN$8=1,IF(Reales!$C$47="PYG",IF(BN$10&gt;0,N(Reales!BN47)/BN$10,0),N(Reales!BN47)),BN$186*IF(AND(AND(61&gt;Corte,61&lt;=Corte+n_Ventana),ISNUMBER(Detalle_24m!BN$51)),Detalle_24m!BN$51,INDEX(Precio_V,10)*INDEX(IdxPrecio_V,1,MIN(10,BN$173)))*(1+V_dPrecio))</f>
        <v>0</v>
      </c>
      <c r="BO211" s="48">
        <f>IF(BO$8=1,IF(Reales!$C$47="PYG",IF(BO$10&gt;0,N(Reales!BO47)/BO$10,0),N(Reales!BO47)),BO$186*IF(AND(AND(62&gt;Corte,62&lt;=Corte+n_Ventana),ISNUMBER(Detalle_24m!BO$51)),Detalle_24m!BO$51,INDEX(Precio_V,10)*INDEX(IdxPrecio_V,1,MIN(10,BO$173)))*(1+V_dPrecio))</f>
        <v>0</v>
      </c>
      <c r="BP211" s="48">
        <f>IF(BP$8=1,IF(Reales!$C$47="PYG",IF(BP$10&gt;0,N(Reales!BP47)/BP$10,0),N(Reales!BP47)),BP$186*IF(AND(AND(63&gt;Corte,63&lt;=Corte+n_Ventana),ISNUMBER(Detalle_24m!BP$51)),Detalle_24m!BP$51,INDEX(Precio_V,10)*INDEX(IdxPrecio_V,1,MIN(10,BP$173)))*(1+V_dPrecio))</f>
        <v>0</v>
      </c>
      <c r="BQ211" s="48">
        <f>IF(BQ$8=1,IF(Reales!$C$47="PYG",IF(BQ$10&gt;0,N(Reales!BQ47)/BQ$10,0),N(Reales!BQ47)),BQ$186*IF(AND(AND(64&gt;Corte,64&lt;=Corte+n_Ventana),ISNUMBER(Detalle_24m!BQ$51)),Detalle_24m!BQ$51,INDEX(Precio_V,10)*INDEX(IdxPrecio_V,1,MIN(10,BQ$173)))*(1+V_dPrecio))</f>
        <v>0</v>
      </c>
      <c r="BR211" s="48">
        <f>IF(BR$8=1,IF(Reales!$C$47="PYG",IF(BR$10&gt;0,N(Reales!BR47)/BR$10,0),N(Reales!BR47)),BR$186*IF(AND(AND(65&gt;Corte,65&lt;=Corte+n_Ventana),ISNUMBER(Detalle_24m!BR$51)),Detalle_24m!BR$51,INDEX(Precio_V,10)*INDEX(IdxPrecio_V,1,MIN(10,BR$173)))*(1+V_dPrecio))</f>
        <v>0</v>
      </c>
      <c r="BS211" s="48">
        <f>IF(BS$8=1,IF(Reales!$C$47="PYG",IF(BS$10&gt;0,N(Reales!BS47)/BS$10,0),N(Reales!BS47)),BS$186*IF(AND(AND(66&gt;Corte,66&lt;=Corte+n_Ventana),ISNUMBER(Detalle_24m!BS$51)),Detalle_24m!BS$51,INDEX(Precio_V,10)*INDEX(IdxPrecio_V,1,MIN(10,BS$173)))*(1+V_dPrecio))</f>
        <v>0</v>
      </c>
      <c r="BT211" s="48">
        <f>IF(BT$8=1,IF(Reales!$C$47="PYG",IF(BT$10&gt;0,N(Reales!BT47)/BT$10,0),N(Reales!BT47)),BT$186*IF(AND(AND(67&gt;Corte,67&lt;=Corte+n_Ventana),ISNUMBER(Detalle_24m!BT$51)),Detalle_24m!BT$51,INDEX(Precio_V,10)*INDEX(IdxPrecio_V,1,MIN(10,BT$173)))*(1+V_dPrecio))</f>
        <v>0</v>
      </c>
      <c r="BU211" s="48">
        <f>IF(BU$8=1,IF(Reales!$C$47="PYG",IF(BU$10&gt;0,N(Reales!BU47)/BU$10,0),N(Reales!BU47)),BU$186*IF(AND(AND(68&gt;Corte,68&lt;=Corte+n_Ventana),ISNUMBER(Detalle_24m!BU$51)),Detalle_24m!BU$51,INDEX(Precio_V,10)*INDEX(IdxPrecio_V,1,MIN(10,BU$173)))*(1+V_dPrecio))</f>
        <v>0</v>
      </c>
      <c r="BV211" s="48">
        <f>IF(BV$8=1,IF(Reales!$C$47="PYG",IF(BV$10&gt;0,N(Reales!BV47)/BV$10,0),N(Reales!BV47)),BV$186*IF(AND(AND(69&gt;Corte,69&lt;=Corte+n_Ventana),ISNUMBER(Detalle_24m!BV$51)),Detalle_24m!BV$51,INDEX(Precio_V,10)*INDEX(IdxPrecio_V,1,MIN(10,BV$173)))*(1+V_dPrecio))</f>
        <v>0</v>
      </c>
      <c r="BW211" s="48">
        <f>IF(BW$8=1,IF(Reales!$C$47="PYG",IF(BW$10&gt;0,N(Reales!BW47)/BW$10,0),N(Reales!BW47)),BW$186*IF(AND(AND(70&gt;Corte,70&lt;=Corte+n_Ventana),ISNUMBER(Detalle_24m!BW$51)),Detalle_24m!BW$51,INDEX(Precio_V,10)*INDEX(IdxPrecio_V,1,MIN(10,BW$173)))*(1+V_dPrecio))</f>
        <v>0</v>
      </c>
      <c r="BX211" s="48">
        <f>IF(BX$8=1,IF(Reales!$C$47="PYG",IF(BX$10&gt;0,N(Reales!BX47)/BX$10,0),N(Reales!BX47)),BX$186*IF(AND(AND(71&gt;Corte,71&lt;=Corte+n_Ventana),ISNUMBER(Detalle_24m!BX$51)),Detalle_24m!BX$51,INDEX(Precio_V,10)*INDEX(IdxPrecio_V,1,MIN(10,BX$173)))*(1+V_dPrecio))</f>
        <v>0</v>
      </c>
      <c r="BY211" s="48">
        <f>IF(BY$8=1,IF(Reales!$C$47="PYG",IF(BY$10&gt;0,N(Reales!BY47)/BY$10,0),N(Reales!BY47)),BY$186*IF(AND(AND(72&gt;Corte,72&lt;=Corte+n_Ventana),ISNUMBER(Detalle_24m!BY$51)),Detalle_24m!BY$51,INDEX(Precio_V,10)*INDEX(IdxPrecio_V,1,MIN(10,BY$173)))*(1+V_dPrecio))</f>
        <v>0</v>
      </c>
      <c r="BZ211" s="48">
        <f>IF(BZ$8=1,IF(Reales!$C$47="PYG",IF(BZ$10&gt;0,N(Reales!BZ47)/BZ$10,0),N(Reales!BZ47)),BZ$186*IF(AND(AND(73&gt;Corte,73&lt;=Corte+n_Ventana),ISNUMBER(Detalle_24m!BZ$51)),Detalle_24m!BZ$51,INDEX(Precio_V,10)*INDEX(IdxPrecio_V,1,MIN(10,BZ$173)))*(1+V_dPrecio))</f>
        <v>0</v>
      </c>
      <c r="CA211" s="48">
        <f>IF(CA$8=1,IF(Reales!$C$47="PYG",IF(CA$10&gt;0,N(Reales!CA47)/CA$10,0),N(Reales!CA47)),CA$186*IF(AND(AND(74&gt;Corte,74&lt;=Corte+n_Ventana),ISNUMBER(Detalle_24m!CA$51)),Detalle_24m!CA$51,INDEX(Precio_V,10)*INDEX(IdxPrecio_V,1,MIN(10,CA$173)))*(1+V_dPrecio))</f>
        <v>0</v>
      </c>
      <c r="CB211" s="48">
        <f>IF(CB$8=1,IF(Reales!$C$47="PYG",IF(CB$10&gt;0,N(Reales!CB47)/CB$10,0),N(Reales!CB47)),CB$186*IF(AND(AND(75&gt;Corte,75&lt;=Corte+n_Ventana),ISNUMBER(Detalle_24m!CB$51)),Detalle_24m!CB$51,INDEX(Precio_V,10)*INDEX(IdxPrecio_V,1,MIN(10,CB$173)))*(1+V_dPrecio))</f>
        <v>0</v>
      </c>
      <c r="CC211" s="48">
        <f>IF(CC$8=1,IF(Reales!$C$47="PYG",IF(CC$10&gt;0,N(Reales!CC47)/CC$10,0),N(Reales!CC47)),CC$186*IF(AND(AND(76&gt;Corte,76&lt;=Corte+n_Ventana),ISNUMBER(Detalle_24m!CC$51)),Detalle_24m!CC$51,INDEX(Precio_V,10)*INDEX(IdxPrecio_V,1,MIN(10,CC$173)))*(1+V_dPrecio))</f>
        <v>0</v>
      </c>
      <c r="CD211" s="48">
        <f>IF(CD$8=1,IF(Reales!$C$47="PYG",IF(CD$10&gt;0,N(Reales!CD47)/CD$10,0),N(Reales!CD47)),CD$186*IF(AND(AND(77&gt;Corte,77&lt;=Corte+n_Ventana),ISNUMBER(Detalle_24m!CD$51)),Detalle_24m!CD$51,INDEX(Precio_V,10)*INDEX(IdxPrecio_V,1,MIN(10,CD$173)))*(1+V_dPrecio))</f>
        <v>0</v>
      </c>
      <c r="CE211" s="48">
        <f>IF(CE$8=1,IF(Reales!$C$47="PYG",IF(CE$10&gt;0,N(Reales!CE47)/CE$10,0),N(Reales!CE47)),CE$186*IF(AND(AND(78&gt;Corte,78&lt;=Corte+n_Ventana),ISNUMBER(Detalle_24m!CE$51)),Detalle_24m!CE$51,INDEX(Precio_V,10)*INDEX(IdxPrecio_V,1,MIN(10,CE$173)))*(1+V_dPrecio))</f>
        <v>0</v>
      </c>
      <c r="CF211" s="48">
        <f>IF(CF$8=1,IF(Reales!$C$47="PYG",IF(CF$10&gt;0,N(Reales!CF47)/CF$10,0),N(Reales!CF47)),CF$186*IF(AND(AND(79&gt;Corte,79&lt;=Corte+n_Ventana),ISNUMBER(Detalle_24m!CF$51)),Detalle_24m!CF$51,INDEX(Precio_V,10)*INDEX(IdxPrecio_V,1,MIN(10,CF$173)))*(1+V_dPrecio))</f>
        <v>0</v>
      </c>
      <c r="CG211" s="48">
        <f>IF(CG$8=1,IF(Reales!$C$47="PYG",IF(CG$10&gt;0,N(Reales!CG47)/CG$10,0),N(Reales!CG47)),CG$186*IF(AND(AND(80&gt;Corte,80&lt;=Corte+n_Ventana),ISNUMBER(Detalle_24m!CG$51)),Detalle_24m!CG$51,INDEX(Precio_V,10)*INDEX(IdxPrecio_V,1,MIN(10,CG$173)))*(1+V_dPrecio))</f>
        <v>0</v>
      </c>
      <c r="CH211" s="48">
        <f>IF(CH$8=1,IF(Reales!$C$47="PYG",IF(CH$10&gt;0,N(Reales!CH47)/CH$10,0),N(Reales!CH47)),CH$186*IF(AND(AND(81&gt;Corte,81&lt;=Corte+n_Ventana),ISNUMBER(Detalle_24m!CH$51)),Detalle_24m!CH$51,INDEX(Precio_V,10)*INDEX(IdxPrecio_V,1,MIN(10,CH$173)))*(1+V_dPrecio))</f>
        <v>0</v>
      </c>
      <c r="CI211" s="48">
        <f>IF(CI$8=1,IF(Reales!$C$47="PYG",IF(CI$10&gt;0,N(Reales!CI47)/CI$10,0),N(Reales!CI47)),CI$186*IF(AND(AND(82&gt;Corte,82&lt;=Corte+n_Ventana),ISNUMBER(Detalle_24m!CI$51)),Detalle_24m!CI$51,INDEX(Precio_V,10)*INDEX(IdxPrecio_V,1,MIN(10,CI$173)))*(1+V_dPrecio))</f>
        <v>0</v>
      </c>
      <c r="CJ211" s="48">
        <f>IF(CJ$8=1,IF(Reales!$C$47="PYG",IF(CJ$10&gt;0,N(Reales!CJ47)/CJ$10,0),N(Reales!CJ47)),CJ$186*IF(AND(AND(83&gt;Corte,83&lt;=Corte+n_Ventana),ISNUMBER(Detalle_24m!CJ$51)),Detalle_24m!CJ$51,INDEX(Precio_V,10)*INDEX(IdxPrecio_V,1,MIN(10,CJ$173)))*(1+V_dPrecio))</f>
        <v>0</v>
      </c>
      <c r="CK211" s="48">
        <f>IF(CK$8=1,IF(Reales!$C$47="PYG",IF(CK$10&gt;0,N(Reales!CK47)/CK$10,0),N(Reales!CK47)),CK$186*IF(AND(AND(84&gt;Corte,84&lt;=Corte+n_Ventana),ISNUMBER(Detalle_24m!CK$51)),Detalle_24m!CK$51,INDEX(Precio_V,10)*INDEX(IdxPrecio_V,1,MIN(10,CK$173)))*(1+V_dPrecio))</f>
        <v>0</v>
      </c>
      <c r="CL211" s="48">
        <f>IF(CL$8=1,IF(Reales!$C$47="PYG",IF(CL$10&gt;0,N(Reales!CL47)/CL$10,0),N(Reales!CL47)),CL$186*IF(AND(AND(85&gt;Corte,85&lt;=Corte+n_Ventana),ISNUMBER(Detalle_24m!CL$51)),Detalle_24m!CL$51,INDEX(Precio_V,10)*INDEX(IdxPrecio_V,1,MIN(10,CL$173)))*(1+V_dPrecio))</f>
        <v>0</v>
      </c>
      <c r="CM211" s="48">
        <f>IF(CM$8=1,IF(Reales!$C$47="PYG",IF(CM$10&gt;0,N(Reales!CM47)/CM$10,0),N(Reales!CM47)),CM$186*IF(AND(AND(86&gt;Corte,86&lt;=Corte+n_Ventana),ISNUMBER(Detalle_24m!CM$51)),Detalle_24m!CM$51,INDEX(Precio_V,10)*INDEX(IdxPrecio_V,1,MIN(10,CM$173)))*(1+V_dPrecio))</f>
        <v>0</v>
      </c>
      <c r="CN211" s="48">
        <f>IF(CN$8=1,IF(Reales!$C$47="PYG",IF(CN$10&gt;0,N(Reales!CN47)/CN$10,0),N(Reales!CN47)),CN$186*IF(AND(AND(87&gt;Corte,87&lt;=Corte+n_Ventana),ISNUMBER(Detalle_24m!CN$51)),Detalle_24m!CN$51,INDEX(Precio_V,10)*INDEX(IdxPrecio_V,1,MIN(10,CN$173)))*(1+V_dPrecio))</f>
        <v>0</v>
      </c>
      <c r="CO211" s="48">
        <f>IF(CO$8=1,IF(Reales!$C$47="PYG",IF(CO$10&gt;0,N(Reales!CO47)/CO$10,0),N(Reales!CO47)),CO$186*IF(AND(AND(88&gt;Corte,88&lt;=Corte+n_Ventana),ISNUMBER(Detalle_24m!CO$51)),Detalle_24m!CO$51,INDEX(Precio_V,10)*INDEX(IdxPrecio_V,1,MIN(10,CO$173)))*(1+V_dPrecio))</f>
        <v>0</v>
      </c>
      <c r="CP211" s="48">
        <f>IF(CP$8=1,IF(Reales!$C$47="PYG",IF(CP$10&gt;0,N(Reales!CP47)/CP$10,0),N(Reales!CP47)),CP$186*IF(AND(AND(89&gt;Corte,89&lt;=Corte+n_Ventana),ISNUMBER(Detalle_24m!CP$51)),Detalle_24m!CP$51,INDEX(Precio_V,10)*INDEX(IdxPrecio_V,1,MIN(10,CP$173)))*(1+V_dPrecio))</f>
        <v>0</v>
      </c>
      <c r="CQ211" s="48">
        <f>IF(CQ$8=1,IF(Reales!$C$47="PYG",IF(CQ$10&gt;0,N(Reales!CQ47)/CQ$10,0),N(Reales!CQ47)),CQ$186*IF(AND(AND(90&gt;Corte,90&lt;=Corte+n_Ventana),ISNUMBER(Detalle_24m!CQ$51)),Detalle_24m!CQ$51,INDEX(Precio_V,10)*INDEX(IdxPrecio_V,1,MIN(10,CQ$173)))*(1+V_dPrecio))</f>
        <v>0</v>
      </c>
      <c r="CR211" s="48">
        <f>IF(CR$8=1,IF(Reales!$C$47="PYG",IF(CR$10&gt;0,N(Reales!CR47)/CR$10,0),N(Reales!CR47)),CR$186*IF(AND(AND(91&gt;Corte,91&lt;=Corte+n_Ventana),ISNUMBER(Detalle_24m!CR$51)),Detalle_24m!CR$51,INDEX(Precio_V,10)*INDEX(IdxPrecio_V,1,MIN(10,CR$173)))*(1+V_dPrecio))</f>
        <v>0</v>
      </c>
      <c r="CS211" s="48">
        <f>IF(CS$8=1,IF(Reales!$C$47="PYG",IF(CS$10&gt;0,N(Reales!CS47)/CS$10,0),N(Reales!CS47)),CS$186*IF(AND(AND(92&gt;Corte,92&lt;=Corte+n_Ventana),ISNUMBER(Detalle_24m!CS$51)),Detalle_24m!CS$51,INDEX(Precio_V,10)*INDEX(IdxPrecio_V,1,MIN(10,CS$173)))*(1+V_dPrecio))</f>
        <v>0</v>
      </c>
      <c r="CT211" s="48">
        <f>IF(CT$8=1,IF(Reales!$C$47="PYG",IF(CT$10&gt;0,N(Reales!CT47)/CT$10,0),N(Reales!CT47)),CT$186*IF(AND(AND(93&gt;Corte,93&lt;=Corte+n_Ventana),ISNUMBER(Detalle_24m!CT$51)),Detalle_24m!CT$51,INDEX(Precio_V,10)*INDEX(IdxPrecio_V,1,MIN(10,CT$173)))*(1+V_dPrecio))</f>
        <v>0</v>
      </c>
      <c r="CU211" s="48">
        <f>IF(CU$8=1,IF(Reales!$C$47="PYG",IF(CU$10&gt;0,N(Reales!CU47)/CU$10,0),N(Reales!CU47)),CU$186*IF(AND(AND(94&gt;Corte,94&lt;=Corte+n_Ventana),ISNUMBER(Detalle_24m!CU$51)),Detalle_24m!CU$51,INDEX(Precio_V,10)*INDEX(IdxPrecio_V,1,MIN(10,CU$173)))*(1+V_dPrecio))</f>
        <v>0</v>
      </c>
      <c r="CV211" s="48">
        <f>IF(CV$8=1,IF(Reales!$C$47="PYG",IF(CV$10&gt;0,N(Reales!CV47)/CV$10,0),N(Reales!CV47)),CV$186*IF(AND(AND(95&gt;Corte,95&lt;=Corte+n_Ventana),ISNUMBER(Detalle_24m!CV$51)),Detalle_24m!CV$51,INDEX(Precio_V,10)*INDEX(IdxPrecio_V,1,MIN(10,CV$173)))*(1+V_dPrecio))</f>
        <v>0</v>
      </c>
      <c r="CW211" s="48">
        <f>IF(CW$8=1,IF(Reales!$C$47="PYG",IF(CW$10&gt;0,N(Reales!CW47)/CW$10,0),N(Reales!CW47)),CW$186*IF(AND(AND(96&gt;Corte,96&lt;=Corte+n_Ventana),ISNUMBER(Detalle_24m!CW$51)),Detalle_24m!CW$51,INDEX(Precio_V,10)*INDEX(IdxPrecio_V,1,MIN(10,CW$173)))*(1+V_dPrecio))</f>
        <v>0</v>
      </c>
      <c r="CX211" s="48">
        <f>IF(CX$8=1,IF(Reales!$C$47="PYG",IF(CX$10&gt;0,N(Reales!CX47)/CX$10,0),N(Reales!CX47)),CX$186*IF(AND(AND(97&gt;Corte,97&lt;=Corte+n_Ventana),ISNUMBER(Detalle_24m!CX$51)),Detalle_24m!CX$51,INDEX(Precio_V,10)*INDEX(IdxPrecio_V,1,MIN(10,CX$173)))*(1+V_dPrecio))</f>
        <v>0</v>
      </c>
      <c r="CY211" s="48">
        <f>IF(CY$8=1,IF(Reales!$C$47="PYG",IF(CY$10&gt;0,N(Reales!CY47)/CY$10,0),N(Reales!CY47)),CY$186*IF(AND(AND(98&gt;Corte,98&lt;=Corte+n_Ventana),ISNUMBER(Detalle_24m!CY$51)),Detalle_24m!CY$51,INDEX(Precio_V,10)*INDEX(IdxPrecio_V,1,MIN(10,CY$173)))*(1+V_dPrecio))</f>
        <v>0</v>
      </c>
      <c r="CZ211" s="48">
        <f>IF(CZ$8=1,IF(Reales!$C$47="PYG",IF(CZ$10&gt;0,N(Reales!CZ47)/CZ$10,0),N(Reales!CZ47)),CZ$186*IF(AND(AND(99&gt;Corte,99&lt;=Corte+n_Ventana),ISNUMBER(Detalle_24m!CZ$51)),Detalle_24m!CZ$51,INDEX(Precio_V,10)*INDEX(IdxPrecio_V,1,MIN(10,CZ$173)))*(1+V_dPrecio))</f>
        <v>0</v>
      </c>
      <c r="DA211" s="48">
        <f>IF(DA$8=1,IF(Reales!$C$47="PYG",IF(DA$10&gt;0,N(Reales!DA47)/DA$10,0),N(Reales!DA47)),DA$186*IF(AND(AND(100&gt;Corte,100&lt;=Corte+n_Ventana),ISNUMBER(Detalle_24m!DA$51)),Detalle_24m!DA$51,INDEX(Precio_V,10)*INDEX(IdxPrecio_V,1,MIN(10,DA$173)))*(1+V_dPrecio))</f>
        <v>0</v>
      </c>
      <c r="DB211" s="48">
        <f>IF(DB$8=1,IF(Reales!$C$47="PYG",IF(DB$10&gt;0,N(Reales!DB47)/DB$10,0),N(Reales!DB47)),DB$186*IF(AND(AND(101&gt;Corte,101&lt;=Corte+n_Ventana),ISNUMBER(Detalle_24m!DB$51)),Detalle_24m!DB$51,INDEX(Precio_V,10)*INDEX(IdxPrecio_V,1,MIN(10,DB$173)))*(1+V_dPrecio))</f>
        <v>0</v>
      </c>
      <c r="DC211" s="48">
        <f>IF(DC$8=1,IF(Reales!$C$47="PYG",IF(DC$10&gt;0,N(Reales!DC47)/DC$10,0),N(Reales!DC47)),DC$186*IF(AND(AND(102&gt;Corte,102&lt;=Corte+n_Ventana),ISNUMBER(Detalle_24m!DC$51)),Detalle_24m!DC$51,INDEX(Precio_V,10)*INDEX(IdxPrecio_V,1,MIN(10,DC$173)))*(1+V_dPrecio))</f>
        <v>0</v>
      </c>
      <c r="DD211" s="48">
        <f>IF(DD$8=1,IF(Reales!$C$47="PYG",IF(DD$10&gt;0,N(Reales!DD47)/DD$10,0),N(Reales!DD47)),DD$186*IF(AND(AND(103&gt;Corte,103&lt;=Corte+n_Ventana),ISNUMBER(Detalle_24m!DD$51)),Detalle_24m!DD$51,INDEX(Precio_V,10)*INDEX(IdxPrecio_V,1,MIN(10,DD$173)))*(1+V_dPrecio))</f>
        <v>0</v>
      </c>
      <c r="DE211" s="48">
        <f>IF(DE$8=1,IF(Reales!$C$47="PYG",IF(DE$10&gt;0,N(Reales!DE47)/DE$10,0),N(Reales!DE47)),DE$186*IF(AND(AND(104&gt;Corte,104&lt;=Corte+n_Ventana),ISNUMBER(Detalle_24m!DE$51)),Detalle_24m!DE$51,INDEX(Precio_V,10)*INDEX(IdxPrecio_V,1,MIN(10,DE$173)))*(1+V_dPrecio))</f>
        <v>0</v>
      </c>
      <c r="DF211" s="48">
        <f>IF(DF$8=1,IF(Reales!$C$47="PYG",IF(DF$10&gt;0,N(Reales!DF47)/DF$10,0),N(Reales!DF47)),DF$186*IF(AND(AND(105&gt;Corte,105&lt;=Corte+n_Ventana),ISNUMBER(Detalle_24m!DF$51)),Detalle_24m!DF$51,INDEX(Precio_V,10)*INDEX(IdxPrecio_V,1,MIN(10,DF$173)))*(1+V_dPrecio))</f>
        <v>0</v>
      </c>
      <c r="DG211" s="48">
        <f>IF(DG$8=1,IF(Reales!$C$47="PYG",IF(DG$10&gt;0,N(Reales!DG47)/DG$10,0),N(Reales!DG47)),DG$186*IF(AND(AND(106&gt;Corte,106&lt;=Corte+n_Ventana),ISNUMBER(Detalle_24m!DG$51)),Detalle_24m!DG$51,INDEX(Precio_V,10)*INDEX(IdxPrecio_V,1,MIN(10,DG$173)))*(1+V_dPrecio))</f>
        <v>0</v>
      </c>
      <c r="DH211" s="48">
        <f>IF(DH$8=1,IF(Reales!$C$47="PYG",IF(DH$10&gt;0,N(Reales!DH47)/DH$10,0),N(Reales!DH47)),DH$186*IF(AND(AND(107&gt;Corte,107&lt;=Corte+n_Ventana),ISNUMBER(Detalle_24m!DH$51)),Detalle_24m!DH$51,INDEX(Precio_V,10)*INDEX(IdxPrecio_V,1,MIN(10,DH$173)))*(1+V_dPrecio))</f>
        <v>0</v>
      </c>
      <c r="DI211" s="48">
        <f>IF(DI$8=1,IF(Reales!$C$47="PYG",IF(DI$10&gt;0,N(Reales!DI47)/DI$10,0),N(Reales!DI47)),DI$186*IF(AND(AND(108&gt;Corte,108&lt;=Corte+n_Ventana),ISNUMBER(Detalle_24m!DI$51)),Detalle_24m!DI$51,INDEX(Precio_V,10)*INDEX(IdxPrecio_V,1,MIN(10,DI$173)))*(1+V_dPrecio))</f>
        <v>0</v>
      </c>
      <c r="DJ211" s="48">
        <f>IF(DJ$8=1,IF(Reales!$C$47="PYG",IF(DJ$10&gt;0,N(Reales!DJ47)/DJ$10,0),N(Reales!DJ47)),DJ$186*IF(AND(AND(109&gt;Corte,109&lt;=Corte+n_Ventana),ISNUMBER(Detalle_24m!DJ$51)),Detalle_24m!DJ$51,INDEX(Precio_V,10)*INDEX(IdxPrecio_V,1,MIN(10,DJ$173)))*(1+V_dPrecio))</f>
        <v>0</v>
      </c>
      <c r="DK211" s="48">
        <f>IF(DK$8=1,IF(Reales!$C$47="PYG",IF(DK$10&gt;0,N(Reales!DK47)/DK$10,0),N(Reales!DK47)),DK$186*IF(AND(AND(110&gt;Corte,110&lt;=Corte+n_Ventana),ISNUMBER(Detalle_24m!DK$51)),Detalle_24m!DK$51,INDEX(Precio_V,10)*INDEX(IdxPrecio_V,1,MIN(10,DK$173)))*(1+V_dPrecio))</f>
        <v>0</v>
      </c>
      <c r="DL211" s="48">
        <f>IF(DL$8=1,IF(Reales!$C$47="PYG",IF(DL$10&gt;0,N(Reales!DL47)/DL$10,0),N(Reales!DL47)),DL$186*IF(AND(AND(111&gt;Corte,111&lt;=Corte+n_Ventana),ISNUMBER(Detalle_24m!DL$51)),Detalle_24m!DL$51,INDEX(Precio_V,10)*INDEX(IdxPrecio_V,1,MIN(10,DL$173)))*(1+V_dPrecio))</f>
        <v>0</v>
      </c>
      <c r="DM211" s="48">
        <f>IF(DM$8=1,IF(Reales!$C$47="PYG",IF(DM$10&gt;0,N(Reales!DM47)/DM$10,0),N(Reales!DM47)),DM$186*IF(AND(AND(112&gt;Corte,112&lt;=Corte+n_Ventana),ISNUMBER(Detalle_24m!DM$51)),Detalle_24m!DM$51,INDEX(Precio_V,10)*INDEX(IdxPrecio_V,1,MIN(10,DM$173)))*(1+V_dPrecio))</f>
        <v>0</v>
      </c>
      <c r="DN211" s="48">
        <f>IF(DN$8=1,IF(Reales!$C$47="PYG",IF(DN$10&gt;0,N(Reales!DN47)/DN$10,0),N(Reales!DN47)),DN$186*IF(AND(AND(113&gt;Corte,113&lt;=Corte+n_Ventana),ISNUMBER(Detalle_24m!DN$51)),Detalle_24m!DN$51,INDEX(Precio_V,10)*INDEX(IdxPrecio_V,1,MIN(10,DN$173)))*(1+V_dPrecio))</f>
        <v>0</v>
      </c>
      <c r="DO211" s="48">
        <f>IF(DO$8=1,IF(Reales!$C$47="PYG",IF(DO$10&gt;0,N(Reales!DO47)/DO$10,0),N(Reales!DO47)),DO$186*IF(AND(AND(114&gt;Corte,114&lt;=Corte+n_Ventana),ISNUMBER(Detalle_24m!DO$51)),Detalle_24m!DO$51,INDEX(Precio_V,10)*INDEX(IdxPrecio_V,1,MIN(10,DO$173)))*(1+V_dPrecio))</f>
        <v>0</v>
      </c>
      <c r="DP211" s="48">
        <f>IF(DP$8=1,IF(Reales!$C$47="PYG",IF(DP$10&gt;0,N(Reales!DP47)/DP$10,0),N(Reales!DP47)),DP$186*IF(AND(AND(115&gt;Corte,115&lt;=Corte+n_Ventana),ISNUMBER(Detalle_24m!DP$51)),Detalle_24m!DP$51,INDEX(Precio_V,10)*INDEX(IdxPrecio_V,1,MIN(10,DP$173)))*(1+V_dPrecio))</f>
        <v>0</v>
      </c>
      <c r="DQ211" s="48">
        <f>IF(DQ$8=1,IF(Reales!$C$47="PYG",IF(DQ$10&gt;0,N(Reales!DQ47)/DQ$10,0),N(Reales!DQ47)),DQ$186*IF(AND(AND(116&gt;Corte,116&lt;=Corte+n_Ventana),ISNUMBER(Detalle_24m!DQ$51)),Detalle_24m!DQ$51,INDEX(Precio_V,10)*INDEX(IdxPrecio_V,1,MIN(10,DQ$173)))*(1+V_dPrecio))</f>
        <v>0</v>
      </c>
      <c r="DR211" s="48">
        <f>IF(DR$8=1,IF(Reales!$C$47="PYG",IF(DR$10&gt;0,N(Reales!DR47)/DR$10,0),N(Reales!DR47)),DR$186*IF(AND(AND(117&gt;Corte,117&lt;=Corte+n_Ventana),ISNUMBER(Detalle_24m!DR$51)),Detalle_24m!DR$51,INDEX(Precio_V,10)*INDEX(IdxPrecio_V,1,MIN(10,DR$173)))*(1+V_dPrecio))</f>
        <v>0</v>
      </c>
      <c r="DS211" s="48">
        <f>IF(DS$8=1,IF(Reales!$C$47="PYG",IF(DS$10&gt;0,N(Reales!DS47)/DS$10,0),N(Reales!DS47)),DS$186*IF(AND(AND(118&gt;Corte,118&lt;=Corte+n_Ventana),ISNUMBER(Detalle_24m!DS$51)),Detalle_24m!DS$51,INDEX(Precio_V,10)*INDEX(IdxPrecio_V,1,MIN(10,DS$173)))*(1+V_dPrecio))</f>
        <v>0</v>
      </c>
      <c r="DT211" s="48">
        <f>IF(DT$8=1,IF(Reales!$C$47="PYG",IF(DT$10&gt;0,N(Reales!DT47)/DT$10,0),N(Reales!DT47)),DT$186*IF(AND(AND(119&gt;Corte,119&lt;=Corte+n_Ventana),ISNUMBER(Detalle_24m!DT$51)),Detalle_24m!DT$51,INDEX(Precio_V,10)*INDEX(IdxPrecio_V,1,MIN(10,DT$173)))*(1+V_dPrecio))</f>
        <v>0</v>
      </c>
      <c r="DU211" s="48">
        <f>IF(DU$8=1,IF(Reales!$C$47="PYG",IF(DU$10&gt;0,N(Reales!DU47)/DU$10,0),N(Reales!DU47)),DU$186*IF(AND(AND(120&gt;Corte,120&lt;=Corte+n_Ventana),ISNUMBER(Detalle_24m!DU$51)),Detalle_24m!DU$51,INDEX(Precio_V,10)*INDEX(IdxPrecio_V,1,MIN(10,DU$173)))*(1+V_dPrecio))</f>
        <v>0</v>
      </c>
      <c r="DV211" s="48">
        <f>IF(DV$8=1,IF(Reales!$C$47="PYG",IF(DV$10&gt;0,N(Reales!DV47)/DV$10,0),N(Reales!DV47)),DV$186*IF(AND(AND(121&gt;Corte,121&lt;=Corte+n_Ventana),ISNUMBER(Detalle_24m!DV$51)),Detalle_24m!DV$51,INDEX(Precio_V,10)*INDEX(IdxPrecio_V,1,MIN(10,DV$173)))*(1+V_dPrecio))</f>
        <v>0</v>
      </c>
      <c r="DW211" s="48">
        <f>IF(DW$8=1,IF(Reales!$C$47="PYG",IF(DW$10&gt;0,N(Reales!DW47)/DW$10,0),N(Reales!DW47)),DW$186*IF(AND(AND(122&gt;Corte,122&lt;=Corte+n_Ventana),ISNUMBER(Detalle_24m!DW$51)),Detalle_24m!DW$51,INDEX(Precio_V,10)*INDEX(IdxPrecio_V,1,MIN(10,DW$173)))*(1+V_dPrecio))</f>
        <v>0</v>
      </c>
      <c r="DX211" s="48">
        <f>IF(DX$8=1,IF(Reales!$C$47="PYG",IF(DX$10&gt;0,N(Reales!DX47)/DX$10,0),N(Reales!DX47)),DX$186*IF(AND(AND(123&gt;Corte,123&lt;=Corte+n_Ventana),ISNUMBER(Detalle_24m!DX$51)),Detalle_24m!DX$51,INDEX(Precio_V,10)*INDEX(IdxPrecio_V,1,MIN(10,DX$173)))*(1+V_dPrecio))</f>
        <v>0</v>
      </c>
      <c r="DY211" s="48">
        <f>IF(DY$8=1,IF(Reales!$C$47="PYG",IF(DY$10&gt;0,N(Reales!DY47)/DY$10,0),N(Reales!DY47)),DY$186*IF(AND(AND(124&gt;Corte,124&lt;=Corte+n_Ventana),ISNUMBER(Detalle_24m!DY$51)),Detalle_24m!DY$51,INDEX(Precio_V,10)*INDEX(IdxPrecio_V,1,MIN(10,DY$173)))*(1+V_dPrecio))</f>
        <v>0</v>
      </c>
      <c r="DZ211" s="48">
        <f>IF(DZ$8=1,IF(Reales!$C$47="PYG",IF(DZ$10&gt;0,N(Reales!DZ47)/DZ$10,0),N(Reales!DZ47)),DZ$186*IF(AND(AND(125&gt;Corte,125&lt;=Corte+n_Ventana),ISNUMBER(Detalle_24m!DZ$51)),Detalle_24m!DZ$51,INDEX(Precio_V,10)*INDEX(IdxPrecio_V,1,MIN(10,DZ$173)))*(1+V_dPrecio))</f>
        <v>0</v>
      </c>
      <c r="EA211" s="48">
        <f>IF(EA$8=1,IF(Reales!$C$47="PYG",IF(EA$10&gt;0,N(Reales!EA47)/EA$10,0),N(Reales!EA47)),EA$186*IF(AND(AND(126&gt;Corte,126&lt;=Corte+n_Ventana),ISNUMBER(Detalle_24m!EA$51)),Detalle_24m!EA$51,INDEX(Precio_V,10)*INDEX(IdxPrecio_V,1,MIN(10,EA$173)))*(1+V_dPrecio))</f>
        <v>0</v>
      </c>
      <c r="EB211" s="48">
        <f>IF(EB$8=1,IF(Reales!$C$47="PYG",IF(EB$10&gt;0,N(Reales!EB47)/EB$10,0),N(Reales!EB47)),EB$186*IF(AND(AND(127&gt;Corte,127&lt;=Corte+n_Ventana),ISNUMBER(Detalle_24m!EB$51)),Detalle_24m!EB$51,INDEX(Precio_V,10)*INDEX(IdxPrecio_V,1,MIN(10,EB$173)))*(1+V_dPrecio))</f>
        <v>0</v>
      </c>
      <c r="EC211" s="48">
        <f>IF(EC$8=1,IF(Reales!$C$47="PYG",IF(EC$10&gt;0,N(Reales!EC47)/EC$10,0),N(Reales!EC47)),EC$186*IF(AND(AND(128&gt;Corte,128&lt;=Corte+n_Ventana),ISNUMBER(Detalle_24m!EC$51)),Detalle_24m!EC$51,INDEX(Precio_V,10)*INDEX(IdxPrecio_V,1,MIN(10,EC$173)))*(1+V_dPrecio))</f>
        <v>0</v>
      </c>
      <c r="ED211" s="48">
        <f>IF(ED$8=1,IF(Reales!$C$47="PYG",IF(ED$10&gt;0,N(Reales!ED47)/ED$10,0),N(Reales!ED47)),ED$186*IF(AND(AND(129&gt;Corte,129&lt;=Corte+n_Ventana),ISNUMBER(Detalle_24m!ED$51)),Detalle_24m!ED$51,INDEX(Precio_V,10)*INDEX(IdxPrecio_V,1,MIN(10,ED$173)))*(1+V_dPrecio))</f>
        <v>0</v>
      </c>
      <c r="EE211" s="48">
        <f>IF(EE$8=1,IF(Reales!$C$47="PYG",IF(EE$10&gt;0,N(Reales!EE47)/EE$10,0),N(Reales!EE47)),EE$186*IF(AND(AND(130&gt;Corte,130&lt;=Corte+n_Ventana),ISNUMBER(Detalle_24m!EE$51)),Detalle_24m!EE$51,INDEX(Precio_V,10)*INDEX(IdxPrecio_V,1,MIN(10,EE$173)))*(1+V_dPrecio))</f>
        <v>0</v>
      </c>
      <c r="EF211" s="48">
        <f>IF(EF$8=1,IF(Reales!$C$47="PYG",IF(EF$10&gt;0,N(Reales!EF47)/EF$10,0),N(Reales!EF47)),EF$186*IF(AND(AND(131&gt;Corte,131&lt;=Corte+n_Ventana),ISNUMBER(Detalle_24m!EF$51)),Detalle_24m!EF$51,INDEX(Precio_V,10)*INDEX(IdxPrecio_V,1,MIN(10,EF$173)))*(1+V_dPrecio))</f>
        <v>0</v>
      </c>
      <c r="EG211" s="48">
        <f>IF(EG$8=1,IF(Reales!$C$47="PYG",IF(EG$10&gt;0,N(Reales!EG47)/EG$10,0),N(Reales!EG47)),EG$186*IF(AND(AND(132&gt;Corte,132&lt;=Corte+n_Ventana),ISNUMBER(Detalle_24m!EG$51)),Detalle_24m!EG$51,INDEX(Precio_V,10)*INDEX(IdxPrecio_V,1,MIN(10,EG$173)))*(1+V_dPrecio))</f>
        <v>0</v>
      </c>
      <c r="EH211" s="48">
        <f>IF(EH$8=1,IF(Reales!$C$47="PYG",IF(EH$10&gt;0,N(Reales!EH47)/EH$10,0),N(Reales!EH47)),EH$186*IF(AND(AND(133&gt;Corte,133&lt;=Corte+n_Ventana),ISNUMBER(Detalle_24m!EH$51)),Detalle_24m!EH$51,INDEX(Precio_V,10)*INDEX(IdxPrecio_V,1,MIN(10,EH$173)))*(1+V_dPrecio))</f>
        <v>0</v>
      </c>
      <c r="EI211" s="48">
        <f>IF(EI$8=1,IF(Reales!$C$47="PYG",IF(EI$10&gt;0,N(Reales!EI47)/EI$10,0),N(Reales!EI47)),EI$186*IF(AND(AND(134&gt;Corte,134&lt;=Corte+n_Ventana),ISNUMBER(Detalle_24m!EI$51)),Detalle_24m!EI$51,INDEX(Precio_V,10)*INDEX(IdxPrecio_V,1,MIN(10,EI$173)))*(1+V_dPrecio))</f>
        <v>0</v>
      </c>
      <c r="EJ211" s="48">
        <f>IF(EJ$8=1,IF(Reales!$C$47="PYG",IF(EJ$10&gt;0,N(Reales!EJ47)/EJ$10,0),N(Reales!EJ47)),EJ$186*IF(AND(AND(135&gt;Corte,135&lt;=Corte+n_Ventana),ISNUMBER(Detalle_24m!EJ$51)),Detalle_24m!EJ$51,INDEX(Precio_V,10)*INDEX(IdxPrecio_V,1,MIN(10,EJ$173)))*(1+V_dPrecio))</f>
        <v>0</v>
      </c>
      <c r="EK211" s="48">
        <f>IF(EK$8=1,IF(Reales!$C$47="PYG",IF(EK$10&gt;0,N(Reales!EK47)/EK$10,0),N(Reales!EK47)),EK$186*IF(AND(AND(136&gt;Corte,136&lt;=Corte+n_Ventana),ISNUMBER(Detalle_24m!EK$51)),Detalle_24m!EK$51,INDEX(Precio_V,10)*INDEX(IdxPrecio_V,1,MIN(10,EK$173)))*(1+V_dPrecio))</f>
        <v>0</v>
      </c>
      <c r="EL211" s="48">
        <f>IF(EL$8=1,IF(Reales!$C$47="PYG",IF(EL$10&gt;0,N(Reales!EL47)/EL$10,0),N(Reales!EL47)),EL$186*IF(AND(AND(137&gt;Corte,137&lt;=Corte+n_Ventana),ISNUMBER(Detalle_24m!EL$51)),Detalle_24m!EL$51,INDEX(Precio_V,10)*INDEX(IdxPrecio_V,1,MIN(10,EL$173)))*(1+V_dPrecio))</f>
        <v>0</v>
      </c>
      <c r="EM211" s="48">
        <f>IF(EM$8=1,IF(Reales!$C$47="PYG",IF(EM$10&gt;0,N(Reales!EM47)/EM$10,0),N(Reales!EM47)),EM$186*IF(AND(AND(138&gt;Corte,138&lt;=Corte+n_Ventana),ISNUMBER(Detalle_24m!EM$51)),Detalle_24m!EM$51,INDEX(Precio_V,10)*INDEX(IdxPrecio_V,1,MIN(10,EM$173)))*(1+V_dPrecio))</f>
        <v>0</v>
      </c>
      <c r="EN211" s="48">
        <f>IF(EN$8=1,IF(Reales!$C$47="PYG",IF(EN$10&gt;0,N(Reales!EN47)/EN$10,0),N(Reales!EN47)),EN$186*IF(AND(AND(139&gt;Corte,139&lt;=Corte+n_Ventana),ISNUMBER(Detalle_24m!EN$51)),Detalle_24m!EN$51,INDEX(Precio_V,10)*INDEX(IdxPrecio_V,1,MIN(10,EN$173)))*(1+V_dPrecio))</f>
        <v>0</v>
      </c>
      <c r="EO211" s="48">
        <f>IF(EO$8=1,IF(Reales!$C$47="PYG",IF(EO$10&gt;0,N(Reales!EO47)/EO$10,0),N(Reales!EO47)),EO$186*IF(AND(AND(140&gt;Corte,140&lt;=Corte+n_Ventana),ISNUMBER(Detalle_24m!EO$51)),Detalle_24m!EO$51,INDEX(Precio_V,10)*INDEX(IdxPrecio_V,1,MIN(10,EO$173)))*(1+V_dPrecio))</f>
        <v>0</v>
      </c>
      <c r="EP211" s="48">
        <f>IF(EP$8=1,IF(Reales!$C$47="PYG",IF(EP$10&gt;0,N(Reales!EP47)/EP$10,0),N(Reales!EP47)),EP$186*IF(AND(AND(141&gt;Corte,141&lt;=Corte+n_Ventana),ISNUMBER(Detalle_24m!EP$51)),Detalle_24m!EP$51,INDEX(Precio_V,10)*INDEX(IdxPrecio_V,1,MIN(10,EP$173)))*(1+V_dPrecio))</f>
        <v>0</v>
      </c>
      <c r="EQ211" s="48">
        <f>IF(EQ$8=1,IF(Reales!$C$47="PYG",IF(EQ$10&gt;0,N(Reales!EQ47)/EQ$10,0),N(Reales!EQ47)),EQ$186*IF(AND(AND(142&gt;Corte,142&lt;=Corte+n_Ventana),ISNUMBER(Detalle_24m!EQ$51)),Detalle_24m!EQ$51,INDEX(Precio_V,10)*INDEX(IdxPrecio_V,1,MIN(10,EQ$173)))*(1+V_dPrecio))</f>
        <v>0</v>
      </c>
      <c r="ER211" s="48">
        <f>IF(ER$8=1,IF(Reales!$C$47="PYG",IF(ER$10&gt;0,N(Reales!ER47)/ER$10,0),N(Reales!ER47)),ER$186*IF(AND(AND(143&gt;Corte,143&lt;=Corte+n_Ventana),ISNUMBER(Detalle_24m!ER$51)),Detalle_24m!ER$51,INDEX(Precio_V,10)*INDEX(IdxPrecio_V,1,MIN(10,ER$173)))*(1+V_dPrecio))</f>
        <v>0</v>
      </c>
      <c r="ES211" s="48">
        <f>IF(ES$8=1,IF(Reales!$C$47="PYG",IF(ES$10&gt;0,N(Reales!ES47)/ES$10,0),N(Reales!ES47)),ES$186*IF(AND(AND(144&gt;Corte,144&lt;=Corte+n_Ventana),ISNUMBER(Detalle_24m!ES$51)),Detalle_24m!ES$51,INDEX(Precio_V,10)*INDEX(IdxPrecio_V,1,MIN(10,ES$173)))*(1+V_dPrecio))</f>
        <v>0</v>
      </c>
    </row>
    <row r="212" spans="1:149" x14ac:dyDescent="0.3">
      <c r="A212" s="14" t="s">
        <v>1267</v>
      </c>
      <c r="B212" s="53" t="str">
        <f>IF(INDEX(Prod_Nombre,11)="","Producto 11",INDEX(Prod_Nombre,11))&amp;" — ventas USD"</f>
        <v>Producto 11 — ventas USD</v>
      </c>
      <c r="C212" s="18" t="s">
        <v>439</v>
      </c>
      <c r="E212" s="54">
        <f t="shared" si="605"/>
        <v>0</v>
      </c>
      <c r="F212" s="48">
        <f>IF(F$8=1,IF(Reales!$C$48="PYG",IF(F$10&gt;0,N(Reales!F48)/F$10,0),N(Reales!F48)),F$187*IF(AND(AND(1&gt;Corte,1&lt;=Corte+n_Ventana),ISNUMBER(Detalle_24m!F$52)),Detalle_24m!F$52,INDEX(Precio_V,11)*INDEX(IdxPrecio_V,1,MIN(10,F$173)))*(1+V_dPrecio))</f>
        <v>0</v>
      </c>
      <c r="G212" s="48">
        <f>IF(G$8=1,IF(Reales!$C$48="PYG",IF(G$10&gt;0,N(Reales!G48)/G$10,0),N(Reales!G48)),G$187*IF(AND(AND(2&gt;Corte,2&lt;=Corte+n_Ventana),ISNUMBER(Detalle_24m!G$52)),Detalle_24m!G$52,INDEX(Precio_V,11)*INDEX(IdxPrecio_V,1,MIN(10,G$173)))*(1+V_dPrecio))</f>
        <v>0</v>
      </c>
      <c r="H212" s="48">
        <f>IF(H$8=1,IF(Reales!$C$48="PYG",IF(H$10&gt;0,N(Reales!H48)/H$10,0),N(Reales!H48)),H$187*IF(AND(AND(3&gt;Corte,3&lt;=Corte+n_Ventana),ISNUMBER(Detalle_24m!H$52)),Detalle_24m!H$52,INDEX(Precio_V,11)*INDEX(IdxPrecio_V,1,MIN(10,H$173)))*(1+V_dPrecio))</f>
        <v>0</v>
      </c>
      <c r="I212" s="48">
        <f>IF(I$8=1,IF(Reales!$C$48="PYG",IF(I$10&gt;0,N(Reales!I48)/I$10,0),N(Reales!I48)),I$187*IF(AND(AND(4&gt;Corte,4&lt;=Corte+n_Ventana),ISNUMBER(Detalle_24m!I$52)),Detalle_24m!I$52,INDEX(Precio_V,11)*INDEX(IdxPrecio_V,1,MIN(10,I$173)))*(1+V_dPrecio))</f>
        <v>0</v>
      </c>
      <c r="J212" s="48">
        <f>IF(J$8=1,IF(Reales!$C$48="PYG",IF(J$10&gt;0,N(Reales!J48)/J$10,0),N(Reales!J48)),J$187*IF(AND(AND(5&gt;Corte,5&lt;=Corte+n_Ventana),ISNUMBER(Detalle_24m!J$52)),Detalle_24m!J$52,INDEX(Precio_V,11)*INDEX(IdxPrecio_V,1,MIN(10,J$173)))*(1+V_dPrecio))</f>
        <v>0</v>
      </c>
      <c r="K212" s="48">
        <f>IF(K$8=1,IF(Reales!$C$48="PYG",IF(K$10&gt;0,N(Reales!K48)/K$10,0),N(Reales!K48)),K$187*IF(AND(AND(6&gt;Corte,6&lt;=Corte+n_Ventana),ISNUMBER(Detalle_24m!K$52)),Detalle_24m!K$52,INDEX(Precio_V,11)*INDEX(IdxPrecio_V,1,MIN(10,K$173)))*(1+V_dPrecio))</f>
        <v>0</v>
      </c>
      <c r="L212" s="48">
        <f>IF(L$8=1,IF(Reales!$C$48="PYG",IF(L$10&gt;0,N(Reales!L48)/L$10,0),N(Reales!L48)),L$187*IF(AND(AND(7&gt;Corte,7&lt;=Corte+n_Ventana),ISNUMBER(Detalle_24m!L$52)),Detalle_24m!L$52,INDEX(Precio_V,11)*INDEX(IdxPrecio_V,1,MIN(10,L$173)))*(1+V_dPrecio))</f>
        <v>0</v>
      </c>
      <c r="M212" s="48">
        <f>IF(M$8=1,IF(Reales!$C$48="PYG",IF(M$10&gt;0,N(Reales!M48)/M$10,0),N(Reales!M48)),M$187*IF(AND(AND(8&gt;Corte,8&lt;=Corte+n_Ventana),ISNUMBER(Detalle_24m!M$52)),Detalle_24m!M$52,INDEX(Precio_V,11)*INDEX(IdxPrecio_V,1,MIN(10,M$173)))*(1+V_dPrecio))</f>
        <v>0</v>
      </c>
      <c r="N212" s="48">
        <f>IF(N$8=1,IF(Reales!$C$48="PYG",IF(N$10&gt;0,N(Reales!N48)/N$10,0),N(Reales!N48)),N$187*IF(AND(AND(9&gt;Corte,9&lt;=Corte+n_Ventana),ISNUMBER(Detalle_24m!N$52)),Detalle_24m!N$52,INDEX(Precio_V,11)*INDEX(IdxPrecio_V,1,MIN(10,N$173)))*(1+V_dPrecio))</f>
        <v>0</v>
      </c>
      <c r="O212" s="48">
        <f>IF(O$8=1,IF(Reales!$C$48="PYG",IF(O$10&gt;0,N(Reales!O48)/O$10,0),N(Reales!O48)),O$187*IF(AND(AND(10&gt;Corte,10&lt;=Corte+n_Ventana),ISNUMBER(Detalle_24m!O$52)),Detalle_24m!O$52,INDEX(Precio_V,11)*INDEX(IdxPrecio_V,1,MIN(10,O$173)))*(1+V_dPrecio))</f>
        <v>0</v>
      </c>
      <c r="P212" s="48">
        <f>IF(P$8=1,IF(Reales!$C$48="PYG",IF(P$10&gt;0,N(Reales!P48)/P$10,0),N(Reales!P48)),P$187*IF(AND(AND(11&gt;Corte,11&lt;=Corte+n_Ventana),ISNUMBER(Detalle_24m!P$52)),Detalle_24m!P$52,INDEX(Precio_V,11)*INDEX(IdxPrecio_V,1,MIN(10,P$173)))*(1+V_dPrecio))</f>
        <v>0</v>
      </c>
      <c r="Q212" s="48">
        <f>IF(Q$8=1,IF(Reales!$C$48="PYG",IF(Q$10&gt;0,N(Reales!Q48)/Q$10,0),N(Reales!Q48)),Q$187*IF(AND(AND(12&gt;Corte,12&lt;=Corte+n_Ventana),ISNUMBER(Detalle_24m!Q$52)),Detalle_24m!Q$52,INDEX(Precio_V,11)*INDEX(IdxPrecio_V,1,MIN(10,Q$173)))*(1+V_dPrecio))</f>
        <v>0</v>
      </c>
      <c r="R212" s="48">
        <f>IF(R$8=1,IF(Reales!$C$48="PYG",IF(R$10&gt;0,N(Reales!R48)/R$10,0),N(Reales!R48)),R$187*IF(AND(AND(13&gt;Corte,13&lt;=Corte+n_Ventana),ISNUMBER(Detalle_24m!R$52)),Detalle_24m!R$52,INDEX(Precio_V,11)*INDEX(IdxPrecio_V,1,MIN(10,R$173)))*(1+V_dPrecio))</f>
        <v>0</v>
      </c>
      <c r="S212" s="48">
        <f>IF(S$8=1,IF(Reales!$C$48="PYG",IF(S$10&gt;0,N(Reales!S48)/S$10,0),N(Reales!S48)),S$187*IF(AND(AND(14&gt;Corte,14&lt;=Corte+n_Ventana),ISNUMBER(Detalle_24m!S$52)),Detalle_24m!S$52,INDEX(Precio_V,11)*INDEX(IdxPrecio_V,1,MIN(10,S$173)))*(1+V_dPrecio))</f>
        <v>0</v>
      </c>
      <c r="T212" s="48">
        <f>IF(T$8=1,IF(Reales!$C$48="PYG",IF(T$10&gt;0,N(Reales!T48)/T$10,0),N(Reales!T48)),T$187*IF(AND(AND(15&gt;Corte,15&lt;=Corte+n_Ventana),ISNUMBER(Detalle_24m!T$52)),Detalle_24m!T$52,INDEX(Precio_V,11)*INDEX(IdxPrecio_V,1,MIN(10,T$173)))*(1+V_dPrecio))</f>
        <v>0</v>
      </c>
      <c r="U212" s="48">
        <f>IF(U$8=1,IF(Reales!$C$48="PYG",IF(U$10&gt;0,N(Reales!U48)/U$10,0),N(Reales!U48)),U$187*IF(AND(AND(16&gt;Corte,16&lt;=Corte+n_Ventana),ISNUMBER(Detalle_24m!U$52)),Detalle_24m!U$52,INDEX(Precio_V,11)*INDEX(IdxPrecio_V,1,MIN(10,U$173)))*(1+V_dPrecio))</f>
        <v>0</v>
      </c>
      <c r="V212" s="48">
        <f>IF(V$8=1,IF(Reales!$C$48="PYG",IF(V$10&gt;0,N(Reales!V48)/V$10,0),N(Reales!V48)),V$187*IF(AND(AND(17&gt;Corte,17&lt;=Corte+n_Ventana),ISNUMBER(Detalle_24m!V$52)),Detalle_24m!V$52,INDEX(Precio_V,11)*INDEX(IdxPrecio_V,1,MIN(10,V$173)))*(1+V_dPrecio))</f>
        <v>0</v>
      </c>
      <c r="W212" s="48">
        <f>IF(W$8=1,IF(Reales!$C$48="PYG",IF(W$10&gt;0,N(Reales!W48)/W$10,0),N(Reales!W48)),W$187*IF(AND(AND(18&gt;Corte,18&lt;=Corte+n_Ventana),ISNUMBER(Detalle_24m!W$52)),Detalle_24m!W$52,INDEX(Precio_V,11)*INDEX(IdxPrecio_V,1,MIN(10,W$173)))*(1+V_dPrecio))</f>
        <v>0</v>
      </c>
      <c r="X212" s="48">
        <f>IF(X$8=1,IF(Reales!$C$48="PYG",IF(X$10&gt;0,N(Reales!X48)/X$10,0),N(Reales!X48)),X$187*IF(AND(AND(19&gt;Corte,19&lt;=Corte+n_Ventana),ISNUMBER(Detalle_24m!X$52)),Detalle_24m!X$52,INDEX(Precio_V,11)*INDEX(IdxPrecio_V,1,MIN(10,X$173)))*(1+V_dPrecio))</f>
        <v>0</v>
      </c>
      <c r="Y212" s="48">
        <f>IF(Y$8=1,IF(Reales!$C$48="PYG",IF(Y$10&gt;0,N(Reales!Y48)/Y$10,0),N(Reales!Y48)),Y$187*IF(AND(AND(20&gt;Corte,20&lt;=Corte+n_Ventana),ISNUMBER(Detalle_24m!Y$52)),Detalle_24m!Y$52,INDEX(Precio_V,11)*INDEX(IdxPrecio_V,1,MIN(10,Y$173)))*(1+V_dPrecio))</f>
        <v>0</v>
      </c>
      <c r="Z212" s="48">
        <f>IF(Z$8=1,IF(Reales!$C$48="PYG",IF(Z$10&gt;0,N(Reales!Z48)/Z$10,0),N(Reales!Z48)),Z$187*IF(AND(AND(21&gt;Corte,21&lt;=Corte+n_Ventana),ISNUMBER(Detalle_24m!Z$52)),Detalle_24m!Z$52,INDEX(Precio_V,11)*INDEX(IdxPrecio_V,1,MIN(10,Z$173)))*(1+V_dPrecio))</f>
        <v>0</v>
      </c>
      <c r="AA212" s="48">
        <f>IF(AA$8=1,IF(Reales!$C$48="PYG",IF(AA$10&gt;0,N(Reales!AA48)/AA$10,0),N(Reales!AA48)),AA$187*IF(AND(AND(22&gt;Corte,22&lt;=Corte+n_Ventana),ISNUMBER(Detalle_24m!AA$52)),Detalle_24m!AA$52,INDEX(Precio_V,11)*INDEX(IdxPrecio_V,1,MIN(10,AA$173)))*(1+V_dPrecio))</f>
        <v>0</v>
      </c>
      <c r="AB212" s="48">
        <f>IF(AB$8=1,IF(Reales!$C$48="PYG",IF(AB$10&gt;0,N(Reales!AB48)/AB$10,0),N(Reales!AB48)),AB$187*IF(AND(AND(23&gt;Corte,23&lt;=Corte+n_Ventana),ISNUMBER(Detalle_24m!AB$52)),Detalle_24m!AB$52,INDEX(Precio_V,11)*INDEX(IdxPrecio_V,1,MIN(10,AB$173)))*(1+V_dPrecio))</f>
        <v>0</v>
      </c>
      <c r="AC212" s="48">
        <f>IF(AC$8=1,IF(Reales!$C$48="PYG",IF(AC$10&gt;0,N(Reales!AC48)/AC$10,0),N(Reales!AC48)),AC$187*IF(AND(AND(24&gt;Corte,24&lt;=Corte+n_Ventana),ISNUMBER(Detalle_24m!AC$52)),Detalle_24m!AC$52,INDEX(Precio_V,11)*INDEX(IdxPrecio_V,1,MIN(10,AC$173)))*(1+V_dPrecio))</f>
        <v>0</v>
      </c>
      <c r="AD212" s="48">
        <f>IF(AD$8=1,IF(Reales!$C$48="PYG",IF(AD$10&gt;0,N(Reales!AD48)/AD$10,0),N(Reales!AD48)),AD$187*IF(AND(AND(25&gt;Corte,25&lt;=Corte+n_Ventana),ISNUMBER(Detalle_24m!AD$52)),Detalle_24m!AD$52,INDEX(Precio_V,11)*INDEX(IdxPrecio_V,1,MIN(10,AD$173)))*(1+V_dPrecio))</f>
        <v>0</v>
      </c>
      <c r="AE212" s="48">
        <f>IF(AE$8=1,IF(Reales!$C$48="PYG",IF(AE$10&gt;0,N(Reales!AE48)/AE$10,0),N(Reales!AE48)),AE$187*IF(AND(AND(26&gt;Corte,26&lt;=Corte+n_Ventana),ISNUMBER(Detalle_24m!AE$52)),Detalle_24m!AE$52,INDEX(Precio_V,11)*INDEX(IdxPrecio_V,1,MIN(10,AE$173)))*(1+V_dPrecio))</f>
        <v>0</v>
      </c>
      <c r="AF212" s="48">
        <f>IF(AF$8=1,IF(Reales!$C$48="PYG",IF(AF$10&gt;0,N(Reales!AF48)/AF$10,0),N(Reales!AF48)),AF$187*IF(AND(AND(27&gt;Corte,27&lt;=Corte+n_Ventana),ISNUMBER(Detalle_24m!AF$52)),Detalle_24m!AF$52,INDEX(Precio_V,11)*INDEX(IdxPrecio_V,1,MIN(10,AF$173)))*(1+V_dPrecio))</f>
        <v>0</v>
      </c>
      <c r="AG212" s="48">
        <f>IF(AG$8=1,IF(Reales!$C$48="PYG",IF(AG$10&gt;0,N(Reales!AG48)/AG$10,0),N(Reales!AG48)),AG$187*IF(AND(AND(28&gt;Corte,28&lt;=Corte+n_Ventana),ISNUMBER(Detalle_24m!AG$52)),Detalle_24m!AG$52,INDEX(Precio_V,11)*INDEX(IdxPrecio_V,1,MIN(10,AG$173)))*(1+V_dPrecio))</f>
        <v>0</v>
      </c>
      <c r="AH212" s="48">
        <f>IF(AH$8=1,IF(Reales!$C$48="PYG",IF(AH$10&gt;0,N(Reales!AH48)/AH$10,0),N(Reales!AH48)),AH$187*IF(AND(AND(29&gt;Corte,29&lt;=Corte+n_Ventana),ISNUMBER(Detalle_24m!AH$52)),Detalle_24m!AH$52,INDEX(Precio_V,11)*INDEX(IdxPrecio_V,1,MIN(10,AH$173)))*(1+V_dPrecio))</f>
        <v>0</v>
      </c>
      <c r="AI212" s="48">
        <f>IF(AI$8=1,IF(Reales!$C$48="PYG",IF(AI$10&gt;0,N(Reales!AI48)/AI$10,0),N(Reales!AI48)),AI$187*IF(AND(AND(30&gt;Corte,30&lt;=Corte+n_Ventana),ISNUMBER(Detalle_24m!AI$52)),Detalle_24m!AI$52,INDEX(Precio_V,11)*INDEX(IdxPrecio_V,1,MIN(10,AI$173)))*(1+V_dPrecio))</f>
        <v>0</v>
      </c>
      <c r="AJ212" s="48">
        <f>IF(AJ$8=1,IF(Reales!$C$48="PYG",IF(AJ$10&gt;0,N(Reales!AJ48)/AJ$10,0),N(Reales!AJ48)),AJ$187*IF(AND(AND(31&gt;Corte,31&lt;=Corte+n_Ventana),ISNUMBER(Detalle_24m!AJ$52)),Detalle_24m!AJ$52,INDEX(Precio_V,11)*INDEX(IdxPrecio_V,1,MIN(10,AJ$173)))*(1+V_dPrecio))</f>
        <v>0</v>
      </c>
      <c r="AK212" s="48">
        <f>IF(AK$8=1,IF(Reales!$C$48="PYG",IF(AK$10&gt;0,N(Reales!AK48)/AK$10,0),N(Reales!AK48)),AK$187*IF(AND(AND(32&gt;Corte,32&lt;=Corte+n_Ventana),ISNUMBER(Detalle_24m!AK$52)),Detalle_24m!AK$52,INDEX(Precio_V,11)*INDEX(IdxPrecio_V,1,MIN(10,AK$173)))*(1+V_dPrecio))</f>
        <v>0</v>
      </c>
      <c r="AL212" s="48">
        <f>IF(AL$8=1,IF(Reales!$C$48="PYG",IF(AL$10&gt;0,N(Reales!AL48)/AL$10,0),N(Reales!AL48)),AL$187*IF(AND(AND(33&gt;Corte,33&lt;=Corte+n_Ventana),ISNUMBER(Detalle_24m!AL$52)),Detalle_24m!AL$52,INDEX(Precio_V,11)*INDEX(IdxPrecio_V,1,MIN(10,AL$173)))*(1+V_dPrecio))</f>
        <v>0</v>
      </c>
      <c r="AM212" s="48">
        <f>IF(AM$8=1,IF(Reales!$C$48="PYG",IF(AM$10&gt;0,N(Reales!AM48)/AM$10,0),N(Reales!AM48)),AM$187*IF(AND(AND(34&gt;Corte,34&lt;=Corte+n_Ventana),ISNUMBER(Detalle_24m!AM$52)),Detalle_24m!AM$52,INDEX(Precio_V,11)*INDEX(IdxPrecio_V,1,MIN(10,AM$173)))*(1+V_dPrecio))</f>
        <v>0</v>
      </c>
      <c r="AN212" s="48">
        <f>IF(AN$8=1,IF(Reales!$C$48="PYG",IF(AN$10&gt;0,N(Reales!AN48)/AN$10,0),N(Reales!AN48)),AN$187*IF(AND(AND(35&gt;Corte,35&lt;=Corte+n_Ventana),ISNUMBER(Detalle_24m!AN$52)),Detalle_24m!AN$52,INDEX(Precio_V,11)*INDEX(IdxPrecio_V,1,MIN(10,AN$173)))*(1+V_dPrecio))</f>
        <v>0</v>
      </c>
      <c r="AO212" s="48">
        <f>IF(AO$8=1,IF(Reales!$C$48="PYG",IF(AO$10&gt;0,N(Reales!AO48)/AO$10,0),N(Reales!AO48)),AO$187*IF(AND(AND(36&gt;Corte,36&lt;=Corte+n_Ventana),ISNUMBER(Detalle_24m!AO$52)),Detalle_24m!AO$52,INDEX(Precio_V,11)*INDEX(IdxPrecio_V,1,MIN(10,AO$173)))*(1+V_dPrecio))</f>
        <v>0</v>
      </c>
      <c r="AP212" s="48">
        <f>IF(AP$8=1,IF(Reales!$C$48="PYG",IF(AP$10&gt;0,N(Reales!AP48)/AP$10,0),N(Reales!AP48)),AP$187*IF(AND(AND(37&gt;Corte,37&lt;=Corte+n_Ventana),ISNUMBER(Detalle_24m!AP$52)),Detalle_24m!AP$52,INDEX(Precio_V,11)*INDEX(IdxPrecio_V,1,MIN(10,AP$173)))*(1+V_dPrecio))</f>
        <v>0</v>
      </c>
      <c r="AQ212" s="48">
        <f>IF(AQ$8=1,IF(Reales!$C$48="PYG",IF(AQ$10&gt;0,N(Reales!AQ48)/AQ$10,0),N(Reales!AQ48)),AQ$187*IF(AND(AND(38&gt;Corte,38&lt;=Corte+n_Ventana),ISNUMBER(Detalle_24m!AQ$52)),Detalle_24m!AQ$52,INDEX(Precio_V,11)*INDEX(IdxPrecio_V,1,MIN(10,AQ$173)))*(1+V_dPrecio))</f>
        <v>0</v>
      </c>
      <c r="AR212" s="48">
        <f>IF(AR$8=1,IF(Reales!$C$48="PYG",IF(AR$10&gt;0,N(Reales!AR48)/AR$10,0),N(Reales!AR48)),AR$187*IF(AND(AND(39&gt;Corte,39&lt;=Corte+n_Ventana),ISNUMBER(Detalle_24m!AR$52)),Detalle_24m!AR$52,INDEX(Precio_V,11)*INDEX(IdxPrecio_V,1,MIN(10,AR$173)))*(1+V_dPrecio))</f>
        <v>0</v>
      </c>
      <c r="AS212" s="48">
        <f>IF(AS$8=1,IF(Reales!$C$48="PYG",IF(AS$10&gt;0,N(Reales!AS48)/AS$10,0),N(Reales!AS48)),AS$187*IF(AND(AND(40&gt;Corte,40&lt;=Corte+n_Ventana),ISNUMBER(Detalle_24m!AS$52)),Detalle_24m!AS$52,INDEX(Precio_V,11)*INDEX(IdxPrecio_V,1,MIN(10,AS$173)))*(1+V_dPrecio))</f>
        <v>0</v>
      </c>
      <c r="AT212" s="48">
        <f>IF(AT$8=1,IF(Reales!$C$48="PYG",IF(AT$10&gt;0,N(Reales!AT48)/AT$10,0),N(Reales!AT48)),AT$187*IF(AND(AND(41&gt;Corte,41&lt;=Corte+n_Ventana),ISNUMBER(Detalle_24m!AT$52)),Detalle_24m!AT$52,INDEX(Precio_V,11)*INDEX(IdxPrecio_V,1,MIN(10,AT$173)))*(1+V_dPrecio))</f>
        <v>0</v>
      </c>
      <c r="AU212" s="48">
        <f>IF(AU$8=1,IF(Reales!$C$48="PYG",IF(AU$10&gt;0,N(Reales!AU48)/AU$10,0),N(Reales!AU48)),AU$187*IF(AND(AND(42&gt;Corte,42&lt;=Corte+n_Ventana),ISNUMBER(Detalle_24m!AU$52)),Detalle_24m!AU$52,INDEX(Precio_V,11)*INDEX(IdxPrecio_V,1,MIN(10,AU$173)))*(1+V_dPrecio))</f>
        <v>0</v>
      </c>
      <c r="AV212" s="48">
        <f>IF(AV$8=1,IF(Reales!$C$48="PYG",IF(AV$10&gt;0,N(Reales!AV48)/AV$10,0),N(Reales!AV48)),AV$187*IF(AND(AND(43&gt;Corte,43&lt;=Corte+n_Ventana),ISNUMBER(Detalle_24m!AV$52)),Detalle_24m!AV$52,INDEX(Precio_V,11)*INDEX(IdxPrecio_V,1,MIN(10,AV$173)))*(1+V_dPrecio))</f>
        <v>0</v>
      </c>
      <c r="AW212" s="48">
        <f>IF(AW$8=1,IF(Reales!$C$48="PYG",IF(AW$10&gt;0,N(Reales!AW48)/AW$10,0),N(Reales!AW48)),AW$187*IF(AND(AND(44&gt;Corte,44&lt;=Corte+n_Ventana),ISNUMBER(Detalle_24m!AW$52)),Detalle_24m!AW$52,INDEX(Precio_V,11)*INDEX(IdxPrecio_V,1,MIN(10,AW$173)))*(1+V_dPrecio))</f>
        <v>0</v>
      </c>
      <c r="AX212" s="48">
        <f>IF(AX$8=1,IF(Reales!$C$48="PYG",IF(AX$10&gt;0,N(Reales!AX48)/AX$10,0),N(Reales!AX48)),AX$187*IF(AND(AND(45&gt;Corte,45&lt;=Corte+n_Ventana),ISNUMBER(Detalle_24m!AX$52)),Detalle_24m!AX$52,INDEX(Precio_V,11)*INDEX(IdxPrecio_V,1,MIN(10,AX$173)))*(1+V_dPrecio))</f>
        <v>0</v>
      </c>
      <c r="AY212" s="48">
        <f>IF(AY$8=1,IF(Reales!$C$48="PYG",IF(AY$10&gt;0,N(Reales!AY48)/AY$10,0),N(Reales!AY48)),AY$187*IF(AND(AND(46&gt;Corte,46&lt;=Corte+n_Ventana),ISNUMBER(Detalle_24m!AY$52)),Detalle_24m!AY$52,INDEX(Precio_V,11)*INDEX(IdxPrecio_V,1,MIN(10,AY$173)))*(1+V_dPrecio))</f>
        <v>0</v>
      </c>
      <c r="AZ212" s="48">
        <f>IF(AZ$8=1,IF(Reales!$C$48="PYG",IF(AZ$10&gt;0,N(Reales!AZ48)/AZ$10,0),N(Reales!AZ48)),AZ$187*IF(AND(AND(47&gt;Corte,47&lt;=Corte+n_Ventana),ISNUMBER(Detalle_24m!AZ$52)),Detalle_24m!AZ$52,INDEX(Precio_V,11)*INDEX(IdxPrecio_V,1,MIN(10,AZ$173)))*(1+V_dPrecio))</f>
        <v>0</v>
      </c>
      <c r="BA212" s="48">
        <f>IF(BA$8=1,IF(Reales!$C$48="PYG",IF(BA$10&gt;0,N(Reales!BA48)/BA$10,0),N(Reales!BA48)),BA$187*IF(AND(AND(48&gt;Corte,48&lt;=Corte+n_Ventana),ISNUMBER(Detalle_24m!BA$52)),Detalle_24m!BA$52,INDEX(Precio_V,11)*INDEX(IdxPrecio_V,1,MIN(10,BA$173)))*(1+V_dPrecio))</f>
        <v>0</v>
      </c>
      <c r="BB212" s="48">
        <f>IF(BB$8=1,IF(Reales!$C$48="PYG",IF(BB$10&gt;0,N(Reales!BB48)/BB$10,0),N(Reales!BB48)),BB$187*IF(AND(AND(49&gt;Corte,49&lt;=Corte+n_Ventana),ISNUMBER(Detalle_24m!BB$52)),Detalle_24m!BB$52,INDEX(Precio_V,11)*INDEX(IdxPrecio_V,1,MIN(10,BB$173)))*(1+V_dPrecio))</f>
        <v>0</v>
      </c>
      <c r="BC212" s="48">
        <f>IF(BC$8=1,IF(Reales!$C$48="PYG",IF(BC$10&gt;0,N(Reales!BC48)/BC$10,0),N(Reales!BC48)),BC$187*IF(AND(AND(50&gt;Corte,50&lt;=Corte+n_Ventana),ISNUMBER(Detalle_24m!BC$52)),Detalle_24m!BC$52,INDEX(Precio_V,11)*INDEX(IdxPrecio_V,1,MIN(10,BC$173)))*(1+V_dPrecio))</f>
        <v>0</v>
      </c>
      <c r="BD212" s="48">
        <f>IF(BD$8=1,IF(Reales!$C$48="PYG",IF(BD$10&gt;0,N(Reales!BD48)/BD$10,0),N(Reales!BD48)),BD$187*IF(AND(AND(51&gt;Corte,51&lt;=Corte+n_Ventana),ISNUMBER(Detalle_24m!BD$52)),Detalle_24m!BD$52,INDEX(Precio_V,11)*INDEX(IdxPrecio_V,1,MIN(10,BD$173)))*(1+V_dPrecio))</f>
        <v>0</v>
      </c>
      <c r="BE212" s="48">
        <f>IF(BE$8=1,IF(Reales!$C$48="PYG",IF(BE$10&gt;0,N(Reales!BE48)/BE$10,0),N(Reales!BE48)),BE$187*IF(AND(AND(52&gt;Corte,52&lt;=Corte+n_Ventana),ISNUMBER(Detalle_24m!BE$52)),Detalle_24m!BE$52,INDEX(Precio_V,11)*INDEX(IdxPrecio_V,1,MIN(10,BE$173)))*(1+V_dPrecio))</f>
        <v>0</v>
      </c>
      <c r="BF212" s="48">
        <f>IF(BF$8=1,IF(Reales!$C$48="PYG",IF(BF$10&gt;0,N(Reales!BF48)/BF$10,0),N(Reales!BF48)),BF$187*IF(AND(AND(53&gt;Corte,53&lt;=Corte+n_Ventana),ISNUMBER(Detalle_24m!BF$52)),Detalle_24m!BF$52,INDEX(Precio_V,11)*INDEX(IdxPrecio_V,1,MIN(10,BF$173)))*(1+V_dPrecio))</f>
        <v>0</v>
      </c>
      <c r="BG212" s="48">
        <f>IF(BG$8=1,IF(Reales!$C$48="PYG",IF(BG$10&gt;0,N(Reales!BG48)/BG$10,0),N(Reales!BG48)),BG$187*IF(AND(AND(54&gt;Corte,54&lt;=Corte+n_Ventana),ISNUMBER(Detalle_24m!BG$52)),Detalle_24m!BG$52,INDEX(Precio_V,11)*INDEX(IdxPrecio_V,1,MIN(10,BG$173)))*(1+V_dPrecio))</f>
        <v>0</v>
      </c>
      <c r="BH212" s="48">
        <f>IF(BH$8=1,IF(Reales!$C$48="PYG",IF(BH$10&gt;0,N(Reales!BH48)/BH$10,0),N(Reales!BH48)),BH$187*IF(AND(AND(55&gt;Corte,55&lt;=Corte+n_Ventana),ISNUMBER(Detalle_24m!BH$52)),Detalle_24m!BH$52,INDEX(Precio_V,11)*INDEX(IdxPrecio_V,1,MIN(10,BH$173)))*(1+V_dPrecio))</f>
        <v>0</v>
      </c>
      <c r="BI212" s="48">
        <f>IF(BI$8=1,IF(Reales!$C$48="PYG",IF(BI$10&gt;0,N(Reales!BI48)/BI$10,0),N(Reales!BI48)),BI$187*IF(AND(AND(56&gt;Corte,56&lt;=Corte+n_Ventana),ISNUMBER(Detalle_24m!BI$52)),Detalle_24m!BI$52,INDEX(Precio_V,11)*INDEX(IdxPrecio_V,1,MIN(10,BI$173)))*(1+V_dPrecio))</f>
        <v>0</v>
      </c>
      <c r="BJ212" s="48">
        <f>IF(BJ$8=1,IF(Reales!$C$48="PYG",IF(BJ$10&gt;0,N(Reales!BJ48)/BJ$10,0),N(Reales!BJ48)),BJ$187*IF(AND(AND(57&gt;Corte,57&lt;=Corte+n_Ventana),ISNUMBER(Detalle_24m!BJ$52)),Detalle_24m!BJ$52,INDEX(Precio_V,11)*INDEX(IdxPrecio_V,1,MIN(10,BJ$173)))*(1+V_dPrecio))</f>
        <v>0</v>
      </c>
      <c r="BK212" s="48">
        <f>IF(BK$8=1,IF(Reales!$C$48="PYG",IF(BK$10&gt;0,N(Reales!BK48)/BK$10,0),N(Reales!BK48)),BK$187*IF(AND(AND(58&gt;Corte,58&lt;=Corte+n_Ventana),ISNUMBER(Detalle_24m!BK$52)),Detalle_24m!BK$52,INDEX(Precio_V,11)*INDEX(IdxPrecio_V,1,MIN(10,BK$173)))*(1+V_dPrecio))</f>
        <v>0</v>
      </c>
      <c r="BL212" s="48">
        <f>IF(BL$8=1,IF(Reales!$C$48="PYG",IF(BL$10&gt;0,N(Reales!BL48)/BL$10,0),N(Reales!BL48)),BL$187*IF(AND(AND(59&gt;Corte,59&lt;=Corte+n_Ventana),ISNUMBER(Detalle_24m!BL$52)),Detalle_24m!BL$52,INDEX(Precio_V,11)*INDEX(IdxPrecio_V,1,MIN(10,BL$173)))*(1+V_dPrecio))</f>
        <v>0</v>
      </c>
      <c r="BM212" s="48">
        <f>IF(BM$8=1,IF(Reales!$C$48="PYG",IF(BM$10&gt;0,N(Reales!BM48)/BM$10,0),N(Reales!BM48)),BM$187*IF(AND(AND(60&gt;Corte,60&lt;=Corte+n_Ventana),ISNUMBER(Detalle_24m!BM$52)),Detalle_24m!BM$52,INDEX(Precio_V,11)*INDEX(IdxPrecio_V,1,MIN(10,BM$173)))*(1+V_dPrecio))</f>
        <v>0</v>
      </c>
      <c r="BN212" s="48">
        <f>IF(BN$8=1,IF(Reales!$C$48="PYG",IF(BN$10&gt;0,N(Reales!BN48)/BN$10,0),N(Reales!BN48)),BN$187*IF(AND(AND(61&gt;Corte,61&lt;=Corte+n_Ventana),ISNUMBER(Detalle_24m!BN$52)),Detalle_24m!BN$52,INDEX(Precio_V,11)*INDEX(IdxPrecio_V,1,MIN(10,BN$173)))*(1+V_dPrecio))</f>
        <v>0</v>
      </c>
      <c r="BO212" s="48">
        <f>IF(BO$8=1,IF(Reales!$C$48="PYG",IF(BO$10&gt;0,N(Reales!BO48)/BO$10,0),N(Reales!BO48)),BO$187*IF(AND(AND(62&gt;Corte,62&lt;=Corte+n_Ventana),ISNUMBER(Detalle_24m!BO$52)),Detalle_24m!BO$52,INDEX(Precio_V,11)*INDEX(IdxPrecio_V,1,MIN(10,BO$173)))*(1+V_dPrecio))</f>
        <v>0</v>
      </c>
      <c r="BP212" s="48">
        <f>IF(BP$8=1,IF(Reales!$C$48="PYG",IF(BP$10&gt;0,N(Reales!BP48)/BP$10,0),N(Reales!BP48)),BP$187*IF(AND(AND(63&gt;Corte,63&lt;=Corte+n_Ventana),ISNUMBER(Detalle_24m!BP$52)),Detalle_24m!BP$52,INDEX(Precio_V,11)*INDEX(IdxPrecio_V,1,MIN(10,BP$173)))*(1+V_dPrecio))</f>
        <v>0</v>
      </c>
      <c r="BQ212" s="48">
        <f>IF(BQ$8=1,IF(Reales!$C$48="PYG",IF(BQ$10&gt;0,N(Reales!BQ48)/BQ$10,0),N(Reales!BQ48)),BQ$187*IF(AND(AND(64&gt;Corte,64&lt;=Corte+n_Ventana),ISNUMBER(Detalle_24m!BQ$52)),Detalle_24m!BQ$52,INDEX(Precio_V,11)*INDEX(IdxPrecio_V,1,MIN(10,BQ$173)))*(1+V_dPrecio))</f>
        <v>0</v>
      </c>
      <c r="BR212" s="48">
        <f>IF(BR$8=1,IF(Reales!$C$48="PYG",IF(BR$10&gt;0,N(Reales!BR48)/BR$10,0),N(Reales!BR48)),BR$187*IF(AND(AND(65&gt;Corte,65&lt;=Corte+n_Ventana),ISNUMBER(Detalle_24m!BR$52)),Detalle_24m!BR$52,INDEX(Precio_V,11)*INDEX(IdxPrecio_V,1,MIN(10,BR$173)))*(1+V_dPrecio))</f>
        <v>0</v>
      </c>
      <c r="BS212" s="48">
        <f>IF(BS$8=1,IF(Reales!$C$48="PYG",IF(BS$10&gt;0,N(Reales!BS48)/BS$10,0),N(Reales!BS48)),BS$187*IF(AND(AND(66&gt;Corte,66&lt;=Corte+n_Ventana),ISNUMBER(Detalle_24m!BS$52)),Detalle_24m!BS$52,INDEX(Precio_V,11)*INDEX(IdxPrecio_V,1,MIN(10,BS$173)))*(1+V_dPrecio))</f>
        <v>0</v>
      </c>
      <c r="BT212" s="48">
        <f>IF(BT$8=1,IF(Reales!$C$48="PYG",IF(BT$10&gt;0,N(Reales!BT48)/BT$10,0),N(Reales!BT48)),BT$187*IF(AND(AND(67&gt;Corte,67&lt;=Corte+n_Ventana),ISNUMBER(Detalle_24m!BT$52)),Detalle_24m!BT$52,INDEX(Precio_V,11)*INDEX(IdxPrecio_V,1,MIN(10,BT$173)))*(1+V_dPrecio))</f>
        <v>0</v>
      </c>
      <c r="BU212" s="48">
        <f>IF(BU$8=1,IF(Reales!$C$48="PYG",IF(BU$10&gt;0,N(Reales!BU48)/BU$10,0),N(Reales!BU48)),BU$187*IF(AND(AND(68&gt;Corte,68&lt;=Corte+n_Ventana),ISNUMBER(Detalle_24m!BU$52)),Detalle_24m!BU$52,INDEX(Precio_V,11)*INDEX(IdxPrecio_V,1,MIN(10,BU$173)))*(1+V_dPrecio))</f>
        <v>0</v>
      </c>
      <c r="BV212" s="48">
        <f>IF(BV$8=1,IF(Reales!$C$48="PYG",IF(BV$10&gt;0,N(Reales!BV48)/BV$10,0),N(Reales!BV48)),BV$187*IF(AND(AND(69&gt;Corte,69&lt;=Corte+n_Ventana),ISNUMBER(Detalle_24m!BV$52)),Detalle_24m!BV$52,INDEX(Precio_V,11)*INDEX(IdxPrecio_V,1,MIN(10,BV$173)))*(1+V_dPrecio))</f>
        <v>0</v>
      </c>
      <c r="BW212" s="48">
        <f>IF(BW$8=1,IF(Reales!$C$48="PYG",IF(BW$10&gt;0,N(Reales!BW48)/BW$10,0),N(Reales!BW48)),BW$187*IF(AND(AND(70&gt;Corte,70&lt;=Corte+n_Ventana),ISNUMBER(Detalle_24m!BW$52)),Detalle_24m!BW$52,INDEX(Precio_V,11)*INDEX(IdxPrecio_V,1,MIN(10,BW$173)))*(1+V_dPrecio))</f>
        <v>0</v>
      </c>
      <c r="BX212" s="48">
        <f>IF(BX$8=1,IF(Reales!$C$48="PYG",IF(BX$10&gt;0,N(Reales!BX48)/BX$10,0),N(Reales!BX48)),BX$187*IF(AND(AND(71&gt;Corte,71&lt;=Corte+n_Ventana),ISNUMBER(Detalle_24m!BX$52)),Detalle_24m!BX$52,INDEX(Precio_V,11)*INDEX(IdxPrecio_V,1,MIN(10,BX$173)))*(1+V_dPrecio))</f>
        <v>0</v>
      </c>
      <c r="BY212" s="48">
        <f>IF(BY$8=1,IF(Reales!$C$48="PYG",IF(BY$10&gt;0,N(Reales!BY48)/BY$10,0),N(Reales!BY48)),BY$187*IF(AND(AND(72&gt;Corte,72&lt;=Corte+n_Ventana),ISNUMBER(Detalle_24m!BY$52)),Detalle_24m!BY$52,INDEX(Precio_V,11)*INDEX(IdxPrecio_V,1,MIN(10,BY$173)))*(1+V_dPrecio))</f>
        <v>0</v>
      </c>
      <c r="BZ212" s="48">
        <f>IF(BZ$8=1,IF(Reales!$C$48="PYG",IF(BZ$10&gt;0,N(Reales!BZ48)/BZ$10,0),N(Reales!BZ48)),BZ$187*IF(AND(AND(73&gt;Corte,73&lt;=Corte+n_Ventana),ISNUMBER(Detalle_24m!BZ$52)),Detalle_24m!BZ$52,INDEX(Precio_V,11)*INDEX(IdxPrecio_V,1,MIN(10,BZ$173)))*(1+V_dPrecio))</f>
        <v>0</v>
      </c>
      <c r="CA212" s="48">
        <f>IF(CA$8=1,IF(Reales!$C$48="PYG",IF(CA$10&gt;0,N(Reales!CA48)/CA$10,0),N(Reales!CA48)),CA$187*IF(AND(AND(74&gt;Corte,74&lt;=Corte+n_Ventana),ISNUMBER(Detalle_24m!CA$52)),Detalle_24m!CA$52,INDEX(Precio_V,11)*INDEX(IdxPrecio_V,1,MIN(10,CA$173)))*(1+V_dPrecio))</f>
        <v>0</v>
      </c>
      <c r="CB212" s="48">
        <f>IF(CB$8=1,IF(Reales!$C$48="PYG",IF(CB$10&gt;0,N(Reales!CB48)/CB$10,0),N(Reales!CB48)),CB$187*IF(AND(AND(75&gt;Corte,75&lt;=Corte+n_Ventana),ISNUMBER(Detalle_24m!CB$52)),Detalle_24m!CB$52,INDEX(Precio_V,11)*INDEX(IdxPrecio_V,1,MIN(10,CB$173)))*(1+V_dPrecio))</f>
        <v>0</v>
      </c>
      <c r="CC212" s="48">
        <f>IF(CC$8=1,IF(Reales!$C$48="PYG",IF(CC$10&gt;0,N(Reales!CC48)/CC$10,0),N(Reales!CC48)),CC$187*IF(AND(AND(76&gt;Corte,76&lt;=Corte+n_Ventana),ISNUMBER(Detalle_24m!CC$52)),Detalle_24m!CC$52,INDEX(Precio_V,11)*INDEX(IdxPrecio_V,1,MIN(10,CC$173)))*(1+V_dPrecio))</f>
        <v>0</v>
      </c>
      <c r="CD212" s="48">
        <f>IF(CD$8=1,IF(Reales!$C$48="PYG",IF(CD$10&gt;0,N(Reales!CD48)/CD$10,0),N(Reales!CD48)),CD$187*IF(AND(AND(77&gt;Corte,77&lt;=Corte+n_Ventana),ISNUMBER(Detalle_24m!CD$52)),Detalle_24m!CD$52,INDEX(Precio_V,11)*INDEX(IdxPrecio_V,1,MIN(10,CD$173)))*(1+V_dPrecio))</f>
        <v>0</v>
      </c>
      <c r="CE212" s="48">
        <f>IF(CE$8=1,IF(Reales!$C$48="PYG",IF(CE$10&gt;0,N(Reales!CE48)/CE$10,0),N(Reales!CE48)),CE$187*IF(AND(AND(78&gt;Corte,78&lt;=Corte+n_Ventana),ISNUMBER(Detalle_24m!CE$52)),Detalle_24m!CE$52,INDEX(Precio_V,11)*INDEX(IdxPrecio_V,1,MIN(10,CE$173)))*(1+V_dPrecio))</f>
        <v>0</v>
      </c>
      <c r="CF212" s="48">
        <f>IF(CF$8=1,IF(Reales!$C$48="PYG",IF(CF$10&gt;0,N(Reales!CF48)/CF$10,0),N(Reales!CF48)),CF$187*IF(AND(AND(79&gt;Corte,79&lt;=Corte+n_Ventana),ISNUMBER(Detalle_24m!CF$52)),Detalle_24m!CF$52,INDEX(Precio_V,11)*INDEX(IdxPrecio_V,1,MIN(10,CF$173)))*(1+V_dPrecio))</f>
        <v>0</v>
      </c>
      <c r="CG212" s="48">
        <f>IF(CG$8=1,IF(Reales!$C$48="PYG",IF(CG$10&gt;0,N(Reales!CG48)/CG$10,0),N(Reales!CG48)),CG$187*IF(AND(AND(80&gt;Corte,80&lt;=Corte+n_Ventana),ISNUMBER(Detalle_24m!CG$52)),Detalle_24m!CG$52,INDEX(Precio_V,11)*INDEX(IdxPrecio_V,1,MIN(10,CG$173)))*(1+V_dPrecio))</f>
        <v>0</v>
      </c>
      <c r="CH212" s="48">
        <f>IF(CH$8=1,IF(Reales!$C$48="PYG",IF(CH$10&gt;0,N(Reales!CH48)/CH$10,0),N(Reales!CH48)),CH$187*IF(AND(AND(81&gt;Corte,81&lt;=Corte+n_Ventana),ISNUMBER(Detalle_24m!CH$52)),Detalle_24m!CH$52,INDEX(Precio_V,11)*INDEX(IdxPrecio_V,1,MIN(10,CH$173)))*(1+V_dPrecio))</f>
        <v>0</v>
      </c>
      <c r="CI212" s="48">
        <f>IF(CI$8=1,IF(Reales!$C$48="PYG",IF(CI$10&gt;0,N(Reales!CI48)/CI$10,0),N(Reales!CI48)),CI$187*IF(AND(AND(82&gt;Corte,82&lt;=Corte+n_Ventana),ISNUMBER(Detalle_24m!CI$52)),Detalle_24m!CI$52,INDEX(Precio_V,11)*INDEX(IdxPrecio_V,1,MIN(10,CI$173)))*(1+V_dPrecio))</f>
        <v>0</v>
      </c>
      <c r="CJ212" s="48">
        <f>IF(CJ$8=1,IF(Reales!$C$48="PYG",IF(CJ$10&gt;0,N(Reales!CJ48)/CJ$10,0),N(Reales!CJ48)),CJ$187*IF(AND(AND(83&gt;Corte,83&lt;=Corte+n_Ventana),ISNUMBER(Detalle_24m!CJ$52)),Detalle_24m!CJ$52,INDEX(Precio_V,11)*INDEX(IdxPrecio_V,1,MIN(10,CJ$173)))*(1+V_dPrecio))</f>
        <v>0</v>
      </c>
      <c r="CK212" s="48">
        <f>IF(CK$8=1,IF(Reales!$C$48="PYG",IF(CK$10&gt;0,N(Reales!CK48)/CK$10,0),N(Reales!CK48)),CK$187*IF(AND(AND(84&gt;Corte,84&lt;=Corte+n_Ventana),ISNUMBER(Detalle_24m!CK$52)),Detalle_24m!CK$52,INDEX(Precio_V,11)*INDEX(IdxPrecio_V,1,MIN(10,CK$173)))*(1+V_dPrecio))</f>
        <v>0</v>
      </c>
      <c r="CL212" s="48">
        <f>IF(CL$8=1,IF(Reales!$C$48="PYG",IF(CL$10&gt;0,N(Reales!CL48)/CL$10,0),N(Reales!CL48)),CL$187*IF(AND(AND(85&gt;Corte,85&lt;=Corte+n_Ventana),ISNUMBER(Detalle_24m!CL$52)),Detalle_24m!CL$52,INDEX(Precio_V,11)*INDEX(IdxPrecio_V,1,MIN(10,CL$173)))*(1+V_dPrecio))</f>
        <v>0</v>
      </c>
      <c r="CM212" s="48">
        <f>IF(CM$8=1,IF(Reales!$C$48="PYG",IF(CM$10&gt;0,N(Reales!CM48)/CM$10,0),N(Reales!CM48)),CM$187*IF(AND(AND(86&gt;Corte,86&lt;=Corte+n_Ventana),ISNUMBER(Detalle_24m!CM$52)),Detalle_24m!CM$52,INDEX(Precio_V,11)*INDEX(IdxPrecio_V,1,MIN(10,CM$173)))*(1+V_dPrecio))</f>
        <v>0</v>
      </c>
      <c r="CN212" s="48">
        <f>IF(CN$8=1,IF(Reales!$C$48="PYG",IF(CN$10&gt;0,N(Reales!CN48)/CN$10,0),N(Reales!CN48)),CN$187*IF(AND(AND(87&gt;Corte,87&lt;=Corte+n_Ventana),ISNUMBER(Detalle_24m!CN$52)),Detalle_24m!CN$52,INDEX(Precio_V,11)*INDEX(IdxPrecio_V,1,MIN(10,CN$173)))*(1+V_dPrecio))</f>
        <v>0</v>
      </c>
      <c r="CO212" s="48">
        <f>IF(CO$8=1,IF(Reales!$C$48="PYG",IF(CO$10&gt;0,N(Reales!CO48)/CO$10,0),N(Reales!CO48)),CO$187*IF(AND(AND(88&gt;Corte,88&lt;=Corte+n_Ventana),ISNUMBER(Detalle_24m!CO$52)),Detalle_24m!CO$52,INDEX(Precio_V,11)*INDEX(IdxPrecio_V,1,MIN(10,CO$173)))*(1+V_dPrecio))</f>
        <v>0</v>
      </c>
      <c r="CP212" s="48">
        <f>IF(CP$8=1,IF(Reales!$C$48="PYG",IF(CP$10&gt;0,N(Reales!CP48)/CP$10,0),N(Reales!CP48)),CP$187*IF(AND(AND(89&gt;Corte,89&lt;=Corte+n_Ventana),ISNUMBER(Detalle_24m!CP$52)),Detalle_24m!CP$52,INDEX(Precio_V,11)*INDEX(IdxPrecio_V,1,MIN(10,CP$173)))*(1+V_dPrecio))</f>
        <v>0</v>
      </c>
      <c r="CQ212" s="48">
        <f>IF(CQ$8=1,IF(Reales!$C$48="PYG",IF(CQ$10&gt;0,N(Reales!CQ48)/CQ$10,0),N(Reales!CQ48)),CQ$187*IF(AND(AND(90&gt;Corte,90&lt;=Corte+n_Ventana),ISNUMBER(Detalle_24m!CQ$52)),Detalle_24m!CQ$52,INDEX(Precio_V,11)*INDEX(IdxPrecio_V,1,MIN(10,CQ$173)))*(1+V_dPrecio))</f>
        <v>0</v>
      </c>
      <c r="CR212" s="48">
        <f>IF(CR$8=1,IF(Reales!$C$48="PYG",IF(CR$10&gt;0,N(Reales!CR48)/CR$10,0),N(Reales!CR48)),CR$187*IF(AND(AND(91&gt;Corte,91&lt;=Corte+n_Ventana),ISNUMBER(Detalle_24m!CR$52)),Detalle_24m!CR$52,INDEX(Precio_V,11)*INDEX(IdxPrecio_V,1,MIN(10,CR$173)))*(1+V_dPrecio))</f>
        <v>0</v>
      </c>
      <c r="CS212" s="48">
        <f>IF(CS$8=1,IF(Reales!$C$48="PYG",IF(CS$10&gt;0,N(Reales!CS48)/CS$10,0),N(Reales!CS48)),CS$187*IF(AND(AND(92&gt;Corte,92&lt;=Corte+n_Ventana),ISNUMBER(Detalle_24m!CS$52)),Detalle_24m!CS$52,INDEX(Precio_V,11)*INDEX(IdxPrecio_V,1,MIN(10,CS$173)))*(1+V_dPrecio))</f>
        <v>0</v>
      </c>
      <c r="CT212" s="48">
        <f>IF(CT$8=1,IF(Reales!$C$48="PYG",IF(CT$10&gt;0,N(Reales!CT48)/CT$10,0),N(Reales!CT48)),CT$187*IF(AND(AND(93&gt;Corte,93&lt;=Corte+n_Ventana),ISNUMBER(Detalle_24m!CT$52)),Detalle_24m!CT$52,INDEX(Precio_V,11)*INDEX(IdxPrecio_V,1,MIN(10,CT$173)))*(1+V_dPrecio))</f>
        <v>0</v>
      </c>
      <c r="CU212" s="48">
        <f>IF(CU$8=1,IF(Reales!$C$48="PYG",IF(CU$10&gt;0,N(Reales!CU48)/CU$10,0),N(Reales!CU48)),CU$187*IF(AND(AND(94&gt;Corte,94&lt;=Corte+n_Ventana),ISNUMBER(Detalle_24m!CU$52)),Detalle_24m!CU$52,INDEX(Precio_V,11)*INDEX(IdxPrecio_V,1,MIN(10,CU$173)))*(1+V_dPrecio))</f>
        <v>0</v>
      </c>
      <c r="CV212" s="48">
        <f>IF(CV$8=1,IF(Reales!$C$48="PYG",IF(CV$10&gt;0,N(Reales!CV48)/CV$10,0),N(Reales!CV48)),CV$187*IF(AND(AND(95&gt;Corte,95&lt;=Corte+n_Ventana),ISNUMBER(Detalle_24m!CV$52)),Detalle_24m!CV$52,INDEX(Precio_V,11)*INDEX(IdxPrecio_V,1,MIN(10,CV$173)))*(1+V_dPrecio))</f>
        <v>0</v>
      </c>
      <c r="CW212" s="48">
        <f>IF(CW$8=1,IF(Reales!$C$48="PYG",IF(CW$10&gt;0,N(Reales!CW48)/CW$10,0),N(Reales!CW48)),CW$187*IF(AND(AND(96&gt;Corte,96&lt;=Corte+n_Ventana),ISNUMBER(Detalle_24m!CW$52)),Detalle_24m!CW$52,INDEX(Precio_V,11)*INDEX(IdxPrecio_V,1,MIN(10,CW$173)))*(1+V_dPrecio))</f>
        <v>0</v>
      </c>
      <c r="CX212" s="48">
        <f>IF(CX$8=1,IF(Reales!$C$48="PYG",IF(CX$10&gt;0,N(Reales!CX48)/CX$10,0),N(Reales!CX48)),CX$187*IF(AND(AND(97&gt;Corte,97&lt;=Corte+n_Ventana),ISNUMBER(Detalle_24m!CX$52)),Detalle_24m!CX$52,INDEX(Precio_V,11)*INDEX(IdxPrecio_V,1,MIN(10,CX$173)))*(1+V_dPrecio))</f>
        <v>0</v>
      </c>
      <c r="CY212" s="48">
        <f>IF(CY$8=1,IF(Reales!$C$48="PYG",IF(CY$10&gt;0,N(Reales!CY48)/CY$10,0),N(Reales!CY48)),CY$187*IF(AND(AND(98&gt;Corte,98&lt;=Corte+n_Ventana),ISNUMBER(Detalle_24m!CY$52)),Detalle_24m!CY$52,INDEX(Precio_V,11)*INDEX(IdxPrecio_V,1,MIN(10,CY$173)))*(1+V_dPrecio))</f>
        <v>0</v>
      </c>
      <c r="CZ212" s="48">
        <f>IF(CZ$8=1,IF(Reales!$C$48="PYG",IF(CZ$10&gt;0,N(Reales!CZ48)/CZ$10,0),N(Reales!CZ48)),CZ$187*IF(AND(AND(99&gt;Corte,99&lt;=Corte+n_Ventana),ISNUMBER(Detalle_24m!CZ$52)),Detalle_24m!CZ$52,INDEX(Precio_V,11)*INDEX(IdxPrecio_V,1,MIN(10,CZ$173)))*(1+V_dPrecio))</f>
        <v>0</v>
      </c>
      <c r="DA212" s="48">
        <f>IF(DA$8=1,IF(Reales!$C$48="PYG",IF(DA$10&gt;0,N(Reales!DA48)/DA$10,0),N(Reales!DA48)),DA$187*IF(AND(AND(100&gt;Corte,100&lt;=Corte+n_Ventana),ISNUMBER(Detalle_24m!DA$52)),Detalle_24m!DA$52,INDEX(Precio_V,11)*INDEX(IdxPrecio_V,1,MIN(10,DA$173)))*(1+V_dPrecio))</f>
        <v>0</v>
      </c>
      <c r="DB212" s="48">
        <f>IF(DB$8=1,IF(Reales!$C$48="PYG",IF(DB$10&gt;0,N(Reales!DB48)/DB$10,0),N(Reales!DB48)),DB$187*IF(AND(AND(101&gt;Corte,101&lt;=Corte+n_Ventana),ISNUMBER(Detalle_24m!DB$52)),Detalle_24m!DB$52,INDEX(Precio_V,11)*INDEX(IdxPrecio_V,1,MIN(10,DB$173)))*(1+V_dPrecio))</f>
        <v>0</v>
      </c>
      <c r="DC212" s="48">
        <f>IF(DC$8=1,IF(Reales!$C$48="PYG",IF(DC$10&gt;0,N(Reales!DC48)/DC$10,0),N(Reales!DC48)),DC$187*IF(AND(AND(102&gt;Corte,102&lt;=Corte+n_Ventana),ISNUMBER(Detalle_24m!DC$52)),Detalle_24m!DC$52,INDEX(Precio_V,11)*INDEX(IdxPrecio_V,1,MIN(10,DC$173)))*(1+V_dPrecio))</f>
        <v>0</v>
      </c>
      <c r="DD212" s="48">
        <f>IF(DD$8=1,IF(Reales!$C$48="PYG",IF(DD$10&gt;0,N(Reales!DD48)/DD$10,0),N(Reales!DD48)),DD$187*IF(AND(AND(103&gt;Corte,103&lt;=Corte+n_Ventana),ISNUMBER(Detalle_24m!DD$52)),Detalle_24m!DD$52,INDEX(Precio_V,11)*INDEX(IdxPrecio_V,1,MIN(10,DD$173)))*(1+V_dPrecio))</f>
        <v>0</v>
      </c>
      <c r="DE212" s="48">
        <f>IF(DE$8=1,IF(Reales!$C$48="PYG",IF(DE$10&gt;0,N(Reales!DE48)/DE$10,0),N(Reales!DE48)),DE$187*IF(AND(AND(104&gt;Corte,104&lt;=Corte+n_Ventana),ISNUMBER(Detalle_24m!DE$52)),Detalle_24m!DE$52,INDEX(Precio_V,11)*INDEX(IdxPrecio_V,1,MIN(10,DE$173)))*(1+V_dPrecio))</f>
        <v>0</v>
      </c>
      <c r="DF212" s="48">
        <f>IF(DF$8=1,IF(Reales!$C$48="PYG",IF(DF$10&gt;0,N(Reales!DF48)/DF$10,0),N(Reales!DF48)),DF$187*IF(AND(AND(105&gt;Corte,105&lt;=Corte+n_Ventana),ISNUMBER(Detalle_24m!DF$52)),Detalle_24m!DF$52,INDEX(Precio_V,11)*INDEX(IdxPrecio_V,1,MIN(10,DF$173)))*(1+V_dPrecio))</f>
        <v>0</v>
      </c>
      <c r="DG212" s="48">
        <f>IF(DG$8=1,IF(Reales!$C$48="PYG",IF(DG$10&gt;0,N(Reales!DG48)/DG$10,0),N(Reales!DG48)),DG$187*IF(AND(AND(106&gt;Corte,106&lt;=Corte+n_Ventana),ISNUMBER(Detalle_24m!DG$52)),Detalle_24m!DG$52,INDEX(Precio_V,11)*INDEX(IdxPrecio_V,1,MIN(10,DG$173)))*(1+V_dPrecio))</f>
        <v>0</v>
      </c>
      <c r="DH212" s="48">
        <f>IF(DH$8=1,IF(Reales!$C$48="PYG",IF(DH$10&gt;0,N(Reales!DH48)/DH$10,0),N(Reales!DH48)),DH$187*IF(AND(AND(107&gt;Corte,107&lt;=Corte+n_Ventana),ISNUMBER(Detalle_24m!DH$52)),Detalle_24m!DH$52,INDEX(Precio_V,11)*INDEX(IdxPrecio_V,1,MIN(10,DH$173)))*(1+V_dPrecio))</f>
        <v>0</v>
      </c>
      <c r="DI212" s="48">
        <f>IF(DI$8=1,IF(Reales!$C$48="PYG",IF(DI$10&gt;0,N(Reales!DI48)/DI$10,0),N(Reales!DI48)),DI$187*IF(AND(AND(108&gt;Corte,108&lt;=Corte+n_Ventana),ISNUMBER(Detalle_24m!DI$52)),Detalle_24m!DI$52,INDEX(Precio_V,11)*INDEX(IdxPrecio_V,1,MIN(10,DI$173)))*(1+V_dPrecio))</f>
        <v>0</v>
      </c>
      <c r="DJ212" s="48">
        <f>IF(DJ$8=1,IF(Reales!$C$48="PYG",IF(DJ$10&gt;0,N(Reales!DJ48)/DJ$10,0),N(Reales!DJ48)),DJ$187*IF(AND(AND(109&gt;Corte,109&lt;=Corte+n_Ventana),ISNUMBER(Detalle_24m!DJ$52)),Detalle_24m!DJ$52,INDEX(Precio_V,11)*INDEX(IdxPrecio_V,1,MIN(10,DJ$173)))*(1+V_dPrecio))</f>
        <v>0</v>
      </c>
      <c r="DK212" s="48">
        <f>IF(DK$8=1,IF(Reales!$C$48="PYG",IF(DK$10&gt;0,N(Reales!DK48)/DK$10,0),N(Reales!DK48)),DK$187*IF(AND(AND(110&gt;Corte,110&lt;=Corte+n_Ventana),ISNUMBER(Detalle_24m!DK$52)),Detalle_24m!DK$52,INDEX(Precio_V,11)*INDEX(IdxPrecio_V,1,MIN(10,DK$173)))*(1+V_dPrecio))</f>
        <v>0</v>
      </c>
      <c r="DL212" s="48">
        <f>IF(DL$8=1,IF(Reales!$C$48="PYG",IF(DL$10&gt;0,N(Reales!DL48)/DL$10,0),N(Reales!DL48)),DL$187*IF(AND(AND(111&gt;Corte,111&lt;=Corte+n_Ventana),ISNUMBER(Detalle_24m!DL$52)),Detalle_24m!DL$52,INDEX(Precio_V,11)*INDEX(IdxPrecio_V,1,MIN(10,DL$173)))*(1+V_dPrecio))</f>
        <v>0</v>
      </c>
      <c r="DM212" s="48">
        <f>IF(DM$8=1,IF(Reales!$C$48="PYG",IF(DM$10&gt;0,N(Reales!DM48)/DM$10,0),N(Reales!DM48)),DM$187*IF(AND(AND(112&gt;Corte,112&lt;=Corte+n_Ventana),ISNUMBER(Detalle_24m!DM$52)),Detalle_24m!DM$52,INDEX(Precio_V,11)*INDEX(IdxPrecio_V,1,MIN(10,DM$173)))*(1+V_dPrecio))</f>
        <v>0</v>
      </c>
      <c r="DN212" s="48">
        <f>IF(DN$8=1,IF(Reales!$C$48="PYG",IF(DN$10&gt;0,N(Reales!DN48)/DN$10,0),N(Reales!DN48)),DN$187*IF(AND(AND(113&gt;Corte,113&lt;=Corte+n_Ventana),ISNUMBER(Detalle_24m!DN$52)),Detalle_24m!DN$52,INDEX(Precio_V,11)*INDEX(IdxPrecio_V,1,MIN(10,DN$173)))*(1+V_dPrecio))</f>
        <v>0</v>
      </c>
      <c r="DO212" s="48">
        <f>IF(DO$8=1,IF(Reales!$C$48="PYG",IF(DO$10&gt;0,N(Reales!DO48)/DO$10,0),N(Reales!DO48)),DO$187*IF(AND(AND(114&gt;Corte,114&lt;=Corte+n_Ventana),ISNUMBER(Detalle_24m!DO$52)),Detalle_24m!DO$52,INDEX(Precio_V,11)*INDEX(IdxPrecio_V,1,MIN(10,DO$173)))*(1+V_dPrecio))</f>
        <v>0</v>
      </c>
      <c r="DP212" s="48">
        <f>IF(DP$8=1,IF(Reales!$C$48="PYG",IF(DP$10&gt;0,N(Reales!DP48)/DP$10,0),N(Reales!DP48)),DP$187*IF(AND(AND(115&gt;Corte,115&lt;=Corte+n_Ventana),ISNUMBER(Detalle_24m!DP$52)),Detalle_24m!DP$52,INDEX(Precio_V,11)*INDEX(IdxPrecio_V,1,MIN(10,DP$173)))*(1+V_dPrecio))</f>
        <v>0</v>
      </c>
      <c r="DQ212" s="48">
        <f>IF(DQ$8=1,IF(Reales!$C$48="PYG",IF(DQ$10&gt;0,N(Reales!DQ48)/DQ$10,0),N(Reales!DQ48)),DQ$187*IF(AND(AND(116&gt;Corte,116&lt;=Corte+n_Ventana),ISNUMBER(Detalle_24m!DQ$52)),Detalle_24m!DQ$52,INDEX(Precio_V,11)*INDEX(IdxPrecio_V,1,MIN(10,DQ$173)))*(1+V_dPrecio))</f>
        <v>0</v>
      </c>
      <c r="DR212" s="48">
        <f>IF(DR$8=1,IF(Reales!$C$48="PYG",IF(DR$10&gt;0,N(Reales!DR48)/DR$10,0),N(Reales!DR48)),DR$187*IF(AND(AND(117&gt;Corte,117&lt;=Corte+n_Ventana),ISNUMBER(Detalle_24m!DR$52)),Detalle_24m!DR$52,INDEX(Precio_V,11)*INDEX(IdxPrecio_V,1,MIN(10,DR$173)))*(1+V_dPrecio))</f>
        <v>0</v>
      </c>
      <c r="DS212" s="48">
        <f>IF(DS$8=1,IF(Reales!$C$48="PYG",IF(DS$10&gt;0,N(Reales!DS48)/DS$10,0),N(Reales!DS48)),DS$187*IF(AND(AND(118&gt;Corte,118&lt;=Corte+n_Ventana),ISNUMBER(Detalle_24m!DS$52)),Detalle_24m!DS$52,INDEX(Precio_V,11)*INDEX(IdxPrecio_V,1,MIN(10,DS$173)))*(1+V_dPrecio))</f>
        <v>0</v>
      </c>
      <c r="DT212" s="48">
        <f>IF(DT$8=1,IF(Reales!$C$48="PYG",IF(DT$10&gt;0,N(Reales!DT48)/DT$10,0),N(Reales!DT48)),DT$187*IF(AND(AND(119&gt;Corte,119&lt;=Corte+n_Ventana),ISNUMBER(Detalle_24m!DT$52)),Detalle_24m!DT$52,INDEX(Precio_V,11)*INDEX(IdxPrecio_V,1,MIN(10,DT$173)))*(1+V_dPrecio))</f>
        <v>0</v>
      </c>
      <c r="DU212" s="48">
        <f>IF(DU$8=1,IF(Reales!$C$48="PYG",IF(DU$10&gt;0,N(Reales!DU48)/DU$10,0),N(Reales!DU48)),DU$187*IF(AND(AND(120&gt;Corte,120&lt;=Corte+n_Ventana),ISNUMBER(Detalle_24m!DU$52)),Detalle_24m!DU$52,INDEX(Precio_V,11)*INDEX(IdxPrecio_V,1,MIN(10,DU$173)))*(1+V_dPrecio))</f>
        <v>0</v>
      </c>
      <c r="DV212" s="48">
        <f>IF(DV$8=1,IF(Reales!$C$48="PYG",IF(DV$10&gt;0,N(Reales!DV48)/DV$10,0),N(Reales!DV48)),DV$187*IF(AND(AND(121&gt;Corte,121&lt;=Corte+n_Ventana),ISNUMBER(Detalle_24m!DV$52)),Detalle_24m!DV$52,INDEX(Precio_V,11)*INDEX(IdxPrecio_V,1,MIN(10,DV$173)))*(1+V_dPrecio))</f>
        <v>0</v>
      </c>
      <c r="DW212" s="48">
        <f>IF(DW$8=1,IF(Reales!$C$48="PYG",IF(DW$10&gt;0,N(Reales!DW48)/DW$10,0),N(Reales!DW48)),DW$187*IF(AND(AND(122&gt;Corte,122&lt;=Corte+n_Ventana),ISNUMBER(Detalle_24m!DW$52)),Detalle_24m!DW$52,INDEX(Precio_V,11)*INDEX(IdxPrecio_V,1,MIN(10,DW$173)))*(1+V_dPrecio))</f>
        <v>0</v>
      </c>
      <c r="DX212" s="48">
        <f>IF(DX$8=1,IF(Reales!$C$48="PYG",IF(DX$10&gt;0,N(Reales!DX48)/DX$10,0),N(Reales!DX48)),DX$187*IF(AND(AND(123&gt;Corte,123&lt;=Corte+n_Ventana),ISNUMBER(Detalle_24m!DX$52)),Detalle_24m!DX$52,INDEX(Precio_V,11)*INDEX(IdxPrecio_V,1,MIN(10,DX$173)))*(1+V_dPrecio))</f>
        <v>0</v>
      </c>
      <c r="DY212" s="48">
        <f>IF(DY$8=1,IF(Reales!$C$48="PYG",IF(DY$10&gt;0,N(Reales!DY48)/DY$10,0),N(Reales!DY48)),DY$187*IF(AND(AND(124&gt;Corte,124&lt;=Corte+n_Ventana),ISNUMBER(Detalle_24m!DY$52)),Detalle_24m!DY$52,INDEX(Precio_V,11)*INDEX(IdxPrecio_V,1,MIN(10,DY$173)))*(1+V_dPrecio))</f>
        <v>0</v>
      </c>
      <c r="DZ212" s="48">
        <f>IF(DZ$8=1,IF(Reales!$C$48="PYG",IF(DZ$10&gt;0,N(Reales!DZ48)/DZ$10,0),N(Reales!DZ48)),DZ$187*IF(AND(AND(125&gt;Corte,125&lt;=Corte+n_Ventana),ISNUMBER(Detalle_24m!DZ$52)),Detalle_24m!DZ$52,INDEX(Precio_V,11)*INDEX(IdxPrecio_V,1,MIN(10,DZ$173)))*(1+V_dPrecio))</f>
        <v>0</v>
      </c>
      <c r="EA212" s="48">
        <f>IF(EA$8=1,IF(Reales!$C$48="PYG",IF(EA$10&gt;0,N(Reales!EA48)/EA$10,0),N(Reales!EA48)),EA$187*IF(AND(AND(126&gt;Corte,126&lt;=Corte+n_Ventana),ISNUMBER(Detalle_24m!EA$52)),Detalle_24m!EA$52,INDEX(Precio_V,11)*INDEX(IdxPrecio_V,1,MIN(10,EA$173)))*(1+V_dPrecio))</f>
        <v>0</v>
      </c>
      <c r="EB212" s="48">
        <f>IF(EB$8=1,IF(Reales!$C$48="PYG",IF(EB$10&gt;0,N(Reales!EB48)/EB$10,0),N(Reales!EB48)),EB$187*IF(AND(AND(127&gt;Corte,127&lt;=Corte+n_Ventana),ISNUMBER(Detalle_24m!EB$52)),Detalle_24m!EB$52,INDEX(Precio_V,11)*INDEX(IdxPrecio_V,1,MIN(10,EB$173)))*(1+V_dPrecio))</f>
        <v>0</v>
      </c>
      <c r="EC212" s="48">
        <f>IF(EC$8=1,IF(Reales!$C$48="PYG",IF(EC$10&gt;0,N(Reales!EC48)/EC$10,0),N(Reales!EC48)),EC$187*IF(AND(AND(128&gt;Corte,128&lt;=Corte+n_Ventana),ISNUMBER(Detalle_24m!EC$52)),Detalle_24m!EC$52,INDEX(Precio_V,11)*INDEX(IdxPrecio_V,1,MIN(10,EC$173)))*(1+V_dPrecio))</f>
        <v>0</v>
      </c>
      <c r="ED212" s="48">
        <f>IF(ED$8=1,IF(Reales!$C$48="PYG",IF(ED$10&gt;0,N(Reales!ED48)/ED$10,0),N(Reales!ED48)),ED$187*IF(AND(AND(129&gt;Corte,129&lt;=Corte+n_Ventana),ISNUMBER(Detalle_24m!ED$52)),Detalle_24m!ED$52,INDEX(Precio_V,11)*INDEX(IdxPrecio_V,1,MIN(10,ED$173)))*(1+V_dPrecio))</f>
        <v>0</v>
      </c>
      <c r="EE212" s="48">
        <f>IF(EE$8=1,IF(Reales!$C$48="PYG",IF(EE$10&gt;0,N(Reales!EE48)/EE$10,0),N(Reales!EE48)),EE$187*IF(AND(AND(130&gt;Corte,130&lt;=Corte+n_Ventana),ISNUMBER(Detalle_24m!EE$52)),Detalle_24m!EE$52,INDEX(Precio_V,11)*INDEX(IdxPrecio_V,1,MIN(10,EE$173)))*(1+V_dPrecio))</f>
        <v>0</v>
      </c>
      <c r="EF212" s="48">
        <f>IF(EF$8=1,IF(Reales!$C$48="PYG",IF(EF$10&gt;0,N(Reales!EF48)/EF$10,0),N(Reales!EF48)),EF$187*IF(AND(AND(131&gt;Corte,131&lt;=Corte+n_Ventana),ISNUMBER(Detalle_24m!EF$52)),Detalle_24m!EF$52,INDEX(Precio_V,11)*INDEX(IdxPrecio_V,1,MIN(10,EF$173)))*(1+V_dPrecio))</f>
        <v>0</v>
      </c>
      <c r="EG212" s="48">
        <f>IF(EG$8=1,IF(Reales!$C$48="PYG",IF(EG$10&gt;0,N(Reales!EG48)/EG$10,0),N(Reales!EG48)),EG$187*IF(AND(AND(132&gt;Corte,132&lt;=Corte+n_Ventana),ISNUMBER(Detalle_24m!EG$52)),Detalle_24m!EG$52,INDEX(Precio_V,11)*INDEX(IdxPrecio_V,1,MIN(10,EG$173)))*(1+V_dPrecio))</f>
        <v>0</v>
      </c>
      <c r="EH212" s="48">
        <f>IF(EH$8=1,IF(Reales!$C$48="PYG",IF(EH$10&gt;0,N(Reales!EH48)/EH$10,0),N(Reales!EH48)),EH$187*IF(AND(AND(133&gt;Corte,133&lt;=Corte+n_Ventana),ISNUMBER(Detalle_24m!EH$52)),Detalle_24m!EH$52,INDEX(Precio_V,11)*INDEX(IdxPrecio_V,1,MIN(10,EH$173)))*(1+V_dPrecio))</f>
        <v>0</v>
      </c>
      <c r="EI212" s="48">
        <f>IF(EI$8=1,IF(Reales!$C$48="PYG",IF(EI$10&gt;0,N(Reales!EI48)/EI$10,0),N(Reales!EI48)),EI$187*IF(AND(AND(134&gt;Corte,134&lt;=Corte+n_Ventana),ISNUMBER(Detalle_24m!EI$52)),Detalle_24m!EI$52,INDEX(Precio_V,11)*INDEX(IdxPrecio_V,1,MIN(10,EI$173)))*(1+V_dPrecio))</f>
        <v>0</v>
      </c>
      <c r="EJ212" s="48">
        <f>IF(EJ$8=1,IF(Reales!$C$48="PYG",IF(EJ$10&gt;0,N(Reales!EJ48)/EJ$10,0),N(Reales!EJ48)),EJ$187*IF(AND(AND(135&gt;Corte,135&lt;=Corte+n_Ventana),ISNUMBER(Detalle_24m!EJ$52)),Detalle_24m!EJ$52,INDEX(Precio_V,11)*INDEX(IdxPrecio_V,1,MIN(10,EJ$173)))*(1+V_dPrecio))</f>
        <v>0</v>
      </c>
      <c r="EK212" s="48">
        <f>IF(EK$8=1,IF(Reales!$C$48="PYG",IF(EK$10&gt;0,N(Reales!EK48)/EK$10,0),N(Reales!EK48)),EK$187*IF(AND(AND(136&gt;Corte,136&lt;=Corte+n_Ventana),ISNUMBER(Detalle_24m!EK$52)),Detalle_24m!EK$52,INDEX(Precio_V,11)*INDEX(IdxPrecio_V,1,MIN(10,EK$173)))*(1+V_dPrecio))</f>
        <v>0</v>
      </c>
      <c r="EL212" s="48">
        <f>IF(EL$8=1,IF(Reales!$C$48="PYG",IF(EL$10&gt;0,N(Reales!EL48)/EL$10,0),N(Reales!EL48)),EL$187*IF(AND(AND(137&gt;Corte,137&lt;=Corte+n_Ventana),ISNUMBER(Detalle_24m!EL$52)),Detalle_24m!EL$52,INDEX(Precio_V,11)*INDEX(IdxPrecio_V,1,MIN(10,EL$173)))*(1+V_dPrecio))</f>
        <v>0</v>
      </c>
      <c r="EM212" s="48">
        <f>IF(EM$8=1,IF(Reales!$C$48="PYG",IF(EM$10&gt;0,N(Reales!EM48)/EM$10,0),N(Reales!EM48)),EM$187*IF(AND(AND(138&gt;Corte,138&lt;=Corte+n_Ventana),ISNUMBER(Detalle_24m!EM$52)),Detalle_24m!EM$52,INDEX(Precio_V,11)*INDEX(IdxPrecio_V,1,MIN(10,EM$173)))*(1+V_dPrecio))</f>
        <v>0</v>
      </c>
      <c r="EN212" s="48">
        <f>IF(EN$8=1,IF(Reales!$C$48="PYG",IF(EN$10&gt;0,N(Reales!EN48)/EN$10,0),N(Reales!EN48)),EN$187*IF(AND(AND(139&gt;Corte,139&lt;=Corte+n_Ventana),ISNUMBER(Detalle_24m!EN$52)),Detalle_24m!EN$52,INDEX(Precio_V,11)*INDEX(IdxPrecio_V,1,MIN(10,EN$173)))*(1+V_dPrecio))</f>
        <v>0</v>
      </c>
      <c r="EO212" s="48">
        <f>IF(EO$8=1,IF(Reales!$C$48="PYG",IF(EO$10&gt;0,N(Reales!EO48)/EO$10,0),N(Reales!EO48)),EO$187*IF(AND(AND(140&gt;Corte,140&lt;=Corte+n_Ventana),ISNUMBER(Detalle_24m!EO$52)),Detalle_24m!EO$52,INDEX(Precio_V,11)*INDEX(IdxPrecio_V,1,MIN(10,EO$173)))*(1+V_dPrecio))</f>
        <v>0</v>
      </c>
      <c r="EP212" s="48">
        <f>IF(EP$8=1,IF(Reales!$C$48="PYG",IF(EP$10&gt;0,N(Reales!EP48)/EP$10,0),N(Reales!EP48)),EP$187*IF(AND(AND(141&gt;Corte,141&lt;=Corte+n_Ventana),ISNUMBER(Detalle_24m!EP$52)),Detalle_24m!EP$52,INDEX(Precio_V,11)*INDEX(IdxPrecio_V,1,MIN(10,EP$173)))*(1+V_dPrecio))</f>
        <v>0</v>
      </c>
      <c r="EQ212" s="48">
        <f>IF(EQ$8=1,IF(Reales!$C$48="PYG",IF(EQ$10&gt;0,N(Reales!EQ48)/EQ$10,0),N(Reales!EQ48)),EQ$187*IF(AND(AND(142&gt;Corte,142&lt;=Corte+n_Ventana),ISNUMBER(Detalle_24m!EQ$52)),Detalle_24m!EQ$52,INDEX(Precio_V,11)*INDEX(IdxPrecio_V,1,MIN(10,EQ$173)))*(1+V_dPrecio))</f>
        <v>0</v>
      </c>
      <c r="ER212" s="48">
        <f>IF(ER$8=1,IF(Reales!$C$48="PYG",IF(ER$10&gt;0,N(Reales!ER48)/ER$10,0),N(Reales!ER48)),ER$187*IF(AND(AND(143&gt;Corte,143&lt;=Corte+n_Ventana),ISNUMBER(Detalle_24m!ER$52)),Detalle_24m!ER$52,INDEX(Precio_V,11)*INDEX(IdxPrecio_V,1,MIN(10,ER$173)))*(1+V_dPrecio))</f>
        <v>0</v>
      </c>
      <c r="ES212" s="48">
        <f>IF(ES$8=1,IF(Reales!$C$48="PYG",IF(ES$10&gt;0,N(Reales!ES48)/ES$10,0),N(Reales!ES48)),ES$187*IF(AND(AND(144&gt;Corte,144&lt;=Corte+n_Ventana),ISNUMBER(Detalle_24m!ES$52)),Detalle_24m!ES$52,INDEX(Precio_V,11)*INDEX(IdxPrecio_V,1,MIN(10,ES$173)))*(1+V_dPrecio))</f>
        <v>0</v>
      </c>
    </row>
    <row r="213" spans="1:149" x14ac:dyDescent="0.3">
      <c r="A213" s="14" t="s">
        <v>1268</v>
      </c>
      <c r="B213" s="53" t="str">
        <f>IF(INDEX(Prod_Nombre,12)="","Producto 12",INDEX(Prod_Nombre,12))&amp;" — ventas USD"</f>
        <v>Producto 12 — ventas USD</v>
      </c>
      <c r="C213" s="18" t="s">
        <v>439</v>
      </c>
      <c r="E213" s="54">
        <f t="shared" si="605"/>
        <v>0</v>
      </c>
      <c r="F213" s="48">
        <f>IF(F$8=1,IF(Reales!$C$49="PYG",IF(F$10&gt;0,N(Reales!F49)/F$10,0),N(Reales!F49)),F$188*IF(AND(AND(1&gt;Corte,1&lt;=Corte+n_Ventana),ISNUMBER(Detalle_24m!F$53)),Detalle_24m!F$53,INDEX(Precio_V,12)*INDEX(IdxPrecio_V,1,MIN(10,F$173)))*(1+V_dPrecio))</f>
        <v>0</v>
      </c>
      <c r="G213" s="48">
        <f>IF(G$8=1,IF(Reales!$C$49="PYG",IF(G$10&gt;0,N(Reales!G49)/G$10,0),N(Reales!G49)),G$188*IF(AND(AND(2&gt;Corte,2&lt;=Corte+n_Ventana),ISNUMBER(Detalle_24m!G$53)),Detalle_24m!G$53,INDEX(Precio_V,12)*INDEX(IdxPrecio_V,1,MIN(10,G$173)))*(1+V_dPrecio))</f>
        <v>0</v>
      </c>
      <c r="H213" s="48">
        <f>IF(H$8=1,IF(Reales!$C$49="PYG",IF(H$10&gt;0,N(Reales!H49)/H$10,0),N(Reales!H49)),H$188*IF(AND(AND(3&gt;Corte,3&lt;=Corte+n_Ventana),ISNUMBER(Detalle_24m!H$53)),Detalle_24m!H$53,INDEX(Precio_V,12)*INDEX(IdxPrecio_V,1,MIN(10,H$173)))*(1+V_dPrecio))</f>
        <v>0</v>
      </c>
      <c r="I213" s="48">
        <f>IF(I$8=1,IF(Reales!$C$49="PYG",IF(I$10&gt;0,N(Reales!I49)/I$10,0),N(Reales!I49)),I$188*IF(AND(AND(4&gt;Corte,4&lt;=Corte+n_Ventana),ISNUMBER(Detalle_24m!I$53)),Detalle_24m!I$53,INDEX(Precio_V,12)*INDEX(IdxPrecio_V,1,MIN(10,I$173)))*(1+V_dPrecio))</f>
        <v>0</v>
      </c>
      <c r="J213" s="48">
        <f>IF(J$8=1,IF(Reales!$C$49="PYG",IF(J$10&gt;0,N(Reales!J49)/J$10,0),N(Reales!J49)),J$188*IF(AND(AND(5&gt;Corte,5&lt;=Corte+n_Ventana),ISNUMBER(Detalle_24m!J$53)),Detalle_24m!J$53,INDEX(Precio_V,12)*INDEX(IdxPrecio_V,1,MIN(10,J$173)))*(1+V_dPrecio))</f>
        <v>0</v>
      </c>
      <c r="K213" s="48">
        <f>IF(K$8=1,IF(Reales!$C$49="PYG",IF(K$10&gt;0,N(Reales!K49)/K$10,0),N(Reales!K49)),K$188*IF(AND(AND(6&gt;Corte,6&lt;=Corte+n_Ventana),ISNUMBER(Detalle_24m!K$53)),Detalle_24m!K$53,INDEX(Precio_V,12)*INDEX(IdxPrecio_V,1,MIN(10,K$173)))*(1+V_dPrecio))</f>
        <v>0</v>
      </c>
      <c r="L213" s="48">
        <f>IF(L$8=1,IF(Reales!$C$49="PYG",IF(L$10&gt;0,N(Reales!L49)/L$10,0),N(Reales!L49)),L$188*IF(AND(AND(7&gt;Corte,7&lt;=Corte+n_Ventana),ISNUMBER(Detalle_24m!L$53)),Detalle_24m!L$53,INDEX(Precio_V,12)*INDEX(IdxPrecio_V,1,MIN(10,L$173)))*(1+V_dPrecio))</f>
        <v>0</v>
      </c>
      <c r="M213" s="48">
        <f>IF(M$8=1,IF(Reales!$C$49="PYG",IF(M$10&gt;0,N(Reales!M49)/M$10,0),N(Reales!M49)),M$188*IF(AND(AND(8&gt;Corte,8&lt;=Corte+n_Ventana),ISNUMBER(Detalle_24m!M$53)),Detalle_24m!M$53,INDEX(Precio_V,12)*INDEX(IdxPrecio_V,1,MIN(10,M$173)))*(1+V_dPrecio))</f>
        <v>0</v>
      </c>
      <c r="N213" s="48">
        <f>IF(N$8=1,IF(Reales!$C$49="PYG",IF(N$10&gt;0,N(Reales!N49)/N$10,0),N(Reales!N49)),N$188*IF(AND(AND(9&gt;Corte,9&lt;=Corte+n_Ventana),ISNUMBER(Detalle_24m!N$53)),Detalle_24m!N$53,INDEX(Precio_V,12)*INDEX(IdxPrecio_V,1,MIN(10,N$173)))*(1+V_dPrecio))</f>
        <v>0</v>
      </c>
      <c r="O213" s="48">
        <f>IF(O$8=1,IF(Reales!$C$49="PYG",IF(O$10&gt;0,N(Reales!O49)/O$10,0),N(Reales!O49)),O$188*IF(AND(AND(10&gt;Corte,10&lt;=Corte+n_Ventana),ISNUMBER(Detalle_24m!O$53)),Detalle_24m!O$53,INDEX(Precio_V,12)*INDEX(IdxPrecio_V,1,MIN(10,O$173)))*(1+V_dPrecio))</f>
        <v>0</v>
      </c>
      <c r="P213" s="48">
        <f>IF(P$8=1,IF(Reales!$C$49="PYG",IF(P$10&gt;0,N(Reales!P49)/P$10,0),N(Reales!P49)),P$188*IF(AND(AND(11&gt;Corte,11&lt;=Corte+n_Ventana),ISNUMBER(Detalle_24m!P$53)),Detalle_24m!P$53,INDEX(Precio_V,12)*INDEX(IdxPrecio_V,1,MIN(10,P$173)))*(1+V_dPrecio))</f>
        <v>0</v>
      </c>
      <c r="Q213" s="48">
        <f>IF(Q$8=1,IF(Reales!$C$49="PYG",IF(Q$10&gt;0,N(Reales!Q49)/Q$10,0),N(Reales!Q49)),Q$188*IF(AND(AND(12&gt;Corte,12&lt;=Corte+n_Ventana),ISNUMBER(Detalle_24m!Q$53)),Detalle_24m!Q$53,INDEX(Precio_V,12)*INDEX(IdxPrecio_V,1,MIN(10,Q$173)))*(1+V_dPrecio))</f>
        <v>0</v>
      </c>
      <c r="R213" s="48">
        <f>IF(R$8=1,IF(Reales!$C$49="PYG",IF(R$10&gt;0,N(Reales!R49)/R$10,0),N(Reales!R49)),R$188*IF(AND(AND(13&gt;Corte,13&lt;=Corte+n_Ventana),ISNUMBER(Detalle_24m!R$53)),Detalle_24m!R$53,INDEX(Precio_V,12)*INDEX(IdxPrecio_V,1,MIN(10,R$173)))*(1+V_dPrecio))</f>
        <v>0</v>
      </c>
      <c r="S213" s="48">
        <f>IF(S$8=1,IF(Reales!$C$49="PYG",IF(S$10&gt;0,N(Reales!S49)/S$10,0),N(Reales!S49)),S$188*IF(AND(AND(14&gt;Corte,14&lt;=Corte+n_Ventana),ISNUMBER(Detalle_24m!S$53)),Detalle_24m!S$53,INDEX(Precio_V,12)*INDEX(IdxPrecio_V,1,MIN(10,S$173)))*(1+V_dPrecio))</f>
        <v>0</v>
      </c>
      <c r="T213" s="48">
        <f>IF(T$8=1,IF(Reales!$C$49="PYG",IF(T$10&gt;0,N(Reales!T49)/T$10,0),N(Reales!T49)),T$188*IF(AND(AND(15&gt;Corte,15&lt;=Corte+n_Ventana),ISNUMBER(Detalle_24m!T$53)),Detalle_24m!T$53,INDEX(Precio_V,12)*INDEX(IdxPrecio_V,1,MIN(10,T$173)))*(1+V_dPrecio))</f>
        <v>0</v>
      </c>
      <c r="U213" s="48">
        <f>IF(U$8=1,IF(Reales!$C$49="PYG",IF(U$10&gt;0,N(Reales!U49)/U$10,0),N(Reales!U49)),U$188*IF(AND(AND(16&gt;Corte,16&lt;=Corte+n_Ventana),ISNUMBER(Detalle_24m!U$53)),Detalle_24m!U$53,INDEX(Precio_V,12)*INDEX(IdxPrecio_V,1,MIN(10,U$173)))*(1+V_dPrecio))</f>
        <v>0</v>
      </c>
      <c r="V213" s="48">
        <f>IF(V$8=1,IF(Reales!$C$49="PYG",IF(V$10&gt;0,N(Reales!V49)/V$10,0),N(Reales!V49)),V$188*IF(AND(AND(17&gt;Corte,17&lt;=Corte+n_Ventana),ISNUMBER(Detalle_24m!V$53)),Detalle_24m!V$53,INDEX(Precio_V,12)*INDEX(IdxPrecio_V,1,MIN(10,V$173)))*(1+V_dPrecio))</f>
        <v>0</v>
      </c>
      <c r="W213" s="48">
        <f>IF(W$8=1,IF(Reales!$C$49="PYG",IF(W$10&gt;0,N(Reales!W49)/W$10,0),N(Reales!W49)),W$188*IF(AND(AND(18&gt;Corte,18&lt;=Corte+n_Ventana),ISNUMBER(Detalle_24m!W$53)),Detalle_24m!W$53,INDEX(Precio_V,12)*INDEX(IdxPrecio_V,1,MIN(10,W$173)))*(1+V_dPrecio))</f>
        <v>0</v>
      </c>
      <c r="X213" s="48">
        <f>IF(X$8=1,IF(Reales!$C$49="PYG",IF(X$10&gt;0,N(Reales!X49)/X$10,0),N(Reales!X49)),X$188*IF(AND(AND(19&gt;Corte,19&lt;=Corte+n_Ventana),ISNUMBER(Detalle_24m!X$53)),Detalle_24m!X$53,INDEX(Precio_V,12)*INDEX(IdxPrecio_V,1,MIN(10,X$173)))*(1+V_dPrecio))</f>
        <v>0</v>
      </c>
      <c r="Y213" s="48">
        <f>IF(Y$8=1,IF(Reales!$C$49="PYG",IF(Y$10&gt;0,N(Reales!Y49)/Y$10,0),N(Reales!Y49)),Y$188*IF(AND(AND(20&gt;Corte,20&lt;=Corte+n_Ventana),ISNUMBER(Detalle_24m!Y$53)),Detalle_24m!Y$53,INDEX(Precio_V,12)*INDEX(IdxPrecio_V,1,MIN(10,Y$173)))*(1+V_dPrecio))</f>
        <v>0</v>
      </c>
      <c r="Z213" s="48">
        <f>IF(Z$8=1,IF(Reales!$C$49="PYG",IF(Z$10&gt;0,N(Reales!Z49)/Z$10,0),N(Reales!Z49)),Z$188*IF(AND(AND(21&gt;Corte,21&lt;=Corte+n_Ventana),ISNUMBER(Detalle_24m!Z$53)),Detalle_24m!Z$53,INDEX(Precio_V,12)*INDEX(IdxPrecio_V,1,MIN(10,Z$173)))*(1+V_dPrecio))</f>
        <v>0</v>
      </c>
      <c r="AA213" s="48">
        <f>IF(AA$8=1,IF(Reales!$C$49="PYG",IF(AA$10&gt;0,N(Reales!AA49)/AA$10,0),N(Reales!AA49)),AA$188*IF(AND(AND(22&gt;Corte,22&lt;=Corte+n_Ventana),ISNUMBER(Detalle_24m!AA$53)),Detalle_24m!AA$53,INDEX(Precio_V,12)*INDEX(IdxPrecio_V,1,MIN(10,AA$173)))*(1+V_dPrecio))</f>
        <v>0</v>
      </c>
      <c r="AB213" s="48">
        <f>IF(AB$8=1,IF(Reales!$C$49="PYG",IF(AB$10&gt;0,N(Reales!AB49)/AB$10,0),N(Reales!AB49)),AB$188*IF(AND(AND(23&gt;Corte,23&lt;=Corte+n_Ventana),ISNUMBER(Detalle_24m!AB$53)),Detalle_24m!AB$53,INDEX(Precio_V,12)*INDEX(IdxPrecio_V,1,MIN(10,AB$173)))*(1+V_dPrecio))</f>
        <v>0</v>
      </c>
      <c r="AC213" s="48">
        <f>IF(AC$8=1,IF(Reales!$C$49="PYG",IF(AC$10&gt;0,N(Reales!AC49)/AC$10,0),N(Reales!AC49)),AC$188*IF(AND(AND(24&gt;Corte,24&lt;=Corte+n_Ventana),ISNUMBER(Detalle_24m!AC$53)),Detalle_24m!AC$53,INDEX(Precio_V,12)*INDEX(IdxPrecio_V,1,MIN(10,AC$173)))*(1+V_dPrecio))</f>
        <v>0</v>
      </c>
      <c r="AD213" s="48">
        <f>IF(AD$8=1,IF(Reales!$C$49="PYG",IF(AD$10&gt;0,N(Reales!AD49)/AD$10,0),N(Reales!AD49)),AD$188*IF(AND(AND(25&gt;Corte,25&lt;=Corte+n_Ventana),ISNUMBER(Detalle_24m!AD$53)),Detalle_24m!AD$53,INDEX(Precio_V,12)*INDEX(IdxPrecio_V,1,MIN(10,AD$173)))*(1+V_dPrecio))</f>
        <v>0</v>
      </c>
      <c r="AE213" s="48">
        <f>IF(AE$8=1,IF(Reales!$C$49="PYG",IF(AE$10&gt;0,N(Reales!AE49)/AE$10,0),N(Reales!AE49)),AE$188*IF(AND(AND(26&gt;Corte,26&lt;=Corte+n_Ventana),ISNUMBER(Detalle_24m!AE$53)),Detalle_24m!AE$53,INDEX(Precio_V,12)*INDEX(IdxPrecio_V,1,MIN(10,AE$173)))*(1+V_dPrecio))</f>
        <v>0</v>
      </c>
      <c r="AF213" s="48">
        <f>IF(AF$8=1,IF(Reales!$C$49="PYG",IF(AF$10&gt;0,N(Reales!AF49)/AF$10,0),N(Reales!AF49)),AF$188*IF(AND(AND(27&gt;Corte,27&lt;=Corte+n_Ventana),ISNUMBER(Detalle_24m!AF$53)),Detalle_24m!AF$53,INDEX(Precio_V,12)*INDEX(IdxPrecio_V,1,MIN(10,AF$173)))*(1+V_dPrecio))</f>
        <v>0</v>
      </c>
      <c r="AG213" s="48">
        <f>IF(AG$8=1,IF(Reales!$C$49="PYG",IF(AG$10&gt;0,N(Reales!AG49)/AG$10,0),N(Reales!AG49)),AG$188*IF(AND(AND(28&gt;Corte,28&lt;=Corte+n_Ventana),ISNUMBER(Detalle_24m!AG$53)),Detalle_24m!AG$53,INDEX(Precio_V,12)*INDEX(IdxPrecio_V,1,MIN(10,AG$173)))*(1+V_dPrecio))</f>
        <v>0</v>
      </c>
      <c r="AH213" s="48">
        <f>IF(AH$8=1,IF(Reales!$C$49="PYG",IF(AH$10&gt;0,N(Reales!AH49)/AH$10,0),N(Reales!AH49)),AH$188*IF(AND(AND(29&gt;Corte,29&lt;=Corte+n_Ventana),ISNUMBER(Detalle_24m!AH$53)),Detalle_24m!AH$53,INDEX(Precio_V,12)*INDEX(IdxPrecio_V,1,MIN(10,AH$173)))*(1+V_dPrecio))</f>
        <v>0</v>
      </c>
      <c r="AI213" s="48">
        <f>IF(AI$8=1,IF(Reales!$C$49="PYG",IF(AI$10&gt;0,N(Reales!AI49)/AI$10,0),N(Reales!AI49)),AI$188*IF(AND(AND(30&gt;Corte,30&lt;=Corte+n_Ventana),ISNUMBER(Detalle_24m!AI$53)),Detalle_24m!AI$53,INDEX(Precio_V,12)*INDEX(IdxPrecio_V,1,MIN(10,AI$173)))*(1+V_dPrecio))</f>
        <v>0</v>
      </c>
      <c r="AJ213" s="48">
        <f>IF(AJ$8=1,IF(Reales!$C$49="PYG",IF(AJ$10&gt;0,N(Reales!AJ49)/AJ$10,0),N(Reales!AJ49)),AJ$188*IF(AND(AND(31&gt;Corte,31&lt;=Corte+n_Ventana),ISNUMBER(Detalle_24m!AJ$53)),Detalle_24m!AJ$53,INDEX(Precio_V,12)*INDEX(IdxPrecio_V,1,MIN(10,AJ$173)))*(1+V_dPrecio))</f>
        <v>0</v>
      </c>
      <c r="AK213" s="48">
        <f>IF(AK$8=1,IF(Reales!$C$49="PYG",IF(AK$10&gt;0,N(Reales!AK49)/AK$10,0),N(Reales!AK49)),AK$188*IF(AND(AND(32&gt;Corte,32&lt;=Corte+n_Ventana),ISNUMBER(Detalle_24m!AK$53)),Detalle_24m!AK$53,INDEX(Precio_V,12)*INDEX(IdxPrecio_V,1,MIN(10,AK$173)))*(1+V_dPrecio))</f>
        <v>0</v>
      </c>
      <c r="AL213" s="48">
        <f>IF(AL$8=1,IF(Reales!$C$49="PYG",IF(AL$10&gt;0,N(Reales!AL49)/AL$10,0),N(Reales!AL49)),AL$188*IF(AND(AND(33&gt;Corte,33&lt;=Corte+n_Ventana),ISNUMBER(Detalle_24m!AL$53)),Detalle_24m!AL$53,INDEX(Precio_V,12)*INDEX(IdxPrecio_V,1,MIN(10,AL$173)))*(1+V_dPrecio))</f>
        <v>0</v>
      </c>
      <c r="AM213" s="48">
        <f>IF(AM$8=1,IF(Reales!$C$49="PYG",IF(AM$10&gt;0,N(Reales!AM49)/AM$10,0),N(Reales!AM49)),AM$188*IF(AND(AND(34&gt;Corte,34&lt;=Corte+n_Ventana),ISNUMBER(Detalle_24m!AM$53)),Detalle_24m!AM$53,INDEX(Precio_V,12)*INDEX(IdxPrecio_V,1,MIN(10,AM$173)))*(1+V_dPrecio))</f>
        <v>0</v>
      </c>
      <c r="AN213" s="48">
        <f>IF(AN$8=1,IF(Reales!$C$49="PYG",IF(AN$10&gt;0,N(Reales!AN49)/AN$10,0),N(Reales!AN49)),AN$188*IF(AND(AND(35&gt;Corte,35&lt;=Corte+n_Ventana),ISNUMBER(Detalle_24m!AN$53)),Detalle_24m!AN$53,INDEX(Precio_V,12)*INDEX(IdxPrecio_V,1,MIN(10,AN$173)))*(1+V_dPrecio))</f>
        <v>0</v>
      </c>
      <c r="AO213" s="48">
        <f>IF(AO$8=1,IF(Reales!$C$49="PYG",IF(AO$10&gt;0,N(Reales!AO49)/AO$10,0),N(Reales!AO49)),AO$188*IF(AND(AND(36&gt;Corte,36&lt;=Corte+n_Ventana),ISNUMBER(Detalle_24m!AO$53)),Detalle_24m!AO$53,INDEX(Precio_V,12)*INDEX(IdxPrecio_V,1,MIN(10,AO$173)))*(1+V_dPrecio))</f>
        <v>0</v>
      </c>
      <c r="AP213" s="48">
        <f>IF(AP$8=1,IF(Reales!$C$49="PYG",IF(AP$10&gt;0,N(Reales!AP49)/AP$10,0),N(Reales!AP49)),AP$188*IF(AND(AND(37&gt;Corte,37&lt;=Corte+n_Ventana),ISNUMBER(Detalle_24m!AP$53)),Detalle_24m!AP$53,INDEX(Precio_V,12)*INDEX(IdxPrecio_V,1,MIN(10,AP$173)))*(1+V_dPrecio))</f>
        <v>0</v>
      </c>
      <c r="AQ213" s="48">
        <f>IF(AQ$8=1,IF(Reales!$C$49="PYG",IF(AQ$10&gt;0,N(Reales!AQ49)/AQ$10,0),N(Reales!AQ49)),AQ$188*IF(AND(AND(38&gt;Corte,38&lt;=Corte+n_Ventana),ISNUMBER(Detalle_24m!AQ$53)),Detalle_24m!AQ$53,INDEX(Precio_V,12)*INDEX(IdxPrecio_V,1,MIN(10,AQ$173)))*(1+V_dPrecio))</f>
        <v>0</v>
      </c>
      <c r="AR213" s="48">
        <f>IF(AR$8=1,IF(Reales!$C$49="PYG",IF(AR$10&gt;0,N(Reales!AR49)/AR$10,0),N(Reales!AR49)),AR$188*IF(AND(AND(39&gt;Corte,39&lt;=Corte+n_Ventana),ISNUMBER(Detalle_24m!AR$53)),Detalle_24m!AR$53,INDEX(Precio_V,12)*INDEX(IdxPrecio_V,1,MIN(10,AR$173)))*(1+V_dPrecio))</f>
        <v>0</v>
      </c>
      <c r="AS213" s="48">
        <f>IF(AS$8=1,IF(Reales!$C$49="PYG",IF(AS$10&gt;0,N(Reales!AS49)/AS$10,0),N(Reales!AS49)),AS$188*IF(AND(AND(40&gt;Corte,40&lt;=Corte+n_Ventana),ISNUMBER(Detalle_24m!AS$53)),Detalle_24m!AS$53,INDEX(Precio_V,12)*INDEX(IdxPrecio_V,1,MIN(10,AS$173)))*(1+V_dPrecio))</f>
        <v>0</v>
      </c>
      <c r="AT213" s="48">
        <f>IF(AT$8=1,IF(Reales!$C$49="PYG",IF(AT$10&gt;0,N(Reales!AT49)/AT$10,0),N(Reales!AT49)),AT$188*IF(AND(AND(41&gt;Corte,41&lt;=Corte+n_Ventana),ISNUMBER(Detalle_24m!AT$53)),Detalle_24m!AT$53,INDEX(Precio_V,12)*INDEX(IdxPrecio_V,1,MIN(10,AT$173)))*(1+V_dPrecio))</f>
        <v>0</v>
      </c>
      <c r="AU213" s="48">
        <f>IF(AU$8=1,IF(Reales!$C$49="PYG",IF(AU$10&gt;0,N(Reales!AU49)/AU$10,0),N(Reales!AU49)),AU$188*IF(AND(AND(42&gt;Corte,42&lt;=Corte+n_Ventana),ISNUMBER(Detalle_24m!AU$53)),Detalle_24m!AU$53,INDEX(Precio_V,12)*INDEX(IdxPrecio_V,1,MIN(10,AU$173)))*(1+V_dPrecio))</f>
        <v>0</v>
      </c>
      <c r="AV213" s="48">
        <f>IF(AV$8=1,IF(Reales!$C$49="PYG",IF(AV$10&gt;0,N(Reales!AV49)/AV$10,0),N(Reales!AV49)),AV$188*IF(AND(AND(43&gt;Corte,43&lt;=Corte+n_Ventana),ISNUMBER(Detalle_24m!AV$53)),Detalle_24m!AV$53,INDEX(Precio_V,12)*INDEX(IdxPrecio_V,1,MIN(10,AV$173)))*(1+V_dPrecio))</f>
        <v>0</v>
      </c>
      <c r="AW213" s="48">
        <f>IF(AW$8=1,IF(Reales!$C$49="PYG",IF(AW$10&gt;0,N(Reales!AW49)/AW$10,0),N(Reales!AW49)),AW$188*IF(AND(AND(44&gt;Corte,44&lt;=Corte+n_Ventana),ISNUMBER(Detalle_24m!AW$53)),Detalle_24m!AW$53,INDEX(Precio_V,12)*INDEX(IdxPrecio_V,1,MIN(10,AW$173)))*(1+V_dPrecio))</f>
        <v>0</v>
      </c>
      <c r="AX213" s="48">
        <f>IF(AX$8=1,IF(Reales!$C$49="PYG",IF(AX$10&gt;0,N(Reales!AX49)/AX$10,0),N(Reales!AX49)),AX$188*IF(AND(AND(45&gt;Corte,45&lt;=Corte+n_Ventana),ISNUMBER(Detalle_24m!AX$53)),Detalle_24m!AX$53,INDEX(Precio_V,12)*INDEX(IdxPrecio_V,1,MIN(10,AX$173)))*(1+V_dPrecio))</f>
        <v>0</v>
      </c>
      <c r="AY213" s="48">
        <f>IF(AY$8=1,IF(Reales!$C$49="PYG",IF(AY$10&gt;0,N(Reales!AY49)/AY$10,0),N(Reales!AY49)),AY$188*IF(AND(AND(46&gt;Corte,46&lt;=Corte+n_Ventana),ISNUMBER(Detalle_24m!AY$53)),Detalle_24m!AY$53,INDEX(Precio_V,12)*INDEX(IdxPrecio_V,1,MIN(10,AY$173)))*(1+V_dPrecio))</f>
        <v>0</v>
      </c>
      <c r="AZ213" s="48">
        <f>IF(AZ$8=1,IF(Reales!$C$49="PYG",IF(AZ$10&gt;0,N(Reales!AZ49)/AZ$10,0),N(Reales!AZ49)),AZ$188*IF(AND(AND(47&gt;Corte,47&lt;=Corte+n_Ventana),ISNUMBER(Detalle_24m!AZ$53)),Detalle_24m!AZ$53,INDEX(Precio_V,12)*INDEX(IdxPrecio_V,1,MIN(10,AZ$173)))*(1+V_dPrecio))</f>
        <v>0</v>
      </c>
      <c r="BA213" s="48">
        <f>IF(BA$8=1,IF(Reales!$C$49="PYG",IF(BA$10&gt;0,N(Reales!BA49)/BA$10,0),N(Reales!BA49)),BA$188*IF(AND(AND(48&gt;Corte,48&lt;=Corte+n_Ventana),ISNUMBER(Detalle_24m!BA$53)),Detalle_24m!BA$53,INDEX(Precio_V,12)*INDEX(IdxPrecio_V,1,MIN(10,BA$173)))*(1+V_dPrecio))</f>
        <v>0</v>
      </c>
      <c r="BB213" s="48">
        <f>IF(BB$8=1,IF(Reales!$C$49="PYG",IF(BB$10&gt;0,N(Reales!BB49)/BB$10,0),N(Reales!BB49)),BB$188*IF(AND(AND(49&gt;Corte,49&lt;=Corte+n_Ventana),ISNUMBER(Detalle_24m!BB$53)),Detalle_24m!BB$53,INDEX(Precio_V,12)*INDEX(IdxPrecio_V,1,MIN(10,BB$173)))*(1+V_dPrecio))</f>
        <v>0</v>
      </c>
      <c r="BC213" s="48">
        <f>IF(BC$8=1,IF(Reales!$C$49="PYG",IF(BC$10&gt;0,N(Reales!BC49)/BC$10,0),N(Reales!BC49)),BC$188*IF(AND(AND(50&gt;Corte,50&lt;=Corte+n_Ventana),ISNUMBER(Detalle_24m!BC$53)),Detalle_24m!BC$53,INDEX(Precio_V,12)*INDEX(IdxPrecio_V,1,MIN(10,BC$173)))*(1+V_dPrecio))</f>
        <v>0</v>
      </c>
      <c r="BD213" s="48">
        <f>IF(BD$8=1,IF(Reales!$C$49="PYG",IF(BD$10&gt;0,N(Reales!BD49)/BD$10,0),N(Reales!BD49)),BD$188*IF(AND(AND(51&gt;Corte,51&lt;=Corte+n_Ventana),ISNUMBER(Detalle_24m!BD$53)),Detalle_24m!BD$53,INDEX(Precio_V,12)*INDEX(IdxPrecio_V,1,MIN(10,BD$173)))*(1+V_dPrecio))</f>
        <v>0</v>
      </c>
      <c r="BE213" s="48">
        <f>IF(BE$8=1,IF(Reales!$C$49="PYG",IF(BE$10&gt;0,N(Reales!BE49)/BE$10,0),N(Reales!BE49)),BE$188*IF(AND(AND(52&gt;Corte,52&lt;=Corte+n_Ventana),ISNUMBER(Detalle_24m!BE$53)),Detalle_24m!BE$53,INDEX(Precio_V,12)*INDEX(IdxPrecio_V,1,MIN(10,BE$173)))*(1+V_dPrecio))</f>
        <v>0</v>
      </c>
      <c r="BF213" s="48">
        <f>IF(BF$8=1,IF(Reales!$C$49="PYG",IF(BF$10&gt;0,N(Reales!BF49)/BF$10,0),N(Reales!BF49)),BF$188*IF(AND(AND(53&gt;Corte,53&lt;=Corte+n_Ventana),ISNUMBER(Detalle_24m!BF$53)),Detalle_24m!BF$53,INDEX(Precio_V,12)*INDEX(IdxPrecio_V,1,MIN(10,BF$173)))*(1+V_dPrecio))</f>
        <v>0</v>
      </c>
      <c r="BG213" s="48">
        <f>IF(BG$8=1,IF(Reales!$C$49="PYG",IF(BG$10&gt;0,N(Reales!BG49)/BG$10,0),N(Reales!BG49)),BG$188*IF(AND(AND(54&gt;Corte,54&lt;=Corte+n_Ventana),ISNUMBER(Detalle_24m!BG$53)),Detalle_24m!BG$53,INDEX(Precio_V,12)*INDEX(IdxPrecio_V,1,MIN(10,BG$173)))*(1+V_dPrecio))</f>
        <v>0</v>
      </c>
      <c r="BH213" s="48">
        <f>IF(BH$8=1,IF(Reales!$C$49="PYG",IF(BH$10&gt;0,N(Reales!BH49)/BH$10,0),N(Reales!BH49)),BH$188*IF(AND(AND(55&gt;Corte,55&lt;=Corte+n_Ventana),ISNUMBER(Detalle_24m!BH$53)),Detalle_24m!BH$53,INDEX(Precio_V,12)*INDEX(IdxPrecio_V,1,MIN(10,BH$173)))*(1+V_dPrecio))</f>
        <v>0</v>
      </c>
      <c r="BI213" s="48">
        <f>IF(BI$8=1,IF(Reales!$C$49="PYG",IF(BI$10&gt;0,N(Reales!BI49)/BI$10,0),N(Reales!BI49)),BI$188*IF(AND(AND(56&gt;Corte,56&lt;=Corte+n_Ventana),ISNUMBER(Detalle_24m!BI$53)),Detalle_24m!BI$53,INDEX(Precio_V,12)*INDEX(IdxPrecio_V,1,MIN(10,BI$173)))*(1+V_dPrecio))</f>
        <v>0</v>
      </c>
      <c r="BJ213" s="48">
        <f>IF(BJ$8=1,IF(Reales!$C$49="PYG",IF(BJ$10&gt;0,N(Reales!BJ49)/BJ$10,0),N(Reales!BJ49)),BJ$188*IF(AND(AND(57&gt;Corte,57&lt;=Corte+n_Ventana),ISNUMBER(Detalle_24m!BJ$53)),Detalle_24m!BJ$53,INDEX(Precio_V,12)*INDEX(IdxPrecio_V,1,MIN(10,BJ$173)))*(1+V_dPrecio))</f>
        <v>0</v>
      </c>
      <c r="BK213" s="48">
        <f>IF(BK$8=1,IF(Reales!$C$49="PYG",IF(BK$10&gt;0,N(Reales!BK49)/BK$10,0),N(Reales!BK49)),BK$188*IF(AND(AND(58&gt;Corte,58&lt;=Corte+n_Ventana),ISNUMBER(Detalle_24m!BK$53)),Detalle_24m!BK$53,INDEX(Precio_V,12)*INDEX(IdxPrecio_V,1,MIN(10,BK$173)))*(1+V_dPrecio))</f>
        <v>0</v>
      </c>
      <c r="BL213" s="48">
        <f>IF(BL$8=1,IF(Reales!$C$49="PYG",IF(BL$10&gt;0,N(Reales!BL49)/BL$10,0),N(Reales!BL49)),BL$188*IF(AND(AND(59&gt;Corte,59&lt;=Corte+n_Ventana),ISNUMBER(Detalle_24m!BL$53)),Detalle_24m!BL$53,INDEX(Precio_V,12)*INDEX(IdxPrecio_V,1,MIN(10,BL$173)))*(1+V_dPrecio))</f>
        <v>0</v>
      </c>
      <c r="BM213" s="48">
        <f>IF(BM$8=1,IF(Reales!$C$49="PYG",IF(BM$10&gt;0,N(Reales!BM49)/BM$10,0),N(Reales!BM49)),BM$188*IF(AND(AND(60&gt;Corte,60&lt;=Corte+n_Ventana),ISNUMBER(Detalle_24m!BM$53)),Detalle_24m!BM$53,INDEX(Precio_V,12)*INDEX(IdxPrecio_V,1,MIN(10,BM$173)))*(1+V_dPrecio))</f>
        <v>0</v>
      </c>
      <c r="BN213" s="48">
        <f>IF(BN$8=1,IF(Reales!$C$49="PYG",IF(BN$10&gt;0,N(Reales!BN49)/BN$10,0),N(Reales!BN49)),BN$188*IF(AND(AND(61&gt;Corte,61&lt;=Corte+n_Ventana),ISNUMBER(Detalle_24m!BN$53)),Detalle_24m!BN$53,INDEX(Precio_V,12)*INDEX(IdxPrecio_V,1,MIN(10,BN$173)))*(1+V_dPrecio))</f>
        <v>0</v>
      </c>
      <c r="BO213" s="48">
        <f>IF(BO$8=1,IF(Reales!$C$49="PYG",IF(BO$10&gt;0,N(Reales!BO49)/BO$10,0),N(Reales!BO49)),BO$188*IF(AND(AND(62&gt;Corte,62&lt;=Corte+n_Ventana),ISNUMBER(Detalle_24m!BO$53)),Detalle_24m!BO$53,INDEX(Precio_V,12)*INDEX(IdxPrecio_V,1,MIN(10,BO$173)))*(1+V_dPrecio))</f>
        <v>0</v>
      </c>
      <c r="BP213" s="48">
        <f>IF(BP$8=1,IF(Reales!$C$49="PYG",IF(BP$10&gt;0,N(Reales!BP49)/BP$10,0),N(Reales!BP49)),BP$188*IF(AND(AND(63&gt;Corte,63&lt;=Corte+n_Ventana),ISNUMBER(Detalle_24m!BP$53)),Detalle_24m!BP$53,INDEX(Precio_V,12)*INDEX(IdxPrecio_V,1,MIN(10,BP$173)))*(1+V_dPrecio))</f>
        <v>0</v>
      </c>
      <c r="BQ213" s="48">
        <f>IF(BQ$8=1,IF(Reales!$C$49="PYG",IF(BQ$10&gt;0,N(Reales!BQ49)/BQ$10,0),N(Reales!BQ49)),BQ$188*IF(AND(AND(64&gt;Corte,64&lt;=Corte+n_Ventana),ISNUMBER(Detalle_24m!BQ$53)),Detalle_24m!BQ$53,INDEX(Precio_V,12)*INDEX(IdxPrecio_V,1,MIN(10,BQ$173)))*(1+V_dPrecio))</f>
        <v>0</v>
      </c>
      <c r="BR213" s="48">
        <f>IF(BR$8=1,IF(Reales!$C$49="PYG",IF(BR$10&gt;0,N(Reales!BR49)/BR$10,0),N(Reales!BR49)),BR$188*IF(AND(AND(65&gt;Corte,65&lt;=Corte+n_Ventana),ISNUMBER(Detalle_24m!BR$53)),Detalle_24m!BR$53,INDEX(Precio_V,12)*INDEX(IdxPrecio_V,1,MIN(10,BR$173)))*(1+V_dPrecio))</f>
        <v>0</v>
      </c>
      <c r="BS213" s="48">
        <f>IF(BS$8=1,IF(Reales!$C$49="PYG",IF(BS$10&gt;0,N(Reales!BS49)/BS$10,0),N(Reales!BS49)),BS$188*IF(AND(AND(66&gt;Corte,66&lt;=Corte+n_Ventana),ISNUMBER(Detalle_24m!BS$53)),Detalle_24m!BS$53,INDEX(Precio_V,12)*INDEX(IdxPrecio_V,1,MIN(10,BS$173)))*(1+V_dPrecio))</f>
        <v>0</v>
      </c>
      <c r="BT213" s="48">
        <f>IF(BT$8=1,IF(Reales!$C$49="PYG",IF(BT$10&gt;0,N(Reales!BT49)/BT$10,0),N(Reales!BT49)),BT$188*IF(AND(AND(67&gt;Corte,67&lt;=Corte+n_Ventana),ISNUMBER(Detalle_24m!BT$53)),Detalle_24m!BT$53,INDEX(Precio_V,12)*INDEX(IdxPrecio_V,1,MIN(10,BT$173)))*(1+V_dPrecio))</f>
        <v>0</v>
      </c>
      <c r="BU213" s="48">
        <f>IF(BU$8=1,IF(Reales!$C$49="PYG",IF(BU$10&gt;0,N(Reales!BU49)/BU$10,0),N(Reales!BU49)),BU$188*IF(AND(AND(68&gt;Corte,68&lt;=Corte+n_Ventana),ISNUMBER(Detalle_24m!BU$53)),Detalle_24m!BU$53,INDEX(Precio_V,12)*INDEX(IdxPrecio_V,1,MIN(10,BU$173)))*(1+V_dPrecio))</f>
        <v>0</v>
      </c>
      <c r="BV213" s="48">
        <f>IF(BV$8=1,IF(Reales!$C$49="PYG",IF(BV$10&gt;0,N(Reales!BV49)/BV$10,0),N(Reales!BV49)),BV$188*IF(AND(AND(69&gt;Corte,69&lt;=Corte+n_Ventana),ISNUMBER(Detalle_24m!BV$53)),Detalle_24m!BV$53,INDEX(Precio_V,12)*INDEX(IdxPrecio_V,1,MIN(10,BV$173)))*(1+V_dPrecio))</f>
        <v>0</v>
      </c>
      <c r="BW213" s="48">
        <f>IF(BW$8=1,IF(Reales!$C$49="PYG",IF(BW$10&gt;0,N(Reales!BW49)/BW$10,0),N(Reales!BW49)),BW$188*IF(AND(AND(70&gt;Corte,70&lt;=Corte+n_Ventana),ISNUMBER(Detalle_24m!BW$53)),Detalle_24m!BW$53,INDEX(Precio_V,12)*INDEX(IdxPrecio_V,1,MIN(10,BW$173)))*(1+V_dPrecio))</f>
        <v>0</v>
      </c>
      <c r="BX213" s="48">
        <f>IF(BX$8=1,IF(Reales!$C$49="PYG",IF(BX$10&gt;0,N(Reales!BX49)/BX$10,0),N(Reales!BX49)),BX$188*IF(AND(AND(71&gt;Corte,71&lt;=Corte+n_Ventana),ISNUMBER(Detalle_24m!BX$53)),Detalle_24m!BX$53,INDEX(Precio_V,12)*INDEX(IdxPrecio_V,1,MIN(10,BX$173)))*(1+V_dPrecio))</f>
        <v>0</v>
      </c>
      <c r="BY213" s="48">
        <f>IF(BY$8=1,IF(Reales!$C$49="PYG",IF(BY$10&gt;0,N(Reales!BY49)/BY$10,0),N(Reales!BY49)),BY$188*IF(AND(AND(72&gt;Corte,72&lt;=Corte+n_Ventana),ISNUMBER(Detalle_24m!BY$53)),Detalle_24m!BY$53,INDEX(Precio_V,12)*INDEX(IdxPrecio_V,1,MIN(10,BY$173)))*(1+V_dPrecio))</f>
        <v>0</v>
      </c>
      <c r="BZ213" s="48">
        <f>IF(BZ$8=1,IF(Reales!$C$49="PYG",IF(BZ$10&gt;0,N(Reales!BZ49)/BZ$10,0),N(Reales!BZ49)),BZ$188*IF(AND(AND(73&gt;Corte,73&lt;=Corte+n_Ventana),ISNUMBER(Detalle_24m!BZ$53)),Detalle_24m!BZ$53,INDEX(Precio_V,12)*INDEX(IdxPrecio_V,1,MIN(10,BZ$173)))*(1+V_dPrecio))</f>
        <v>0</v>
      </c>
      <c r="CA213" s="48">
        <f>IF(CA$8=1,IF(Reales!$C$49="PYG",IF(CA$10&gt;0,N(Reales!CA49)/CA$10,0),N(Reales!CA49)),CA$188*IF(AND(AND(74&gt;Corte,74&lt;=Corte+n_Ventana),ISNUMBER(Detalle_24m!CA$53)),Detalle_24m!CA$53,INDEX(Precio_V,12)*INDEX(IdxPrecio_V,1,MIN(10,CA$173)))*(1+V_dPrecio))</f>
        <v>0</v>
      </c>
      <c r="CB213" s="48">
        <f>IF(CB$8=1,IF(Reales!$C$49="PYG",IF(CB$10&gt;0,N(Reales!CB49)/CB$10,0),N(Reales!CB49)),CB$188*IF(AND(AND(75&gt;Corte,75&lt;=Corte+n_Ventana),ISNUMBER(Detalle_24m!CB$53)),Detalle_24m!CB$53,INDEX(Precio_V,12)*INDEX(IdxPrecio_V,1,MIN(10,CB$173)))*(1+V_dPrecio))</f>
        <v>0</v>
      </c>
      <c r="CC213" s="48">
        <f>IF(CC$8=1,IF(Reales!$C$49="PYG",IF(CC$10&gt;0,N(Reales!CC49)/CC$10,0),N(Reales!CC49)),CC$188*IF(AND(AND(76&gt;Corte,76&lt;=Corte+n_Ventana),ISNUMBER(Detalle_24m!CC$53)),Detalle_24m!CC$53,INDEX(Precio_V,12)*INDEX(IdxPrecio_V,1,MIN(10,CC$173)))*(1+V_dPrecio))</f>
        <v>0</v>
      </c>
      <c r="CD213" s="48">
        <f>IF(CD$8=1,IF(Reales!$C$49="PYG",IF(CD$10&gt;0,N(Reales!CD49)/CD$10,0),N(Reales!CD49)),CD$188*IF(AND(AND(77&gt;Corte,77&lt;=Corte+n_Ventana),ISNUMBER(Detalle_24m!CD$53)),Detalle_24m!CD$53,INDEX(Precio_V,12)*INDEX(IdxPrecio_V,1,MIN(10,CD$173)))*(1+V_dPrecio))</f>
        <v>0</v>
      </c>
      <c r="CE213" s="48">
        <f>IF(CE$8=1,IF(Reales!$C$49="PYG",IF(CE$10&gt;0,N(Reales!CE49)/CE$10,0),N(Reales!CE49)),CE$188*IF(AND(AND(78&gt;Corte,78&lt;=Corte+n_Ventana),ISNUMBER(Detalle_24m!CE$53)),Detalle_24m!CE$53,INDEX(Precio_V,12)*INDEX(IdxPrecio_V,1,MIN(10,CE$173)))*(1+V_dPrecio))</f>
        <v>0</v>
      </c>
      <c r="CF213" s="48">
        <f>IF(CF$8=1,IF(Reales!$C$49="PYG",IF(CF$10&gt;0,N(Reales!CF49)/CF$10,0),N(Reales!CF49)),CF$188*IF(AND(AND(79&gt;Corte,79&lt;=Corte+n_Ventana),ISNUMBER(Detalle_24m!CF$53)),Detalle_24m!CF$53,INDEX(Precio_V,12)*INDEX(IdxPrecio_V,1,MIN(10,CF$173)))*(1+V_dPrecio))</f>
        <v>0</v>
      </c>
      <c r="CG213" s="48">
        <f>IF(CG$8=1,IF(Reales!$C$49="PYG",IF(CG$10&gt;0,N(Reales!CG49)/CG$10,0),N(Reales!CG49)),CG$188*IF(AND(AND(80&gt;Corte,80&lt;=Corte+n_Ventana),ISNUMBER(Detalle_24m!CG$53)),Detalle_24m!CG$53,INDEX(Precio_V,12)*INDEX(IdxPrecio_V,1,MIN(10,CG$173)))*(1+V_dPrecio))</f>
        <v>0</v>
      </c>
      <c r="CH213" s="48">
        <f>IF(CH$8=1,IF(Reales!$C$49="PYG",IF(CH$10&gt;0,N(Reales!CH49)/CH$10,0),N(Reales!CH49)),CH$188*IF(AND(AND(81&gt;Corte,81&lt;=Corte+n_Ventana),ISNUMBER(Detalle_24m!CH$53)),Detalle_24m!CH$53,INDEX(Precio_V,12)*INDEX(IdxPrecio_V,1,MIN(10,CH$173)))*(1+V_dPrecio))</f>
        <v>0</v>
      </c>
      <c r="CI213" s="48">
        <f>IF(CI$8=1,IF(Reales!$C$49="PYG",IF(CI$10&gt;0,N(Reales!CI49)/CI$10,0),N(Reales!CI49)),CI$188*IF(AND(AND(82&gt;Corte,82&lt;=Corte+n_Ventana),ISNUMBER(Detalle_24m!CI$53)),Detalle_24m!CI$53,INDEX(Precio_V,12)*INDEX(IdxPrecio_V,1,MIN(10,CI$173)))*(1+V_dPrecio))</f>
        <v>0</v>
      </c>
      <c r="CJ213" s="48">
        <f>IF(CJ$8=1,IF(Reales!$C$49="PYG",IF(CJ$10&gt;0,N(Reales!CJ49)/CJ$10,0),N(Reales!CJ49)),CJ$188*IF(AND(AND(83&gt;Corte,83&lt;=Corte+n_Ventana),ISNUMBER(Detalle_24m!CJ$53)),Detalle_24m!CJ$53,INDEX(Precio_V,12)*INDEX(IdxPrecio_V,1,MIN(10,CJ$173)))*(1+V_dPrecio))</f>
        <v>0</v>
      </c>
      <c r="CK213" s="48">
        <f>IF(CK$8=1,IF(Reales!$C$49="PYG",IF(CK$10&gt;0,N(Reales!CK49)/CK$10,0),N(Reales!CK49)),CK$188*IF(AND(AND(84&gt;Corte,84&lt;=Corte+n_Ventana),ISNUMBER(Detalle_24m!CK$53)),Detalle_24m!CK$53,INDEX(Precio_V,12)*INDEX(IdxPrecio_V,1,MIN(10,CK$173)))*(1+V_dPrecio))</f>
        <v>0</v>
      </c>
      <c r="CL213" s="48">
        <f>IF(CL$8=1,IF(Reales!$C$49="PYG",IF(CL$10&gt;0,N(Reales!CL49)/CL$10,0),N(Reales!CL49)),CL$188*IF(AND(AND(85&gt;Corte,85&lt;=Corte+n_Ventana),ISNUMBER(Detalle_24m!CL$53)),Detalle_24m!CL$53,INDEX(Precio_V,12)*INDEX(IdxPrecio_V,1,MIN(10,CL$173)))*(1+V_dPrecio))</f>
        <v>0</v>
      </c>
      <c r="CM213" s="48">
        <f>IF(CM$8=1,IF(Reales!$C$49="PYG",IF(CM$10&gt;0,N(Reales!CM49)/CM$10,0),N(Reales!CM49)),CM$188*IF(AND(AND(86&gt;Corte,86&lt;=Corte+n_Ventana),ISNUMBER(Detalle_24m!CM$53)),Detalle_24m!CM$53,INDEX(Precio_V,12)*INDEX(IdxPrecio_V,1,MIN(10,CM$173)))*(1+V_dPrecio))</f>
        <v>0</v>
      </c>
      <c r="CN213" s="48">
        <f>IF(CN$8=1,IF(Reales!$C$49="PYG",IF(CN$10&gt;0,N(Reales!CN49)/CN$10,0),N(Reales!CN49)),CN$188*IF(AND(AND(87&gt;Corte,87&lt;=Corte+n_Ventana),ISNUMBER(Detalle_24m!CN$53)),Detalle_24m!CN$53,INDEX(Precio_V,12)*INDEX(IdxPrecio_V,1,MIN(10,CN$173)))*(1+V_dPrecio))</f>
        <v>0</v>
      </c>
      <c r="CO213" s="48">
        <f>IF(CO$8=1,IF(Reales!$C$49="PYG",IF(CO$10&gt;0,N(Reales!CO49)/CO$10,0),N(Reales!CO49)),CO$188*IF(AND(AND(88&gt;Corte,88&lt;=Corte+n_Ventana),ISNUMBER(Detalle_24m!CO$53)),Detalle_24m!CO$53,INDEX(Precio_V,12)*INDEX(IdxPrecio_V,1,MIN(10,CO$173)))*(1+V_dPrecio))</f>
        <v>0</v>
      </c>
      <c r="CP213" s="48">
        <f>IF(CP$8=1,IF(Reales!$C$49="PYG",IF(CP$10&gt;0,N(Reales!CP49)/CP$10,0),N(Reales!CP49)),CP$188*IF(AND(AND(89&gt;Corte,89&lt;=Corte+n_Ventana),ISNUMBER(Detalle_24m!CP$53)),Detalle_24m!CP$53,INDEX(Precio_V,12)*INDEX(IdxPrecio_V,1,MIN(10,CP$173)))*(1+V_dPrecio))</f>
        <v>0</v>
      </c>
      <c r="CQ213" s="48">
        <f>IF(CQ$8=1,IF(Reales!$C$49="PYG",IF(CQ$10&gt;0,N(Reales!CQ49)/CQ$10,0),N(Reales!CQ49)),CQ$188*IF(AND(AND(90&gt;Corte,90&lt;=Corte+n_Ventana),ISNUMBER(Detalle_24m!CQ$53)),Detalle_24m!CQ$53,INDEX(Precio_V,12)*INDEX(IdxPrecio_V,1,MIN(10,CQ$173)))*(1+V_dPrecio))</f>
        <v>0</v>
      </c>
      <c r="CR213" s="48">
        <f>IF(CR$8=1,IF(Reales!$C$49="PYG",IF(CR$10&gt;0,N(Reales!CR49)/CR$10,0),N(Reales!CR49)),CR$188*IF(AND(AND(91&gt;Corte,91&lt;=Corte+n_Ventana),ISNUMBER(Detalle_24m!CR$53)),Detalle_24m!CR$53,INDEX(Precio_V,12)*INDEX(IdxPrecio_V,1,MIN(10,CR$173)))*(1+V_dPrecio))</f>
        <v>0</v>
      </c>
      <c r="CS213" s="48">
        <f>IF(CS$8=1,IF(Reales!$C$49="PYG",IF(CS$10&gt;0,N(Reales!CS49)/CS$10,0),N(Reales!CS49)),CS$188*IF(AND(AND(92&gt;Corte,92&lt;=Corte+n_Ventana),ISNUMBER(Detalle_24m!CS$53)),Detalle_24m!CS$53,INDEX(Precio_V,12)*INDEX(IdxPrecio_V,1,MIN(10,CS$173)))*(1+V_dPrecio))</f>
        <v>0</v>
      </c>
      <c r="CT213" s="48">
        <f>IF(CT$8=1,IF(Reales!$C$49="PYG",IF(CT$10&gt;0,N(Reales!CT49)/CT$10,0),N(Reales!CT49)),CT$188*IF(AND(AND(93&gt;Corte,93&lt;=Corte+n_Ventana),ISNUMBER(Detalle_24m!CT$53)),Detalle_24m!CT$53,INDEX(Precio_V,12)*INDEX(IdxPrecio_V,1,MIN(10,CT$173)))*(1+V_dPrecio))</f>
        <v>0</v>
      </c>
      <c r="CU213" s="48">
        <f>IF(CU$8=1,IF(Reales!$C$49="PYG",IF(CU$10&gt;0,N(Reales!CU49)/CU$10,0),N(Reales!CU49)),CU$188*IF(AND(AND(94&gt;Corte,94&lt;=Corte+n_Ventana),ISNUMBER(Detalle_24m!CU$53)),Detalle_24m!CU$53,INDEX(Precio_V,12)*INDEX(IdxPrecio_V,1,MIN(10,CU$173)))*(1+V_dPrecio))</f>
        <v>0</v>
      </c>
      <c r="CV213" s="48">
        <f>IF(CV$8=1,IF(Reales!$C$49="PYG",IF(CV$10&gt;0,N(Reales!CV49)/CV$10,0),N(Reales!CV49)),CV$188*IF(AND(AND(95&gt;Corte,95&lt;=Corte+n_Ventana),ISNUMBER(Detalle_24m!CV$53)),Detalle_24m!CV$53,INDEX(Precio_V,12)*INDEX(IdxPrecio_V,1,MIN(10,CV$173)))*(1+V_dPrecio))</f>
        <v>0</v>
      </c>
      <c r="CW213" s="48">
        <f>IF(CW$8=1,IF(Reales!$C$49="PYG",IF(CW$10&gt;0,N(Reales!CW49)/CW$10,0),N(Reales!CW49)),CW$188*IF(AND(AND(96&gt;Corte,96&lt;=Corte+n_Ventana),ISNUMBER(Detalle_24m!CW$53)),Detalle_24m!CW$53,INDEX(Precio_V,12)*INDEX(IdxPrecio_V,1,MIN(10,CW$173)))*(1+V_dPrecio))</f>
        <v>0</v>
      </c>
      <c r="CX213" s="48">
        <f>IF(CX$8=1,IF(Reales!$C$49="PYG",IF(CX$10&gt;0,N(Reales!CX49)/CX$10,0),N(Reales!CX49)),CX$188*IF(AND(AND(97&gt;Corte,97&lt;=Corte+n_Ventana),ISNUMBER(Detalle_24m!CX$53)),Detalle_24m!CX$53,INDEX(Precio_V,12)*INDEX(IdxPrecio_V,1,MIN(10,CX$173)))*(1+V_dPrecio))</f>
        <v>0</v>
      </c>
      <c r="CY213" s="48">
        <f>IF(CY$8=1,IF(Reales!$C$49="PYG",IF(CY$10&gt;0,N(Reales!CY49)/CY$10,0),N(Reales!CY49)),CY$188*IF(AND(AND(98&gt;Corte,98&lt;=Corte+n_Ventana),ISNUMBER(Detalle_24m!CY$53)),Detalle_24m!CY$53,INDEX(Precio_V,12)*INDEX(IdxPrecio_V,1,MIN(10,CY$173)))*(1+V_dPrecio))</f>
        <v>0</v>
      </c>
      <c r="CZ213" s="48">
        <f>IF(CZ$8=1,IF(Reales!$C$49="PYG",IF(CZ$10&gt;0,N(Reales!CZ49)/CZ$10,0),N(Reales!CZ49)),CZ$188*IF(AND(AND(99&gt;Corte,99&lt;=Corte+n_Ventana),ISNUMBER(Detalle_24m!CZ$53)),Detalle_24m!CZ$53,INDEX(Precio_V,12)*INDEX(IdxPrecio_V,1,MIN(10,CZ$173)))*(1+V_dPrecio))</f>
        <v>0</v>
      </c>
      <c r="DA213" s="48">
        <f>IF(DA$8=1,IF(Reales!$C$49="PYG",IF(DA$10&gt;0,N(Reales!DA49)/DA$10,0),N(Reales!DA49)),DA$188*IF(AND(AND(100&gt;Corte,100&lt;=Corte+n_Ventana),ISNUMBER(Detalle_24m!DA$53)),Detalle_24m!DA$53,INDEX(Precio_V,12)*INDEX(IdxPrecio_V,1,MIN(10,DA$173)))*(1+V_dPrecio))</f>
        <v>0</v>
      </c>
      <c r="DB213" s="48">
        <f>IF(DB$8=1,IF(Reales!$C$49="PYG",IF(DB$10&gt;0,N(Reales!DB49)/DB$10,0),N(Reales!DB49)),DB$188*IF(AND(AND(101&gt;Corte,101&lt;=Corte+n_Ventana),ISNUMBER(Detalle_24m!DB$53)),Detalle_24m!DB$53,INDEX(Precio_V,12)*INDEX(IdxPrecio_V,1,MIN(10,DB$173)))*(1+V_dPrecio))</f>
        <v>0</v>
      </c>
      <c r="DC213" s="48">
        <f>IF(DC$8=1,IF(Reales!$C$49="PYG",IF(DC$10&gt;0,N(Reales!DC49)/DC$10,0),N(Reales!DC49)),DC$188*IF(AND(AND(102&gt;Corte,102&lt;=Corte+n_Ventana),ISNUMBER(Detalle_24m!DC$53)),Detalle_24m!DC$53,INDEX(Precio_V,12)*INDEX(IdxPrecio_V,1,MIN(10,DC$173)))*(1+V_dPrecio))</f>
        <v>0</v>
      </c>
      <c r="DD213" s="48">
        <f>IF(DD$8=1,IF(Reales!$C$49="PYG",IF(DD$10&gt;0,N(Reales!DD49)/DD$10,0),N(Reales!DD49)),DD$188*IF(AND(AND(103&gt;Corte,103&lt;=Corte+n_Ventana),ISNUMBER(Detalle_24m!DD$53)),Detalle_24m!DD$53,INDEX(Precio_V,12)*INDEX(IdxPrecio_V,1,MIN(10,DD$173)))*(1+V_dPrecio))</f>
        <v>0</v>
      </c>
      <c r="DE213" s="48">
        <f>IF(DE$8=1,IF(Reales!$C$49="PYG",IF(DE$10&gt;0,N(Reales!DE49)/DE$10,0),N(Reales!DE49)),DE$188*IF(AND(AND(104&gt;Corte,104&lt;=Corte+n_Ventana),ISNUMBER(Detalle_24m!DE$53)),Detalle_24m!DE$53,INDEX(Precio_V,12)*INDEX(IdxPrecio_V,1,MIN(10,DE$173)))*(1+V_dPrecio))</f>
        <v>0</v>
      </c>
      <c r="DF213" s="48">
        <f>IF(DF$8=1,IF(Reales!$C$49="PYG",IF(DF$10&gt;0,N(Reales!DF49)/DF$10,0),N(Reales!DF49)),DF$188*IF(AND(AND(105&gt;Corte,105&lt;=Corte+n_Ventana),ISNUMBER(Detalle_24m!DF$53)),Detalle_24m!DF$53,INDEX(Precio_V,12)*INDEX(IdxPrecio_V,1,MIN(10,DF$173)))*(1+V_dPrecio))</f>
        <v>0</v>
      </c>
      <c r="DG213" s="48">
        <f>IF(DG$8=1,IF(Reales!$C$49="PYG",IF(DG$10&gt;0,N(Reales!DG49)/DG$10,0),N(Reales!DG49)),DG$188*IF(AND(AND(106&gt;Corte,106&lt;=Corte+n_Ventana),ISNUMBER(Detalle_24m!DG$53)),Detalle_24m!DG$53,INDEX(Precio_V,12)*INDEX(IdxPrecio_V,1,MIN(10,DG$173)))*(1+V_dPrecio))</f>
        <v>0</v>
      </c>
      <c r="DH213" s="48">
        <f>IF(DH$8=1,IF(Reales!$C$49="PYG",IF(DH$10&gt;0,N(Reales!DH49)/DH$10,0),N(Reales!DH49)),DH$188*IF(AND(AND(107&gt;Corte,107&lt;=Corte+n_Ventana),ISNUMBER(Detalle_24m!DH$53)),Detalle_24m!DH$53,INDEX(Precio_V,12)*INDEX(IdxPrecio_V,1,MIN(10,DH$173)))*(1+V_dPrecio))</f>
        <v>0</v>
      </c>
      <c r="DI213" s="48">
        <f>IF(DI$8=1,IF(Reales!$C$49="PYG",IF(DI$10&gt;0,N(Reales!DI49)/DI$10,0),N(Reales!DI49)),DI$188*IF(AND(AND(108&gt;Corte,108&lt;=Corte+n_Ventana),ISNUMBER(Detalle_24m!DI$53)),Detalle_24m!DI$53,INDEX(Precio_V,12)*INDEX(IdxPrecio_V,1,MIN(10,DI$173)))*(1+V_dPrecio))</f>
        <v>0</v>
      </c>
      <c r="DJ213" s="48">
        <f>IF(DJ$8=1,IF(Reales!$C$49="PYG",IF(DJ$10&gt;0,N(Reales!DJ49)/DJ$10,0),N(Reales!DJ49)),DJ$188*IF(AND(AND(109&gt;Corte,109&lt;=Corte+n_Ventana),ISNUMBER(Detalle_24m!DJ$53)),Detalle_24m!DJ$53,INDEX(Precio_V,12)*INDEX(IdxPrecio_V,1,MIN(10,DJ$173)))*(1+V_dPrecio))</f>
        <v>0</v>
      </c>
      <c r="DK213" s="48">
        <f>IF(DK$8=1,IF(Reales!$C$49="PYG",IF(DK$10&gt;0,N(Reales!DK49)/DK$10,0),N(Reales!DK49)),DK$188*IF(AND(AND(110&gt;Corte,110&lt;=Corte+n_Ventana),ISNUMBER(Detalle_24m!DK$53)),Detalle_24m!DK$53,INDEX(Precio_V,12)*INDEX(IdxPrecio_V,1,MIN(10,DK$173)))*(1+V_dPrecio))</f>
        <v>0</v>
      </c>
      <c r="DL213" s="48">
        <f>IF(DL$8=1,IF(Reales!$C$49="PYG",IF(DL$10&gt;0,N(Reales!DL49)/DL$10,0),N(Reales!DL49)),DL$188*IF(AND(AND(111&gt;Corte,111&lt;=Corte+n_Ventana),ISNUMBER(Detalle_24m!DL$53)),Detalle_24m!DL$53,INDEX(Precio_V,12)*INDEX(IdxPrecio_V,1,MIN(10,DL$173)))*(1+V_dPrecio))</f>
        <v>0</v>
      </c>
      <c r="DM213" s="48">
        <f>IF(DM$8=1,IF(Reales!$C$49="PYG",IF(DM$10&gt;0,N(Reales!DM49)/DM$10,0),N(Reales!DM49)),DM$188*IF(AND(AND(112&gt;Corte,112&lt;=Corte+n_Ventana),ISNUMBER(Detalle_24m!DM$53)),Detalle_24m!DM$53,INDEX(Precio_V,12)*INDEX(IdxPrecio_V,1,MIN(10,DM$173)))*(1+V_dPrecio))</f>
        <v>0</v>
      </c>
      <c r="DN213" s="48">
        <f>IF(DN$8=1,IF(Reales!$C$49="PYG",IF(DN$10&gt;0,N(Reales!DN49)/DN$10,0),N(Reales!DN49)),DN$188*IF(AND(AND(113&gt;Corte,113&lt;=Corte+n_Ventana),ISNUMBER(Detalle_24m!DN$53)),Detalle_24m!DN$53,INDEX(Precio_V,12)*INDEX(IdxPrecio_V,1,MIN(10,DN$173)))*(1+V_dPrecio))</f>
        <v>0</v>
      </c>
      <c r="DO213" s="48">
        <f>IF(DO$8=1,IF(Reales!$C$49="PYG",IF(DO$10&gt;0,N(Reales!DO49)/DO$10,0),N(Reales!DO49)),DO$188*IF(AND(AND(114&gt;Corte,114&lt;=Corte+n_Ventana),ISNUMBER(Detalle_24m!DO$53)),Detalle_24m!DO$53,INDEX(Precio_V,12)*INDEX(IdxPrecio_V,1,MIN(10,DO$173)))*(1+V_dPrecio))</f>
        <v>0</v>
      </c>
      <c r="DP213" s="48">
        <f>IF(DP$8=1,IF(Reales!$C$49="PYG",IF(DP$10&gt;0,N(Reales!DP49)/DP$10,0),N(Reales!DP49)),DP$188*IF(AND(AND(115&gt;Corte,115&lt;=Corte+n_Ventana),ISNUMBER(Detalle_24m!DP$53)),Detalle_24m!DP$53,INDEX(Precio_V,12)*INDEX(IdxPrecio_V,1,MIN(10,DP$173)))*(1+V_dPrecio))</f>
        <v>0</v>
      </c>
      <c r="DQ213" s="48">
        <f>IF(DQ$8=1,IF(Reales!$C$49="PYG",IF(DQ$10&gt;0,N(Reales!DQ49)/DQ$10,0),N(Reales!DQ49)),DQ$188*IF(AND(AND(116&gt;Corte,116&lt;=Corte+n_Ventana),ISNUMBER(Detalle_24m!DQ$53)),Detalle_24m!DQ$53,INDEX(Precio_V,12)*INDEX(IdxPrecio_V,1,MIN(10,DQ$173)))*(1+V_dPrecio))</f>
        <v>0</v>
      </c>
      <c r="DR213" s="48">
        <f>IF(DR$8=1,IF(Reales!$C$49="PYG",IF(DR$10&gt;0,N(Reales!DR49)/DR$10,0),N(Reales!DR49)),DR$188*IF(AND(AND(117&gt;Corte,117&lt;=Corte+n_Ventana),ISNUMBER(Detalle_24m!DR$53)),Detalle_24m!DR$53,INDEX(Precio_V,12)*INDEX(IdxPrecio_V,1,MIN(10,DR$173)))*(1+V_dPrecio))</f>
        <v>0</v>
      </c>
      <c r="DS213" s="48">
        <f>IF(DS$8=1,IF(Reales!$C$49="PYG",IF(DS$10&gt;0,N(Reales!DS49)/DS$10,0),N(Reales!DS49)),DS$188*IF(AND(AND(118&gt;Corte,118&lt;=Corte+n_Ventana),ISNUMBER(Detalle_24m!DS$53)),Detalle_24m!DS$53,INDEX(Precio_V,12)*INDEX(IdxPrecio_V,1,MIN(10,DS$173)))*(1+V_dPrecio))</f>
        <v>0</v>
      </c>
      <c r="DT213" s="48">
        <f>IF(DT$8=1,IF(Reales!$C$49="PYG",IF(DT$10&gt;0,N(Reales!DT49)/DT$10,0),N(Reales!DT49)),DT$188*IF(AND(AND(119&gt;Corte,119&lt;=Corte+n_Ventana),ISNUMBER(Detalle_24m!DT$53)),Detalle_24m!DT$53,INDEX(Precio_V,12)*INDEX(IdxPrecio_V,1,MIN(10,DT$173)))*(1+V_dPrecio))</f>
        <v>0</v>
      </c>
      <c r="DU213" s="48">
        <f>IF(DU$8=1,IF(Reales!$C$49="PYG",IF(DU$10&gt;0,N(Reales!DU49)/DU$10,0),N(Reales!DU49)),DU$188*IF(AND(AND(120&gt;Corte,120&lt;=Corte+n_Ventana),ISNUMBER(Detalle_24m!DU$53)),Detalle_24m!DU$53,INDEX(Precio_V,12)*INDEX(IdxPrecio_V,1,MIN(10,DU$173)))*(1+V_dPrecio))</f>
        <v>0</v>
      </c>
      <c r="DV213" s="48">
        <f>IF(DV$8=1,IF(Reales!$C$49="PYG",IF(DV$10&gt;0,N(Reales!DV49)/DV$10,0),N(Reales!DV49)),DV$188*IF(AND(AND(121&gt;Corte,121&lt;=Corte+n_Ventana),ISNUMBER(Detalle_24m!DV$53)),Detalle_24m!DV$53,INDEX(Precio_V,12)*INDEX(IdxPrecio_V,1,MIN(10,DV$173)))*(1+V_dPrecio))</f>
        <v>0</v>
      </c>
      <c r="DW213" s="48">
        <f>IF(DW$8=1,IF(Reales!$C$49="PYG",IF(DW$10&gt;0,N(Reales!DW49)/DW$10,0),N(Reales!DW49)),DW$188*IF(AND(AND(122&gt;Corte,122&lt;=Corte+n_Ventana),ISNUMBER(Detalle_24m!DW$53)),Detalle_24m!DW$53,INDEX(Precio_V,12)*INDEX(IdxPrecio_V,1,MIN(10,DW$173)))*(1+V_dPrecio))</f>
        <v>0</v>
      </c>
      <c r="DX213" s="48">
        <f>IF(DX$8=1,IF(Reales!$C$49="PYG",IF(DX$10&gt;0,N(Reales!DX49)/DX$10,0),N(Reales!DX49)),DX$188*IF(AND(AND(123&gt;Corte,123&lt;=Corte+n_Ventana),ISNUMBER(Detalle_24m!DX$53)),Detalle_24m!DX$53,INDEX(Precio_V,12)*INDEX(IdxPrecio_V,1,MIN(10,DX$173)))*(1+V_dPrecio))</f>
        <v>0</v>
      </c>
      <c r="DY213" s="48">
        <f>IF(DY$8=1,IF(Reales!$C$49="PYG",IF(DY$10&gt;0,N(Reales!DY49)/DY$10,0),N(Reales!DY49)),DY$188*IF(AND(AND(124&gt;Corte,124&lt;=Corte+n_Ventana),ISNUMBER(Detalle_24m!DY$53)),Detalle_24m!DY$53,INDEX(Precio_V,12)*INDEX(IdxPrecio_V,1,MIN(10,DY$173)))*(1+V_dPrecio))</f>
        <v>0</v>
      </c>
      <c r="DZ213" s="48">
        <f>IF(DZ$8=1,IF(Reales!$C$49="PYG",IF(DZ$10&gt;0,N(Reales!DZ49)/DZ$10,0),N(Reales!DZ49)),DZ$188*IF(AND(AND(125&gt;Corte,125&lt;=Corte+n_Ventana),ISNUMBER(Detalle_24m!DZ$53)),Detalle_24m!DZ$53,INDEX(Precio_V,12)*INDEX(IdxPrecio_V,1,MIN(10,DZ$173)))*(1+V_dPrecio))</f>
        <v>0</v>
      </c>
      <c r="EA213" s="48">
        <f>IF(EA$8=1,IF(Reales!$C$49="PYG",IF(EA$10&gt;0,N(Reales!EA49)/EA$10,0),N(Reales!EA49)),EA$188*IF(AND(AND(126&gt;Corte,126&lt;=Corte+n_Ventana),ISNUMBER(Detalle_24m!EA$53)),Detalle_24m!EA$53,INDEX(Precio_V,12)*INDEX(IdxPrecio_V,1,MIN(10,EA$173)))*(1+V_dPrecio))</f>
        <v>0</v>
      </c>
      <c r="EB213" s="48">
        <f>IF(EB$8=1,IF(Reales!$C$49="PYG",IF(EB$10&gt;0,N(Reales!EB49)/EB$10,0),N(Reales!EB49)),EB$188*IF(AND(AND(127&gt;Corte,127&lt;=Corte+n_Ventana),ISNUMBER(Detalle_24m!EB$53)),Detalle_24m!EB$53,INDEX(Precio_V,12)*INDEX(IdxPrecio_V,1,MIN(10,EB$173)))*(1+V_dPrecio))</f>
        <v>0</v>
      </c>
      <c r="EC213" s="48">
        <f>IF(EC$8=1,IF(Reales!$C$49="PYG",IF(EC$10&gt;0,N(Reales!EC49)/EC$10,0),N(Reales!EC49)),EC$188*IF(AND(AND(128&gt;Corte,128&lt;=Corte+n_Ventana),ISNUMBER(Detalle_24m!EC$53)),Detalle_24m!EC$53,INDEX(Precio_V,12)*INDEX(IdxPrecio_V,1,MIN(10,EC$173)))*(1+V_dPrecio))</f>
        <v>0</v>
      </c>
      <c r="ED213" s="48">
        <f>IF(ED$8=1,IF(Reales!$C$49="PYG",IF(ED$10&gt;0,N(Reales!ED49)/ED$10,0),N(Reales!ED49)),ED$188*IF(AND(AND(129&gt;Corte,129&lt;=Corte+n_Ventana),ISNUMBER(Detalle_24m!ED$53)),Detalle_24m!ED$53,INDEX(Precio_V,12)*INDEX(IdxPrecio_V,1,MIN(10,ED$173)))*(1+V_dPrecio))</f>
        <v>0</v>
      </c>
      <c r="EE213" s="48">
        <f>IF(EE$8=1,IF(Reales!$C$49="PYG",IF(EE$10&gt;0,N(Reales!EE49)/EE$10,0),N(Reales!EE49)),EE$188*IF(AND(AND(130&gt;Corte,130&lt;=Corte+n_Ventana),ISNUMBER(Detalle_24m!EE$53)),Detalle_24m!EE$53,INDEX(Precio_V,12)*INDEX(IdxPrecio_V,1,MIN(10,EE$173)))*(1+V_dPrecio))</f>
        <v>0</v>
      </c>
      <c r="EF213" s="48">
        <f>IF(EF$8=1,IF(Reales!$C$49="PYG",IF(EF$10&gt;0,N(Reales!EF49)/EF$10,0),N(Reales!EF49)),EF$188*IF(AND(AND(131&gt;Corte,131&lt;=Corte+n_Ventana),ISNUMBER(Detalle_24m!EF$53)),Detalle_24m!EF$53,INDEX(Precio_V,12)*INDEX(IdxPrecio_V,1,MIN(10,EF$173)))*(1+V_dPrecio))</f>
        <v>0</v>
      </c>
      <c r="EG213" s="48">
        <f>IF(EG$8=1,IF(Reales!$C$49="PYG",IF(EG$10&gt;0,N(Reales!EG49)/EG$10,0),N(Reales!EG49)),EG$188*IF(AND(AND(132&gt;Corte,132&lt;=Corte+n_Ventana),ISNUMBER(Detalle_24m!EG$53)),Detalle_24m!EG$53,INDEX(Precio_V,12)*INDEX(IdxPrecio_V,1,MIN(10,EG$173)))*(1+V_dPrecio))</f>
        <v>0</v>
      </c>
      <c r="EH213" s="48">
        <f>IF(EH$8=1,IF(Reales!$C$49="PYG",IF(EH$10&gt;0,N(Reales!EH49)/EH$10,0),N(Reales!EH49)),EH$188*IF(AND(AND(133&gt;Corte,133&lt;=Corte+n_Ventana),ISNUMBER(Detalle_24m!EH$53)),Detalle_24m!EH$53,INDEX(Precio_V,12)*INDEX(IdxPrecio_V,1,MIN(10,EH$173)))*(1+V_dPrecio))</f>
        <v>0</v>
      </c>
      <c r="EI213" s="48">
        <f>IF(EI$8=1,IF(Reales!$C$49="PYG",IF(EI$10&gt;0,N(Reales!EI49)/EI$10,0),N(Reales!EI49)),EI$188*IF(AND(AND(134&gt;Corte,134&lt;=Corte+n_Ventana),ISNUMBER(Detalle_24m!EI$53)),Detalle_24m!EI$53,INDEX(Precio_V,12)*INDEX(IdxPrecio_V,1,MIN(10,EI$173)))*(1+V_dPrecio))</f>
        <v>0</v>
      </c>
      <c r="EJ213" s="48">
        <f>IF(EJ$8=1,IF(Reales!$C$49="PYG",IF(EJ$10&gt;0,N(Reales!EJ49)/EJ$10,0),N(Reales!EJ49)),EJ$188*IF(AND(AND(135&gt;Corte,135&lt;=Corte+n_Ventana),ISNUMBER(Detalle_24m!EJ$53)),Detalle_24m!EJ$53,INDEX(Precio_V,12)*INDEX(IdxPrecio_V,1,MIN(10,EJ$173)))*(1+V_dPrecio))</f>
        <v>0</v>
      </c>
      <c r="EK213" s="48">
        <f>IF(EK$8=1,IF(Reales!$C$49="PYG",IF(EK$10&gt;0,N(Reales!EK49)/EK$10,0),N(Reales!EK49)),EK$188*IF(AND(AND(136&gt;Corte,136&lt;=Corte+n_Ventana),ISNUMBER(Detalle_24m!EK$53)),Detalle_24m!EK$53,INDEX(Precio_V,12)*INDEX(IdxPrecio_V,1,MIN(10,EK$173)))*(1+V_dPrecio))</f>
        <v>0</v>
      </c>
      <c r="EL213" s="48">
        <f>IF(EL$8=1,IF(Reales!$C$49="PYG",IF(EL$10&gt;0,N(Reales!EL49)/EL$10,0),N(Reales!EL49)),EL$188*IF(AND(AND(137&gt;Corte,137&lt;=Corte+n_Ventana),ISNUMBER(Detalle_24m!EL$53)),Detalle_24m!EL$53,INDEX(Precio_V,12)*INDEX(IdxPrecio_V,1,MIN(10,EL$173)))*(1+V_dPrecio))</f>
        <v>0</v>
      </c>
      <c r="EM213" s="48">
        <f>IF(EM$8=1,IF(Reales!$C$49="PYG",IF(EM$10&gt;0,N(Reales!EM49)/EM$10,0),N(Reales!EM49)),EM$188*IF(AND(AND(138&gt;Corte,138&lt;=Corte+n_Ventana),ISNUMBER(Detalle_24m!EM$53)),Detalle_24m!EM$53,INDEX(Precio_V,12)*INDEX(IdxPrecio_V,1,MIN(10,EM$173)))*(1+V_dPrecio))</f>
        <v>0</v>
      </c>
      <c r="EN213" s="48">
        <f>IF(EN$8=1,IF(Reales!$C$49="PYG",IF(EN$10&gt;0,N(Reales!EN49)/EN$10,0),N(Reales!EN49)),EN$188*IF(AND(AND(139&gt;Corte,139&lt;=Corte+n_Ventana),ISNUMBER(Detalle_24m!EN$53)),Detalle_24m!EN$53,INDEX(Precio_V,12)*INDEX(IdxPrecio_V,1,MIN(10,EN$173)))*(1+V_dPrecio))</f>
        <v>0</v>
      </c>
      <c r="EO213" s="48">
        <f>IF(EO$8=1,IF(Reales!$C$49="PYG",IF(EO$10&gt;0,N(Reales!EO49)/EO$10,0),N(Reales!EO49)),EO$188*IF(AND(AND(140&gt;Corte,140&lt;=Corte+n_Ventana),ISNUMBER(Detalle_24m!EO$53)),Detalle_24m!EO$53,INDEX(Precio_V,12)*INDEX(IdxPrecio_V,1,MIN(10,EO$173)))*(1+V_dPrecio))</f>
        <v>0</v>
      </c>
      <c r="EP213" s="48">
        <f>IF(EP$8=1,IF(Reales!$C$49="PYG",IF(EP$10&gt;0,N(Reales!EP49)/EP$10,0),N(Reales!EP49)),EP$188*IF(AND(AND(141&gt;Corte,141&lt;=Corte+n_Ventana),ISNUMBER(Detalle_24m!EP$53)),Detalle_24m!EP$53,INDEX(Precio_V,12)*INDEX(IdxPrecio_V,1,MIN(10,EP$173)))*(1+V_dPrecio))</f>
        <v>0</v>
      </c>
      <c r="EQ213" s="48">
        <f>IF(EQ$8=1,IF(Reales!$C$49="PYG",IF(EQ$10&gt;0,N(Reales!EQ49)/EQ$10,0),N(Reales!EQ49)),EQ$188*IF(AND(AND(142&gt;Corte,142&lt;=Corte+n_Ventana),ISNUMBER(Detalle_24m!EQ$53)),Detalle_24m!EQ$53,INDEX(Precio_V,12)*INDEX(IdxPrecio_V,1,MIN(10,EQ$173)))*(1+V_dPrecio))</f>
        <v>0</v>
      </c>
      <c r="ER213" s="48">
        <f>IF(ER$8=1,IF(Reales!$C$49="PYG",IF(ER$10&gt;0,N(Reales!ER49)/ER$10,0),N(Reales!ER49)),ER$188*IF(AND(AND(143&gt;Corte,143&lt;=Corte+n_Ventana),ISNUMBER(Detalle_24m!ER$53)),Detalle_24m!ER$53,INDEX(Precio_V,12)*INDEX(IdxPrecio_V,1,MIN(10,ER$173)))*(1+V_dPrecio))</f>
        <v>0</v>
      </c>
      <c r="ES213" s="48">
        <f>IF(ES$8=1,IF(Reales!$C$49="PYG",IF(ES$10&gt;0,N(Reales!ES49)/ES$10,0),N(Reales!ES49)),ES$188*IF(AND(AND(144&gt;Corte,144&lt;=Corte+n_Ventana),ISNUMBER(Detalle_24m!ES$53)),Detalle_24m!ES$53,INDEX(Precio_V,12)*INDEX(IdxPrecio_V,1,MIN(10,ES$173)))*(1+V_dPrecio))</f>
        <v>0</v>
      </c>
    </row>
    <row r="214" spans="1:149" x14ac:dyDescent="0.3">
      <c r="A214" s="14" t="s">
        <v>1269</v>
      </c>
      <c r="B214" s="53" t="str">
        <f>IF(INDEX(Prod_Nombre,13)="","Producto 13",INDEX(Prod_Nombre,13))&amp;" — ventas USD"</f>
        <v>Producto 13 — ventas USD</v>
      </c>
      <c r="C214" s="18" t="s">
        <v>439</v>
      </c>
      <c r="E214" s="54">
        <f t="shared" si="605"/>
        <v>0</v>
      </c>
      <c r="F214" s="48">
        <f>IF(F$8=1,IF(Reales!$C$50="PYG",IF(F$10&gt;0,N(Reales!F50)/F$10,0),N(Reales!F50)),F$189*IF(AND(AND(1&gt;Corte,1&lt;=Corte+n_Ventana),ISNUMBER(Detalle_24m!F$54)),Detalle_24m!F$54,INDEX(Precio_V,13)*INDEX(IdxPrecio_V,1,MIN(10,F$173)))*(1+V_dPrecio))</f>
        <v>0</v>
      </c>
      <c r="G214" s="48">
        <f>IF(G$8=1,IF(Reales!$C$50="PYG",IF(G$10&gt;0,N(Reales!G50)/G$10,0),N(Reales!G50)),G$189*IF(AND(AND(2&gt;Corte,2&lt;=Corte+n_Ventana),ISNUMBER(Detalle_24m!G$54)),Detalle_24m!G$54,INDEX(Precio_V,13)*INDEX(IdxPrecio_V,1,MIN(10,G$173)))*(1+V_dPrecio))</f>
        <v>0</v>
      </c>
      <c r="H214" s="48">
        <f>IF(H$8=1,IF(Reales!$C$50="PYG",IF(H$10&gt;0,N(Reales!H50)/H$10,0),N(Reales!H50)),H$189*IF(AND(AND(3&gt;Corte,3&lt;=Corte+n_Ventana),ISNUMBER(Detalle_24m!H$54)),Detalle_24m!H$54,INDEX(Precio_V,13)*INDEX(IdxPrecio_V,1,MIN(10,H$173)))*(1+V_dPrecio))</f>
        <v>0</v>
      </c>
      <c r="I214" s="48">
        <f>IF(I$8=1,IF(Reales!$C$50="PYG",IF(I$10&gt;0,N(Reales!I50)/I$10,0),N(Reales!I50)),I$189*IF(AND(AND(4&gt;Corte,4&lt;=Corte+n_Ventana),ISNUMBER(Detalle_24m!I$54)),Detalle_24m!I$54,INDEX(Precio_V,13)*INDEX(IdxPrecio_V,1,MIN(10,I$173)))*(1+V_dPrecio))</f>
        <v>0</v>
      </c>
      <c r="J214" s="48">
        <f>IF(J$8=1,IF(Reales!$C$50="PYG",IF(J$10&gt;0,N(Reales!J50)/J$10,0),N(Reales!J50)),J$189*IF(AND(AND(5&gt;Corte,5&lt;=Corte+n_Ventana),ISNUMBER(Detalle_24m!J$54)),Detalle_24m!J$54,INDEX(Precio_V,13)*INDEX(IdxPrecio_V,1,MIN(10,J$173)))*(1+V_dPrecio))</f>
        <v>0</v>
      </c>
      <c r="K214" s="48">
        <f>IF(K$8=1,IF(Reales!$C$50="PYG",IF(K$10&gt;0,N(Reales!K50)/K$10,0),N(Reales!K50)),K$189*IF(AND(AND(6&gt;Corte,6&lt;=Corte+n_Ventana),ISNUMBER(Detalle_24m!K$54)),Detalle_24m!K$54,INDEX(Precio_V,13)*INDEX(IdxPrecio_V,1,MIN(10,K$173)))*(1+V_dPrecio))</f>
        <v>0</v>
      </c>
      <c r="L214" s="48">
        <f>IF(L$8=1,IF(Reales!$C$50="PYG",IF(L$10&gt;0,N(Reales!L50)/L$10,0),N(Reales!L50)),L$189*IF(AND(AND(7&gt;Corte,7&lt;=Corte+n_Ventana),ISNUMBER(Detalle_24m!L$54)),Detalle_24m!L$54,INDEX(Precio_V,13)*INDEX(IdxPrecio_V,1,MIN(10,L$173)))*(1+V_dPrecio))</f>
        <v>0</v>
      </c>
      <c r="M214" s="48">
        <f>IF(M$8=1,IF(Reales!$C$50="PYG",IF(M$10&gt;0,N(Reales!M50)/M$10,0),N(Reales!M50)),M$189*IF(AND(AND(8&gt;Corte,8&lt;=Corte+n_Ventana),ISNUMBER(Detalle_24m!M$54)),Detalle_24m!M$54,INDEX(Precio_V,13)*INDEX(IdxPrecio_V,1,MIN(10,M$173)))*(1+V_dPrecio))</f>
        <v>0</v>
      </c>
      <c r="N214" s="48">
        <f>IF(N$8=1,IF(Reales!$C$50="PYG",IF(N$10&gt;0,N(Reales!N50)/N$10,0),N(Reales!N50)),N$189*IF(AND(AND(9&gt;Corte,9&lt;=Corte+n_Ventana),ISNUMBER(Detalle_24m!N$54)),Detalle_24m!N$54,INDEX(Precio_V,13)*INDEX(IdxPrecio_V,1,MIN(10,N$173)))*(1+V_dPrecio))</f>
        <v>0</v>
      </c>
      <c r="O214" s="48">
        <f>IF(O$8=1,IF(Reales!$C$50="PYG",IF(O$10&gt;0,N(Reales!O50)/O$10,0),N(Reales!O50)),O$189*IF(AND(AND(10&gt;Corte,10&lt;=Corte+n_Ventana),ISNUMBER(Detalle_24m!O$54)),Detalle_24m!O$54,INDEX(Precio_V,13)*INDEX(IdxPrecio_V,1,MIN(10,O$173)))*(1+V_dPrecio))</f>
        <v>0</v>
      </c>
      <c r="P214" s="48">
        <f>IF(P$8=1,IF(Reales!$C$50="PYG",IF(P$10&gt;0,N(Reales!P50)/P$10,0),N(Reales!P50)),P$189*IF(AND(AND(11&gt;Corte,11&lt;=Corte+n_Ventana),ISNUMBER(Detalle_24m!P$54)),Detalle_24m!P$54,INDEX(Precio_V,13)*INDEX(IdxPrecio_V,1,MIN(10,P$173)))*(1+V_dPrecio))</f>
        <v>0</v>
      </c>
      <c r="Q214" s="48">
        <f>IF(Q$8=1,IF(Reales!$C$50="PYG",IF(Q$10&gt;0,N(Reales!Q50)/Q$10,0),N(Reales!Q50)),Q$189*IF(AND(AND(12&gt;Corte,12&lt;=Corte+n_Ventana),ISNUMBER(Detalle_24m!Q$54)),Detalle_24m!Q$54,INDEX(Precio_V,13)*INDEX(IdxPrecio_V,1,MIN(10,Q$173)))*(1+V_dPrecio))</f>
        <v>0</v>
      </c>
      <c r="R214" s="48">
        <f>IF(R$8=1,IF(Reales!$C$50="PYG",IF(R$10&gt;0,N(Reales!R50)/R$10,0),N(Reales!R50)),R$189*IF(AND(AND(13&gt;Corte,13&lt;=Corte+n_Ventana),ISNUMBER(Detalle_24m!R$54)),Detalle_24m!R$54,INDEX(Precio_V,13)*INDEX(IdxPrecio_V,1,MIN(10,R$173)))*(1+V_dPrecio))</f>
        <v>0</v>
      </c>
      <c r="S214" s="48">
        <f>IF(S$8=1,IF(Reales!$C$50="PYG",IF(S$10&gt;0,N(Reales!S50)/S$10,0),N(Reales!S50)),S$189*IF(AND(AND(14&gt;Corte,14&lt;=Corte+n_Ventana),ISNUMBER(Detalle_24m!S$54)),Detalle_24m!S$54,INDEX(Precio_V,13)*INDEX(IdxPrecio_V,1,MIN(10,S$173)))*(1+V_dPrecio))</f>
        <v>0</v>
      </c>
      <c r="T214" s="48">
        <f>IF(T$8=1,IF(Reales!$C$50="PYG",IF(T$10&gt;0,N(Reales!T50)/T$10,0),N(Reales!T50)),T$189*IF(AND(AND(15&gt;Corte,15&lt;=Corte+n_Ventana),ISNUMBER(Detalle_24m!T$54)),Detalle_24m!T$54,INDEX(Precio_V,13)*INDEX(IdxPrecio_V,1,MIN(10,T$173)))*(1+V_dPrecio))</f>
        <v>0</v>
      </c>
      <c r="U214" s="48">
        <f>IF(U$8=1,IF(Reales!$C$50="PYG",IF(U$10&gt;0,N(Reales!U50)/U$10,0),N(Reales!U50)),U$189*IF(AND(AND(16&gt;Corte,16&lt;=Corte+n_Ventana),ISNUMBER(Detalle_24m!U$54)),Detalle_24m!U$54,INDEX(Precio_V,13)*INDEX(IdxPrecio_V,1,MIN(10,U$173)))*(1+V_dPrecio))</f>
        <v>0</v>
      </c>
      <c r="V214" s="48">
        <f>IF(V$8=1,IF(Reales!$C$50="PYG",IF(V$10&gt;0,N(Reales!V50)/V$10,0),N(Reales!V50)),V$189*IF(AND(AND(17&gt;Corte,17&lt;=Corte+n_Ventana),ISNUMBER(Detalle_24m!V$54)),Detalle_24m!V$54,INDEX(Precio_V,13)*INDEX(IdxPrecio_V,1,MIN(10,V$173)))*(1+V_dPrecio))</f>
        <v>0</v>
      </c>
      <c r="W214" s="48">
        <f>IF(W$8=1,IF(Reales!$C$50="PYG",IF(W$10&gt;0,N(Reales!W50)/W$10,0),N(Reales!W50)),W$189*IF(AND(AND(18&gt;Corte,18&lt;=Corte+n_Ventana),ISNUMBER(Detalle_24m!W$54)),Detalle_24m!W$54,INDEX(Precio_V,13)*INDEX(IdxPrecio_V,1,MIN(10,W$173)))*(1+V_dPrecio))</f>
        <v>0</v>
      </c>
      <c r="X214" s="48">
        <f>IF(X$8=1,IF(Reales!$C$50="PYG",IF(X$10&gt;0,N(Reales!X50)/X$10,0),N(Reales!X50)),X$189*IF(AND(AND(19&gt;Corte,19&lt;=Corte+n_Ventana),ISNUMBER(Detalle_24m!X$54)),Detalle_24m!X$54,INDEX(Precio_V,13)*INDEX(IdxPrecio_V,1,MIN(10,X$173)))*(1+V_dPrecio))</f>
        <v>0</v>
      </c>
      <c r="Y214" s="48">
        <f>IF(Y$8=1,IF(Reales!$C$50="PYG",IF(Y$10&gt;0,N(Reales!Y50)/Y$10,0),N(Reales!Y50)),Y$189*IF(AND(AND(20&gt;Corte,20&lt;=Corte+n_Ventana),ISNUMBER(Detalle_24m!Y$54)),Detalle_24m!Y$54,INDEX(Precio_V,13)*INDEX(IdxPrecio_V,1,MIN(10,Y$173)))*(1+V_dPrecio))</f>
        <v>0</v>
      </c>
      <c r="Z214" s="48">
        <f>IF(Z$8=1,IF(Reales!$C$50="PYG",IF(Z$10&gt;0,N(Reales!Z50)/Z$10,0),N(Reales!Z50)),Z$189*IF(AND(AND(21&gt;Corte,21&lt;=Corte+n_Ventana),ISNUMBER(Detalle_24m!Z$54)),Detalle_24m!Z$54,INDEX(Precio_V,13)*INDEX(IdxPrecio_V,1,MIN(10,Z$173)))*(1+V_dPrecio))</f>
        <v>0</v>
      </c>
      <c r="AA214" s="48">
        <f>IF(AA$8=1,IF(Reales!$C$50="PYG",IF(AA$10&gt;0,N(Reales!AA50)/AA$10,0),N(Reales!AA50)),AA$189*IF(AND(AND(22&gt;Corte,22&lt;=Corte+n_Ventana),ISNUMBER(Detalle_24m!AA$54)),Detalle_24m!AA$54,INDEX(Precio_V,13)*INDEX(IdxPrecio_V,1,MIN(10,AA$173)))*(1+V_dPrecio))</f>
        <v>0</v>
      </c>
      <c r="AB214" s="48">
        <f>IF(AB$8=1,IF(Reales!$C$50="PYG",IF(AB$10&gt;0,N(Reales!AB50)/AB$10,0),N(Reales!AB50)),AB$189*IF(AND(AND(23&gt;Corte,23&lt;=Corte+n_Ventana),ISNUMBER(Detalle_24m!AB$54)),Detalle_24m!AB$54,INDEX(Precio_V,13)*INDEX(IdxPrecio_V,1,MIN(10,AB$173)))*(1+V_dPrecio))</f>
        <v>0</v>
      </c>
      <c r="AC214" s="48">
        <f>IF(AC$8=1,IF(Reales!$C$50="PYG",IF(AC$10&gt;0,N(Reales!AC50)/AC$10,0),N(Reales!AC50)),AC$189*IF(AND(AND(24&gt;Corte,24&lt;=Corte+n_Ventana),ISNUMBER(Detalle_24m!AC$54)),Detalle_24m!AC$54,INDEX(Precio_V,13)*INDEX(IdxPrecio_V,1,MIN(10,AC$173)))*(1+V_dPrecio))</f>
        <v>0</v>
      </c>
      <c r="AD214" s="48">
        <f>IF(AD$8=1,IF(Reales!$C$50="PYG",IF(AD$10&gt;0,N(Reales!AD50)/AD$10,0),N(Reales!AD50)),AD$189*IF(AND(AND(25&gt;Corte,25&lt;=Corte+n_Ventana),ISNUMBER(Detalle_24m!AD$54)),Detalle_24m!AD$54,INDEX(Precio_V,13)*INDEX(IdxPrecio_V,1,MIN(10,AD$173)))*(1+V_dPrecio))</f>
        <v>0</v>
      </c>
      <c r="AE214" s="48">
        <f>IF(AE$8=1,IF(Reales!$C$50="PYG",IF(AE$10&gt;0,N(Reales!AE50)/AE$10,0),N(Reales!AE50)),AE$189*IF(AND(AND(26&gt;Corte,26&lt;=Corte+n_Ventana),ISNUMBER(Detalle_24m!AE$54)),Detalle_24m!AE$54,INDEX(Precio_V,13)*INDEX(IdxPrecio_V,1,MIN(10,AE$173)))*(1+V_dPrecio))</f>
        <v>0</v>
      </c>
      <c r="AF214" s="48">
        <f>IF(AF$8=1,IF(Reales!$C$50="PYG",IF(AF$10&gt;0,N(Reales!AF50)/AF$10,0),N(Reales!AF50)),AF$189*IF(AND(AND(27&gt;Corte,27&lt;=Corte+n_Ventana),ISNUMBER(Detalle_24m!AF$54)),Detalle_24m!AF$54,INDEX(Precio_V,13)*INDEX(IdxPrecio_V,1,MIN(10,AF$173)))*(1+V_dPrecio))</f>
        <v>0</v>
      </c>
      <c r="AG214" s="48">
        <f>IF(AG$8=1,IF(Reales!$C$50="PYG",IF(AG$10&gt;0,N(Reales!AG50)/AG$10,0),N(Reales!AG50)),AG$189*IF(AND(AND(28&gt;Corte,28&lt;=Corte+n_Ventana),ISNUMBER(Detalle_24m!AG$54)),Detalle_24m!AG$54,INDEX(Precio_V,13)*INDEX(IdxPrecio_V,1,MIN(10,AG$173)))*(1+V_dPrecio))</f>
        <v>0</v>
      </c>
      <c r="AH214" s="48">
        <f>IF(AH$8=1,IF(Reales!$C$50="PYG",IF(AH$10&gt;0,N(Reales!AH50)/AH$10,0),N(Reales!AH50)),AH$189*IF(AND(AND(29&gt;Corte,29&lt;=Corte+n_Ventana),ISNUMBER(Detalle_24m!AH$54)),Detalle_24m!AH$54,INDEX(Precio_V,13)*INDEX(IdxPrecio_V,1,MIN(10,AH$173)))*(1+V_dPrecio))</f>
        <v>0</v>
      </c>
      <c r="AI214" s="48">
        <f>IF(AI$8=1,IF(Reales!$C$50="PYG",IF(AI$10&gt;0,N(Reales!AI50)/AI$10,0),N(Reales!AI50)),AI$189*IF(AND(AND(30&gt;Corte,30&lt;=Corte+n_Ventana),ISNUMBER(Detalle_24m!AI$54)),Detalle_24m!AI$54,INDEX(Precio_V,13)*INDEX(IdxPrecio_V,1,MIN(10,AI$173)))*(1+V_dPrecio))</f>
        <v>0</v>
      </c>
      <c r="AJ214" s="48">
        <f>IF(AJ$8=1,IF(Reales!$C$50="PYG",IF(AJ$10&gt;0,N(Reales!AJ50)/AJ$10,0),N(Reales!AJ50)),AJ$189*IF(AND(AND(31&gt;Corte,31&lt;=Corte+n_Ventana),ISNUMBER(Detalle_24m!AJ$54)),Detalle_24m!AJ$54,INDEX(Precio_V,13)*INDEX(IdxPrecio_V,1,MIN(10,AJ$173)))*(1+V_dPrecio))</f>
        <v>0</v>
      </c>
      <c r="AK214" s="48">
        <f>IF(AK$8=1,IF(Reales!$C$50="PYG",IF(AK$10&gt;0,N(Reales!AK50)/AK$10,0),N(Reales!AK50)),AK$189*IF(AND(AND(32&gt;Corte,32&lt;=Corte+n_Ventana),ISNUMBER(Detalle_24m!AK$54)),Detalle_24m!AK$54,INDEX(Precio_V,13)*INDEX(IdxPrecio_V,1,MIN(10,AK$173)))*(1+V_dPrecio))</f>
        <v>0</v>
      </c>
      <c r="AL214" s="48">
        <f>IF(AL$8=1,IF(Reales!$C$50="PYG",IF(AL$10&gt;0,N(Reales!AL50)/AL$10,0),N(Reales!AL50)),AL$189*IF(AND(AND(33&gt;Corte,33&lt;=Corte+n_Ventana),ISNUMBER(Detalle_24m!AL$54)),Detalle_24m!AL$54,INDEX(Precio_V,13)*INDEX(IdxPrecio_V,1,MIN(10,AL$173)))*(1+V_dPrecio))</f>
        <v>0</v>
      </c>
      <c r="AM214" s="48">
        <f>IF(AM$8=1,IF(Reales!$C$50="PYG",IF(AM$10&gt;0,N(Reales!AM50)/AM$10,0),N(Reales!AM50)),AM$189*IF(AND(AND(34&gt;Corte,34&lt;=Corte+n_Ventana),ISNUMBER(Detalle_24m!AM$54)),Detalle_24m!AM$54,INDEX(Precio_V,13)*INDEX(IdxPrecio_V,1,MIN(10,AM$173)))*(1+V_dPrecio))</f>
        <v>0</v>
      </c>
      <c r="AN214" s="48">
        <f>IF(AN$8=1,IF(Reales!$C$50="PYG",IF(AN$10&gt;0,N(Reales!AN50)/AN$10,0),N(Reales!AN50)),AN$189*IF(AND(AND(35&gt;Corte,35&lt;=Corte+n_Ventana),ISNUMBER(Detalle_24m!AN$54)),Detalle_24m!AN$54,INDEX(Precio_V,13)*INDEX(IdxPrecio_V,1,MIN(10,AN$173)))*(1+V_dPrecio))</f>
        <v>0</v>
      </c>
      <c r="AO214" s="48">
        <f>IF(AO$8=1,IF(Reales!$C$50="PYG",IF(AO$10&gt;0,N(Reales!AO50)/AO$10,0),N(Reales!AO50)),AO$189*IF(AND(AND(36&gt;Corte,36&lt;=Corte+n_Ventana),ISNUMBER(Detalle_24m!AO$54)),Detalle_24m!AO$54,INDEX(Precio_V,13)*INDEX(IdxPrecio_V,1,MIN(10,AO$173)))*(1+V_dPrecio))</f>
        <v>0</v>
      </c>
      <c r="AP214" s="48">
        <f>IF(AP$8=1,IF(Reales!$C$50="PYG",IF(AP$10&gt;0,N(Reales!AP50)/AP$10,0),N(Reales!AP50)),AP$189*IF(AND(AND(37&gt;Corte,37&lt;=Corte+n_Ventana),ISNUMBER(Detalle_24m!AP$54)),Detalle_24m!AP$54,INDEX(Precio_V,13)*INDEX(IdxPrecio_V,1,MIN(10,AP$173)))*(1+V_dPrecio))</f>
        <v>0</v>
      </c>
      <c r="AQ214" s="48">
        <f>IF(AQ$8=1,IF(Reales!$C$50="PYG",IF(AQ$10&gt;0,N(Reales!AQ50)/AQ$10,0),N(Reales!AQ50)),AQ$189*IF(AND(AND(38&gt;Corte,38&lt;=Corte+n_Ventana),ISNUMBER(Detalle_24m!AQ$54)),Detalle_24m!AQ$54,INDEX(Precio_V,13)*INDEX(IdxPrecio_V,1,MIN(10,AQ$173)))*(1+V_dPrecio))</f>
        <v>0</v>
      </c>
      <c r="AR214" s="48">
        <f>IF(AR$8=1,IF(Reales!$C$50="PYG",IF(AR$10&gt;0,N(Reales!AR50)/AR$10,0),N(Reales!AR50)),AR$189*IF(AND(AND(39&gt;Corte,39&lt;=Corte+n_Ventana),ISNUMBER(Detalle_24m!AR$54)),Detalle_24m!AR$54,INDEX(Precio_V,13)*INDEX(IdxPrecio_V,1,MIN(10,AR$173)))*(1+V_dPrecio))</f>
        <v>0</v>
      </c>
      <c r="AS214" s="48">
        <f>IF(AS$8=1,IF(Reales!$C$50="PYG",IF(AS$10&gt;0,N(Reales!AS50)/AS$10,0),N(Reales!AS50)),AS$189*IF(AND(AND(40&gt;Corte,40&lt;=Corte+n_Ventana),ISNUMBER(Detalle_24m!AS$54)),Detalle_24m!AS$54,INDEX(Precio_V,13)*INDEX(IdxPrecio_V,1,MIN(10,AS$173)))*(1+V_dPrecio))</f>
        <v>0</v>
      </c>
      <c r="AT214" s="48">
        <f>IF(AT$8=1,IF(Reales!$C$50="PYG",IF(AT$10&gt;0,N(Reales!AT50)/AT$10,0),N(Reales!AT50)),AT$189*IF(AND(AND(41&gt;Corte,41&lt;=Corte+n_Ventana),ISNUMBER(Detalle_24m!AT$54)),Detalle_24m!AT$54,INDEX(Precio_V,13)*INDEX(IdxPrecio_V,1,MIN(10,AT$173)))*(1+V_dPrecio))</f>
        <v>0</v>
      </c>
      <c r="AU214" s="48">
        <f>IF(AU$8=1,IF(Reales!$C$50="PYG",IF(AU$10&gt;0,N(Reales!AU50)/AU$10,0),N(Reales!AU50)),AU$189*IF(AND(AND(42&gt;Corte,42&lt;=Corte+n_Ventana),ISNUMBER(Detalle_24m!AU$54)),Detalle_24m!AU$54,INDEX(Precio_V,13)*INDEX(IdxPrecio_V,1,MIN(10,AU$173)))*(1+V_dPrecio))</f>
        <v>0</v>
      </c>
      <c r="AV214" s="48">
        <f>IF(AV$8=1,IF(Reales!$C$50="PYG",IF(AV$10&gt;0,N(Reales!AV50)/AV$10,0),N(Reales!AV50)),AV$189*IF(AND(AND(43&gt;Corte,43&lt;=Corte+n_Ventana),ISNUMBER(Detalle_24m!AV$54)),Detalle_24m!AV$54,INDEX(Precio_V,13)*INDEX(IdxPrecio_V,1,MIN(10,AV$173)))*(1+V_dPrecio))</f>
        <v>0</v>
      </c>
      <c r="AW214" s="48">
        <f>IF(AW$8=1,IF(Reales!$C$50="PYG",IF(AW$10&gt;0,N(Reales!AW50)/AW$10,0),N(Reales!AW50)),AW$189*IF(AND(AND(44&gt;Corte,44&lt;=Corte+n_Ventana),ISNUMBER(Detalle_24m!AW$54)),Detalle_24m!AW$54,INDEX(Precio_V,13)*INDEX(IdxPrecio_V,1,MIN(10,AW$173)))*(1+V_dPrecio))</f>
        <v>0</v>
      </c>
      <c r="AX214" s="48">
        <f>IF(AX$8=1,IF(Reales!$C$50="PYG",IF(AX$10&gt;0,N(Reales!AX50)/AX$10,0),N(Reales!AX50)),AX$189*IF(AND(AND(45&gt;Corte,45&lt;=Corte+n_Ventana),ISNUMBER(Detalle_24m!AX$54)),Detalle_24m!AX$54,INDEX(Precio_V,13)*INDEX(IdxPrecio_V,1,MIN(10,AX$173)))*(1+V_dPrecio))</f>
        <v>0</v>
      </c>
      <c r="AY214" s="48">
        <f>IF(AY$8=1,IF(Reales!$C$50="PYG",IF(AY$10&gt;0,N(Reales!AY50)/AY$10,0),N(Reales!AY50)),AY$189*IF(AND(AND(46&gt;Corte,46&lt;=Corte+n_Ventana),ISNUMBER(Detalle_24m!AY$54)),Detalle_24m!AY$54,INDEX(Precio_V,13)*INDEX(IdxPrecio_V,1,MIN(10,AY$173)))*(1+V_dPrecio))</f>
        <v>0</v>
      </c>
      <c r="AZ214" s="48">
        <f>IF(AZ$8=1,IF(Reales!$C$50="PYG",IF(AZ$10&gt;0,N(Reales!AZ50)/AZ$10,0),N(Reales!AZ50)),AZ$189*IF(AND(AND(47&gt;Corte,47&lt;=Corte+n_Ventana),ISNUMBER(Detalle_24m!AZ$54)),Detalle_24m!AZ$54,INDEX(Precio_V,13)*INDEX(IdxPrecio_V,1,MIN(10,AZ$173)))*(1+V_dPrecio))</f>
        <v>0</v>
      </c>
      <c r="BA214" s="48">
        <f>IF(BA$8=1,IF(Reales!$C$50="PYG",IF(BA$10&gt;0,N(Reales!BA50)/BA$10,0),N(Reales!BA50)),BA$189*IF(AND(AND(48&gt;Corte,48&lt;=Corte+n_Ventana),ISNUMBER(Detalle_24m!BA$54)),Detalle_24m!BA$54,INDEX(Precio_V,13)*INDEX(IdxPrecio_V,1,MIN(10,BA$173)))*(1+V_dPrecio))</f>
        <v>0</v>
      </c>
      <c r="BB214" s="48">
        <f>IF(BB$8=1,IF(Reales!$C$50="PYG",IF(BB$10&gt;0,N(Reales!BB50)/BB$10,0),N(Reales!BB50)),BB$189*IF(AND(AND(49&gt;Corte,49&lt;=Corte+n_Ventana),ISNUMBER(Detalle_24m!BB$54)),Detalle_24m!BB$54,INDEX(Precio_V,13)*INDEX(IdxPrecio_V,1,MIN(10,BB$173)))*(1+V_dPrecio))</f>
        <v>0</v>
      </c>
      <c r="BC214" s="48">
        <f>IF(BC$8=1,IF(Reales!$C$50="PYG",IF(BC$10&gt;0,N(Reales!BC50)/BC$10,0),N(Reales!BC50)),BC$189*IF(AND(AND(50&gt;Corte,50&lt;=Corte+n_Ventana),ISNUMBER(Detalle_24m!BC$54)),Detalle_24m!BC$54,INDEX(Precio_V,13)*INDEX(IdxPrecio_V,1,MIN(10,BC$173)))*(1+V_dPrecio))</f>
        <v>0</v>
      </c>
      <c r="BD214" s="48">
        <f>IF(BD$8=1,IF(Reales!$C$50="PYG",IF(BD$10&gt;0,N(Reales!BD50)/BD$10,0),N(Reales!BD50)),BD$189*IF(AND(AND(51&gt;Corte,51&lt;=Corte+n_Ventana),ISNUMBER(Detalle_24m!BD$54)),Detalle_24m!BD$54,INDEX(Precio_V,13)*INDEX(IdxPrecio_V,1,MIN(10,BD$173)))*(1+V_dPrecio))</f>
        <v>0</v>
      </c>
      <c r="BE214" s="48">
        <f>IF(BE$8=1,IF(Reales!$C$50="PYG",IF(BE$10&gt;0,N(Reales!BE50)/BE$10,0),N(Reales!BE50)),BE$189*IF(AND(AND(52&gt;Corte,52&lt;=Corte+n_Ventana),ISNUMBER(Detalle_24m!BE$54)),Detalle_24m!BE$54,INDEX(Precio_V,13)*INDEX(IdxPrecio_V,1,MIN(10,BE$173)))*(1+V_dPrecio))</f>
        <v>0</v>
      </c>
      <c r="BF214" s="48">
        <f>IF(BF$8=1,IF(Reales!$C$50="PYG",IF(BF$10&gt;0,N(Reales!BF50)/BF$10,0),N(Reales!BF50)),BF$189*IF(AND(AND(53&gt;Corte,53&lt;=Corte+n_Ventana),ISNUMBER(Detalle_24m!BF$54)),Detalle_24m!BF$54,INDEX(Precio_V,13)*INDEX(IdxPrecio_V,1,MIN(10,BF$173)))*(1+V_dPrecio))</f>
        <v>0</v>
      </c>
      <c r="BG214" s="48">
        <f>IF(BG$8=1,IF(Reales!$C$50="PYG",IF(BG$10&gt;0,N(Reales!BG50)/BG$10,0),N(Reales!BG50)),BG$189*IF(AND(AND(54&gt;Corte,54&lt;=Corte+n_Ventana),ISNUMBER(Detalle_24m!BG$54)),Detalle_24m!BG$54,INDEX(Precio_V,13)*INDEX(IdxPrecio_V,1,MIN(10,BG$173)))*(1+V_dPrecio))</f>
        <v>0</v>
      </c>
      <c r="BH214" s="48">
        <f>IF(BH$8=1,IF(Reales!$C$50="PYG",IF(BH$10&gt;0,N(Reales!BH50)/BH$10,0),N(Reales!BH50)),BH$189*IF(AND(AND(55&gt;Corte,55&lt;=Corte+n_Ventana),ISNUMBER(Detalle_24m!BH$54)),Detalle_24m!BH$54,INDEX(Precio_V,13)*INDEX(IdxPrecio_V,1,MIN(10,BH$173)))*(1+V_dPrecio))</f>
        <v>0</v>
      </c>
      <c r="BI214" s="48">
        <f>IF(BI$8=1,IF(Reales!$C$50="PYG",IF(BI$10&gt;0,N(Reales!BI50)/BI$10,0),N(Reales!BI50)),BI$189*IF(AND(AND(56&gt;Corte,56&lt;=Corte+n_Ventana),ISNUMBER(Detalle_24m!BI$54)),Detalle_24m!BI$54,INDEX(Precio_V,13)*INDEX(IdxPrecio_V,1,MIN(10,BI$173)))*(1+V_dPrecio))</f>
        <v>0</v>
      </c>
      <c r="BJ214" s="48">
        <f>IF(BJ$8=1,IF(Reales!$C$50="PYG",IF(BJ$10&gt;0,N(Reales!BJ50)/BJ$10,0),N(Reales!BJ50)),BJ$189*IF(AND(AND(57&gt;Corte,57&lt;=Corte+n_Ventana),ISNUMBER(Detalle_24m!BJ$54)),Detalle_24m!BJ$54,INDEX(Precio_V,13)*INDEX(IdxPrecio_V,1,MIN(10,BJ$173)))*(1+V_dPrecio))</f>
        <v>0</v>
      </c>
      <c r="BK214" s="48">
        <f>IF(BK$8=1,IF(Reales!$C$50="PYG",IF(BK$10&gt;0,N(Reales!BK50)/BK$10,0),N(Reales!BK50)),BK$189*IF(AND(AND(58&gt;Corte,58&lt;=Corte+n_Ventana),ISNUMBER(Detalle_24m!BK$54)),Detalle_24m!BK$54,INDEX(Precio_V,13)*INDEX(IdxPrecio_V,1,MIN(10,BK$173)))*(1+V_dPrecio))</f>
        <v>0</v>
      </c>
      <c r="BL214" s="48">
        <f>IF(BL$8=1,IF(Reales!$C$50="PYG",IF(BL$10&gt;0,N(Reales!BL50)/BL$10,0),N(Reales!BL50)),BL$189*IF(AND(AND(59&gt;Corte,59&lt;=Corte+n_Ventana),ISNUMBER(Detalle_24m!BL$54)),Detalle_24m!BL$54,INDEX(Precio_V,13)*INDEX(IdxPrecio_V,1,MIN(10,BL$173)))*(1+V_dPrecio))</f>
        <v>0</v>
      </c>
      <c r="BM214" s="48">
        <f>IF(BM$8=1,IF(Reales!$C$50="PYG",IF(BM$10&gt;0,N(Reales!BM50)/BM$10,0),N(Reales!BM50)),BM$189*IF(AND(AND(60&gt;Corte,60&lt;=Corte+n_Ventana),ISNUMBER(Detalle_24m!BM$54)),Detalle_24m!BM$54,INDEX(Precio_V,13)*INDEX(IdxPrecio_V,1,MIN(10,BM$173)))*(1+V_dPrecio))</f>
        <v>0</v>
      </c>
      <c r="BN214" s="48">
        <f>IF(BN$8=1,IF(Reales!$C$50="PYG",IF(BN$10&gt;0,N(Reales!BN50)/BN$10,0),N(Reales!BN50)),BN$189*IF(AND(AND(61&gt;Corte,61&lt;=Corte+n_Ventana),ISNUMBER(Detalle_24m!BN$54)),Detalle_24m!BN$54,INDEX(Precio_V,13)*INDEX(IdxPrecio_V,1,MIN(10,BN$173)))*(1+V_dPrecio))</f>
        <v>0</v>
      </c>
      <c r="BO214" s="48">
        <f>IF(BO$8=1,IF(Reales!$C$50="PYG",IF(BO$10&gt;0,N(Reales!BO50)/BO$10,0),N(Reales!BO50)),BO$189*IF(AND(AND(62&gt;Corte,62&lt;=Corte+n_Ventana),ISNUMBER(Detalle_24m!BO$54)),Detalle_24m!BO$54,INDEX(Precio_V,13)*INDEX(IdxPrecio_V,1,MIN(10,BO$173)))*(1+V_dPrecio))</f>
        <v>0</v>
      </c>
      <c r="BP214" s="48">
        <f>IF(BP$8=1,IF(Reales!$C$50="PYG",IF(BP$10&gt;0,N(Reales!BP50)/BP$10,0),N(Reales!BP50)),BP$189*IF(AND(AND(63&gt;Corte,63&lt;=Corte+n_Ventana),ISNUMBER(Detalle_24m!BP$54)),Detalle_24m!BP$54,INDEX(Precio_V,13)*INDEX(IdxPrecio_V,1,MIN(10,BP$173)))*(1+V_dPrecio))</f>
        <v>0</v>
      </c>
      <c r="BQ214" s="48">
        <f>IF(BQ$8=1,IF(Reales!$C$50="PYG",IF(BQ$10&gt;0,N(Reales!BQ50)/BQ$10,0),N(Reales!BQ50)),BQ$189*IF(AND(AND(64&gt;Corte,64&lt;=Corte+n_Ventana),ISNUMBER(Detalle_24m!BQ$54)),Detalle_24m!BQ$54,INDEX(Precio_V,13)*INDEX(IdxPrecio_V,1,MIN(10,BQ$173)))*(1+V_dPrecio))</f>
        <v>0</v>
      </c>
      <c r="BR214" s="48">
        <f>IF(BR$8=1,IF(Reales!$C$50="PYG",IF(BR$10&gt;0,N(Reales!BR50)/BR$10,0),N(Reales!BR50)),BR$189*IF(AND(AND(65&gt;Corte,65&lt;=Corte+n_Ventana),ISNUMBER(Detalle_24m!BR$54)),Detalle_24m!BR$54,INDEX(Precio_V,13)*INDEX(IdxPrecio_V,1,MIN(10,BR$173)))*(1+V_dPrecio))</f>
        <v>0</v>
      </c>
      <c r="BS214" s="48">
        <f>IF(BS$8=1,IF(Reales!$C$50="PYG",IF(BS$10&gt;0,N(Reales!BS50)/BS$10,0),N(Reales!BS50)),BS$189*IF(AND(AND(66&gt;Corte,66&lt;=Corte+n_Ventana),ISNUMBER(Detalle_24m!BS$54)),Detalle_24m!BS$54,INDEX(Precio_V,13)*INDEX(IdxPrecio_V,1,MIN(10,BS$173)))*(1+V_dPrecio))</f>
        <v>0</v>
      </c>
      <c r="BT214" s="48">
        <f>IF(BT$8=1,IF(Reales!$C$50="PYG",IF(BT$10&gt;0,N(Reales!BT50)/BT$10,0),N(Reales!BT50)),BT$189*IF(AND(AND(67&gt;Corte,67&lt;=Corte+n_Ventana),ISNUMBER(Detalle_24m!BT$54)),Detalle_24m!BT$54,INDEX(Precio_V,13)*INDEX(IdxPrecio_V,1,MIN(10,BT$173)))*(1+V_dPrecio))</f>
        <v>0</v>
      </c>
      <c r="BU214" s="48">
        <f>IF(BU$8=1,IF(Reales!$C$50="PYG",IF(BU$10&gt;0,N(Reales!BU50)/BU$10,0),N(Reales!BU50)),BU$189*IF(AND(AND(68&gt;Corte,68&lt;=Corte+n_Ventana),ISNUMBER(Detalle_24m!BU$54)),Detalle_24m!BU$54,INDEX(Precio_V,13)*INDEX(IdxPrecio_V,1,MIN(10,BU$173)))*(1+V_dPrecio))</f>
        <v>0</v>
      </c>
      <c r="BV214" s="48">
        <f>IF(BV$8=1,IF(Reales!$C$50="PYG",IF(BV$10&gt;0,N(Reales!BV50)/BV$10,0),N(Reales!BV50)),BV$189*IF(AND(AND(69&gt;Corte,69&lt;=Corte+n_Ventana),ISNUMBER(Detalle_24m!BV$54)),Detalle_24m!BV$54,INDEX(Precio_V,13)*INDEX(IdxPrecio_V,1,MIN(10,BV$173)))*(1+V_dPrecio))</f>
        <v>0</v>
      </c>
      <c r="BW214" s="48">
        <f>IF(BW$8=1,IF(Reales!$C$50="PYG",IF(BW$10&gt;0,N(Reales!BW50)/BW$10,0),N(Reales!BW50)),BW$189*IF(AND(AND(70&gt;Corte,70&lt;=Corte+n_Ventana),ISNUMBER(Detalle_24m!BW$54)),Detalle_24m!BW$54,INDEX(Precio_V,13)*INDEX(IdxPrecio_V,1,MIN(10,BW$173)))*(1+V_dPrecio))</f>
        <v>0</v>
      </c>
      <c r="BX214" s="48">
        <f>IF(BX$8=1,IF(Reales!$C$50="PYG",IF(BX$10&gt;0,N(Reales!BX50)/BX$10,0),N(Reales!BX50)),BX$189*IF(AND(AND(71&gt;Corte,71&lt;=Corte+n_Ventana),ISNUMBER(Detalle_24m!BX$54)),Detalle_24m!BX$54,INDEX(Precio_V,13)*INDEX(IdxPrecio_V,1,MIN(10,BX$173)))*(1+V_dPrecio))</f>
        <v>0</v>
      </c>
      <c r="BY214" s="48">
        <f>IF(BY$8=1,IF(Reales!$C$50="PYG",IF(BY$10&gt;0,N(Reales!BY50)/BY$10,0),N(Reales!BY50)),BY$189*IF(AND(AND(72&gt;Corte,72&lt;=Corte+n_Ventana),ISNUMBER(Detalle_24m!BY$54)),Detalle_24m!BY$54,INDEX(Precio_V,13)*INDEX(IdxPrecio_V,1,MIN(10,BY$173)))*(1+V_dPrecio))</f>
        <v>0</v>
      </c>
      <c r="BZ214" s="48">
        <f>IF(BZ$8=1,IF(Reales!$C$50="PYG",IF(BZ$10&gt;0,N(Reales!BZ50)/BZ$10,0),N(Reales!BZ50)),BZ$189*IF(AND(AND(73&gt;Corte,73&lt;=Corte+n_Ventana),ISNUMBER(Detalle_24m!BZ$54)),Detalle_24m!BZ$54,INDEX(Precio_V,13)*INDEX(IdxPrecio_V,1,MIN(10,BZ$173)))*(1+V_dPrecio))</f>
        <v>0</v>
      </c>
      <c r="CA214" s="48">
        <f>IF(CA$8=1,IF(Reales!$C$50="PYG",IF(CA$10&gt;0,N(Reales!CA50)/CA$10,0),N(Reales!CA50)),CA$189*IF(AND(AND(74&gt;Corte,74&lt;=Corte+n_Ventana),ISNUMBER(Detalle_24m!CA$54)),Detalle_24m!CA$54,INDEX(Precio_V,13)*INDEX(IdxPrecio_V,1,MIN(10,CA$173)))*(1+V_dPrecio))</f>
        <v>0</v>
      </c>
      <c r="CB214" s="48">
        <f>IF(CB$8=1,IF(Reales!$C$50="PYG",IF(CB$10&gt;0,N(Reales!CB50)/CB$10,0),N(Reales!CB50)),CB$189*IF(AND(AND(75&gt;Corte,75&lt;=Corte+n_Ventana),ISNUMBER(Detalle_24m!CB$54)),Detalle_24m!CB$54,INDEX(Precio_V,13)*INDEX(IdxPrecio_V,1,MIN(10,CB$173)))*(1+V_dPrecio))</f>
        <v>0</v>
      </c>
      <c r="CC214" s="48">
        <f>IF(CC$8=1,IF(Reales!$C$50="PYG",IF(CC$10&gt;0,N(Reales!CC50)/CC$10,0),N(Reales!CC50)),CC$189*IF(AND(AND(76&gt;Corte,76&lt;=Corte+n_Ventana),ISNUMBER(Detalle_24m!CC$54)),Detalle_24m!CC$54,INDEX(Precio_V,13)*INDEX(IdxPrecio_V,1,MIN(10,CC$173)))*(1+V_dPrecio))</f>
        <v>0</v>
      </c>
      <c r="CD214" s="48">
        <f>IF(CD$8=1,IF(Reales!$C$50="PYG",IF(CD$10&gt;0,N(Reales!CD50)/CD$10,0),N(Reales!CD50)),CD$189*IF(AND(AND(77&gt;Corte,77&lt;=Corte+n_Ventana),ISNUMBER(Detalle_24m!CD$54)),Detalle_24m!CD$54,INDEX(Precio_V,13)*INDEX(IdxPrecio_V,1,MIN(10,CD$173)))*(1+V_dPrecio))</f>
        <v>0</v>
      </c>
      <c r="CE214" s="48">
        <f>IF(CE$8=1,IF(Reales!$C$50="PYG",IF(CE$10&gt;0,N(Reales!CE50)/CE$10,0),N(Reales!CE50)),CE$189*IF(AND(AND(78&gt;Corte,78&lt;=Corte+n_Ventana),ISNUMBER(Detalle_24m!CE$54)),Detalle_24m!CE$54,INDEX(Precio_V,13)*INDEX(IdxPrecio_V,1,MIN(10,CE$173)))*(1+V_dPrecio))</f>
        <v>0</v>
      </c>
      <c r="CF214" s="48">
        <f>IF(CF$8=1,IF(Reales!$C$50="PYG",IF(CF$10&gt;0,N(Reales!CF50)/CF$10,0),N(Reales!CF50)),CF$189*IF(AND(AND(79&gt;Corte,79&lt;=Corte+n_Ventana),ISNUMBER(Detalle_24m!CF$54)),Detalle_24m!CF$54,INDEX(Precio_V,13)*INDEX(IdxPrecio_V,1,MIN(10,CF$173)))*(1+V_dPrecio))</f>
        <v>0</v>
      </c>
      <c r="CG214" s="48">
        <f>IF(CG$8=1,IF(Reales!$C$50="PYG",IF(CG$10&gt;0,N(Reales!CG50)/CG$10,0),N(Reales!CG50)),CG$189*IF(AND(AND(80&gt;Corte,80&lt;=Corte+n_Ventana),ISNUMBER(Detalle_24m!CG$54)),Detalle_24m!CG$54,INDEX(Precio_V,13)*INDEX(IdxPrecio_V,1,MIN(10,CG$173)))*(1+V_dPrecio))</f>
        <v>0</v>
      </c>
      <c r="CH214" s="48">
        <f>IF(CH$8=1,IF(Reales!$C$50="PYG",IF(CH$10&gt;0,N(Reales!CH50)/CH$10,0),N(Reales!CH50)),CH$189*IF(AND(AND(81&gt;Corte,81&lt;=Corte+n_Ventana),ISNUMBER(Detalle_24m!CH$54)),Detalle_24m!CH$54,INDEX(Precio_V,13)*INDEX(IdxPrecio_V,1,MIN(10,CH$173)))*(1+V_dPrecio))</f>
        <v>0</v>
      </c>
      <c r="CI214" s="48">
        <f>IF(CI$8=1,IF(Reales!$C$50="PYG",IF(CI$10&gt;0,N(Reales!CI50)/CI$10,0),N(Reales!CI50)),CI$189*IF(AND(AND(82&gt;Corte,82&lt;=Corte+n_Ventana),ISNUMBER(Detalle_24m!CI$54)),Detalle_24m!CI$54,INDEX(Precio_V,13)*INDEX(IdxPrecio_V,1,MIN(10,CI$173)))*(1+V_dPrecio))</f>
        <v>0</v>
      </c>
      <c r="CJ214" s="48">
        <f>IF(CJ$8=1,IF(Reales!$C$50="PYG",IF(CJ$10&gt;0,N(Reales!CJ50)/CJ$10,0),N(Reales!CJ50)),CJ$189*IF(AND(AND(83&gt;Corte,83&lt;=Corte+n_Ventana),ISNUMBER(Detalle_24m!CJ$54)),Detalle_24m!CJ$54,INDEX(Precio_V,13)*INDEX(IdxPrecio_V,1,MIN(10,CJ$173)))*(1+V_dPrecio))</f>
        <v>0</v>
      </c>
      <c r="CK214" s="48">
        <f>IF(CK$8=1,IF(Reales!$C$50="PYG",IF(CK$10&gt;0,N(Reales!CK50)/CK$10,0),N(Reales!CK50)),CK$189*IF(AND(AND(84&gt;Corte,84&lt;=Corte+n_Ventana),ISNUMBER(Detalle_24m!CK$54)),Detalle_24m!CK$54,INDEX(Precio_V,13)*INDEX(IdxPrecio_V,1,MIN(10,CK$173)))*(1+V_dPrecio))</f>
        <v>0</v>
      </c>
      <c r="CL214" s="48">
        <f>IF(CL$8=1,IF(Reales!$C$50="PYG",IF(CL$10&gt;0,N(Reales!CL50)/CL$10,0),N(Reales!CL50)),CL$189*IF(AND(AND(85&gt;Corte,85&lt;=Corte+n_Ventana),ISNUMBER(Detalle_24m!CL$54)),Detalle_24m!CL$54,INDEX(Precio_V,13)*INDEX(IdxPrecio_V,1,MIN(10,CL$173)))*(1+V_dPrecio))</f>
        <v>0</v>
      </c>
      <c r="CM214" s="48">
        <f>IF(CM$8=1,IF(Reales!$C$50="PYG",IF(CM$10&gt;0,N(Reales!CM50)/CM$10,0),N(Reales!CM50)),CM$189*IF(AND(AND(86&gt;Corte,86&lt;=Corte+n_Ventana),ISNUMBER(Detalle_24m!CM$54)),Detalle_24m!CM$54,INDEX(Precio_V,13)*INDEX(IdxPrecio_V,1,MIN(10,CM$173)))*(1+V_dPrecio))</f>
        <v>0</v>
      </c>
      <c r="CN214" s="48">
        <f>IF(CN$8=1,IF(Reales!$C$50="PYG",IF(CN$10&gt;0,N(Reales!CN50)/CN$10,0),N(Reales!CN50)),CN$189*IF(AND(AND(87&gt;Corte,87&lt;=Corte+n_Ventana),ISNUMBER(Detalle_24m!CN$54)),Detalle_24m!CN$54,INDEX(Precio_V,13)*INDEX(IdxPrecio_V,1,MIN(10,CN$173)))*(1+V_dPrecio))</f>
        <v>0</v>
      </c>
      <c r="CO214" s="48">
        <f>IF(CO$8=1,IF(Reales!$C$50="PYG",IF(CO$10&gt;0,N(Reales!CO50)/CO$10,0),N(Reales!CO50)),CO$189*IF(AND(AND(88&gt;Corte,88&lt;=Corte+n_Ventana),ISNUMBER(Detalle_24m!CO$54)),Detalle_24m!CO$54,INDEX(Precio_V,13)*INDEX(IdxPrecio_V,1,MIN(10,CO$173)))*(1+V_dPrecio))</f>
        <v>0</v>
      </c>
      <c r="CP214" s="48">
        <f>IF(CP$8=1,IF(Reales!$C$50="PYG",IF(CP$10&gt;0,N(Reales!CP50)/CP$10,0),N(Reales!CP50)),CP$189*IF(AND(AND(89&gt;Corte,89&lt;=Corte+n_Ventana),ISNUMBER(Detalle_24m!CP$54)),Detalle_24m!CP$54,INDEX(Precio_V,13)*INDEX(IdxPrecio_V,1,MIN(10,CP$173)))*(1+V_dPrecio))</f>
        <v>0</v>
      </c>
      <c r="CQ214" s="48">
        <f>IF(CQ$8=1,IF(Reales!$C$50="PYG",IF(CQ$10&gt;0,N(Reales!CQ50)/CQ$10,0),N(Reales!CQ50)),CQ$189*IF(AND(AND(90&gt;Corte,90&lt;=Corte+n_Ventana),ISNUMBER(Detalle_24m!CQ$54)),Detalle_24m!CQ$54,INDEX(Precio_V,13)*INDEX(IdxPrecio_V,1,MIN(10,CQ$173)))*(1+V_dPrecio))</f>
        <v>0</v>
      </c>
      <c r="CR214" s="48">
        <f>IF(CR$8=1,IF(Reales!$C$50="PYG",IF(CR$10&gt;0,N(Reales!CR50)/CR$10,0),N(Reales!CR50)),CR$189*IF(AND(AND(91&gt;Corte,91&lt;=Corte+n_Ventana),ISNUMBER(Detalle_24m!CR$54)),Detalle_24m!CR$54,INDEX(Precio_V,13)*INDEX(IdxPrecio_V,1,MIN(10,CR$173)))*(1+V_dPrecio))</f>
        <v>0</v>
      </c>
      <c r="CS214" s="48">
        <f>IF(CS$8=1,IF(Reales!$C$50="PYG",IF(CS$10&gt;0,N(Reales!CS50)/CS$10,0),N(Reales!CS50)),CS$189*IF(AND(AND(92&gt;Corte,92&lt;=Corte+n_Ventana),ISNUMBER(Detalle_24m!CS$54)),Detalle_24m!CS$54,INDEX(Precio_V,13)*INDEX(IdxPrecio_V,1,MIN(10,CS$173)))*(1+V_dPrecio))</f>
        <v>0</v>
      </c>
      <c r="CT214" s="48">
        <f>IF(CT$8=1,IF(Reales!$C$50="PYG",IF(CT$10&gt;0,N(Reales!CT50)/CT$10,0),N(Reales!CT50)),CT$189*IF(AND(AND(93&gt;Corte,93&lt;=Corte+n_Ventana),ISNUMBER(Detalle_24m!CT$54)),Detalle_24m!CT$54,INDEX(Precio_V,13)*INDEX(IdxPrecio_V,1,MIN(10,CT$173)))*(1+V_dPrecio))</f>
        <v>0</v>
      </c>
      <c r="CU214" s="48">
        <f>IF(CU$8=1,IF(Reales!$C$50="PYG",IF(CU$10&gt;0,N(Reales!CU50)/CU$10,0),N(Reales!CU50)),CU$189*IF(AND(AND(94&gt;Corte,94&lt;=Corte+n_Ventana),ISNUMBER(Detalle_24m!CU$54)),Detalle_24m!CU$54,INDEX(Precio_V,13)*INDEX(IdxPrecio_V,1,MIN(10,CU$173)))*(1+V_dPrecio))</f>
        <v>0</v>
      </c>
      <c r="CV214" s="48">
        <f>IF(CV$8=1,IF(Reales!$C$50="PYG",IF(CV$10&gt;0,N(Reales!CV50)/CV$10,0),N(Reales!CV50)),CV$189*IF(AND(AND(95&gt;Corte,95&lt;=Corte+n_Ventana),ISNUMBER(Detalle_24m!CV$54)),Detalle_24m!CV$54,INDEX(Precio_V,13)*INDEX(IdxPrecio_V,1,MIN(10,CV$173)))*(1+V_dPrecio))</f>
        <v>0</v>
      </c>
      <c r="CW214" s="48">
        <f>IF(CW$8=1,IF(Reales!$C$50="PYG",IF(CW$10&gt;0,N(Reales!CW50)/CW$10,0),N(Reales!CW50)),CW$189*IF(AND(AND(96&gt;Corte,96&lt;=Corte+n_Ventana),ISNUMBER(Detalle_24m!CW$54)),Detalle_24m!CW$54,INDEX(Precio_V,13)*INDEX(IdxPrecio_V,1,MIN(10,CW$173)))*(1+V_dPrecio))</f>
        <v>0</v>
      </c>
      <c r="CX214" s="48">
        <f>IF(CX$8=1,IF(Reales!$C$50="PYG",IF(CX$10&gt;0,N(Reales!CX50)/CX$10,0),N(Reales!CX50)),CX$189*IF(AND(AND(97&gt;Corte,97&lt;=Corte+n_Ventana),ISNUMBER(Detalle_24m!CX$54)),Detalle_24m!CX$54,INDEX(Precio_V,13)*INDEX(IdxPrecio_V,1,MIN(10,CX$173)))*(1+V_dPrecio))</f>
        <v>0</v>
      </c>
      <c r="CY214" s="48">
        <f>IF(CY$8=1,IF(Reales!$C$50="PYG",IF(CY$10&gt;0,N(Reales!CY50)/CY$10,0),N(Reales!CY50)),CY$189*IF(AND(AND(98&gt;Corte,98&lt;=Corte+n_Ventana),ISNUMBER(Detalle_24m!CY$54)),Detalle_24m!CY$54,INDEX(Precio_V,13)*INDEX(IdxPrecio_V,1,MIN(10,CY$173)))*(1+V_dPrecio))</f>
        <v>0</v>
      </c>
      <c r="CZ214" s="48">
        <f>IF(CZ$8=1,IF(Reales!$C$50="PYG",IF(CZ$10&gt;0,N(Reales!CZ50)/CZ$10,0),N(Reales!CZ50)),CZ$189*IF(AND(AND(99&gt;Corte,99&lt;=Corte+n_Ventana),ISNUMBER(Detalle_24m!CZ$54)),Detalle_24m!CZ$54,INDEX(Precio_V,13)*INDEX(IdxPrecio_V,1,MIN(10,CZ$173)))*(1+V_dPrecio))</f>
        <v>0</v>
      </c>
      <c r="DA214" s="48">
        <f>IF(DA$8=1,IF(Reales!$C$50="PYG",IF(DA$10&gt;0,N(Reales!DA50)/DA$10,0),N(Reales!DA50)),DA$189*IF(AND(AND(100&gt;Corte,100&lt;=Corte+n_Ventana),ISNUMBER(Detalle_24m!DA$54)),Detalle_24m!DA$54,INDEX(Precio_V,13)*INDEX(IdxPrecio_V,1,MIN(10,DA$173)))*(1+V_dPrecio))</f>
        <v>0</v>
      </c>
      <c r="DB214" s="48">
        <f>IF(DB$8=1,IF(Reales!$C$50="PYG",IF(DB$10&gt;0,N(Reales!DB50)/DB$10,0),N(Reales!DB50)),DB$189*IF(AND(AND(101&gt;Corte,101&lt;=Corte+n_Ventana),ISNUMBER(Detalle_24m!DB$54)),Detalle_24m!DB$54,INDEX(Precio_V,13)*INDEX(IdxPrecio_V,1,MIN(10,DB$173)))*(1+V_dPrecio))</f>
        <v>0</v>
      </c>
      <c r="DC214" s="48">
        <f>IF(DC$8=1,IF(Reales!$C$50="PYG",IF(DC$10&gt;0,N(Reales!DC50)/DC$10,0),N(Reales!DC50)),DC$189*IF(AND(AND(102&gt;Corte,102&lt;=Corte+n_Ventana),ISNUMBER(Detalle_24m!DC$54)),Detalle_24m!DC$54,INDEX(Precio_V,13)*INDEX(IdxPrecio_V,1,MIN(10,DC$173)))*(1+V_dPrecio))</f>
        <v>0</v>
      </c>
      <c r="DD214" s="48">
        <f>IF(DD$8=1,IF(Reales!$C$50="PYG",IF(DD$10&gt;0,N(Reales!DD50)/DD$10,0),N(Reales!DD50)),DD$189*IF(AND(AND(103&gt;Corte,103&lt;=Corte+n_Ventana),ISNUMBER(Detalle_24m!DD$54)),Detalle_24m!DD$54,INDEX(Precio_V,13)*INDEX(IdxPrecio_V,1,MIN(10,DD$173)))*(1+V_dPrecio))</f>
        <v>0</v>
      </c>
      <c r="DE214" s="48">
        <f>IF(DE$8=1,IF(Reales!$C$50="PYG",IF(DE$10&gt;0,N(Reales!DE50)/DE$10,0),N(Reales!DE50)),DE$189*IF(AND(AND(104&gt;Corte,104&lt;=Corte+n_Ventana),ISNUMBER(Detalle_24m!DE$54)),Detalle_24m!DE$54,INDEX(Precio_V,13)*INDEX(IdxPrecio_V,1,MIN(10,DE$173)))*(1+V_dPrecio))</f>
        <v>0</v>
      </c>
      <c r="DF214" s="48">
        <f>IF(DF$8=1,IF(Reales!$C$50="PYG",IF(DF$10&gt;0,N(Reales!DF50)/DF$10,0),N(Reales!DF50)),DF$189*IF(AND(AND(105&gt;Corte,105&lt;=Corte+n_Ventana),ISNUMBER(Detalle_24m!DF$54)),Detalle_24m!DF$54,INDEX(Precio_V,13)*INDEX(IdxPrecio_V,1,MIN(10,DF$173)))*(1+V_dPrecio))</f>
        <v>0</v>
      </c>
      <c r="DG214" s="48">
        <f>IF(DG$8=1,IF(Reales!$C$50="PYG",IF(DG$10&gt;0,N(Reales!DG50)/DG$10,0),N(Reales!DG50)),DG$189*IF(AND(AND(106&gt;Corte,106&lt;=Corte+n_Ventana),ISNUMBER(Detalle_24m!DG$54)),Detalle_24m!DG$54,INDEX(Precio_V,13)*INDEX(IdxPrecio_V,1,MIN(10,DG$173)))*(1+V_dPrecio))</f>
        <v>0</v>
      </c>
      <c r="DH214" s="48">
        <f>IF(DH$8=1,IF(Reales!$C$50="PYG",IF(DH$10&gt;0,N(Reales!DH50)/DH$10,0),N(Reales!DH50)),DH$189*IF(AND(AND(107&gt;Corte,107&lt;=Corte+n_Ventana),ISNUMBER(Detalle_24m!DH$54)),Detalle_24m!DH$54,INDEX(Precio_V,13)*INDEX(IdxPrecio_V,1,MIN(10,DH$173)))*(1+V_dPrecio))</f>
        <v>0</v>
      </c>
      <c r="DI214" s="48">
        <f>IF(DI$8=1,IF(Reales!$C$50="PYG",IF(DI$10&gt;0,N(Reales!DI50)/DI$10,0),N(Reales!DI50)),DI$189*IF(AND(AND(108&gt;Corte,108&lt;=Corte+n_Ventana),ISNUMBER(Detalle_24m!DI$54)),Detalle_24m!DI$54,INDEX(Precio_V,13)*INDEX(IdxPrecio_V,1,MIN(10,DI$173)))*(1+V_dPrecio))</f>
        <v>0</v>
      </c>
      <c r="DJ214" s="48">
        <f>IF(DJ$8=1,IF(Reales!$C$50="PYG",IF(DJ$10&gt;0,N(Reales!DJ50)/DJ$10,0),N(Reales!DJ50)),DJ$189*IF(AND(AND(109&gt;Corte,109&lt;=Corte+n_Ventana),ISNUMBER(Detalle_24m!DJ$54)),Detalle_24m!DJ$54,INDEX(Precio_V,13)*INDEX(IdxPrecio_V,1,MIN(10,DJ$173)))*(1+V_dPrecio))</f>
        <v>0</v>
      </c>
      <c r="DK214" s="48">
        <f>IF(DK$8=1,IF(Reales!$C$50="PYG",IF(DK$10&gt;0,N(Reales!DK50)/DK$10,0),N(Reales!DK50)),DK$189*IF(AND(AND(110&gt;Corte,110&lt;=Corte+n_Ventana),ISNUMBER(Detalle_24m!DK$54)),Detalle_24m!DK$54,INDEX(Precio_V,13)*INDEX(IdxPrecio_V,1,MIN(10,DK$173)))*(1+V_dPrecio))</f>
        <v>0</v>
      </c>
      <c r="DL214" s="48">
        <f>IF(DL$8=1,IF(Reales!$C$50="PYG",IF(DL$10&gt;0,N(Reales!DL50)/DL$10,0),N(Reales!DL50)),DL$189*IF(AND(AND(111&gt;Corte,111&lt;=Corte+n_Ventana),ISNUMBER(Detalle_24m!DL$54)),Detalle_24m!DL$54,INDEX(Precio_V,13)*INDEX(IdxPrecio_V,1,MIN(10,DL$173)))*(1+V_dPrecio))</f>
        <v>0</v>
      </c>
      <c r="DM214" s="48">
        <f>IF(DM$8=1,IF(Reales!$C$50="PYG",IF(DM$10&gt;0,N(Reales!DM50)/DM$10,0),N(Reales!DM50)),DM$189*IF(AND(AND(112&gt;Corte,112&lt;=Corte+n_Ventana),ISNUMBER(Detalle_24m!DM$54)),Detalle_24m!DM$54,INDEX(Precio_V,13)*INDEX(IdxPrecio_V,1,MIN(10,DM$173)))*(1+V_dPrecio))</f>
        <v>0</v>
      </c>
      <c r="DN214" s="48">
        <f>IF(DN$8=1,IF(Reales!$C$50="PYG",IF(DN$10&gt;0,N(Reales!DN50)/DN$10,0),N(Reales!DN50)),DN$189*IF(AND(AND(113&gt;Corte,113&lt;=Corte+n_Ventana),ISNUMBER(Detalle_24m!DN$54)),Detalle_24m!DN$54,INDEX(Precio_V,13)*INDEX(IdxPrecio_V,1,MIN(10,DN$173)))*(1+V_dPrecio))</f>
        <v>0</v>
      </c>
      <c r="DO214" s="48">
        <f>IF(DO$8=1,IF(Reales!$C$50="PYG",IF(DO$10&gt;0,N(Reales!DO50)/DO$10,0),N(Reales!DO50)),DO$189*IF(AND(AND(114&gt;Corte,114&lt;=Corte+n_Ventana),ISNUMBER(Detalle_24m!DO$54)),Detalle_24m!DO$54,INDEX(Precio_V,13)*INDEX(IdxPrecio_V,1,MIN(10,DO$173)))*(1+V_dPrecio))</f>
        <v>0</v>
      </c>
      <c r="DP214" s="48">
        <f>IF(DP$8=1,IF(Reales!$C$50="PYG",IF(DP$10&gt;0,N(Reales!DP50)/DP$10,0),N(Reales!DP50)),DP$189*IF(AND(AND(115&gt;Corte,115&lt;=Corte+n_Ventana),ISNUMBER(Detalle_24m!DP$54)),Detalle_24m!DP$54,INDEX(Precio_V,13)*INDEX(IdxPrecio_V,1,MIN(10,DP$173)))*(1+V_dPrecio))</f>
        <v>0</v>
      </c>
      <c r="DQ214" s="48">
        <f>IF(DQ$8=1,IF(Reales!$C$50="PYG",IF(DQ$10&gt;0,N(Reales!DQ50)/DQ$10,0),N(Reales!DQ50)),DQ$189*IF(AND(AND(116&gt;Corte,116&lt;=Corte+n_Ventana),ISNUMBER(Detalle_24m!DQ$54)),Detalle_24m!DQ$54,INDEX(Precio_V,13)*INDEX(IdxPrecio_V,1,MIN(10,DQ$173)))*(1+V_dPrecio))</f>
        <v>0</v>
      </c>
      <c r="DR214" s="48">
        <f>IF(DR$8=1,IF(Reales!$C$50="PYG",IF(DR$10&gt;0,N(Reales!DR50)/DR$10,0),N(Reales!DR50)),DR$189*IF(AND(AND(117&gt;Corte,117&lt;=Corte+n_Ventana),ISNUMBER(Detalle_24m!DR$54)),Detalle_24m!DR$54,INDEX(Precio_V,13)*INDEX(IdxPrecio_V,1,MIN(10,DR$173)))*(1+V_dPrecio))</f>
        <v>0</v>
      </c>
      <c r="DS214" s="48">
        <f>IF(DS$8=1,IF(Reales!$C$50="PYG",IF(DS$10&gt;0,N(Reales!DS50)/DS$10,0),N(Reales!DS50)),DS$189*IF(AND(AND(118&gt;Corte,118&lt;=Corte+n_Ventana),ISNUMBER(Detalle_24m!DS$54)),Detalle_24m!DS$54,INDEX(Precio_V,13)*INDEX(IdxPrecio_V,1,MIN(10,DS$173)))*(1+V_dPrecio))</f>
        <v>0</v>
      </c>
      <c r="DT214" s="48">
        <f>IF(DT$8=1,IF(Reales!$C$50="PYG",IF(DT$10&gt;0,N(Reales!DT50)/DT$10,0),N(Reales!DT50)),DT$189*IF(AND(AND(119&gt;Corte,119&lt;=Corte+n_Ventana),ISNUMBER(Detalle_24m!DT$54)),Detalle_24m!DT$54,INDEX(Precio_V,13)*INDEX(IdxPrecio_V,1,MIN(10,DT$173)))*(1+V_dPrecio))</f>
        <v>0</v>
      </c>
      <c r="DU214" s="48">
        <f>IF(DU$8=1,IF(Reales!$C$50="PYG",IF(DU$10&gt;0,N(Reales!DU50)/DU$10,0),N(Reales!DU50)),DU$189*IF(AND(AND(120&gt;Corte,120&lt;=Corte+n_Ventana),ISNUMBER(Detalle_24m!DU$54)),Detalle_24m!DU$54,INDEX(Precio_V,13)*INDEX(IdxPrecio_V,1,MIN(10,DU$173)))*(1+V_dPrecio))</f>
        <v>0</v>
      </c>
      <c r="DV214" s="48">
        <f>IF(DV$8=1,IF(Reales!$C$50="PYG",IF(DV$10&gt;0,N(Reales!DV50)/DV$10,0),N(Reales!DV50)),DV$189*IF(AND(AND(121&gt;Corte,121&lt;=Corte+n_Ventana),ISNUMBER(Detalle_24m!DV$54)),Detalle_24m!DV$54,INDEX(Precio_V,13)*INDEX(IdxPrecio_V,1,MIN(10,DV$173)))*(1+V_dPrecio))</f>
        <v>0</v>
      </c>
      <c r="DW214" s="48">
        <f>IF(DW$8=1,IF(Reales!$C$50="PYG",IF(DW$10&gt;0,N(Reales!DW50)/DW$10,0),N(Reales!DW50)),DW$189*IF(AND(AND(122&gt;Corte,122&lt;=Corte+n_Ventana),ISNUMBER(Detalle_24m!DW$54)),Detalle_24m!DW$54,INDEX(Precio_V,13)*INDEX(IdxPrecio_V,1,MIN(10,DW$173)))*(1+V_dPrecio))</f>
        <v>0</v>
      </c>
      <c r="DX214" s="48">
        <f>IF(DX$8=1,IF(Reales!$C$50="PYG",IF(DX$10&gt;0,N(Reales!DX50)/DX$10,0),N(Reales!DX50)),DX$189*IF(AND(AND(123&gt;Corte,123&lt;=Corte+n_Ventana),ISNUMBER(Detalle_24m!DX$54)),Detalle_24m!DX$54,INDEX(Precio_V,13)*INDEX(IdxPrecio_V,1,MIN(10,DX$173)))*(1+V_dPrecio))</f>
        <v>0</v>
      </c>
      <c r="DY214" s="48">
        <f>IF(DY$8=1,IF(Reales!$C$50="PYG",IF(DY$10&gt;0,N(Reales!DY50)/DY$10,0),N(Reales!DY50)),DY$189*IF(AND(AND(124&gt;Corte,124&lt;=Corte+n_Ventana),ISNUMBER(Detalle_24m!DY$54)),Detalle_24m!DY$54,INDEX(Precio_V,13)*INDEX(IdxPrecio_V,1,MIN(10,DY$173)))*(1+V_dPrecio))</f>
        <v>0</v>
      </c>
      <c r="DZ214" s="48">
        <f>IF(DZ$8=1,IF(Reales!$C$50="PYG",IF(DZ$10&gt;0,N(Reales!DZ50)/DZ$10,0),N(Reales!DZ50)),DZ$189*IF(AND(AND(125&gt;Corte,125&lt;=Corte+n_Ventana),ISNUMBER(Detalle_24m!DZ$54)),Detalle_24m!DZ$54,INDEX(Precio_V,13)*INDEX(IdxPrecio_V,1,MIN(10,DZ$173)))*(1+V_dPrecio))</f>
        <v>0</v>
      </c>
      <c r="EA214" s="48">
        <f>IF(EA$8=1,IF(Reales!$C$50="PYG",IF(EA$10&gt;0,N(Reales!EA50)/EA$10,0),N(Reales!EA50)),EA$189*IF(AND(AND(126&gt;Corte,126&lt;=Corte+n_Ventana),ISNUMBER(Detalle_24m!EA$54)),Detalle_24m!EA$54,INDEX(Precio_V,13)*INDEX(IdxPrecio_V,1,MIN(10,EA$173)))*(1+V_dPrecio))</f>
        <v>0</v>
      </c>
      <c r="EB214" s="48">
        <f>IF(EB$8=1,IF(Reales!$C$50="PYG",IF(EB$10&gt;0,N(Reales!EB50)/EB$10,0),N(Reales!EB50)),EB$189*IF(AND(AND(127&gt;Corte,127&lt;=Corte+n_Ventana),ISNUMBER(Detalle_24m!EB$54)),Detalle_24m!EB$54,INDEX(Precio_V,13)*INDEX(IdxPrecio_V,1,MIN(10,EB$173)))*(1+V_dPrecio))</f>
        <v>0</v>
      </c>
      <c r="EC214" s="48">
        <f>IF(EC$8=1,IF(Reales!$C$50="PYG",IF(EC$10&gt;0,N(Reales!EC50)/EC$10,0),N(Reales!EC50)),EC$189*IF(AND(AND(128&gt;Corte,128&lt;=Corte+n_Ventana),ISNUMBER(Detalle_24m!EC$54)),Detalle_24m!EC$54,INDEX(Precio_V,13)*INDEX(IdxPrecio_V,1,MIN(10,EC$173)))*(1+V_dPrecio))</f>
        <v>0</v>
      </c>
      <c r="ED214" s="48">
        <f>IF(ED$8=1,IF(Reales!$C$50="PYG",IF(ED$10&gt;0,N(Reales!ED50)/ED$10,0),N(Reales!ED50)),ED$189*IF(AND(AND(129&gt;Corte,129&lt;=Corte+n_Ventana),ISNUMBER(Detalle_24m!ED$54)),Detalle_24m!ED$54,INDEX(Precio_V,13)*INDEX(IdxPrecio_V,1,MIN(10,ED$173)))*(1+V_dPrecio))</f>
        <v>0</v>
      </c>
      <c r="EE214" s="48">
        <f>IF(EE$8=1,IF(Reales!$C$50="PYG",IF(EE$10&gt;0,N(Reales!EE50)/EE$10,0),N(Reales!EE50)),EE$189*IF(AND(AND(130&gt;Corte,130&lt;=Corte+n_Ventana),ISNUMBER(Detalle_24m!EE$54)),Detalle_24m!EE$54,INDEX(Precio_V,13)*INDEX(IdxPrecio_V,1,MIN(10,EE$173)))*(1+V_dPrecio))</f>
        <v>0</v>
      </c>
      <c r="EF214" s="48">
        <f>IF(EF$8=1,IF(Reales!$C$50="PYG",IF(EF$10&gt;0,N(Reales!EF50)/EF$10,0),N(Reales!EF50)),EF$189*IF(AND(AND(131&gt;Corte,131&lt;=Corte+n_Ventana),ISNUMBER(Detalle_24m!EF$54)),Detalle_24m!EF$54,INDEX(Precio_V,13)*INDEX(IdxPrecio_V,1,MIN(10,EF$173)))*(1+V_dPrecio))</f>
        <v>0</v>
      </c>
      <c r="EG214" s="48">
        <f>IF(EG$8=1,IF(Reales!$C$50="PYG",IF(EG$10&gt;0,N(Reales!EG50)/EG$10,0),N(Reales!EG50)),EG$189*IF(AND(AND(132&gt;Corte,132&lt;=Corte+n_Ventana),ISNUMBER(Detalle_24m!EG$54)),Detalle_24m!EG$54,INDEX(Precio_V,13)*INDEX(IdxPrecio_V,1,MIN(10,EG$173)))*(1+V_dPrecio))</f>
        <v>0</v>
      </c>
      <c r="EH214" s="48">
        <f>IF(EH$8=1,IF(Reales!$C$50="PYG",IF(EH$10&gt;0,N(Reales!EH50)/EH$10,0),N(Reales!EH50)),EH$189*IF(AND(AND(133&gt;Corte,133&lt;=Corte+n_Ventana),ISNUMBER(Detalle_24m!EH$54)),Detalle_24m!EH$54,INDEX(Precio_V,13)*INDEX(IdxPrecio_V,1,MIN(10,EH$173)))*(1+V_dPrecio))</f>
        <v>0</v>
      </c>
      <c r="EI214" s="48">
        <f>IF(EI$8=1,IF(Reales!$C$50="PYG",IF(EI$10&gt;0,N(Reales!EI50)/EI$10,0),N(Reales!EI50)),EI$189*IF(AND(AND(134&gt;Corte,134&lt;=Corte+n_Ventana),ISNUMBER(Detalle_24m!EI$54)),Detalle_24m!EI$54,INDEX(Precio_V,13)*INDEX(IdxPrecio_V,1,MIN(10,EI$173)))*(1+V_dPrecio))</f>
        <v>0</v>
      </c>
      <c r="EJ214" s="48">
        <f>IF(EJ$8=1,IF(Reales!$C$50="PYG",IF(EJ$10&gt;0,N(Reales!EJ50)/EJ$10,0),N(Reales!EJ50)),EJ$189*IF(AND(AND(135&gt;Corte,135&lt;=Corte+n_Ventana),ISNUMBER(Detalle_24m!EJ$54)),Detalle_24m!EJ$54,INDEX(Precio_V,13)*INDEX(IdxPrecio_V,1,MIN(10,EJ$173)))*(1+V_dPrecio))</f>
        <v>0</v>
      </c>
      <c r="EK214" s="48">
        <f>IF(EK$8=1,IF(Reales!$C$50="PYG",IF(EK$10&gt;0,N(Reales!EK50)/EK$10,0),N(Reales!EK50)),EK$189*IF(AND(AND(136&gt;Corte,136&lt;=Corte+n_Ventana),ISNUMBER(Detalle_24m!EK$54)),Detalle_24m!EK$54,INDEX(Precio_V,13)*INDEX(IdxPrecio_V,1,MIN(10,EK$173)))*(1+V_dPrecio))</f>
        <v>0</v>
      </c>
      <c r="EL214" s="48">
        <f>IF(EL$8=1,IF(Reales!$C$50="PYG",IF(EL$10&gt;0,N(Reales!EL50)/EL$10,0),N(Reales!EL50)),EL$189*IF(AND(AND(137&gt;Corte,137&lt;=Corte+n_Ventana),ISNUMBER(Detalle_24m!EL$54)),Detalle_24m!EL$54,INDEX(Precio_V,13)*INDEX(IdxPrecio_V,1,MIN(10,EL$173)))*(1+V_dPrecio))</f>
        <v>0</v>
      </c>
      <c r="EM214" s="48">
        <f>IF(EM$8=1,IF(Reales!$C$50="PYG",IF(EM$10&gt;0,N(Reales!EM50)/EM$10,0),N(Reales!EM50)),EM$189*IF(AND(AND(138&gt;Corte,138&lt;=Corte+n_Ventana),ISNUMBER(Detalle_24m!EM$54)),Detalle_24m!EM$54,INDEX(Precio_V,13)*INDEX(IdxPrecio_V,1,MIN(10,EM$173)))*(1+V_dPrecio))</f>
        <v>0</v>
      </c>
      <c r="EN214" s="48">
        <f>IF(EN$8=1,IF(Reales!$C$50="PYG",IF(EN$10&gt;0,N(Reales!EN50)/EN$10,0),N(Reales!EN50)),EN$189*IF(AND(AND(139&gt;Corte,139&lt;=Corte+n_Ventana),ISNUMBER(Detalle_24m!EN$54)),Detalle_24m!EN$54,INDEX(Precio_V,13)*INDEX(IdxPrecio_V,1,MIN(10,EN$173)))*(1+V_dPrecio))</f>
        <v>0</v>
      </c>
      <c r="EO214" s="48">
        <f>IF(EO$8=1,IF(Reales!$C$50="PYG",IF(EO$10&gt;0,N(Reales!EO50)/EO$10,0),N(Reales!EO50)),EO$189*IF(AND(AND(140&gt;Corte,140&lt;=Corte+n_Ventana),ISNUMBER(Detalle_24m!EO$54)),Detalle_24m!EO$54,INDEX(Precio_V,13)*INDEX(IdxPrecio_V,1,MIN(10,EO$173)))*(1+V_dPrecio))</f>
        <v>0</v>
      </c>
      <c r="EP214" s="48">
        <f>IF(EP$8=1,IF(Reales!$C$50="PYG",IF(EP$10&gt;0,N(Reales!EP50)/EP$10,0),N(Reales!EP50)),EP$189*IF(AND(AND(141&gt;Corte,141&lt;=Corte+n_Ventana),ISNUMBER(Detalle_24m!EP$54)),Detalle_24m!EP$54,INDEX(Precio_V,13)*INDEX(IdxPrecio_V,1,MIN(10,EP$173)))*(1+V_dPrecio))</f>
        <v>0</v>
      </c>
      <c r="EQ214" s="48">
        <f>IF(EQ$8=1,IF(Reales!$C$50="PYG",IF(EQ$10&gt;0,N(Reales!EQ50)/EQ$10,0),N(Reales!EQ50)),EQ$189*IF(AND(AND(142&gt;Corte,142&lt;=Corte+n_Ventana),ISNUMBER(Detalle_24m!EQ$54)),Detalle_24m!EQ$54,INDEX(Precio_V,13)*INDEX(IdxPrecio_V,1,MIN(10,EQ$173)))*(1+V_dPrecio))</f>
        <v>0</v>
      </c>
      <c r="ER214" s="48">
        <f>IF(ER$8=1,IF(Reales!$C$50="PYG",IF(ER$10&gt;0,N(Reales!ER50)/ER$10,0),N(Reales!ER50)),ER$189*IF(AND(AND(143&gt;Corte,143&lt;=Corte+n_Ventana),ISNUMBER(Detalle_24m!ER$54)),Detalle_24m!ER$54,INDEX(Precio_V,13)*INDEX(IdxPrecio_V,1,MIN(10,ER$173)))*(1+V_dPrecio))</f>
        <v>0</v>
      </c>
      <c r="ES214" s="48">
        <f>IF(ES$8=1,IF(Reales!$C$50="PYG",IF(ES$10&gt;0,N(Reales!ES50)/ES$10,0),N(Reales!ES50)),ES$189*IF(AND(AND(144&gt;Corte,144&lt;=Corte+n_Ventana),ISNUMBER(Detalle_24m!ES$54)),Detalle_24m!ES$54,INDEX(Precio_V,13)*INDEX(IdxPrecio_V,1,MIN(10,ES$173)))*(1+V_dPrecio))</f>
        <v>0</v>
      </c>
    </row>
    <row r="215" spans="1:149" x14ac:dyDescent="0.3">
      <c r="A215" s="14" t="s">
        <v>1270</v>
      </c>
      <c r="B215" s="53" t="str">
        <f>IF(INDEX(Prod_Nombre,14)="","Producto 14",INDEX(Prod_Nombre,14))&amp;" — ventas USD"</f>
        <v>Producto 14 — ventas USD</v>
      </c>
      <c r="C215" s="18" t="s">
        <v>439</v>
      </c>
      <c r="E215" s="54">
        <f t="shared" si="605"/>
        <v>0</v>
      </c>
      <c r="F215" s="48">
        <f>IF(F$8=1,IF(Reales!$C$51="PYG",IF(F$10&gt;0,N(Reales!F51)/F$10,0),N(Reales!F51)),F$190*IF(AND(AND(1&gt;Corte,1&lt;=Corte+n_Ventana),ISNUMBER(Detalle_24m!F$55)),Detalle_24m!F$55,INDEX(Precio_V,14)*INDEX(IdxPrecio_V,1,MIN(10,F$173)))*(1+V_dPrecio))</f>
        <v>0</v>
      </c>
      <c r="G215" s="48">
        <f>IF(G$8=1,IF(Reales!$C$51="PYG",IF(G$10&gt;0,N(Reales!G51)/G$10,0),N(Reales!G51)),G$190*IF(AND(AND(2&gt;Corte,2&lt;=Corte+n_Ventana),ISNUMBER(Detalle_24m!G$55)),Detalle_24m!G$55,INDEX(Precio_V,14)*INDEX(IdxPrecio_V,1,MIN(10,G$173)))*(1+V_dPrecio))</f>
        <v>0</v>
      </c>
      <c r="H215" s="48">
        <f>IF(H$8=1,IF(Reales!$C$51="PYG",IF(H$10&gt;0,N(Reales!H51)/H$10,0),N(Reales!H51)),H$190*IF(AND(AND(3&gt;Corte,3&lt;=Corte+n_Ventana),ISNUMBER(Detalle_24m!H$55)),Detalle_24m!H$55,INDEX(Precio_V,14)*INDEX(IdxPrecio_V,1,MIN(10,H$173)))*(1+V_dPrecio))</f>
        <v>0</v>
      </c>
      <c r="I215" s="48">
        <f>IF(I$8=1,IF(Reales!$C$51="PYG",IF(I$10&gt;0,N(Reales!I51)/I$10,0),N(Reales!I51)),I$190*IF(AND(AND(4&gt;Corte,4&lt;=Corte+n_Ventana),ISNUMBER(Detalle_24m!I$55)),Detalle_24m!I$55,INDEX(Precio_V,14)*INDEX(IdxPrecio_V,1,MIN(10,I$173)))*(1+V_dPrecio))</f>
        <v>0</v>
      </c>
      <c r="J215" s="48">
        <f>IF(J$8=1,IF(Reales!$C$51="PYG",IF(J$10&gt;0,N(Reales!J51)/J$10,0),N(Reales!J51)),J$190*IF(AND(AND(5&gt;Corte,5&lt;=Corte+n_Ventana),ISNUMBER(Detalle_24m!J$55)),Detalle_24m!J$55,INDEX(Precio_V,14)*INDEX(IdxPrecio_V,1,MIN(10,J$173)))*(1+V_dPrecio))</f>
        <v>0</v>
      </c>
      <c r="K215" s="48">
        <f>IF(K$8=1,IF(Reales!$C$51="PYG",IF(K$10&gt;0,N(Reales!K51)/K$10,0),N(Reales!K51)),K$190*IF(AND(AND(6&gt;Corte,6&lt;=Corte+n_Ventana),ISNUMBER(Detalle_24m!K$55)),Detalle_24m!K$55,INDEX(Precio_V,14)*INDEX(IdxPrecio_V,1,MIN(10,K$173)))*(1+V_dPrecio))</f>
        <v>0</v>
      </c>
      <c r="L215" s="48">
        <f>IF(L$8=1,IF(Reales!$C$51="PYG",IF(L$10&gt;0,N(Reales!L51)/L$10,0),N(Reales!L51)),L$190*IF(AND(AND(7&gt;Corte,7&lt;=Corte+n_Ventana),ISNUMBER(Detalle_24m!L$55)),Detalle_24m!L$55,INDEX(Precio_V,14)*INDEX(IdxPrecio_V,1,MIN(10,L$173)))*(1+V_dPrecio))</f>
        <v>0</v>
      </c>
      <c r="M215" s="48">
        <f>IF(M$8=1,IF(Reales!$C$51="PYG",IF(M$10&gt;0,N(Reales!M51)/M$10,0),N(Reales!M51)),M$190*IF(AND(AND(8&gt;Corte,8&lt;=Corte+n_Ventana),ISNUMBER(Detalle_24m!M$55)),Detalle_24m!M$55,INDEX(Precio_V,14)*INDEX(IdxPrecio_V,1,MIN(10,M$173)))*(1+V_dPrecio))</f>
        <v>0</v>
      </c>
      <c r="N215" s="48">
        <f>IF(N$8=1,IF(Reales!$C$51="PYG",IF(N$10&gt;0,N(Reales!N51)/N$10,0),N(Reales!N51)),N$190*IF(AND(AND(9&gt;Corte,9&lt;=Corte+n_Ventana),ISNUMBER(Detalle_24m!N$55)),Detalle_24m!N$55,INDEX(Precio_V,14)*INDEX(IdxPrecio_V,1,MIN(10,N$173)))*(1+V_dPrecio))</f>
        <v>0</v>
      </c>
      <c r="O215" s="48">
        <f>IF(O$8=1,IF(Reales!$C$51="PYG",IF(O$10&gt;0,N(Reales!O51)/O$10,0),N(Reales!O51)),O$190*IF(AND(AND(10&gt;Corte,10&lt;=Corte+n_Ventana),ISNUMBER(Detalle_24m!O$55)),Detalle_24m!O$55,INDEX(Precio_V,14)*INDEX(IdxPrecio_V,1,MIN(10,O$173)))*(1+V_dPrecio))</f>
        <v>0</v>
      </c>
      <c r="P215" s="48">
        <f>IF(P$8=1,IF(Reales!$C$51="PYG",IF(P$10&gt;0,N(Reales!P51)/P$10,0),N(Reales!P51)),P$190*IF(AND(AND(11&gt;Corte,11&lt;=Corte+n_Ventana),ISNUMBER(Detalle_24m!P$55)),Detalle_24m!P$55,INDEX(Precio_V,14)*INDEX(IdxPrecio_V,1,MIN(10,P$173)))*(1+V_dPrecio))</f>
        <v>0</v>
      </c>
      <c r="Q215" s="48">
        <f>IF(Q$8=1,IF(Reales!$C$51="PYG",IF(Q$10&gt;0,N(Reales!Q51)/Q$10,0),N(Reales!Q51)),Q$190*IF(AND(AND(12&gt;Corte,12&lt;=Corte+n_Ventana),ISNUMBER(Detalle_24m!Q$55)),Detalle_24m!Q$55,INDEX(Precio_V,14)*INDEX(IdxPrecio_V,1,MIN(10,Q$173)))*(1+V_dPrecio))</f>
        <v>0</v>
      </c>
      <c r="R215" s="48">
        <f>IF(R$8=1,IF(Reales!$C$51="PYG",IF(R$10&gt;0,N(Reales!R51)/R$10,0),N(Reales!R51)),R$190*IF(AND(AND(13&gt;Corte,13&lt;=Corte+n_Ventana),ISNUMBER(Detalle_24m!R$55)),Detalle_24m!R$55,INDEX(Precio_V,14)*INDEX(IdxPrecio_V,1,MIN(10,R$173)))*(1+V_dPrecio))</f>
        <v>0</v>
      </c>
      <c r="S215" s="48">
        <f>IF(S$8=1,IF(Reales!$C$51="PYG",IF(S$10&gt;0,N(Reales!S51)/S$10,0),N(Reales!S51)),S$190*IF(AND(AND(14&gt;Corte,14&lt;=Corte+n_Ventana),ISNUMBER(Detalle_24m!S$55)),Detalle_24m!S$55,INDEX(Precio_V,14)*INDEX(IdxPrecio_V,1,MIN(10,S$173)))*(1+V_dPrecio))</f>
        <v>0</v>
      </c>
      <c r="T215" s="48">
        <f>IF(T$8=1,IF(Reales!$C$51="PYG",IF(T$10&gt;0,N(Reales!T51)/T$10,0),N(Reales!T51)),T$190*IF(AND(AND(15&gt;Corte,15&lt;=Corte+n_Ventana),ISNUMBER(Detalle_24m!T$55)),Detalle_24m!T$55,INDEX(Precio_V,14)*INDEX(IdxPrecio_V,1,MIN(10,T$173)))*(1+V_dPrecio))</f>
        <v>0</v>
      </c>
      <c r="U215" s="48">
        <f>IF(U$8=1,IF(Reales!$C$51="PYG",IF(U$10&gt;0,N(Reales!U51)/U$10,0),N(Reales!U51)),U$190*IF(AND(AND(16&gt;Corte,16&lt;=Corte+n_Ventana),ISNUMBER(Detalle_24m!U$55)),Detalle_24m!U$55,INDEX(Precio_V,14)*INDEX(IdxPrecio_V,1,MIN(10,U$173)))*(1+V_dPrecio))</f>
        <v>0</v>
      </c>
      <c r="V215" s="48">
        <f>IF(V$8=1,IF(Reales!$C$51="PYG",IF(V$10&gt;0,N(Reales!V51)/V$10,0),N(Reales!V51)),V$190*IF(AND(AND(17&gt;Corte,17&lt;=Corte+n_Ventana),ISNUMBER(Detalle_24m!V$55)),Detalle_24m!V$55,INDEX(Precio_V,14)*INDEX(IdxPrecio_V,1,MIN(10,V$173)))*(1+V_dPrecio))</f>
        <v>0</v>
      </c>
      <c r="W215" s="48">
        <f>IF(W$8=1,IF(Reales!$C$51="PYG",IF(W$10&gt;0,N(Reales!W51)/W$10,0),N(Reales!W51)),W$190*IF(AND(AND(18&gt;Corte,18&lt;=Corte+n_Ventana),ISNUMBER(Detalle_24m!W$55)),Detalle_24m!W$55,INDEX(Precio_V,14)*INDEX(IdxPrecio_V,1,MIN(10,W$173)))*(1+V_dPrecio))</f>
        <v>0</v>
      </c>
      <c r="X215" s="48">
        <f>IF(X$8=1,IF(Reales!$C$51="PYG",IF(X$10&gt;0,N(Reales!X51)/X$10,0),N(Reales!X51)),X$190*IF(AND(AND(19&gt;Corte,19&lt;=Corte+n_Ventana),ISNUMBER(Detalle_24m!X$55)),Detalle_24m!X$55,INDEX(Precio_V,14)*INDEX(IdxPrecio_V,1,MIN(10,X$173)))*(1+V_dPrecio))</f>
        <v>0</v>
      </c>
      <c r="Y215" s="48">
        <f>IF(Y$8=1,IF(Reales!$C$51="PYG",IF(Y$10&gt;0,N(Reales!Y51)/Y$10,0),N(Reales!Y51)),Y$190*IF(AND(AND(20&gt;Corte,20&lt;=Corte+n_Ventana),ISNUMBER(Detalle_24m!Y$55)),Detalle_24m!Y$55,INDEX(Precio_V,14)*INDEX(IdxPrecio_V,1,MIN(10,Y$173)))*(1+V_dPrecio))</f>
        <v>0</v>
      </c>
      <c r="Z215" s="48">
        <f>IF(Z$8=1,IF(Reales!$C$51="PYG",IF(Z$10&gt;0,N(Reales!Z51)/Z$10,0),N(Reales!Z51)),Z$190*IF(AND(AND(21&gt;Corte,21&lt;=Corte+n_Ventana),ISNUMBER(Detalle_24m!Z$55)),Detalle_24m!Z$55,INDEX(Precio_V,14)*INDEX(IdxPrecio_V,1,MIN(10,Z$173)))*(1+V_dPrecio))</f>
        <v>0</v>
      </c>
      <c r="AA215" s="48">
        <f>IF(AA$8=1,IF(Reales!$C$51="PYG",IF(AA$10&gt;0,N(Reales!AA51)/AA$10,0),N(Reales!AA51)),AA$190*IF(AND(AND(22&gt;Corte,22&lt;=Corte+n_Ventana),ISNUMBER(Detalle_24m!AA$55)),Detalle_24m!AA$55,INDEX(Precio_V,14)*INDEX(IdxPrecio_V,1,MIN(10,AA$173)))*(1+V_dPrecio))</f>
        <v>0</v>
      </c>
      <c r="AB215" s="48">
        <f>IF(AB$8=1,IF(Reales!$C$51="PYG",IF(AB$10&gt;0,N(Reales!AB51)/AB$10,0),N(Reales!AB51)),AB$190*IF(AND(AND(23&gt;Corte,23&lt;=Corte+n_Ventana),ISNUMBER(Detalle_24m!AB$55)),Detalle_24m!AB$55,INDEX(Precio_V,14)*INDEX(IdxPrecio_V,1,MIN(10,AB$173)))*(1+V_dPrecio))</f>
        <v>0</v>
      </c>
      <c r="AC215" s="48">
        <f>IF(AC$8=1,IF(Reales!$C$51="PYG",IF(AC$10&gt;0,N(Reales!AC51)/AC$10,0),N(Reales!AC51)),AC$190*IF(AND(AND(24&gt;Corte,24&lt;=Corte+n_Ventana),ISNUMBER(Detalle_24m!AC$55)),Detalle_24m!AC$55,INDEX(Precio_V,14)*INDEX(IdxPrecio_V,1,MIN(10,AC$173)))*(1+V_dPrecio))</f>
        <v>0</v>
      </c>
      <c r="AD215" s="48">
        <f>IF(AD$8=1,IF(Reales!$C$51="PYG",IF(AD$10&gt;0,N(Reales!AD51)/AD$10,0),N(Reales!AD51)),AD$190*IF(AND(AND(25&gt;Corte,25&lt;=Corte+n_Ventana),ISNUMBER(Detalle_24m!AD$55)),Detalle_24m!AD$55,INDEX(Precio_V,14)*INDEX(IdxPrecio_V,1,MIN(10,AD$173)))*(1+V_dPrecio))</f>
        <v>0</v>
      </c>
      <c r="AE215" s="48">
        <f>IF(AE$8=1,IF(Reales!$C$51="PYG",IF(AE$10&gt;0,N(Reales!AE51)/AE$10,0),N(Reales!AE51)),AE$190*IF(AND(AND(26&gt;Corte,26&lt;=Corte+n_Ventana),ISNUMBER(Detalle_24m!AE$55)),Detalle_24m!AE$55,INDEX(Precio_V,14)*INDEX(IdxPrecio_V,1,MIN(10,AE$173)))*(1+V_dPrecio))</f>
        <v>0</v>
      </c>
      <c r="AF215" s="48">
        <f>IF(AF$8=1,IF(Reales!$C$51="PYG",IF(AF$10&gt;0,N(Reales!AF51)/AF$10,0),N(Reales!AF51)),AF$190*IF(AND(AND(27&gt;Corte,27&lt;=Corte+n_Ventana),ISNUMBER(Detalle_24m!AF$55)),Detalle_24m!AF$55,INDEX(Precio_V,14)*INDEX(IdxPrecio_V,1,MIN(10,AF$173)))*(1+V_dPrecio))</f>
        <v>0</v>
      </c>
      <c r="AG215" s="48">
        <f>IF(AG$8=1,IF(Reales!$C$51="PYG",IF(AG$10&gt;0,N(Reales!AG51)/AG$10,0),N(Reales!AG51)),AG$190*IF(AND(AND(28&gt;Corte,28&lt;=Corte+n_Ventana),ISNUMBER(Detalle_24m!AG$55)),Detalle_24m!AG$55,INDEX(Precio_V,14)*INDEX(IdxPrecio_V,1,MIN(10,AG$173)))*(1+V_dPrecio))</f>
        <v>0</v>
      </c>
      <c r="AH215" s="48">
        <f>IF(AH$8=1,IF(Reales!$C$51="PYG",IF(AH$10&gt;0,N(Reales!AH51)/AH$10,0),N(Reales!AH51)),AH$190*IF(AND(AND(29&gt;Corte,29&lt;=Corte+n_Ventana),ISNUMBER(Detalle_24m!AH$55)),Detalle_24m!AH$55,INDEX(Precio_V,14)*INDEX(IdxPrecio_V,1,MIN(10,AH$173)))*(1+V_dPrecio))</f>
        <v>0</v>
      </c>
      <c r="AI215" s="48">
        <f>IF(AI$8=1,IF(Reales!$C$51="PYG",IF(AI$10&gt;0,N(Reales!AI51)/AI$10,0),N(Reales!AI51)),AI$190*IF(AND(AND(30&gt;Corte,30&lt;=Corte+n_Ventana),ISNUMBER(Detalle_24m!AI$55)),Detalle_24m!AI$55,INDEX(Precio_V,14)*INDEX(IdxPrecio_V,1,MIN(10,AI$173)))*(1+V_dPrecio))</f>
        <v>0</v>
      </c>
      <c r="AJ215" s="48">
        <f>IF(AJ$8=1,IF(Reales!$C$51="PYG",IF(AJ$10&gt;0,N(Reales!AJ51)/AJ$10,0),N(Reales!AJ51)),AJ$190*IF(AND(AND(31&gt;Corte,31&lt;=Corte+n_Ventana),ISNUMBER(Detalle_24m!AJ$55)),Detalle_24m!AJ$55,INDEX(Precio_V,14)*INDEX(IdxPrecio_V,1,MIN(10,AJ$173)))*(1+V_dPrecio))</f>
        <v>0</v>
      </c>
      <c r="AK215" s="48">
        <f>IF(AK$8=1,IF(Reales!$C$51="PYG",IF(AK$10&gt;0,N(Reales!AK51)/AK$10,0),N(Reales!AK51)),AK$190*IF(AND(AND(32&gt;Corte,32&lt;=Corte+n_Ventana),ISNUMBER(Detalle_24m!AK$55)),Detalle_24m!AK$55,INDEX(Precio_V,14)*INDEX(IdxPrecio_V,1,MIN(10,AK$173)))*(1+V_dPrecio))</f>
        <v>0</v>
      </c>
      <c r="AL215" s="48">
        <f>IF(AL$8=1,IF(Reales!$C$51="PYG",IF(AL$10&gt;0,N(Reales!AL51)/AL$10,0),N(Reales!AL51)),AL$190*IF(AND(AND(33&gt;Corte,33&lt;=Corte+n_Ventana),ISNUMBER(Detalle_24m!AL$55)),Detalle_24m!AL$55,INDEX(Precio_V,14)*INDEX(IdxPrecio_V,1,MIN(10,AL$173)))*(1+V_dPrecio))</f>
        <v>0</v>
      </c>
      <c r="AM215" s="48">
        <f>IF(AM$8=1,IF(Reales!$C$51="PYG",IF(AM$10&gt;0,N(Reales!AM51)/AM$10,0),N(Reales!AM51)),AM$190*IF(AND(AND(34&gt;Corte,34&lt;=Corte+n_Ventana),ISNUMBER(Detalle_24m!AM$55)),Detalle_24m!AM$55,INDEX(Precio_V,14)*INDEX(IdxPrecio_V,1,MIN(10,AM$173)))*(1+V_dPrecio))</f>
        <v>0</v>
      </c>
      <c r="AN215" s="48">
        <f>IF(AN$8=1,IF(Reales!$C$51="PYG",IF(AN$10&gt;0,N(Reales!AN51)/AN$10,0),N(Reales!AN51)),AN$190*IF(AND(AND(35&gt;Corte,35&lt;=Corte+n_Ventana),ISNUMBER(Detalle_24m!AN$55)),Detalle_24m!AN$55,INDEX(Precio_V,14)*INDEX(IdxPrecio_V,1,MIN(10,AN$173)))*(1+V_dPrecio))</f>
        <v>0</v>
      </c>
      <c r="AO215" s="48">
        <f>IF(AO$8=1,IF(Reales!$C$51="PYG",IF(AO$10&gt;0,N(Reales!AO51)/AO$10,0),N(Reales!AO51)),AO$190*IF(AND(AND(36&gt;Corte,36&lt;=Corte+n_Ventana),ISNUMBER(Detalle_24m!AO$55)),Detalle_24m!AO$55,INDEX(Precio_V,14)*INDEX(IdxPrecio_V,1,MIN(10,AO$173)))*(1+V_dPrecio))</f>
        <v>0</v>
      </c>
      <c r="AP215" s="48">
        <f>IF(AP$8=1,IF(Reales!$C$51="PYG",IF(AP$10&gt;0,N(Reales!AP51)/AP$10,0),N(Reales!AP51)),AP$190*IF(AND(AND(37&gt;Corte,37&lt;=Corte+n_Ventana),ISNUMBER(Detalle_24m!AP$55)),Detalle_24m!AP$55,INDEX(Precio_V,14)*INDEX(IdxPrecio_V,1,MIN(10,AP$173)))*(1+V_dPrecio))</f>
        <v>0</v>
      </c>
      <c r="AQ215" s="48">
        <f>IF(AQ$8=1,IF(Reales!$C$51="PYG",IF(AQ$10&gt;0,N(Reales!AQ51)/AQ$10,0),N(Reales!AQ51)),AQ$190*IF(AND(AND(38&gt;Corte,38&lt;=Corte+n_Ventana),ISNUMBER(Detalle_24m!AQ$55)),Detalle_24m!AQ$55,INDEX(Precio_V,14)*INDEX(IdxPrecio_V,1,MIN(10,AQ$173)))*(1+V_dPrecio))</f>
        <v>0</v>
      </c>
      <c r="AR215" s="48">
        <f>IF(AR$8=1,IF(Reales!$C$51="PYG",IF(AR$10&gt;0,N(Reales!AR51)/AR$10,0),N(Reales!AR51)),AR$190*IF(AND(AND(39&gt;Corte,39&lt;=Corte+n_Ventana),ISNUMBER(Detalle_24m!AR$55)),Detalle_24m!AR$55,INDEX(Precio_V,14)*INDEX(IdxPrecio_V,1,MIN(10,AR$173)))*(1+V_dPrecio))</f>
        <v>0</v>
      </c>
      <c r="AS215" s="48">
        <f>IF(AS$8=1,IF(Reales!$C$51="PYG",IF(AS$10&gt;0,N(Reales!AS51)/AS$10,0),N(Reales!AS51)),AS$190*IF(AND(AND(40&gt;Corte,40&lt;=Corte+n_Ventana),ISNUMBER(Detalle_24m!AS$55)),Detalle_24m!AS$55,INDEX(Precio_V,14)*INDEX(IdxPrecio_V,1,MIN(10,AS$173)))*(1+V_dPrecio))</f>
        <v>0</v>
      </c>
      <c r="AT215" s="48">
        <f>IF(AT$8=1,IF(Reales!$C$51="PYG",IF(AT$10&gt;0,N(Reales!AT51)/AT$10,0),N(Reales!AT51)),AT$190*IF(AND(AND(41&gt;Corte,41&lt;=Corte+n_Ventana),ISNUMBER(Detalle_24m!AT$55)),Detalle_24m!AT$55,INDEX(Precio_V,14)*INDEX(IdxPrecio_V,1,MIN(10,AT$173)))*(1+V_dPrecio))</f>
        <v>0</v>
      </c>
      <c r="AU215" s="48">
        <f>IF(AU$8=1,IF(Reales!$C$51="PYG",IF(AU$10&gt;0,N(Reales!AU51)/AU$10,0),N(Reales!AU51)),AU$190*IF(AND(AND(42&gt;Corte,42&lt;=Corte+n_Ventana),ISNUMBER(Detalle_24m!AU$55)),Detalle_24m!AU$55,INDEX(Precio_V,14)*INDEX(IdxPrecio_V,1,MIN(10,AU$173)))*(1+V_dPrecio))</f>
        <v>0</v>
      </c>
      <c r="AV215" s="48">
        <f>IF(AV$8=1,IF(Reales!$C$51="PYG",IF(AV$10&gt;0,N(Reales!AV51)/AV$10,0),N(Reales!AV51)),AV$190*IF(AND(AND(43&gt;Corte,43&lt;=Corte+n_Ventana),ISNUMBER(Detalle_24m!AV$55)),Detalle_24m!AV$55,INDEX(Precio_V,14)*INDEX(IdxPrecio_V,1,MIN(10,AV$173)))*(1+V_dPrecio))</f>
        <v>0</v>
      </c>
      <c r="AW215" s="48">
        <f>IF(AW$8=1,IF(Reales!$C$51="PYG",IF(AW$10&gt;0,N(Reales!AW51)/AW$10,0),N(Reales!AW51)),AW$190*IF(AND(AND(44&gt;Corte,44&lt;=Corte+n_Ventana),ISNUMBER(Detalle_24m!AW$55)),Detalle_24m!AW$55,INDEX(Precio_V,14)*INDEX(IdxPrecio_V,1,MIN(10,AW$173)))*(1+V_dPrecio))</f>
        <v>0</v>
      </c>
      <c r="AX215" s="48">
        <f>IF(AX$8=1,IF(Reales!$C$51="PYG",IF(AX$10&gt;0,N(Reales!AX51)/AX$10,0),N(Reales!AX51)),AX$190*IF(AND(AND(45&gt;Corte,45&lt;=Corte+n_Ventana),ISNUMBER(Detalle_24m!AX$55)),Detalle_24m!AX$55,INDEX(Precio_V,14)*INDEX(IdxPrecio_V,1,MIN(10,AX$173)))*(1+V_dPrecio))</f>
        <v>0</v>
      </c>
      <c r="AY215" s="48">
        <f>IF(AY$8=1,IF(Reales!$C$51="PYG",IF(AY$10&gt;0,N(Reales!AY51)/AY$10,0),N(Reales!AY51)),AY$190*IF(AND(AND(46&gt;Corte,46&lt;=Corte+n_Ventana),ISNUMBER(Detalle_24m!AY$55)),Detalle_24m!AY$55,INDEX(Precio_V,14)*INDEX(IdxPrecio_V,1,MIN(10,AY$173)))*(1+V_dPrecio))</f>
        <v>0</v>
      </c>
      <c r="AZ215" s="48">
        <f>IF(AZ$8=1,IF(Reales!$C$51="PYG",IF(AZ$10&gt;0,N(Reales!AZ51)/AZ$10,0),N(Reales!AZ51)),AZ$190*IF(AND(AND(47&gt;Corte,47&lt;=Corte+n_Ventana),ISNUMBER(Detalle_24m!AZ$55)),Detalle_24m!AZ$55,INDEX(Precio_V,14)*INDEX(IdxPrecio_V,1,MIN(10,AZ$173)))*(1+V_dPrecio))</f>
        <v>0</v>
      </c>
      <c r="BA215" s="48">
        <f>IF(BA$8=1,IF(Reales!$C$51="PYG",IF(BA$10&gt;0,N(Reales!BA51)/BA$10,0),N(Reales!BA51)),BA$190*IF(AND(AND(48&gt;Corte,48&lt;=Corte+n_Ventana),ISNUMBER(Detalle_24m!BA$55)),Detalle_24m!BA$55,INDEX(Precio_V,14)*INDEX(IdxPrecio_V,1,MIN(10,BA$173)))*(1+V_dPrecio))</f>
        <v>0</v>
      </c>
      <c r="BB215" s="48">
        <f>IF(BB$8=1,IF(Reales!$C$51="PYG",IF(BB$10&gt;0,N(Reales!BB51)/BB$10,0),N(Reales!BB51)),BB$190*IF(AND(AND(49&gt;Corte,49&lt;=Corte+n_Ventana),ISNUMBER(Detalle_24m!BB$55)),Detalle_24m!BB$55,INDEX(Precio_V,14)*INDEX(IdxPrecio_V,1,MIN(10,BB$173)))*(1+V_dPrecio))</f>
        <v>0</v>
      </c>
      <c r="BC215" s="48">
        <f>IF(BC$8=1,IF(Reales!$C$51="PYG",IF(BC$10&gt;0,N(Reales!BC51)/BC$10,0),N(Reales!BC51)),BC$190*IF(AND(AND(50&gt;Corte,50&lt;=Corte+n_Ventana),ISNUMBER(Detalle_24m!BC$55)),Detalle_24m!BC$55,INDEX(Precio_V,14)*INDEX(IdxPrecio_V,1,MIN(10,BC$173)))*(1+V_dPrecio))</f>
        <v>0</v>
      </c>
      <c r="BD215" s="48">
        <f>IF(BD$8=1,IF(Reales!$C$51="PYG",IF(BD$10&gt;0,N(Reales!BD51)/BD$10,0),N(Reales!BD51)),BD$190*IF(AND(AND(51&gt;Corte,51&lt;=Corte+n_Ventana),ISNUMBER(Detalle_24m!BD$55)),Detalle_24m!BD$55,INDEX(Precio_V,14)*INDEX(IdxPrecio_V,1,MIN(10,BD$173)))*(1+V_dPrecio))</f>
        <v>0</v>
      </c>
      <c r="BE215" s="48">
        <f>IF(BE$8=1,IF(Reales!$C$51="PYG",IF(BE$10&gt;0,N(Reales!BE51)/BE$10,0),N(Reales!BE51)),BE$190*IF(AND(AND(52&gt;Corte,52&lt;=Corte+n_Ventana),ISNUMBER(Detalle_24m!BE$55)),Detalle_24m!BE$55,INDEX(Precio_V,14)*INDEX(IdxPrecio_V,1,MIN(10,BE$173)))*(1+V_dPrecio))</f>
        <v>0</v>
      </c>
      <c r="BF215" s="48">
        <f>IF(BF$8=1,IF(Reales!$C$51="PYG",IF(BF$10&gt;0,N(Reales!BF51)/BF$10,0),N(Reales!BF51)),BF$190*IF(AND(AND(53&gt;Corte,53&lt;=Corte+n_Ventana),ISNUMBER(Detalle_24m!BF$55)),Detalle_24m!BF$55,INDEX(Precio_V,14)*INDEX(IdxPrecio_V,1,MIN(10,BF$173)))*(1+V_dPrecio))</f>
        <v>0</v>
      </c>
      <c r="BG215" s="48">
        <f>IF(BG$8=1,IF(Reales!$C$51="PYG",IF(BG$10&gt;0,N(Reales!BG51)/BG$10,0),N(Reales!BG51)),BG$190*IF(AND(AND(54&gt;Corte,54&lt;=Corte+n_Ventana),ISNUMBER(Detalle_24m!BG$55)),Detalle_24m!BG$55,INDEX(Precio_V,14)*INDEX(IdxPrecio_V,1,MIN(10,BG$173)))*(1+V_dPrecio))</f>
        <v>0</v>
      </c>
      <c r="BH215" s="48">
        <f>IF(BH$8=1,IF(Reales!$C$51="PYG",IF(BH$10&gt;0,N(Reales!BH51)/BH$10,0),N(Reales!BH51)),BH$190*IF(AND(AND(55&gt;Corte,55&lt;=Corte+n_Ventana),ISNUMBER(Detalle_24m!BH$55)),Detalle_24m!BH$55,INDEX(Precio_V,14)*INDEX(IdxPrecio_V,1,MIN(10,BH$173)))*(1+V_dPrecio))</f>
        <v>0</v>
      </c>
      <c r="BI215" s="48">
        <f>IF(BI$8=1,IF(Reales!$C$51="PYG",IF(BI$10&gt;0,N(Reales!BI51)/BI$10,0),N(Reales!BI51)),BI$190*IF(AND(AND(56&gt;Corte,56&lt;=Corte+n_Ventana),ISNUMBER(Detalle_24m!BI$55)),Detalle_24m!BI$55,INDEX(Precio_V,14)*INDEX(IdxPrecio_V,1,MIN(10,BI$173)))*(1+V_dPrecio))</f>
        <v>0</v>
      </c>
      <c r="BJ215" s="48">
        <f>IF(BJ$8=1,IF(Reales!$C$51="PYG",IF(BJ$10&gt;0,N(Reales!BJ51)/BJ$10,0),N(Reales!BJ51)),BJ$190*IF(AND(AND(57&gt;Corte,57&lt;=Corte+n_Ventana),ISNUMBER(Detalle_24m!BJ$55)),Detalle_24m!BJ$55,INDEX(Precio_V,14)*INDEX(IdxPrecio_V,1,MIN(10,BJ$173)))*(1+V_dPrecio))</f>
        <v>0</v>
      </c>
      <c r="BK215" s="48">
        <f>IF(BK$8=1,IF(Reales!$C$51="PYG",IF(BK$10&gt;0,N(Reales!BK51)/BK$10,0),N(Reales!BK51)),BK$190*IF(AND(AND(58&gt;Corte,58&lt;=Corte+n_Ventana),ISNUMBER(Detalle_24m!BK$55)),Detalle_24m!BK$55,INDEX(Precio_V,14)*INDEX(IdxPrecio_V,1,MIN(10,BK$173)))*(1+V_dPrecio))</f>
        <v>0</v>
      </c>
      <c r="BL215" s="48">
        <f>IF(BL$8=1,IF(Reales!$C$51="PYG",IF(BL$10&gt;0,N(Reales!BL51)/BL$10,0),N(Reales!BL51)),BL$190*IF(AND(AND(59&gt;Corte,59&lt;=Corte+n_Ventana),ISNUMBER(Detalle_24m!BL$55)),Detalle_24m!BL$55,INDEX(Precio_V,14)*INDEX(IdxPrecio_V,1,MIN(10,BL$173)))*(1+V_dPrecio))</f>
        <v>0</v>
      </c>
      <c r="BM215" s="48">
        <f>IF(BM$8=1,IF(Reales!$C$51="PYG",IF(BM$10&gt;0,N(Reales!BM51)/BM$10,0),N(Reales!BM51)),BM$190*IF(AND(AND(60&gt;Corte,60&lt;=Corte+n_Ventana),ISNUMBER(Detalle_24m!BM$55)),Detalle_24m!BM$55,INDEX(Precio_V,14)*INDEX(IdxPrecio_V,1,MIN(10,BM$173)))*(1+V_dPrecio))</f>
        <v>0</v>
      </c>
      <c r="BN215" s="48">
        <f>IF(BN$8=1,IF(Reales!$C$51="PYG",IF(BN$10&gt;0,N(Reales!BN51)/BN$10,0),N(Reales!BN51)),BN$190*IF(AND(AND(61&gt;Corte,61&lt;=Corte+n_Ventana),ISNUMBER(Detalle_24m!BN$55)),Detalle_24m!BN$55,INDEX(Precio_V,14)*INDEX(IdxPrecio_V,1,MIN(10,BN$173)))*(1+V_dPrecio))</f>
        <v>0</v>
      </c>
      <c r="BO215" s="48">
        <f>IF(BO$8=1,IF(Reales!$C$51="PYG",IF(BO$10&gt;0,N(Reales!BO51)/BO$10,0),N(Reales!BO51)),BO$190*IF(AND(AND(62&gt;Corte,62&lt;=Corte+n_Ventana),ISNUMBER(Detalle_24m!BO$55)),Detalle_24m!BO$55,INDEX(Precio_V,14)*INDEX(IdxPrecio_V,1,MIN(10,BO$173)))*(1+V_dPrecio))</f>
        <v>0</v>
      </c>
      <c r="BP215" s="48">
        <f>IF(BP$8=1,IF(Reales!$C$51="PYG",IF(BP$10&gt;0,N(Reales!BP51)/BP$10,0),N(Reales!BP51)),BP$190*IF(AND(AND(63&gt;Corte,63&lt;=Corte+n_Ventana),ISNUMBER(Detalle_24m!BP$55)),Detalle_24m!BP$55,INDEX(Precio_V,14)*INDEX(IdxPrecio_V,1,MIN(10,BP$173)))*(1+V_dPrecio))</f>
        <v>0</v>
      </c>
      <c r="BQ215" s="48">
        <f>IF(BQ$8=1,IF(Reales!$C$51="PYG",IF(BQ$10&gt;0,N(Reales!BQ51)/BQ$10,0),N(Reales!BQ51)),BQ$190*IF(AND(AND(64&gt;Corte,64&lt;=Corte+n_Ventana),ISNUMBER(Detalle_24m!BQ$55)),Detalle_24m!BQ$55,INDEX(Precio_V,14)*INDEX(IdxPrecio_V,1,MIN(10,BQ$173)))*(1+V_dPrecio))</f>
        <v>0</v>
      </c>
      <c r="BR215" s="48">
        <f>IF(BR$8=1,IF(Reales!$C$51="PYG",IF(BR$10&gt;0,N(Reales!BR51)/BR$10,0),N(Reales!BR51)),BR$190*IF(AND(AND(65&gt;Corte,65&lt;=Corte+n_Ventana),ISNUMBER(Detalle_24m!BR$55)),Detalle_24m!BR$55,INDEX(Precio_V,14)*INDEX(IdxPrecio_V,1,MIN(10,BR$173)))*(1+V_dPrecio))</f>
        <v>0</v>
      </c>
      <c r="BS215" s="48">
        <f>IF(BS$8=1,IF(Reales!$C$51="PYG",IF(BS$10&gt;0,N(Reales!BS51)/BS$10,0),N(Reales!BS51)),BS$190*IF(AND(AND(66&gt;Corte,66&lt;=Corte+n_Ventana),ISNUMBER(Detalle_24m!BS$55)),Detalle_24m!BS$55,INDEX(Precio_V,14)*INDEX(IdxPrecio_V,1,MIN(10,BS$173)))*(1+V_dPrecio))</f>
        <v>0</v>
      </c>
      <c r="BT215" s="48">
        <f>IF(BT$8=1,IF(Reales!$C$51="PYG",IF(BT$10&gt;0,N(Reales!BT51)/BT$10,0),N(Reales!BT51)),BT$190*IF(AND(AND(67&gt;Corte,67&lt;=Corte+n_Ventana),ISNUMBER(Detalle_24m!BT$55)),Detalle_24m!BT$55,INDEX(Precio_V,14)*INDEX(IdxPrecio_V,1,MIN(10,BT$173)))*(1+V_dPrecio))</f>
        <v>0</v>
      </c>
      <c r="BU215" s="48">
        <f>IF(BU$8=1,IF(Reales!$C$51="PYG",IF(BU$10&gt;0,N(Reales!BU51)/BU$10,0),N(Reales!BU51)),BU$190*IF(AND(AND(68&gt;Corte,68&lt;=Corte+n_Ventana),ISNUMBER(Detalle_24m!BU$55)),Detalle_24m!BU$55,INDEX(Precio_V,14)*INDEX(IdxPrecio_V,1,MIN(10,BU$173)))*(1+V_dPrecio))</f>
        <v>0</v>
      </c>
      <c r="BV215" s="48">
        <f>IF(BV$8=1,IF(Reales!$C$51="PYG",IF(BV$10&gt;0,N(Reales!BV51)/BV$10,0),N(Reales!BV51)),BV$190*IF(AND(AND(69&gt;Corte,69&lt;=Corte+n_Ventana),ISNUMBER(Detalle_24m!BV$55)),Detalle_24m!BV$55,INDEX(Precio_V,14)*INDEX(IdxPrecio_V,1,MIN(10,BV$173)))*(1+V_dPrecio))</f>
        <v>0</v>
      </c>
      <c r="BW215" s="48">
        <f>IF(BW$8=1,IF(Reales!$C$51="PYG",IF(BW$10&gt;0,N(Reales!BW51)/BW$10,0),N(Reales!BW51)),BW$190*IF(AND(AND(70&gt;Corte,70&lt;=Corte+n_Ventana),ISNUMBER(Detalle_24m!BW$55)),Detalle_24m!BW$55,INDEX(Precio_V,14)*INDEX(IdxPrecio_V,1,MIN(10,BW$173)))*(1+V_dPrecio))</f>
        <v>0</v>
      </c>
      <c r="BX215" s="48">
        <f>IF(BX$8=1,IF(Reales!$C$51="PYG",IF(BX$10&gt;0,N(Reales!BX51)/BX$10,0),N(Reales!BX51)),BX$190*IF(AND(AND(71&gt;Corte,71&lt;=Corte+n_Ventana),ISNUMBER(Detalle_24m!BX$55)),Detalle_24m!BX$55,INDEX(Precio_V,14)*INDEX(IdxPrecio_V,1,MIN(10,BX$173)))*(1+V_dPrecio))</f>
        <v>0</v>
      </c>
      <c r="BY215" s="48">
        <f>IF(BY$8=1,IF(Reales!$C$51="PYG",IF(BY$10&gt;0,N(Reales!BY51)/BY$10,0),N(Reales!BY51)),BY$190*IF(AND(AND(72&gt;Corte,72&lt;=Corte+n_Ventana),ISNUMBER(Detalle_24m!BY$55)),Detalle_24m!BY$55,INDEX(Precio_V,14)*INDEX(IdxPrecio_V,1,MIN(10,BY$173)))*(1+V_dPrecio))</f>
        <v>0</v>
      </c>
      <c r="BZ215" s="48">
        <f>IF(BZ$8=1,IF(Reales!$C$51="PYG",IF(BZ$10&gt;0,N(Reales!BZ51)/BZ$10,0),N(Reales!BZ51)),BZ$190*IF(AND(AND(73&gt;Corte,73&lt;=Corte+n_Ventana),ISNUMBER(Detalle_24m!BZ$55)),Detalle_24m!BZ$55,INDEX(Precio_V,14)*INDEX(IdxPrecio_V,1,MIN(10,BZ$173)))*(1+V_dPrecio))</f>
        <v>0</v>
      </c>
      <c r="CA215" s="48">
        <f>IF(CA$8=1,IF(Reales!$C$51="PYG",IF(CA$10&gt;0,N(Reales!CA51)/CA$10,0),N(Reales!CA51)),CA$190*IF(AND(AND(74&gt;Corte,74&lt;=Corte+n_Ventana),ISNUMBER(Detalle_24m!CA$55)),Detalle_24m!CA$55,INDEX(Precio_V,14)*INDEX(IdxPrecio_V,1,MIN(10,CA$173)))*(1+V_dPrecio))</f>
        <v>0</v>
      </c>
      <c r="CB215" s="48">
        <f>IF(CB$8=1,IF(Reales!$C$51="PYG",IF(CB$10&gt;0,N(Reales!CB51)/CB$10,0),N(Reales!CB51)),CB$190*IF(AND(AND(75&gt;Corte,75&lt;=Corte+n_Ventana),ISNUMBER(Detalle_24m!CB$55)),Detalle_24m!CB$55,INDEX(Precio_V,14)*INDEX(IdxPrecio_V,1,MIN(10,CB$173)))*(1+V_dPrecio))</f>
        <v>0</v>
      </c>
      <c r="CC215" s="48">
        <f>IF(CC$8=1,IF(Reales!$C$51="PYG",IF(CC$10&gt;0,N(Reales!CC51)/CC$10,0),N(Reales!CC51)),CC$190*IF(AND(AND(76&gt;Corte,76&lt;=Corte+n_Ventana),ISNUMBER(Detalle_24m!CC$55)),Detalle_24m!CC$55,INDEX(Precio_V,14)*INDEX(IdxPrecio_V,1,MIN(10,CC$173)))*(1+V_dPrecio))</f>
        <v>0</v>
      </c>
      <c r="CD215" s="48">
        <f>IF(CD$8=1,IF(Reales!$C$51="PYG",IF(CD$10&gt;0,N(Reales!CD51)/CD$10,0),N(Reales!CD51)),CD$190*IF(AND(AND(77&gt;Corte,77&lt;=Corte+n_Ventana),ISNUMBER(Detalle_24m!CD$55)),Detalle_24m!CD$55,INDEX(Precio_V,14)*INDEX(IdxPrecio_V,1,MIN(10,CD$173)))*(1+V_dPrecio))</f>
        <v>0</v>
      </c>
      <c r="CE215" s="48">
        <f>IF(CE$8=1,IF(Reales!$C$51="PYG",IF(CE$10&gt;0,N(Reales!CE51)/CE$10,0),N(Reales!CE51)),CE$190*IF(AND(AND(78&gt;Corte,78&lt;=Corte+n_Ventana),ISNUMBER(Detalle_24m!CE$55)),Detalle_24m!CE$55,INDEX(Precio_V,14)*INDEX(IdxPrecio_V,1,MIN(10,CE$173)))*(1+V_dPrecio))</f>
        <v>0</v>
      </c>
      <c r="CF215" s="48">
        <f>IF(CF$8=1,IF(Reales!$C$51="PYG",IF(CF$10&gt;0,N(Reales!CF51)/CF$10,0),N(Reales!CF51)),CF$190*IF(AND(AND(79&gt;Corte,79&lt;=Corte+n_Ventana),ISNUMBER(Detalle_24m!CF$55)),Detalle_24m!CF$55,INDEX(Precio_V,14)*INDEX(IdxPrecio_V,1,MIN(10,CF$173)))*(1+V_dPrecio))</f>
        <v>0</v>
      </c>
      <c r="CG215" s="48">
        <f>IF(CG$8=1,IF(Reales!$C$51="PYG",IF(CG$10&gt;0,N(Reales!CG51)/CG$10,0),N(Reales!CG51)),CG$190*IF(AND(AND(80&gt;Corte,80&lt;=Corte+n_Ventana),ISNUMBER(Detalle_24m!CG$55)),Detalle_24m!CG$55,INDEX(Precio_V,14)*INDEX(IdxPrecio_V,1,MIN(10,CG$173)))*(1+V_dPrecio))</f>
        <v>0</v>
      </c>
      <c r="CH215" s="48">
        <f>IF(CH$8=1,IF(Reales!$C$51="PYG",IF(CH$10&gt;0,N(Reales!CH51)/CH$10,0),N(Reales!CH51)),CH$190*IF(AND(AND(81&gt;Corte,81&lt;=Corte+n_Ventana),ISNUMBER(Detalle_24m!CH$55)),Detalle_24m!CH$55,INDEX(Precio_V,14)*INDEX(IdxPrecio_V,1,MIN(10,CH$173)))*(1+V_dPrecio))</f>
        <v>0</v>
      </c>
      <c r="CI215" s="48">
        <f>IF(CI$8=1,IF(Reales!$C$51="PYG",IF(CI$10&gt;0,N(Reales!CI51)/CI$10,0),N(Reales!CI51)),CI$190*IF(AND(AND(82&gt;Corte,82&lt;=Corte+n_Ventana),ISNUMBER(Detalle_24m!CI$55)),Detalle_24m!CI$55,INDEX(Precio_V,14)*INDEX(IdxPrecio_V,1,MIN(10,CI$173)))*(1+V_dPrecio))</f>
        <v>0</v>
      </c>
      <c r="CJ215" s="48">
        <f>IF(CJ$8=1,IF(Reales!$C$51="PYG",IF(CJ$10&gt;0,N(Reales!CJ51)/CJ$10,0),N(Reales!CJ51)),CJ$190*IF(AND(AND(83&gt;Corte,83&lt;=Corte+n_Ventana),ISNUMBER(Detalle_24m!CJ$55)),Detalle_24m!CJ$55,INDEX(Precio_V,14)*INDEX(IdxPrecio_V,1,MIN(10,CJ$173)))*(1+V_dPrecio))</f>
        <v>0</v>
      </c>
      <c r="CK215" s="48">
        <f>IF(CK$8=1,IF(Reales!$C$51="PYG",IF(CK$10&gt;0,N(Reales!CK51)/CK$10,0),N(Reales!CK51)),CK$190*IF(AND(AND(84&gt;Corte,84&lt;=Corte+n_Ventana),ISNUMBER(Detalle_24m!CK$55)),Detalle_24m!CK$55,INDEX(Precio_V,14)*INDEX(IdxPrecio_V,1,MIN(10,CK$173)))*(1+V_dPrecio))</f>
        <v>0</v>
      </c>
      <c r="CL215" s="48">
        <f>IF(CL$8=1,IF(Reales!$C$51="PYG",IF(CL$10&gt;0,N(Reales!CL51)/CL$10,0),N(Reales!CL51)),CL$190*IF(AND(AND(85&gt;Corte,85&lt;=Corte+n_Ventana),ISNUMBER(Detalle_24m!CL$55)),Detalle_24m!CL$55,INDEX(Precio_V,14)*INDEX(IdxPrecio_V,1,MIN(10,CL$173)))*(1+V_dPrecio))</f>
        <v>0</v>
      </c>
      <c r="CM215" s="48">
        <f>IF(CM$8=1,IF(Reales!$C$51="PYG",IF(CM$10&gt;0,N(Reales!CM51)/CM$10,0),N(Reales!CM51)),CM$190*IF(AND(AND(86&gt;Corte,86&lt;=Corte+n_Ventana),ISNUMBER(Detalle_24m!CM$55)),Detalle_24m!CM$55,INDEX(Precio_V,14)*INDEX(IdxPrecio_V,1,MIN(10,CM$173)))*(1+V_dPrecio))</f>
        <v>0</v>
      </c>
      <c r="CN215" s="48">
        <f>IF(CN$8=1,IF(Reales!$C$51="PYG",IF(CN$10&gt;0,N(Reales!CN51)/CN$10,0),N(Reales!CN51)),CN$190*IF(AND(AND(87&gt;Corte,87&lt;=Corte+n_Ventana),ISNUMBER(Detalle_24m!CN$55)),Detalle_24m!CN$55,INDEX(Precio_V,14)*INDEX(IdxPrecio_V,1,MIN(10,CN$173)))*(1+V_dPrecio))</f>
        <v>0</v>
      </c>
      <c r="CO215" s="48">
        <f>IF(CO$8=1,IF(Reales!$C$51="PYG",IF(CO$10&gt;0,N(Reales!CO51)/CO$10,0),N(Reales!CO51)),CO$190*IF(AND(AND(88&gt;Corte,88&lt;=Corte+n_Ventana),ISNUMBER(Detalle_24m!CO$55)),Detalle_24m!CO$55,INDEX(Precio_V,14)*INDEX(IdxPrecio_V,1,MIN(10,CO$173)))*(1+V_dPrecio))</f>
        <v>0</v>
      </c>
      <c r="CP215" s="48">
        <f>IF(CP$8=1,IF(Reales!$C$51="PYG",IF(CP$10&gt;0,N(Reales!CP51)/CP$10,0),N(Reales!CP51)),CP$190*IF(AND(AND(89&gt;Corte,89&lt;=Corte+n_Ventana),ISNUMBER(Detalle_24m!CP$55)),Detalle_24m!CP$55,INDEX(Precio_V,14)*INDEX(IdxPrecio_V,1,MIN(10,CP$173)))*(1+V_dPrecio))</f>
        <v>0</v>
      </c>
      <c r="CQ215" s="48">
        <f>IF(CQ$8=1,IF(Reales!$C$51="PYG",IF(CQ$10&gt;0,N(Reales!CQ51)/CQ$10,0),N(Reales!CQ51)),CQ$190*IF(AND(AND(90&gt;Corte,90&lt;=Corte+n_Ventana),ISNUMBER(Detalle_24m!CQ$55)),Detalle_24m!CQ$55,INDEX(Precio_V,14)*INDEX(IdxPrecio_V,1,MIN(10,CQ$173)))*(1+V_dPrecio))</f>
        <v>0</v>
      </c>
      <c r="CR215" s="48">
        <f>IF(CR$8=1,IF(Reales!$C$51="PYG",IF(CR$10&gt;0,N(Reales!CR51)/CR$10,0),N(Reales!CR51)),CR$190*IF(AND(AND(91&gt;Corte,91&lt;=Corte+n_Ventana),ISNUMBER(Detalle_24m!CR$55)),Detalle_24m!CR$55,INDEX(Precio_V,14)*INDEX(IdxPrecio_V,1,MIN(10,CR$173)))*(1+V_dPrecio))</f>
        <v>0</v>
      </c>
      <c r="CS215" s="48">
        <f>IF(CS$8=1,IF(Reales!$C$51="PYG",IF(CS$10&gt;0,N(Reales!CS51)/CS$10,0),N(Reales!CS51)),CS$190*IF(AND(AND(92&gt;Corte,92&lt;=Corte+n_Ventana),ISNUMBER(Detalle_24m!CS$55)),Detalle_24m!CS$55,INDEX(Precio_V,14)*INDEX(IdxPrecio_V,1,MIN(10,CS$173)))*(1+V_dPrecio))</f>
        <v>0</v>
      </c>
      <c r="CT215" s="48">
        <f>IF(CT$8=1,IF(Reales!$C$51="PYG",IF(CT$10&gt;0,N(Reales!CT51)/CT$10,0),N(Reales!CT51)),CT$190*IF(AND(AND(93&gt;Corte,93&lt;=Corte+n_Ventana),ISNUMBER(Detalle_24m!CT$55)),Detalle_24m!CT$55,INDEX(Precio_V,14)*INDEX(IdxPrecio_V,1,MIN(10,CT$173)))*(1+V_dPrecio))</f>
        <v>0</v>
      </c>
      <c r="CU215" s="48">
        <f>IF(CU$8=1,IF(Reales!$C$51="PYG",IF(CU$10&gt;0,N(Reales!CU51)/CU$10,0),N(Reales!CU51)),CU$190*IF(AND(AND(94&gt;Corte,94&lt;=Corte+n_Ventana),ISNUMBER(Detalle_24m!CU$55)),Detalle_24m!CU$55,INDEX(Precio_V,14)*INDEX(IdxPrecio_V,1,MIN(10,CU$173)))*(1+V_dPrecio))</f>
        <v>0</v>
      </c>
      <c r="CV215" s="48">
        <f>IF(CV$8=1,IF(Reales!$C$51="PYG",IF(CV$10&gt;0,N(Reales!CV51)/CV$10,0),N(Reales!CV51)),CV$190*IF(AND(AND(95&gt;Corte,95&lt;=Corte+n_Ventana),ISNUMBER(Detalle_24m!CV$55)),Detalle_24m!CV$55,INDEX(Precio_V,14)*INDEX(IdxPrecio_V,1,MIN(10,CV$173)))*(1+V_dPrecio))</f>
        <v>0</v>
      </c>
      <c r="CW215" s="48">
        <f>IF(CW$8=1,IF(Reales!$C$51="PYG",IF(CW$10&gt;0,N(Reales!CW51)/CW$10,0),N(Reales!CW51)),CW$190*IF(AND(AND(96&gt;Corte,96&lt;=Corte+n_Ventana),ISNUMBER(Detalle_24m!CW$55)),Detalle_24m!CW$55,INDEX(Precio_V,14)*INDEX(IdxPrecio_V,1,MIN(10,CW$173)))*(1+V_dPrecio))</f>
        <v>0</v>
      </c>
      <c r="CX215" s="48">
        <f>IF(CX$8=1,IF(Reales!$C$51="PYG",IF(CX$10&gt;0,N(Reales!CX51)/CX$10,0),N(Reales!CX51)),CX$190*IF(AND(AND(97&gt;Corte,97&lt;=Corte+n_Ventana),ISNUMBER(Detalle_24m!CX$55)),Detalle_24m!CX$55,INDEX(Precio_V,14)*INDEX(IdxPrecio_V,1,MIN(10,CX$173)))*(1+V_dPrecio))</f>
        <v>0</v>
      </c>
      <c r="CY215" s="48">
        <f>IF(CY$8=1,IF(Reales!$C$51="PYG",IF(CY$10&gt;0,N(Reales!CY51)/CY$10,0),N(Reales!CY51)),CY$190*IF(AND(AND(98&gt;Corte,98&lt;=Corte+n_Ventana),ISNUMBER(Detalle_24m!CY$55)),Detalle_24m!CY$55,INDEX(Precio_V,14)*INDEX(IdxPrecio_V,1,MIN(10,CY$173)))*(1+V_dPrecio))</f>
        <v>0</v>
      </c>
      <c r="CZ215" s="48">
        <f>IF(CZ$8=1,IF(Reales!$C$51="PYG",IF(CZ$10&gt;0,N(Reales!CZ51)/CZ$10,0),N(Reales!CZ51)),CZ$190*IF(AND(AND(99&gt;Corte,99&lt;=Corte+n_Ventana),ISNUMBER(Detalle_24m!CZ$55)),Detalle_24m!CZ$55,INDEX(Precio_V,14)*INDEX(IdxPrecio_V,1,MIN(10,CZ$173)))*(1+V_dPrecio))</f>
        <v>0</v>
      </c>
      <c r="DA215" s="48">
        <f>IF(DA$8=1,IF(Reales!$C$51="PYG",IF(DA$10&gt;0,N(Reales!DA51)/DA$10,0),N(Reales!DA51)),DA$190*IF(AND(AND(100&gt;Corte,100&lt;=Corte+n_Ventana),ISNUMBER(Detalle_24m!DA$55)),Detalle_24m!DA$55,INDEX(Precio_V,14)*INDEX(IdxPrecio_V,1,MIN(10,DA$173)))*(1+V_dPrecio))</f>
        <v>0</v>
      </c>
      <c r="DB215" s="48">
        <f>IF(DB$8=1,IF(Reales!$C$51="PYG",IF(DB$10&gt;0,N(Reales!DB51)/DB$10,0),N(Reales!DB51)),DB$190*IF(AND(AND(101&gt;Corte,101&lt;=Corte+n_Ventana),ISNUMBER(Detalle_24m!DB$55)),Detalle_24m!DB$55,INDEX(Precio_V,14)*INDEX(IdxPrecio_V,1,MIN(10,DB$173)))*(1+V_dPrecio))</f>
        <v>0</v>
      </c>
      <c r="DC215" s="48">
        <f>IF(DC$8=1,IF(Reales!$C$51="PYG",IF(DC$10&gt;0,N(Reales!DC51)/DC$10,0),N(Reales!DC51)),DC$190*IF(AND(AND(102&gt;Corte,102&lt;=Corte+n_Ventana),ISNUMBER(Detalle_24m!DC$55)),Detalle_24m!DC$55,INDEX(Precio_V,14)*INDEX(IdxPrecio_V,1,MIN(10,DC$173)))*(1+V_dPrecio))</f>
        <v>0</v>
      </c>
      <c r="DD215" s="48">
        <f>IF(DD$8=1,IF(Reales!$C$51="PYG",IF(DD$10&gt;0,N(Reales!DD51)/DD$10,0),N(Reales!DD51)),DD$190*IF(AND(AND(103&gt;Corte,103&lt;=Corte+n_Ventana),ISNUMBER(Detalle_24m!DD$55)),Detalle_24m!DD$55,INDEX(Precio_V,14)*INDEX(IdxPrecio_V,1,MIN(10,DD$173)))*(1+V_dPrecio))</f>
        <v>0</v>
      </c>
      <c r="DE215" s="48">
        <f>IF(DE$8=1,IF(Reales!$C$51="PYG",IF(DE$10&gt;0,N(Reales!DE51)/DE$10,0),N(Reales!DE51)),DE$190*IF(AND(AND(104&gt;Corte,104&lt;=Corte+n_Ventana),ISNUMBER(Detalle_24m!DE$55)),Detalle_24m!DE$55,INDEX(Precio_V,14)*INDEX(IdxPrecio_V,1,MIN(10,DE$173)))*(1+V_dPrecio))</f>
        <v>0</v>
      </c>
      <c r="DF215" s="48">
        <f>IF(DF$8=1,IF(Reales!$C$51="PYG",IF(DF$10&gt;0,N(Reales!DF51)/DF$10,0),N(Reales!DF51)),DF$190*IF(AND(AND(105&gt;Corte,105&lt;=Corte+n_Ventana),ISNUMBER(Detalle_24m!DF$55)),Detalle_24m!DF$55,INDEX(Precio_V,14)*INDEX(IdxPrecio_V,1,MIN(10,DF$173)))*(1+V_dPrecio))</f>
        <v>0</v>
      </c>
      <c r="DG215" s="48">
        <f>IF(DG$8=1,IF(Reales!$C$51="PYG",IF(DG$10&gt;0,N(Reales!DG51)/DG$10,0),N(Reales!DG51)),DG$190*IF(AND(AND(106&gt;Corte,106&lt;=Corte+n_Ventana),ISNUMBER(Detalle_24m!DG$55)),Detalle_24m!DG$55,INDEX(Precio_V,14)*INDEX(IdxPrecio_V,1,MIN(10,DG$173)))*(1+V_dPrecio))</f>
        <v>0</v>
      </c>
      <c r="DH215" s="48">
        <f>IF(DH$8=1,IF(Reales!$C$51="PYG",IF(DH$10&gt;0,N(Reales!DH51)/DH$10,0),N(Reales!DH51)),DH$190*IF(AND(AND(107&gt;Corte,107&lt;=Corte+n_Ventana),ISNUMBER(Detalle_24m!DH$55)),Detalle_24m!DH$55,INDEX(Precio_V,14)*INDEX(IdxPrecio_V,1,MIN(10,DH$173)))*(1+V_dPrecio))</f>
        <v>0</v>
      </c>
      <c r="DI215" s="48">
        <f>IF(DI$8=1,IF(Reales!$C$51="PYG",IF(DI$10&gt;0,N(Reales!DI51)/DI$10,0),N(Reales!DI51)),DI$190*IF(AND(AND(108&gt;Corte,108&lt;=Corte+n_Ventana),ISNUMBER(Detalle_24m!DI$55)),Detalle_24m!DI$55,INDEX(Precio_V,14)*INDEX(IdxPrecio_V,1,MIN(10,DI$173)))*(1+V_dPrecio))</f>
        <v>0</v>
      </c>
      <c r="DJ215" s="48">
        <f>IF(DJ$8=1,IF(Reales!$C$51="PYG",IF(DJ$10&gt;0,N(Reales!DJ51)/DJ$10,0),N(Reales!DJ51)),DJ$190*IF(AND(AND(109&gt;Corte,109&lt;=Corte+n_Ventana),ISNUMBER(Detalle_24m!DJ$55)),Detalle_24m!DJ$55,INDEX(Precio_V,14)*INDEX(IdxPrecio_V,1,MIN(10,DJ$173)))*(1+V_dPrecio))</f>
        <v>0</v>
      </c>
      <c r="DK215" s="48">
        <f>IF(DK$8=1,IF(Reales!$C$51="PYG",IF(DK$10&gt;0,N(Reales!DK51)/DK$10,0),N(Reales!DK51)),DK$190*IF(AND(AND(110&gt;Corte,110&lt;=Corte+n_Ventana),ISNUMBER(Detalle_24m!DK$55)),Detalle_24m!DK$55,INDEX(Precio_V,14)*INDEX(IdxPrecio_V,1,MIN(10,DK$173)))*(1+V_dPrecio))</f>
        <v>0</v>
      </c>
      <c r="DL215" s="48">
        <f>IF(DL$8=1,IF(Reales!$C$51="PYG",IF(DL$10&gt;0,N(Reales!DL51)/DL$10,0),N(Reales!DL51)),DL$190*IF(AND(AND(111&gt;Corte,111&lt;=Corte+n_Ventana),ISNUMBER(Detalle_24m!DL$55)),Detalle_24m!DL$55,INDEX(Precio_V,14)*INDEX(IdxPrecio_V,1,MIN(10,DL$173)))*(1+V_dPrecio))</f>
        <v>0</v>
      </c>
      <c r="DM215" s="48">
        <f>IF(DM$8=1,IF(Reales!$C$51="PYG",IF(DM$10&gt;0,N(Reales!DM51)/DM$10,0),N(Reales!DM51)),DM$190*IF(AND(AND(112&gt;Corte,112&lt;=Corte+n_Ventana),ISNUMBER(Detalle_24m!DM$55)),Detalle_24m!DM$55,INDEX(Precio_V,14)*INDEX(IdxPrecio_V,1,MIN(10,DM$173)))*(1+V_dPrecio))</f>
        <v>0</v>
      </c>
      <c r="DN215" s="48">
        <f>IF(DN$8=1,IF(Reales!$C$51="PYG",IF(DN$10&gt;0,N(Reales!DN51)/DN$10,0),N(Reales!DN51)),DN$190*IF(AND(AND(113&gt;Corte,113&lt;=Corte+n_Ventana),ISNUMBER(Detalle_24m!DN$55)),Detalle_24m!DN$55,INDEX(Precio_V,14)*INDEX(IdxPrecio_V,1,MIN(10,DN$173)))*(1+V_dPrecio))</f>
        <v>0</v>
      </c>
      <c r="DO215" s="48">
        <f>IF(DO$8=1,IF(Reales!$C$51="PYG",IF(DO$10&gt;0,N(Reales!DO51)/DO$10,0),N(Reales!DO51)),DO$190*IF(AND(AND(114&gt;Corte,114&lt;=Corte+n_Ventana),ISNUMBER(Detalle_24m!DO$55)),Detalle_24m!DO$55,INDEX(Precio_V,14)*INDEX(IdxPrecio_V,1,MIN(10,DO$173)))*(1+V_dPrecio))</f>
        <v>0</v>
      </c>
      <c r="DP215" s="48">
        <f>IF(DP$8=1,IF(Reales!$C$51="PYG",IF(DP$10&gt;0,N(Reales!DP51)/DP$10,0),N(Reales!DP51)),DP$190*IF(AND(AND(115&gt;Corte,115&lt;=Corte+n_Ventana),ISNUMBER(Detalle_24m!DP$55)),Detalle_24m!DP$55,INDEX(Precio_V,14)*INDEX(IdxPrecio_V,1,MIN(10,DP$173)))*(1+V_dPrecio))</f>
        <v>0</v>
      </c>
      <c r="DQ215" s="48">
        <f>IF(DQ$8=1,IF(Reales!$C$51="PYG",IF(DQ$10&gt;0,N(Reales!DQ51)/DQ$10,0),N(Reales!DQ51)),DQ$190*IF(AND(AND(116&gt;Corte,116&lt;=Corte+n_Ventana),ISNUMBER(Detalle_24m!DQ$55)),Detalle_24m!DQ$55,INDEX(Precio_V,14)*INDEX(IdxPrecio_V,1,MIN(10,DQ$173)))*(1+V_dPrecio))</f>
        <v>0</v>
      </c>
      <c r="DR215" s="48">
        <f>IF(DR$8=1,IF(Reales!$C$51="PYG",IF(DR$10&gt;0,N(Reales!DR51)/DR$10,0),N(Reales!DR51)),DR$190*IF(AND(AND(117&gt;Corte,117&lt;=Corte+n_Ventana),ISNUMBER(Detalle_24m!DR$55)),Detalle_24m!DR$55,INDEX(Precio_V,14)*INDEX(IdxPrecio_V,1,MIN(10,DR$173)))*(1+V_dPrecio))</f>
        <v>0</v>
      </c>
      <c r="DS215" s="48">
        <f>IF(DS$8=1,IF(Reales!$C$51="PYG",IF(DS$10&gt;0,N(Reales!DS51)/DS$10,0),N(Reales!DS51)),DS$190*IF(AND(AND(118&gt;Corte,118&lt;=Corte+n_Ventana),ISNUMBER(Detalle_24m!DS$55)),Detalle_24m!DS$55,INDEX(Precio_V,14)*INDEX(IdxPrecio_V,1,MIN(10,DS$173)))*(1+V_dPrecio))</f>
        <v>0</v>
      </c>
      <c r="DT215" s="48">
        <f>IF(DT$8=1,IF(Reales!$C$51="PYG",IF(DT$10&gt;0,N(Reales!DT51)/DT$10,0),N(Reales!DT51)),DT$190*IF(AND(AND(119&gt;Corte,119&lt;=Corte+n_Ventana),ISNUMBER(Detalle_24m!DT$55)),Detalle_24m!DT$55,INDEX(Precio_V,14)*INDEX(IdxPrecio_V,1,MIN(10,DT$173)))*(1+V_dPrecio))</f>
        <v>0</v>
      </c>
      <c r="DU215" s="48">
        <f>IF(DU$8=1,IF(Reales!$C$51="PYG",IF(DU$10&gt;0,N(Reales!DU51)/DU$10,0),N(Reales!DU51)),DU$190*IF(AND(AND(120&gt;Corte,120&lt;=Corte+n_Ventana),ISNUMBER(Detalle_24m!DU$55)),Detalle_24m!DU$55,INDEX(Precio_V,14)*INDEX(IdxPrecio_V,1,MIN(10,DU$173)))*(1+V_dPrecio))</f>
        <v>0</v>
      </c>
      <c r="DV215" s="48">
        <f>IF(DV$8=1,IF(Reales!$C$51="PYG",IF(DV$10&gt;0,N(Reales!DV51)/DV$10,0),N(Reales!DV51)),DV$190*IF(AND(AND(121&gt;Corte,121&lt;=Corte+n_Ventana),ISNUMBER(Detalle_24m!DV$55)),Detalle_24m!DV$55,INDEX(Precio_V,14)*INDEX(IdxPrecio_V,1,MIN(10,DV$173)))*(1+V_dPrecio))</f>
        <v>0</v>
      </c>
      <c r="DW215" s="48">
        <f>IF(DW$8=1,IF(Reales!$C$51="PYG",IF(DW$10&gt;0,N(Reales!DW51)/DW$10,0),N(Reales!DW51)),DW$190*IF(AND(AND(122&gt;Corte,122&lt;=Corte+n_Ventana),ISNUMBER(Detalle_24m!DW$55)),Detalle_24m!DW$55,INDEX(Precio_V,14)*INDEX(IdxPrecio_V,1,MIN(10,DW$173)))*(1+V_dPrecio))</f>
        <v>0</v>
      </c>
      <c r="DX215" s="48">
        <f>IF(DX$8=1,IF(Reales!$C$51="PYG",IF(DX$10&gt;0,N(Reales!DX51)/DX$10,0),N(Reales!DX51)),DX$190*IF(AND(AND(123&gt;Corte,123&lt;=Corte+n_Ventana),ISNUMBER(Detalle_24m!DX$55)),Detalle_24m!DX$55,INDEX(Precio_V,14)*INDEX(IdxPrecio_V,1,MIN(10,DX$173)))*(1+V_dPrecio))</f>
        <v>0</v>
      </c>
      <c r="DY215" s="48">
        <f>IF(DY$8=1,IF(Reales!$C$51="PYG",IF(DY$10&gt;0,N(Reales!DY51)/DY$10,0),N(Reales!DY51)),DY$190*IF(AND(AND(124&gt;Corte,124&lt;=Corte+n_Ventana),ISNUMBER(Detalle_24m!DY$55)),Detalle_24m!DY$55,INDEX(Precio_V,14)*INDEX(IdxPrecio_V,1,MIN(10,DY$173)))*(1+V_dPrecio))</f>
        <v>0</v>
      </c>
      <c r="DZ215" s="48">
        <f>IF(DZ$8=1,IF(Reales!$C$51="PYG",IF(DZ$10&gt;0,N(Reales!DZ51)/DZ$10,0),N(Reales!DZ51)),DZ$190*IF(AND(AND(125&gt;Corte,125&lt;=Corte+n_Ventana),ISNUMBER(Detalle_24m!DZ$55)),Detalle_24m!DZ$55,INDEX(Precio_V,14)*INDEX(IdxPrecio_V,1,MIN(10,DZ$173)))*(1+V_dPrecio))</f>
        <v>0</v>
      </c>
      <c r="EA215" s="48">
        <f>IF(EA$8=1,IF(Reales!$C$51="PYG",IF(EA$10&gt;0,N(Reales!EA51)/EA$10,0),N(Reales!EA51)),EA$190*IF(AND(AND(126&gt;Corte,126&lt;=Corte+n_Ventana),ISNUMBER(Detalle_24m!EA$55)),Detalle_24m!EA$55,INDEX(Precio_V,14)*INDEX(IdxPrecio_V,1,MIN(10,EA$173)))*(1+V_dPrecio))</f>
        <v>0</v>
      </c>
      <c r="EB215" s="48">
        <f>IF(EB$8=1,IF(Reales!$C$51="PYG",IF(EB$10&gt;0,N(Reales!EB51)/EB$10,0),N(Reales!EB51)),EB$190*IF(AND(AND(127&gt;Corte,127&lt;=Corte+n_Ventana),ISNUMBER(Detalle_24m!EB$55)),Detalle_24m!EB$55,INDEX(Precio_V,14)*INDEX(IdxPrecio_V,1,MIN(10,EB$173)))*(1+V_dPrecio))</f>
        <v>0</v>
      </c>
      <c r="EC215" s="48">
        <f>IF(EC$8=1,IF(Reales!$C$51="PYG",IF(EC$10&gt;0,N(Reales!EC51)/EC$10,0),N(Reales!EC51)),EC$190*IF(AND(AND(128&gt;Corte,128&lt;=Corte+n_Ventana),ISNUMBER(Detalle_24m!EC$55)),Detalle_24m!EC$55,INDEX(Precio_V,14)*INDEX(IdxPrecio_V,1,MIN(10,EC$173)))*(1+V_dPrecio))</f>
        <v>0</v>
      </c>
      <c r="ED215" s="48">
        <f>IF(ED$8=1,IF(Reales!$C$51="PYG",IF(ED$10&gt;0,N(Reales!ED51)/ED$10,0),N(Reales!ED51)),ED$190*IF(AND(AND(129&gt;Corte,129&lt;=Corte+n_Ventana),ISNUMBER(Detalle_24m!ED$55)),Detalle_24m!ED$55,INDEX(Precio_V,14)*INDEX(IdxPrecio_V,1,MIN(10,ED$173)))*(1+V_dPrecio))</f>
        <v>0</v>
      </c>
      <c r="EE215" s="48">
        <f>IF(EE$8=1,IF(Reales!$C$51="PYG",IF(EE$10&gt;0,N(Reales!EE51)/EE$10,0),N(Reales!EE51)),EE$190*IF(AND(AND(130&gt;Corte,130&lt;=Corte+n_Ventana),ISNUMBER(Detalle_24m!EE$55)),Detalle_24m!EE$55,INDEX(Precio_V,14)*INDEX(IdxPrecio_V,1,MIN(10,EE$173)))*(1+V_dPrecio))</f>
        <v>0</v>
      </c>
      <c r="EF215" s="48">
        <f>IF(EF$8=1,IF(Reales!$C$51="PYG",IF(EF$10&gt;0,N(Reales!EF51)/EF$10,0),N(Reales!EF51)),EF$190*IF(AND(AND(131&gt;Corte,131&lt;=Corte+n_Ventana),ISNUMBER(Detalle_24m!EF$55)),Detalle_24m!EF$55,INDEX(Precio_V,14)*INDEX(IdxPrecio_V,1,MIN(10,EF$173)))*(1+V_dPrecio))</f>
        <v>0</v>
      </c>
      <c r="EG215" s="48">
        <f>IF(EG$8=1,IF(Reales!$C$51="PYG",IF(EG$10&gt;0,N(Reales!EG51)/EG$10,0),N(Reales!EG51)),EG$190*IF(AND(AND(132&gt;Corte,132&lt;=Corte+n_Ventana),ISNUMBER(Detalle_24m!EG$55)),Detalle_24m!EG$55,INDEX(Precio_V,14)*INDEX(IdxPrecio_V,1,MIN(10,EG$173)))*(1+V_dPrecio))</f>
        <v>0</v>
      </c>
      <c r="EH215" s="48">
        <f>IF(EH$8=1,IF(Reales!$C$51="PYG",IF(EH$10&gt;0,N(Reales!EH51)/EH$10,0),N(Reales!EH51)),EH$190*IF(AND(AND(133&gt;Corte,133&lt;=Corte+n_Ventana),ISNUMBER(Detalle_24m!EH$55)),Detalle_24m!EH$55,INDEX(Precio_V,14)*INDEX(IdxPrecio_V,1,MIN(10,EH$173)))*(1+V_dPrecio))</f>
        <v>0</v>
      </c>
      <c r="EI215" s="48">
        <f>IF(EI$8=1,IF(Reales!$C$51="PYG",IF(EI$10&gt;0,N(Reales!EI51)/EI$10,0),N(Reales!EI51)),EI$190*IF(AND(AND(134&gt;Corte,134&lt;=Corte+n_Ventana),ISNUMBER(Detalle_24m!EI$55)),Detalle_24m!EI$55,INDEX(Precio_V,14)*INDEX(IdxPrecio_V,1,MIN(10,EI$173)))*(1+V_dPrecio))</f>
        <v>0</v>
      </c>
      <c r="EJ215" s="48">
        <f>IF(EJ$8=1,IF(Reales!$C$51="PYG",IF(EJ$10&gt;0,N(Reales!EJ51)/EJ$10,0),N(Reales!EJ51)),EJ$190*IF(AND(AND(135&gt;Corte,135&lt;=Corte+n_Ventana),ISNUMBER(Detalle_24m!EJ$55)),Detalle_24m!EJ$55,INDEX(Precio_V,14)*INDEX(IdxPrecio_V,1,MIN(10,EJ$173)))*(1+V_dPrecio))</f>
        <v>0</v>
      </c>
      <c r="EK215" s="48">
        <f>IF(EK$8=1,IF(Reales!$C$51="PYG",IF(EK$10&gt;0,N(Reales!EK51)/EK$10,0),N(Reales!EK51)),EK$190*IF(AND(AND(136&gt;Corte,136&lt;=Corte+n_Ventana),ISNUMBER(Detalle_24m!EK$55)),Detalle_24m!EK$55,INDEX(Precio_V,14)*INDEX(IdxPrecio_V,1,MIN(10,EK$173)))*(1+V_dPrecio))</f>
        <v>0</v>
      </c>
      <c r="EL215" s="48">
        <f>IF(EL$8=1,IF(Reales!$C$51="PYG",IF(EL$10&gt;0,N(Reales!EL51)/EL$10,0),N(Reales!EL51)),EL$190*IF(AND(AND(137&gt;Corte,137&lt;=Corte+n_Ventana),ISNUMBER(Detalle_24m!EL$55)),Detalle_24m!EL$55,INDEX(Precio_V,14)*INDEX(IdxPrecio_V,1,MIN(10,EL$173)))*(1+V_dPrecio))</f>
        <v>0</v>
      </c>
      <c r="EM215" s="48">
        <f>IF(EM$8=1,IF(Reales!$C$51="PYG",IF(EM$10&gt;0,N(Reales!EM51)/EM$10,0),N(Reales!EM51)),EM$190*IF(AND(AND(138&gt;Corte,138&lt;=Corte+n_Ventana),ISNUMBER(Detalle_24m!EM$55)),Detalle_24m!EM$55,INDEX(Precio_V,14)*INDEX(IdxPrecio_V,1,MIN(10,EM$173)))*(1+V_dPrecio))</f>
        <v>0</v>
      </c>
      <c r="EN215" s="48">
        <f>IF(EN$8=1,IF(Reales!$C$51="PYG",IF(EN$10&gt;0,N(Reales!EN51)/EN$10,0),N(Reales!EN51)),EN$190*IF(AND(AND(139&gt;Corte,139&lt;=Corte+n_Ventana),ISNUMBER(Detalle_24m!EN$55)),Detalle_24m!EN$55,INDEX(Precio_V,14)*INDEX(IdxPrecio_V,1,MIN(10,EN$173)))*(1+V_dPrecio))</f>
        <v>0</v>
      </c>
      <c r="EO215" s="48">
        <f>IF(EO$8=1,IF(Reales!$C$51="PYG",IF(EO$10&gt;0,N(Reales!EO51)/EO$10,0),N(Reales!EO51)),EO$190*IF(AND(AND(140&gt;Corte,140&lt;=Corte+n_Ventana),ISNUMBER(Detalle_24m!EO$55)),Detalle_24m!EO$55,INDEX(Precio_V,14)*INDEX(IdxPrecio_V,1,MIN(10,EO$173)))*(1+V_dPrecio))</f>
        <v>0</v>
      </c>
      <c r="EP215" s="48">
        <f>IF(EP$8=1,IF(Reales!$C$51="PYG",IF(EP$10&gt;0,N(Reales!EP51)/EP$10,0),N(Reales!EP51)),EP$190*IF(AND(AND(141&gt;Corte,141&lt;=Corte+n_Ventana),ISNUMBER(Detalle_24m!EP$55)),Detalle_24m!EP$55,INDEX(Precio_V,14)*INDEX(IdxPrecio_V,1,MIN(10,EP$173)))*(1+V_dPrecio))</f>
        <v>0</v>
      </c>
      <c r="EQ215" s="48">
        <f>IF(EQ$8=1,IF(Reales!$C$51="PYG",IF(EQ$10&gt;0,N(Reales!EQ51)/EQ$10,0),N(Reales!EQ51)),EQ$190*IF(AND(AND(142&gt;Corte,142&lt;=Corte+n_Ventana),ISNUMBER(Detalle_24m!EQ$55)),Detalle_24m!EQ$55,INDEX(Precio_V,14)*INDEX(IdxPrecio_V,1,MIN(10,EQ$173)))*(1+V_dPrecio))</f>
        <v>0</v>
      </c>
      <c r="ER215" s="48">
        <f>IF(ER$8=1,IF(Reales!$C$51="PYG",IF(ER$10&gt;0,N(Reales!ER51)/ER$10,0),N(Reales!ER51)),ER$190*IF(AND(AND(143&gt;Corte,143&lt;=Corte+n_Ventana),ISNUMBER(Detalle_24m!ER$55)),Detalle_24m!ER$55,INDEX(Precio_V,14)*INDEX(IdxPrecio_V,1,MIN(10,ER$173)))*(1+V_dPrecio))</f>
        <v>0</v>
      </c>
      <c r="ES215" s="48">
        <f>IF(ES$8=1,IF(Reales!$C$51="PYG",IF(ES$10&gt;0,N(Reales!ES51)/ES$10,0),N(Reales!ES51)),ES$190*IF(AND(AND(144&gt;Corte,144&lt;=Corte+n_Ventana),ISNUMBER(Detalle_24m!ES$55)),Detalle_24m!ES$55,INDEX(Precio_V,14)*INDEX(IdxPrecio_V,1,MIN(10,ES$173)))*(1+V_dPrecio))</f>
        <v>0</v>
      </c>
    </row>
    <row r="216" spans="1:149" x14ac:dyDescent="0.3">
      <c r="A216" s="14" t="s">
        <v>1271</v>
      </c>
      <c r="B216" s="53" t="str">
        <f>IF(INDEX(Prod_Nombre,15)="","Producto 15",INDEX(Prod_Nombre,15))&amp;" — ventas USD"</f>
        <v>Producto 15 — ventas USD</v>
      </c>
      <c r="C216" s="18" t="s">
        <v>439</v>
      </c>
      <c r="E216" s="54">
        <f t="shared" si="605"/>
        <v>0</v>
      </c>
      <c r="F216" s="48">
        <f>IF(F$8=1,IF(Reales!$C$52="PYG",IF(F$10&gt;0,N(Reales!F52)/F$10,0),N(Reales!F52)),F$191*IF(AND(AND(1&gt;Corte,1&lt;=Corte+n_Ventana),ISNUMBER(Detalle_24m!F$56)),Detalle_24m!F$56,INDEX(Precio_V,15)*INDEX(IdxPrecio_V,1,MIN(10,F$173)))*(1+V_dPrecio))</f>
        <v>0</v>
      </c>
      <c r="G216" s="48">
        <f>IF(G$8=1,IF(Reales!$C$52="PYG",IF(G$10&gt;0,N(Reales!G52)/G$10,0),N(Reales!G52)),G$191*IF(AND(AND(2&gt;Corte,2&lt;=Corte+n_Ventana),ISNUMBER(Detalle_24m!G$56)),Detalle_24m!G$56,INDEX(Precio_V,15)*INDEX(IdxPrecio_V,1,MIN(10,G$173)))*(1+V_dPrecio))</f>
        <v>0</v>
      </c>
      <c r="H216" s="48">
        <f>IF(H$8=1,IF(Reales!$C$52="PYG",IF(H$10&gt;0,N(Reales!H52)/H$10,0),N(Reales!H52)),H$191*IF(AND(AND(3&gt;Corte,3&lt;=Corte+n_Ventana),ISNUMBER(Detalle_24m!H$56)),Detalle_24m!H$56,INDEX(Precio_V,15)*INDEX(IdxPrecio_V,1,MIN(10,H$173)))*(1+V_dPrecio))</f>
        <v>0</v>
      </c>
      <c r="I216" s="48">
        <f>IF(I$8=1,IF(Reales!$C$52="PYG",IF(I$10&gt;0,N(Reales!I52)/I$10,0),N(Reales!I52)),I$191*IF(AND(AND(4&gt;Corte,4&lt;=Corte+n_Ventana),ISNUMBER(Detalle_24m!I$56)),Detalle_24m!I$56,INDEX(Precio_V,15)*INDEX(IdxPrecio_V,1,MIN(10,I$173)))*(1+V_dPrecio))</f>
        <v>0</v>
      </c>
      <c r="J216" s="48">
        <f>IF(J$8=1,IF(Reales!$C$52="PYG",IF(J$10&gt;0,N(Reales!J52)/J$10,0),N(Reales!J52)),J$191*IF(AND(AND(5&gt;Corte,5&lt;=Corte+n_Ventana),ISNUMBER(Detalle_24m!J$56)),Detalle_24m!J$56,INDEX(Precio_V,15)*INDEX(IdxPrecio_V,1,MIN(10,J$173)))*(1+V_dPrecio))</f>
        <v>0</v>
      </c>
      <c r="K216" s="48">
        <f>IF(K$8=1,IF(Reales!$C$52="PYG",IF(K$10&gt;0,N(Reales!K52)/K$10,0),N(Reales!K52)),K$191*IF(AND(AND(6&gt;Corte,6&lt;=Corte+n_Ventana),ISNUMBER(Detalle_24m!K$56)),Detalle_24m!K$56,INDEX(Precio_V,15)*INDEX(IdxPrecio_V,1,MIN(10,K$173)))*(1+V_dPrecio))</f>
        <v>0</v>
      </c>
      <c r="L216" s="48">
        <f>IF(L$8=1,IF(Reales!$C$52="PYG",IF(L$10&gt;0,N(Reales!L52)/L$10,0),N(Reales!L52)),L$191*IF(AND(AND(7&gt;Corte,7&lt;=Corte+n_Ventana),ISNUMBER(Detalle_24m!L$56)),Detalle_24m!L$56,INDEX(Precio_V,15)*INDEX(IdxPrecio_V,1,MIN(10,L$173)))*(1+V_dPrecio))</f>
        <v>0</v>
      </c>
      <c r="M216" s="48">
        <f>IF(M$8=1,IF(Reales!$C$52="PYG",IF(M$10&gt;0,N(Reales!M52)/M$10,0),N(Reales!M52)),M$191*IF(AND(AND(8&gt;Corte,8&lt;=Corte+n_Ventana),ISNUMBER(Detalle_24m!M$56)),Detalle_24m!M$56,INDEX(Precio_V,15)*INDEX(IdxPrecio_V,1,MIN(10,M$173)))*(1+V_dPrecio))</f>
        <v>0</v>
      </c>
      <c r="N216" s="48">
        <f>IF(N$8=1,IF(Reales!$C$52="PYG",IF(N$10&gt;0,N(Reales!N52)/N$10,0),N(Reales!N52)),N$191*IF(AND(AND(9&gt;Corte,9&lt;=Corte+n_Ventana),ISNUMBER(Detalle_24m!N$56)),Detalle_24m!N$56,INDEX(Precio_V,15)*INDEX(IdxPrecio_V,1,MIN(10,N$173)))*(1+V_dPrecio))</f>
        <v>0</v>
      </c>
      <c r="O216" s="48">
        <f>IF(O$8=1,IF(Reales!$C$52="PYG",IF(O$10&gt;0,N(Reales!O52)/O$10,0),N(Reales!O52)),O$191*IF(AND(AND(10&gt;Corte,10&lt;=Corte+n_Ventana),ISNUMBER(Detalle_24m!O$56)),Detalle_24m!O$56,INDEX(Precio_V,15)*INDEX(IdxPrecio_V,1,MIN(10,O$173)))*(1+V_dPrecio))</f>
        <v>0</v>
      </c>
      <c r="P216" s="48">
        <f>IF(P$8=1,IF(Reales!$C$52="PYG",IF(P$10&gt;0,N(Reales!P52)/P$10,0),N(Reales!P52)),P$191*IF(AND(AND(11&gt;Corte,11&lt;=Corte+n_Ventana),ISNUMBER(Detalle_24m!P$56)),Detalle_24m!P$56,INDEX(Precio_V,15)*INDEX(IdxPrecio_V,1,MIN(10,P$173)))*(1+V_dPrecio))</f>
        <v>0</v>
      </c>
      <c r="Q216" s="48">
        <f>IF(Q$8=1,IF(Reales!$C$52="PYG",IF(Q$10&gt;0,N(Reales!Q52)/Q$10,0),N(Reales!Q52)),Q$191*IF(AND(AND(12&gt;Corte,12&lt;=Corte+n_Ventana),ISNUMBER(Detalle_24m!Q$56)),Detalle_24m!Q$56,INDEX(Precio_V,15)*INDEX(IdxPrecio_V,1,MIN(10,Q$173)))*(1+V_dPrecio))</f>
        <v>0</v>
      </c>
      <c r="R216" s="48">
        <f>IF(R$8=1,IF(Reales!$C$52="PYG",IF(R$10&gt;0,N(Reales!R52)/R$10,0),N(Reales!R52)),R$191*IF(AND(AND(13&gt;Corte,13&lt;=Corte+n_Ventana),ISNUMBER(Detalle_24m!R$56)),Detalle_24m!R$56,INDEX(Precio_V,15)*INDEX(IdxPrecio_V,1,MIN(10,R$173)))*(1+V_dPrecio))</f>
        <v>0</v>
      </c>
      <c r="S216" s="48">
        <f>IF(S$8=1,IF(Reales!$C$52="PYG",IF(S$10&gt;0,N(Reales!S52)/S$10,0),N(Reales!S52)),S$191*IF(AND(AND(14&gt;Corte,14&lt;=Corte+n_Ventana),ISNUMBER(Detalle_24m!S$56)),Detalle_24m!S$56,INDEX(Precio_V,15)*INDEX(IdxPrecio_V,1,MIN(10,S$173)))*(1+V_dPrecio))</f>
        <v>0</v>
      </c>
      <c r="T216" s="48">
        <f>IF(T$8=1,IF(Reales!$C$52="PYG",IF(T$10&gt;0,N(Reales!T52)/T$10,0),N(Reales!T52)),T$191*IF(AND(AND(15&gt;Corte,15&lt;=Corte+n_Ventana),ISNUMBER(Detalle_24m!T$56)),Detalle_24m!T$56,INDEX(Precio_V,15)*INDEX(IdxPrecio_V,1,MIN(10,T$173)))*(1+V_dPrecio))</f>
        <v>0</v>
      </c>
      <c r="U216" s="48">
        <f>IF(U$8=1,IF(Reales!$C$52="PYG",IF(U$10&gt;0,N(Reales!U52)/U$10,0),N(Reales!U52)),U$191*IF(AND(AND(16&gt;Corte,16&lt;=Corte+n_Ventana),ISNUMBER(Detalle_24m!U$56)),Detalle_24m!U$56,INDEX(Precio_V,15)*INDEX(IdxPrecio_V,1,MIN(10,U$173)))*(1+V_dPrecio))</f>
        <v>0</v>
      </c>
      <c r="V216" s="48">
        <f>IF(V$8=1,IF(Reales!$C$52="PYG",IF(V$10&gt;0,N(Reales!V52)/V$10,0),N(Reales!V52)),V$191*IF(AND(AND(17&gt;Corte,17&lt;=Corte+n_Ventana),ISNUMBER(Detalle_24m!V$56)),Detalle_24m!V$56,INDEX(Precio_V,15)*INDEX(IdxPrecio_V,1,MIN(10,V$173)))*(1+V_dPrecio))</f>
        <v>0</v>
      </c>
      <c r="W216" s="48">
        <f>IF(W$8=1,IF(Reales!$C$52="PYG",IF(W$10&gt;0,N(Reales!W52)/W$10,0),N(Reales!W52)),W$191*IF(AND(AND(18&gt;Corte,18&lt;=Corte+n_Ventana),ISNUMBER(Detalle_24m!W$56)),Detalle_24m!W$56,INDEX(Precio_V,15)*INDEX(IdxPrecio_V,1,MIN(10,W$173)))*(1+V_dPrecio))</f>
        <v>0</v>
      </c>
      <c r="X216" s="48">
        <f>IF(X$8=1,IF(Reales!$C$52="PYG",IF(X$10&gt;0,N(Reales!X52)/X$10,0),N(Reales!X52)),X$191*IF(AND(AND(19&gt;Corte,19&lt;=Corte+n_Ventana),ISNUMBER(Detalle_24m!X$56)),Detalle_24m!X$56,INDEX(Precio_V,15)*INDEX(IdxPrecio_V,1,MIN(10,X$173)))*(1+V_dPrecio))</f>
        <v>0</v>
      </c>
      <c r="Y216" s="48">
        <f>IF(Y$8=1,IF(Reales!$C$52="PYG",IF(Y$10&gt;0,N(Reales!Y52)/Y$10,0),N(Reales!Y52)),Y$191*IF(AND(AND(20&gt;Corte,20&lt;=Corte+n_Ventana),ISNUMBER(Detalle_24m!Y$56)),Detalle_24m!Y$56,INDEX(Precio_V,15)*INDEX(IdxPrecio_V,1,MIN(10,Y$173)))*(1+V_dPrecio))</f>
        <v>0</v>
      </c>
      <c r="Z216" s="48">
        <f>IF(Z$8=1,IF(Reales!$C$52="PYG",IF(Z$10&gt;0,N(Reales!Z52)/Z$10,0),N(Reales!Z52)),Z$191*IF(AND(AND(21&gt;Corte,21&lt;=Corte+n_Ventana),ISNUMBER(Detalle_24m!Z$56)),Detalle_24m!Z$56,INDEX(Precio_V,15)*INDEX(IdxPrecio_V,1,MIN(10,Z$173)))*(1+V_dPrecio))</f>
        <v>0</v>
      </c>
      <c r="AA216" s="48">
        <f>IF(AA$8=1,IF(Reales!$C$52="PYG",IF(AA$10&gt;0,N(Reales!AA52)/AA$10,0),N(Reales!AA52)),AA$191*IF(AND(AND(22&gt;Corte,22&lt;=Corte+n_Ventana),ISNUMBER(Detalle_24m!AA$56)),Detalle_24m!AA$56,INDEX(Precio_V,15)*INDEX(IdxPrecio_V,1,MIN(10,AA$173)))*(1+V_dPrecio))</f>
        <v>0</v>
      </c>
      <c r="AB216" s="48">
        <f>IF(AB$8=1,IF(Reales!$C$52="PYG",IF(AB$10&gt;0,N(Reales!AB52)/AB$10,0),N(Reales!AB52)),AB$191*IF(AND(AND(23&gt;Corte,23&lt;=Corte+n_Ventana),ISNUMBER(Detalle_24m!AB$56)),Detalle_24m!AB$56,INDEX(Precio_V,15)*INDEX(IdxPrecio_V,1,MIN(10,AB$173)))*(1+V_dPrecio))</f>
        <v>0</v>
      </c>
      <c r="AC216" s="48">
        <f>IF(AC$8=1,IF(Reales!$C$52="PYG",IF(AC$10&gt;0,N(Reales!AC52)/AC$10,0),N(Reales!AC52)),AC$191*IF(AND(AND(24&gt;Corte,24&lt;=Corte+n_Ventana),ISNUMBER(Detalle_24m!AC$56)),Detalle_24m!AC$56,INDEX(Precio_V,15)*INDEX(IdxPrecio_V,1,MIN(10,AC$173)))*(1+V_dPrecio))</f>
        <v>0</v>
      </c>
      <c r="AD216" s="48">
        <f>IF(AD$8=1,IF(Reales!$C$52="PYG",IF(AD$10&gt;0,N(Reales!AD52)/AD$10,0),N(Reales!AD52)),AD$191*IF(AND(AND(25&gt;Corte,25&lt;=Corte+n_Ventana),ISNUMBER(Detalle_24m!AD$56)),Detalle_24m!AD$56,INDEX(Precio_V,15)*INDEX(IdxPrecio_V,1,MIN(10,AD$173)))*(1+V_dPrecio))</f>
        <v>0</v>
      </c>
      <c r="AE216" s="48">
        <f>IF(AE$8=1,IF(Reales!$C$52="PYG",IF(AE$10&gt;0,N(Reales!AE52)/AE$10,0),N(Reales!AE52)),AE$191*IF(AND(AND(26&gt;Corte,26&lt;=Corte+n_Ventana),ISNUMBER(Detalle_24m!AE$56)),Detalle_24m!AE$56,INDEX(Precio_V,15)*INDEX(IdxPrecio_V,1,MIN(10,AE$173)))*(1+V_dPrecio))</f>
        <v>0</v>
      </c>
      <c r="AF216" s="48">
        <f>IF(AF$8=1,IF(Reales!$C$52="PYG",IF(AF$10&gt;0,N(Reales!AF52)/AF$10,0),N(Reales!AF52)),AF$191*IF(AND(AND(27&gt;Corte,27&lt;=Corte+n_Ventana),ISNUMBER(Detalle_24m!AF$56)),Detalle_24m!AF$56,INDEX(Precio_V,15)*INDEX(IdxPrecio_V,1,MIN(10,AF$173)))*(1+V_dPrecio))</f>
        <v>0</v>
      </c>
      <c r="AG216" s="48">
        <f>IF(AG$8=1,IF(Reales!$C$52="PYG",IF(AG$10&gt;0,N(Reales!AG52)/AG$10,0),N(Reales!AG52)),AG$191*IF(AND(AND(28&gt;Corte,28&lt;=Corte+n_Ventana),ISNUMBER(Detalle_24m!AG$56)),Detalle_24m!AG$56,INDEX(Precio_V,15)*INDEX(IdxPrecio_V,1,MIN(10,AG$173)))*(1+V_dPrecio))</f>
        <v>0</v>
      </c>
      <c r="AH216" s="48">
        <f>IF(AH$8=1,IF(Reales!$C$52="PYG",IF(AH$10&gt;0,N(Reales!AH52)/AH$10,0),N(Reales!AH52)),AH$191*IF(AND(AND(29&gt;Corte,29&lt;=Corte+n_Ventana),ISNUMBER(Detalle_24m!AH$56)),Detalle_24m!AH$56,INDEX(Precio_V,15)*INDEX(IdxPrecio_V,1,MIN(10,AH$173)))*(1+V_dPrecio))</f>
        <v>0</v>
      </c>
      <c r="AI216" s="48">
        <f>IF(AI$8=1,IF(Reales!$C$52="PYG",IF(AI$10&gt;0,N(Reales!AI52)/AI$10,0),N(Reales!AI52)),AI$191*IF(AND(AND(30&gt;Corte,30&lt;=Corte+n_Ventana),ISNUMBER(Detalle_24m!AI$56)),Detalle_24m!AI$56,INDEX(Precio_V,15)*INDEX(IdxPrecio_V,1,MIN(10,AI$173)))*(1+V_dPrecio))</f>
        <v>0</v>
      </c>
      <c r="AJ216" s="48">
        <f>IF(AJ$8=1,IF(Reales!$C$52="PYG",IF(AJ$10&gt;0,N(Reales!AJ52)/AJ$10,0),N(Reales!AJ52)),AJ$191*IF(AND(AND(31&gt;Corte,31&lt;=Corte+n_Ventana),ISNUMBER(Detalle_24m!AJ$56)),Detalle_24m!AJ$56,INDEX(Precio_V,15)*INDEX(IdxPrecio_V,1,MIN(10,AJ$173)))*(1+V_dPrecio))</f>
        <v>0</v>
      </c>
      <c r="AK216" s="48">
        <f>IF(AK$8=1,IF(Reales!$C$52="PYG",IF(AK$10&gt;0,N(Reales!AK52)/AK$10,0),N(Reales!AK52)),AK$191*IF(AND(AND(32&gt;Corte,32&lt;=Corte+n_Ventana),ISNUMBER(Detalle_24m!AK$56)),Detalle_24m!AK$56,INDEX(Precio_V,15)*INDEX(IdxPrecio_V,1,MIN(10,AK$173)))*(1+V_dPrecio))</f>
        <v>0</v>
      </c>
      <c r="AL216" s="48">
        <f>IF(AL$8=1,IF(Reales!$C$52="PYG",IF(AL$10&gt;0,N(Reales!AL52)/AL$10,0),N(Reales!AL52)),AL$191*IF(AND(AND(33&gt;Corte,33&lt;=Corte+n_Ventana),ISNUMBER(Detalle_24m!AL$56)),Detalle_24m!AL$56,INDEX(Precio_V,15)*INDEX(IdxPrecio_V,1,MIN(10,AL$173)))*(1+V_dPrecio))</f>
        <v>0</v>
      </c>
      <c r="AM216" s="48">
        <f>IF(AM$8=1,IF(Reales!$C$52="PYG",IF(AM$10&gt;0,N(Reales!AM52)/AM$10,0),N(Reales!AM52)),AM$191*IF(AND(AND(34&gt;Corte,34&lt;=Corte+n_Ventana),ISNUMBER(Detalle_24m!AM$56)),Detalle_24m!AM$56,INDEX(Precio_V,15)*INDEX(IdxPrecio_V,1,MIN(10,AM$173)))*(1+V_dPrecio))</f>
        <v>0</v>
      </c>
      <c r="AN216" s="48">
        <f>IF(AN$8=1,IF(Reales!$C$52="PYG",IF(AN$10&gt;0,N(Reales!AN52)/AN$10,0),N(Reales!AN52)),AN$191*IF(AND(AND(35&gt;Corte,35&lt;=Corte+n_Ventana),ISNUMBER(Detalle_24m!AN$56)),Detalle_24m!AN$56,INDEX(Precio_V,15)*INDEX(IdxPrecio_V,1,MIN(10,AN$173)))*(1+V_dPrecio))</f>
        <v>0</v>
      </c>
      <c r="AO216" s="48">
        <f>IF(AO$8=1,IF(Reales!$C$52="PYG",IF(AO$10&gt;0,N(Reales!AO52)/AO$10,0),N(Reales!AO52)),AO$191*IF(AND(AND(36&gt;Corte,36&lt;=Corte+n_Ventana),ISNUMBER(Detalle_24m!AO$56)),Detalle_24m!AO$56,INDEX(Precio_V,15)*INDEX(IdxPrecio_V,1,MIN(10,AO$173)))*(1+V_dPrecio))</f>
        <v>0</v>
      </c>
      <c r="AP216" s="48">
        <f>IF(AP$8=1,IF(Reales!$C$52="PYG",IF(AP$10&gt;0,N(Reales!AP52)/AP$10,0),N(Reales!AP52)),AP$191*IF(AND(AND(37&gt;Corte,37&lt;=Corte+n_Ventana),ISNUMBER(Detalle_24m!AP$56)),Detalle_24m!AP$56,INDEX(Precio_V,15)*INDEX(IdxPrecio_V,1,MIN(10,AP$173)))*(1+V_dPrecio))</f>
        <v>0</v>
      </c>
      <c r="AQ216" s="48">
        <f>IF(AQ$8=1,IF(Reales!$C$52="PYG",IF(AQ$10&gt;0,N(Reales!AQ52)/AQ$10,0),N(Reales!AQ52)),AQ$191*IF(AND(AND(38&gt;Corte,38&lt;=Corte+n_Ventana),ISNUMBER(Detalle_24m!AQ$56)),Detalle_24m!AQ$56,INDEX(Precio_V,15)*INDEX(IdxPrecio_V,1,MIN(10,AQ$173)))*(1+V_dPrecio))</f>
        <v>0</v>
      </c>
      <c r="AR216" s="48">
        <f>IF(AR$8=1,IF(Reales!$C$52="PYG",IF(AR$10&gt;0,N(Reales!AR52)/AR$10,0),N(Reales!AR52)),AR$191*IF(AND(AND(39&gt;Corte,39&lt;=Corte+n_Ventana),ISNUMBER(Detalle_24m!AR$56)),Detalle_24m!AR$56,INDEX(Precio_V,15)*INDEX(IdxPrecio_V,1,MIN(10,AR$173)))*(1+V_dPrecio))</f>
        <v>0</v>
      </c>
      <c r="AS216" s="48">
        <f>IF(AS$8=1,IF(Reales!$C$52="PYG",IF(AS$10&gt;0,N(Reales!AS52)/AS$10,0),N(Reales!AS52)),AS$191*IF(AND(AND(40&gt;Corte,40&lt;=Corte+n_Ventana),ISNUMBER(Detalle_24m!AS$56)),Detalle_24m!AS$56,INDEX(Precio_V,15)*INDEX(IdxPrecio_V,1,MIN(10,AS$173)))*(1+V_dPrecio))</f>
        <v>0</v>
      </c>
      <c r="AT216" s="48">
        <f>IF(AT$8=1,IF(Reales!$C$52="PYG",IF(AT$10&gt;0,N(Reales!AT52)/AT$10,0),N(Reales!AT52)),AT$191*IF(AND(AND(41&gt;Corte,41&lt;=Corte+n_Ventana),ISNUMBER(Detalle_24m!AT$56)),Detalle_24m!AT$56,INDEX(Precio_V,15)*INDEX(IdxPrecio_V,1,MIN(10,AT$173)))*(1+V_dPrecio))</f>
        <v>0</v>
      </c>
      <c r="AU216" s="48">
        <f>IF(AU$8=1,IF(Reales!$C$52="PYG",IF(AU$10&gt;0,N(Reales!AU52)/AU$10,0),N(Reales!AU52)),AU$191*IF(AND(AND(42&gt;Corte,42&lt;=Corte+n_Ventana),ISNUMBER(Detalle_24m!AU$56)),Detalle_24m!AU$56,INDEX(Precio_V,15)*INDEX(IdxPrecio_V,1,MIN(10,AU$173)))*(1+V_dPrecio))</f>
        <v>0</v>
      </c>
      <c r="AV216" s="48">
        <f>IF(AV$8=1,IF(Reales!$C$52="PYG",IF(AV$10&gt;0,N(Reales!AV52)/AV$10,0),N(Reales!AV52)),AV$191*IF(AND(AND(43&gt;Corte,43&lt;=Corte+n_Ventana),ISNUMBER(Detalle_24m!AV$56)),Detalle_24m!AV$56,INDEX(Precio_V,15)*INDEX(IdxPrecio_V,1,MIN(10,AV$173)))*(1+V_dPrecio))</f>
        <v>0</v>
      </c>
      <c r="AW216" s="48">
        <f>IF(AW$8=1,IF(Reales!$C$52="PYG",IF(AW$10&gt;0,N(Reales!AW52)/AW$10,0),N(Reales!AW52)),AW$191*IF(AND(AND(44&gt;Corte,44&lt;=Corte+n_Ventana),ISNUMBER(Detalle_24m!AW$56)),Detalle_24m!AW$56,INDEX(Precio_V,15)*INDEX(IdxPrecio_V,1,MIN(10,AW$173)))*(1+V_dPrecio))</f>
        <v>0</v>
      </c>
      <c r="AX216" s="48">
        <f>IF(AX$8=1,IF(Reales!$C$52="PYG",IF(AX$10&gt;0,N(Reales!AX52)/AX$10,0),N(Reales!AX52)),AX$191*IF(AND(AND(45&gt;Corte,45&lt;=Corte+n_Ventana),ISNUMBER(Detalle_24m!AX$56)),Detalle_24m!AX$56,INDEX(Precio_V,15)*INDEX(IdxPrecio_V,1,MIN(10,AX$173)))*(1+V_dPrecio))</f>
        <v>0</v>
      </c>
      <c r="AY216" s="48">
        <f>IF(AY$8=1,IF(Reales!$C$52="PYG",IF(AY$10&gt;0,N(Reales!AY52)/AY$10,0),N(Reales!AY52)),AY$191*IF(AND(AND(46&gt;Corte,46&lt;=Corte+n_Ventana),ISNUMBER(Detalle_24m!AY$56)),Detalle_24m!AY$56,INDEX(Precio_V,15)*INDEX(IdxPrecio_V,1,MIN(10,AY$173)))*(1+V_dPrecio))</f>
        <v>0</v>
      </c>
      <c r="AZ216" s="48">
        <f>IF(AZ$8=1,IF(Reales!$C$52="PYG",IF(AZ$10&gt;0,N(Reales!AZ52)/AZ$10,0),N(Reales!AZ52)),AZ$191*IF(AND(AND(47&gt;Corte,47&lt;=Corte+n_Ventana),ISNUMBER(Detalle_24m!AZ$56)),Detalle_24m!AZ$56,INDEX(Precio_V,15)*INDEX(IdxPrecio_V,1,MIN(10,AZ$173)))*(1+V_dPrecio))</f>
        <v>0</v>
      </c>
      <c r="BA216" s="48">
        <f>IF(BA$8=1,IF(Reales!$C$52="PYG",IF(BA$10&gt;0,N(Reales!BA52)/BA$10,0),N(Reales!BA52)),BA$191*IF(AND(AND(48&gt;Corte,48&lt;=Corte+n_Ventana),ISNUMBER(Detalle_24m!BA$56)),Detalle_24m!BA$56,INDEX(Precio_V,15)*INDEX(IdxPrecio_V,1,MIN(10,BA$173)))*(1+V_dPrecio))</f>
        <v>0</v>
      </c>
      <c r="BB216" s="48">
        <f>IF(BB$8=1,IF(Reales!$C$52="PYG",IF(BB$10&gt;0,N(Reales!BB52)/BB$10,0),N(Reales!BB52)),BB$191*IF(AND(AND(49&gt;Corte,49&lt;=Corte+n_Ventana),ISNUMBER(Detalle_24m!BB$56)),Detalle_24m!BB$56,INDEX(Precio_V,15)*INDEX(IdxPrecio_V,1,MIN(10,BB$173)))*(1+V_dPrecio))</f>
        <v>0</v>
      </c>
      <c r="BC216" s="48">
        <f>IF(BC$8=1,IF(Reales!$C$52="PYG",IF(BC$10&gt;0,N(Reales!BC52)/BC$10,0),N(Reales!BC52)),BC$191*IF(AND(AND(50&gt;Corte,50&lt;=Corte+n_Ventana),ISNUMBER(Detalle_24m!BC$56)),Detalle_24m!BC$56,INDEX(Precio_V,15)*INDEX(IdxPrecio_V,1,MIN(10,BC$173)))*(1+V_dPrecio))</f>
        <v>0</v>
      </c>
      <c r="BD216" s="48">
        <f>IF(BD$8=1,IF(Reales!$C$52="PYG",IF(BD$10&gt;0,N(Reales!BD52)/BD$10,0),N(Reales!BD52)),BD$191*IF(AND(AND(51&gt;Corte,51&lt;=Corte+n_Ventana),ISNUMBER(Detalle_24m!BD$56)),Detalle_24m!BD$56,INDEX(Precio_V,15)*INDEX(IdxPrecio_V,1,MIN(10,BD$173)))*(1+V_dPrecio))</f>
        <v>0</v>
      </c>
      <c r="BE216" s="48">
        <f>IF(BE$8=1,IF(Reales!$C$52="PYG",IF(BE$10&gt;0,N(Reales!BE52)/BE$10,0),N(Reales!BE52)),BE$191*IF(AND(AND(52&gt;Corte,52&lt;=Corte+n_Ventana),ISNUMBER(Detalle_24m!BE$56)),Detalle_24m!BE$56,INDEX(Precio_V,15)*INDEX(IdxPrecio_V,1,MIN(10,BE$173)))*(1+V_dPrecio))</f>
        <v>0</v>
      </c>
      <c r="BF216" s="48">
        <f>IF(BF$8=1,IF(Reales!$C$52="PYG",IF(BF$10&gt;0,N(Reales!BF52)/BF$10,0),N(Reales!BF52)),BF$191*IF(AND(AND(53&gt;Corte,53&lt;=Corte+n_Ventana),ISNUMBER(Detalle_24m!BF$56)),Detalle_24m!BF$56,INDEX(Precio_V,15)*INDEX(IdxPrecio_V,1,MIN(10,BF$173)))*(1+V_dPrecio))</f>
        <v>0</v>
      </c>
      <c r="BG216" s="48">
        <f>IF(BG$8=1,IF(Reales!$C$52="PYG",IF(BG$10&gt;0,N(Reales!BG52)/BG$10,0),N(Reales!BG52)),BG$191*IF(AND(AND(54&gt;Corte,54&lt;=Corte+n_Ventana),ISNUMBER(Detalle_24m!BG$56)),Detalle_24m!BG$56,INDEX(Precio_V,15)*INDEX(IdxPrecio_V,1,MIN(10,BG$173)))*(1+V_dPrecio))</f>
        <v>0</v>
      </c>
      <c r="BH216" s="48">
        <f>IF(BH$8=1,IF(Reales!$C$52="PYG",IF(BH$10&gt;0,N(Reales!BH52)/BH$10,0),N(Reales!BH52)),BH$191*IF(AND(AND(55&gt;Corte,55&lt;=Corte+n_Ventana),ISNUMBER(Detalle_24m!BH$56)),Detalle_24m!BH$56,INDEX(Precio_V,15)*INDEX(IdxPrecio_V,1,MIN(10,BH$173)))*(1+V_dPrecio))</f>
        <v>0</v>
      </c>
      <c r="BI216" s="48">
        <f>IF(BI$8=1,IF(Reales!$C$52="PYG",IF(BI$10&gt;0,N(Reales!BI52)/BI$10,0),N(Reales!BI52)),BI$191*IF(AND(AND(56&gt;Corte,56&lt;=Corte+n_Ventana),ISNUMBER(Detalle_24m!BI$56)),Detalle_24m!BI$56,INDEX(Precio_V,15)*INDEX(IdxPrecio_V,1,MIN(10,BI$173)))*(1+V_dPrecio))</f>
        <v>0</v>
      </c>
      <c r="BJ216" s="48">
        <f>IF(BJ$8=1,IF(Reales!$C$52="PYG",IF(BJ$10&gt;0,N(Reales!BJ52)/BJ$10,0),N(Reales!BJ52)),BJ$191*IF(AND(AND(57&gt;Corte,57&lt;=Corte+n_Ventana),ISNUMBER(Detalle_24m!BJ$56)),Detalle_24m!BJ$56,INDEX(Precio_V,15)*INDEX(IdxPrecio_V,1,MIN(10,BJ$173)))*(1+V_dPrecio))</f>
        <v>0</v>
      </c>
      <c r="BK216" s="48">
        <f>IF(BK$8=1,IF(Reales!$C$52="PYG",IF(BK$10&gt;0,N(Reales!BK52)/BK$10,0),N(Reales!BK52)),BK$191*IF(AND(AND(58&gt;Corte,58&lt;=Corte+n_Ventana),ISNUMBER(Detalle_24m!BK$56)),Detalle_24m!BK$56,INDEX(Precio_V,15)*INDEX(IdxPrecio_V,1,MIN(10,BK$173)))*(1+V_dPrecio))</f>
        <v>0</v>
      </c>
      <c r="BL216" s="48">
        <f>IF(BL$8=1,IF(Reales!$C$52="PYG",IF(BL$10&gt;0,N(Reales!BL52)/BL$10,0),N(Reales!BL52)),BL$191*IF(AND(AND(59&gt;Corte,59&lt;=Corte+n_Ventana),ISNUMBER(Detalle_24m!BL$56)),Detalle_24m!BL$56,INDEX(Precio_V,15)*INDEX(IdxPrecio_V,1,MIN(10,BL$173)))*(1+V_dPrecio))</f>
        <v>0</v>
      </c>
      <c r="BM216" s="48">
        <f>IF(BM$8=1,IF(Reales!$C$52="PYG",IF(BM$10&gt;0,N(Reales!BM52)/BM$10,0),N(Reales!BM52)),BM$191*IF(AND(AND(60&gt;Corte,60&lt;=Corte+n_Ventana),ISNUMBER(Detalle_24m!BM$56)),Detalle_24m!BM$56,INDEX(Precio_V,15)*INDEX(IdxPrecio_V,1,MIN(10,BM$173)))*(1+V_dPrecio))</f>
        <v>0</v>
      </c>
      <c r="BN216" s="48">
        <f>IF(BN$8=1,IF(Reales!$C$52="PYG",IF(BN$10&gt;0,N(Reales!BN52)/BN$10,0),N(Reales!BN52)),BN$191*IF(AND(AND(61&gt;Corte,61&lt;=Corte+n_Ventana),ISNUMBER(Detalle_24m!BN$56)),Detalle_24m!BN$56,INDEX(Precio_V,15)*INDEX(IdxPrecio_V,1,MIN(10,BN$173)))*(1+V_dPrecio))</f>
        <v>0</v>
      </c>
      <c r="BO216" s="48">
        <f>IF(BO$8=1,IF(Reales!$C$52="PYG",IF(BO$10&gt;0,N(Reales!BO52)/BO$10,0),N(Reales!BO52)),BO$191*IF(AND(AND(62&gt;Corte,62&lt;=Corte+n_Ventana),ISNUMBER(Detalle_24m!BO$56)),Detalle_24m!BO$56,INDEX(Precio_V,15)*INDEX(IdxPrecio_V,1,MIN(10,BO$173)))*(1+V_dPrecio))</f>
        <v>0</v>
      </c>
      <c r="BP216" s="48">
        <f>IF(BP$8=1,IF(Reales!$C$52="PYG",IF(BP$10&gt;0,N(Reales!BP52)/BP$10,0),N(Reales!BP52)),BP$191*IF(AND(AND(63&gt;Corte,63&lt;=Corte+n_Ventana),ISNUMBER(Detalle_24m!BP$56)),Detalle_24m!BP$56,INDEX(Precio_V,15)*INDEX(IdxPrecio_V,1,MIN(10,BP$173)))*(1+V_dPrecio))</f>
        <v>0</v>
      </c>
      <c r="BQ216" s="48">
        <f>IF(BQ$8=1,IF(Reales!$C$52="PYG",IF(BQ$10&gt;0,N(Reales!BQ52)/BQ$10,0),N(Reales!BQ52)),BQ$191*IF(AND(AND(64&gt;Corte,64&lt;=Corte+n_Ventana),ISNUMBER(Detalle_24m!BQ$56)),Detalle_24m!BQ$56,INDEX(Precio_V,15)*INDEX(IdxPrecio_V,1,MIN(10,BQ$173)))*(1+V_dPrecio))</f>
        <v>0</v>
      </c>
      <c r="BR216" s="48">
        <f>IF(BR$8=1,IF(Reales!$C$52="PYG",IF(BR$10&gt;0,N(Reales!BR52)/BR$10,0),N(Reales!BR52)),BR$191*IF(AND(AND(65&gt;Corte,65&lt;=Corte+n_Ventana),ISNUMBER(Detalle_24m!BR$56)),Detalle_24m!BR$56,INDEX(Precio_V,15)*INDEX(IdxPrecio_V,1,MIN(10,BR$173)))*(1+V_dPrecio))</f>
        <v>0</v>
      </c>
      <c r="BS216" s="48">
        <f>IF(BS$8=1,IF(Reales!$C$52="PYG",IF(BS$10&gt;0,N(Reales!BS52)/BS$10,0),N(Reales!BS52)),BS$191*IF(AND(AND(66&gt;Corte,66&lt;=Corte+n_Ventana),ISNUMBER(Detalle_24m!BS$56)),Detalle_24m!BS$56,INDEX(Precio_V,15)*INDEX(IdxPrecio_V,1,MIN(10,BS$173)))*(1+V_dPrecio))</f>
        <v>0</v>
      </c>
      <c r="BT216" s="48">
        <f>IF(BT$8=1,IF(Reales!$C$52="PYG",IF(BT$10&gt;0,N(Reales!BT52)/BT$10,0),N(Reales!BT52)),BT$191*IF(AND(AND(67&gt;Corte,67&lt;=Corte+n_Ventana),ISNUMBER(Detalle_24m!BT$56)),Detalle_24m!BT$56,INDEX(Precio_V,15)*INDEX(IdxPrecio_V,1,MIN(10,BT$173)))*(1+V_dPrecio))</f>
        <v>0</v>
      </c>
      <c r="BU216" s="48">
        <f>IF(BU$8=1,IF(Reales!$C$52="PYG",IF(BU$10&gt;0,N(Reales!BU52)/BU$10,0),N(Reales!BU52)),BU$191*IF(AND(AND(68&gt;Corte,68&lt;=Corte+n_Ventana),ISNUMBER(Detalle_24m!BU$56)),Detalle_24m!BU$56,INDEX(Precio_V,15)*INDEX(IdxPrecio_V,1,MIN(10,BU$173)))*(1+V_dPrecio))</f>
        <v>0</v>
      </c>
      <c r="BV216" s="48">
        <f>IF(BV$8=1,IF(Reales!$C$52="PYG",IF(BV$10&gt;0,N(Reales!BV52)/BV$10,0),N(Reales!BV52)),BV$191*IF(AND(AND(69&gt;Corte,69&lt;=Corte+n_Ventana),ISNUMBER(Detalle_24m!BV$56)),Detalle_24m!BV$56,INDEX(Precio_V,15)*INDEX(IdxPrecio_V,1,MIN(10,BV$173)))*(1+V_dPrecio))</f>
        <v>0</v>
      </c>
      <c r="BW216" s="48">
        <f>IF(BW$8=1,IF(Reales!$C$52="PYG",IF(BW$10&gt;0,N(Reales!BW52)/BW$10,0),N(Reales!BW52)),BW$191*IF(AND(AND(70&gt;Corte,70&lt;=Corte+n_Ventana),ISNUMBER(Detalle_24m!BW$56)),Detalle_24m!BW$56,INDEX(Precio_V,15)*INDEX(IdxPrecio_V,1,MIN(10,BW$173)))*(1+V_dPrecio))</f>
        <v>0</v>
      </c>
      <c r="BX216" s="48">
        <f>IF(BX$8=1,IF(Reales!$C$52="PYG",IF(BX$10&gt;0,N(Reales!BX52)/BX$10,0),N(Reales!BX52)),BX$191*IF(AND(AND(71&gt;Corte,71&lt;=Corte+n_Ventana),ISNUMBER(Detalle_24m!BX$56)),Detalle_24m!BX$56,INDEX(Precio_V,15)*INDEX(IdxPrecio_V,1,MIN(10,BX$173)))*(1+V_dPrecio))</f>
        <v>0</v>
      </c>
      <c r="BY216" s="48">
        <f>IF(BY$8=1,IF(Reales!$C$52="PYG",IF(BY$10&gt;0,N(Reales!BY52)/BY$10,0),N(Reales!BY52)),BY$191*IF(AND(AND(72&gt;Corte,72&lt;=Corte+n_Ventana),ISNUMBER(Detalle_24m!BY$56)),Detalle_24m!BY$56,INDEX(Precio_V,15)*INDEX(IdxPrecio_V,1,MIN(10,BY$173)))*(1+V_dPrecio))</f>
        <v>0</v>
      </c>
      <c r="BZ216" s="48">
        <f>IF(BZ$8=1,IF(Reales!$C$52="PYG",IF(BZ$10&gt;0,N(Reales!BZ52)/BZ$10,0),N(Reales!BZ52)),BZ$191*IF(AND(AND(73&gt;Corte,73&lt;=Corte+n_Ventana),ISNUMBER(Detalle_24m!BZ$56)),Detalle_24m!BZ$56,INDEX(Precio_V,15)*INDEX(IdxPrecio_V,1,MIN(10,BZ$173)))*(1+V_dPrecio))</f>
        <v>0</v>
      </c>
      <c r="CA216" s="48">
        <f>IF(CA$8=1,IF(Reales!$C$52="PYG",IF(CA$10&gt;0,N(Reales!CA52)/CA$10,0),N(Reales!CA52)),CA$191*IF(AND(AND(74&gt;Corte,74&lt;=Corte+n_Ventana),ISNUMBER(Detalle_24m!CA$56)),Detalle_24m!CA$56,INDEX(Precio_V,15)*INDEX(IdxPrecio_V,1,MIN(10,CA$173)))*(1+V_dPrecio))</f>
        <v>0</v>
      </c>
      <c r="CB216" s="48">
        <f>IF(CB$8=1,IF(Reales!$C$52="PYG",IF(CB$10&gt;0,N(Reales!CB52)/CB$10,0),N(Reales!CB52)),CB$191*IF(AND(AND(75&gt;Corte,75&lt;=Corte+n_Ventana),ISNUMBER(Detalle_24m!CB$56)),Detalle_24m!CB$56,INDEX(Precio_V,15)*INDEX(IdxPrecio_V,1,MIN(10,CB$173)))*(1+V_dPrecio))</f>
        <v>0</v>
      </c>
      <c r="CC216" s="48">
        <f>IF(CC$8=1,IF(Reales!$C$52="PYG",IF(CC$10&gt;0,N(Reales!CC52)/CC$10,0),N(Reales!CC52)),CC$191*IF(AND(AND(76&gt;Corte,76&lt;=Corte+n_Ventana),ISNUMBER(Detalle_24m!CC$56)),Detalle_24m!CC$56,INDEX(Precio_V,15)*INDEX(IdxPrecio_V,1,MIN(10,CC$173)))*(1+V_dPrecio))</f>
        <v>0</v>
      </c>
      <c r="CD216" s="48">
        <f>IF(CD$8=1,IF(Reales!$C$52="PYG",IF(CD$10&gt;0,N(Reales!CD52)/CD$10,0),N(Reales!CD52)),CD$191*IF(AND(AND(77&gt;Corte,77&lt;=Corte+n_Ventana),ISNUMBER(Detalle_24m!CD$56)),Detalle_24m!CD$56,INDEX(Precio_V,15)*INDEX(IdxPrecio_V,1,MIN(10,CD$173)))*(1+V_dPrecio))</f>
        <v>0</v>
      </c>
      <c r="CE216" s="48">
        <f>IF(CE$8=1,IF(Reales!$C$52="PYG",IF(CE$10&gt;0,N(Reales!CE52)/CE$10,0),N(Reales!CE52)),CE$191*IF(AND(AND(78&gt;Corte,78&lt;=Corte+n_Ventana),ISNUMBER(Detalle_24m!CE$56)),Detalle_24m!CE$56,INDEX(Precio_V,15)*INDEX(IdxPrecio_V,1,MIN(10,CE$173)))*(1+V_dPrecio))</f>
        <v>0</v>
      </c>
      <c r="CF216" s="48">
        <f>IF(CF$8=1,IF(Reales!$C$52="PYG",IF(CF$10&gt;0,N(Reales!CF52)/CF$10,0),N(Reales!CF52)),CF$191*IF(AND(AND(79&gt;Corte,79&lt;=Corte+n_Ventana),ISNUMBER(Detalle_24m!CF$56)),Detalle_24m!CF$56,INDEX(Precio_V,15)*INDEX(IdxPrecio_V,1,MIN(10,CF$173)))*(1+V_dPrecio))</f>
        <v>0</v>
      </c>
      <c r="CG216" s="48">
        <f>IF(CG$8=1,IF(Reales!$C$52="PYG",IF(CG$10&gt;0,N(Reales!CG52)/CG$10,0),N(Reales!CG52)),CG$191*IF(AND(AND(80&gt;Corte,80&lt;=Corte+n_Ventana),ISNUMBER(Detalle_24m!CG$56)),Detalle_24m!CG$56,INDEX(Precio_V,15)*INDEX(IdxPrecio_V,1,MIN(10,CG$173)))*(1+V_dPrecio))</f>
        <v>0</v>
      </c>
      <c r="CH216" s="48">
        <f>IF(CH$8=1,IF(Reales!$C$52="PYG",IF(CH$10&gt;0,N(Reales!CH52)/CH$10,0),N(Reales!CH52)),CH$191*IF(AND(AND(81&gt;Corte,81&lt;=Corte+n_Ventana),ISNUMBER(Detalle_24m!CH$56)),Detalle_24m!CH$56,INDEX(Precio_V,15)*INDEX(IdxPrecio_V,1,MIN(10,CH$173)))*(1+V_dPrecio))</f>
        <v>0</v>
      </c>
      <c r="CI216" s="48">
        <f>IF(CI$8=1,IF(Reales!$C$52="PYG",IF(CI$10&gt;0,N(Reales!CI52)/CI$10,0),N(Reales!CI52)),CI$191*IF(AND(AND(82&gt;Corte,82&lt;=Corte+n_Ventana),ISNUMBER(Detalle_24m!CI$56)),Detalle_24m!CI$56,INDEX(Precio_V,15)*INDEX(IdxPrecio_V,1,MIN(10,CI$173)))*(1+V_dPrecio))</f>
        <v>0</v>
      </c>
      <c r="CJ216" s="48">
        <f>IF(CJ$8=1,IF(Reales!$C$52="PYG",IF(CJ$10&gt;0,N(Reales!CJ52)/CJ$10,0),N(Reales!CJ52)),CJ$191*IF(AND(AND(83&gt;Corte,83&lt;=Corte+n_Ventana),ISNUMBER(Detalle_24m!CJ$56)),Detalle_24m!CJ$56,INDEX(Precio_V,15)*INDEX(IdxPrecio_V,1,MIN(10,CJ$173)))*(1+V_dPrecio))</f>
        <v>0</v>
      </c>
      <c r="CK216" s="48">
        <f>IF(CK$8=1,IF(Reales!$C$52="PYG",IF(CK$10&gt;0,N(Reales!CK52)/CK$10,0),N(Reales!CK52)),CK$191*IF(AND(AND(84&gt;Corte,84&lt;=Corte+n_Ventana),ISNUMBER(Detalle_24m!CK$56)),Detalle_24m!CK$56,INDEX(Precio_V,15)*INDEX(IdxPrecio_V,1,MIN(10,CK$173)))*(1+V_dPrecio))</f>
        <v>0</v>
      </c>
      <c r="CL216" s="48">
        <f>IF(CL$8=1,IF(Reales!$C$52="PYG",IF(CL$10&gt;0,N(Reales!CL52)/CL$10,0),N(Reales!CL52)),CL$191*IF(AND(AND(85&gt;Corte,85&lt;=Corte+n_Ventana),ISNUMBER(Detalle_24m!CL$56)),Detalle_24m!CL$56,INDEX(Precio_V,15)*INDEX(IdxPrecio_V,1,MIN(10,CL$173)))*(1+V_dPrecio))</f>
        <v>0</v>
      </c>
      <c r="CM216" s="48">
        <f>IF(CM$8=1,IF(Reales!$C$52="PYG",IF(CM$10&gt;0,N(Reales!CM52)/CM$10,0),N(Reales!CM52)),CM$191*IF(AND(AND(86&gt;Corte,86&lt;=Corte+n_Ventana),ISNUMBER(Detalle_24m!CM$56)),Detalle_24m!CM$56,INDEX(Precio_V,15)*INDEX(IdxPrecio_V,1,MIN(10,CM$173)))*(1+V_dPrecio))</f>
        <v>0</v>
      </c>
      <c r="CN216" s="48">
        <f>IF(CN$8=1,IF(Reales!$C$52="PYG",IF(CN$10&gt;0,N(Reales!CN52)/CN$10,0),N(Reales!CN52)),CN$191*IF(AND(AND(87&gt;Corte,87&lt;=Corte+n_Ventana),ISNUMBER(Detalle_24m!CN$56)),Detalle_24m!CN$56,INDEX(Precio_V,15)*INDEX(IdxPrecio_V,1,MIN(10,CN$173)))*(1+V_dPrecio))</f>
        <v>0</v>
      </c>
      <c r="CO216" s="48">
        <f>IF(CO$8=1,IF(Reales!$C$52="PYG",IF(CO$10&gt;0,N(Reales!CO52)/CO$10,0),N(Reales!CO52)),CO$191*IF(AND(AND(88&gt;Corte,88&lt;=Corte+n_Ventana),ISNUMBER(Detalle_24m!CO$56)),Detalle_24m!CO$56,INDEX(Precio_V,15)*INDEX(IdxPrecio_V,1,MIN(10,CO$173)))*(1+V_dPrecio))</f>
        <v>0</v>
      </c>
      <c r="CP216" s="48">
        <f>IF(CP$8=1,IF(Reales!$C$52="PYG",IF(CP$10&gt;0,N(Reales!CP52)/CP$10,0),N(Reales!CP52)),CP$191*IF(AND(AND(89&gt;Corte,89&lt;=Corte+n_Ventana),ISNUMBER(Detalle_24m!CP$56)),Detalle_24m!CP$56,INDEX(Precio_V,15)*INDEX(IdxPrecio_V,1,MIN(10,CP$173)))*(1+V_dPrecio))</f>
        <v>0</v>
      </c>
      <c r="CQ216" s="48">
        <f>IF(CQ$8=1,IF(Reales!$C$52="PYG",IF(CQ$10&gt;0,N(Reales!CQ52)/CQ$10,0),N(Reales!CQ52)),CQ$191*IF(AND(AND(90&gt;Corte,90&lt;=Corte+n_Ventana),ISNUMBER(Detalle_24m!CQ$56)),Detalle_24m!CQ$56,INDEX(Precio_V,15)*INDEX(IdxPrecio_V,1,MIN(10,CQ$173)))*(1+V_dPrecio))</f>
        <v>0</v>
      </c>
      <c r="CR216" s="48">
        <f>IF(CR$8=1,IF(Reales!$C$52="PYG",IF(CR$10&gt;0,N(Reales!CR52)/CR$10,0),N(Reales!CR52)),CR$191*IF(AND(AND(91&gt;Corte,91&lt;=Corte+n_Ventana),ISNUMBER(Detalle_24m!CR$56)),Detalle_24m!CR$56,INDEX(Precio_V,15)*INDEX(IdxPrecio_V,1,MIN(10,CR$173)))*(1+V_dPrecio))</f>
        <v>0</v>
      </c>
      <c r="CS216" s="48">
        <f>IF(CS$8=1,IF(Reales!$C$52="PYG",IF(CS$10&gt;0,N(Reales!CS52)/CS$10,0),N(Reales!CS52)),CS$191*IF(AND(AND(92&gt;Corte,92&lt;=Corte+n_Ventana),ISNUMBER(Detalle_24m!CS$56)),Detalle_24m!CS$56,INDEX(Precio_V,15)*INDEX(IdxPrecio_V,1,MIN(10,CS$173)))*(1+V_dPrecio))</f>
        <v>0</v>
      </c>
      <c r="CT216" s="48">
        <f>IF(CT$8=1,IF(Reales!$C$52="PYG",IF(CT$10&gt;0,N(Reales!CT52)/CT$10,0),N(Reales!CT52)),CT$191*IF(AND(AND(93&gt;Corte,93&lt;=Corte+n_Ventana),ISNUMBER(Detalle_24m!CT$56)),Detalle_24m!CT$56,INDEX(Precio_V,15)*INDEX(IdxPrecio_V,1,MIN(10,CT$173)))*(1+V_dPrecio))</f>
        <v>0</v>
      </c>
      <c r="CU216" s="48">
        <f>IF(CU$8=1,IF(Reales!$C$52="PYG",IF(CU$10&gt;0,N(Reales!CU52)/CU$10,0),N(Reales!CU52)),CU$191*IF(AND(AND(94&gt;Corte,94&lt;=Corte+n_Ventana),ISNUMBER(Detalle_24m!CU$56)),Detalle_24m!CU$56,INDEX(Precio_V,15)*INDEX(IdxPrecio_V,1,MIN(10,CU$173)))*(1+V_dPrecio))</f>
        <v>0</v>
      </c>
      <c r="CV216" s="48">
        <f>IF(CV$8=1,IF(Reales!$C$52="PYG",IF(CV$10&gt;0,N(Reales!CV52)/CV$10,0),N(Reales!CV52)),CV$191*IF(AND(AND(95&gt;Corte,95&lt;=Corte+n_Ventana),ISNUMBER(Detalle_24m!CV$56)),Detalle_24m!CV$56,INDEX(Precio_V,15)*INDEX(IdxPrecio_V,1,MIN(10,CV$173)))*(1+V_dPrecio))</f>
        <v>0</v>
      </c>
      <c r="CW216" s="48">
        <f>IF(CW$8=1,IF(Reales!$C$52="PYG",IF(CW$10&gt;0,N(Reales!CW52)/CW$10,0),N(Reales!CW52)),CW$191*IF(AND(AND(96&gt;Corte,96&lt;=Corte+n_Ventana),ISNUMBER(Detalle_24m!CW$56)),Detalle_24m!CW$56,INDEX(Precio_V,15)*INDEX(IdxPrecio_V,1,MIN(10,CW$173)))*(1+V_dPrecio))</f>
        <v>0</v>
      </c>
      <c r="CX216" s="48">
        <f>IF(CX$8=1,IF(Reales!$C$52="PYG",IF(CX$10&gt;0,N(Reales!CX52)/CX$10,0),N(Reales!CX52)),CX$191*IF(AND(AND(97&gt;Corte,97&lt;=Corte+n_Ventana),ISNUMBER(Detalle_24m!CX$56)),Detalle_24m!CX$56,INDEX(Precio_V,15)*INDEX(IdxPrecio_V,1,MIN(10,CX$173)))*(1+V_dPrecio))</f>
        <v>0</v>
      </c>
      <c r="CY216" s="48">
        <f>IF(CY$8=1,IF(Reales!$C$52="PYG",IF(CY$10&gt;0,N(Reales!CY52)/CY$10,0),N(Reales!CY52)),CY$191*IF(AND(AND(98&gt;Corte,98&lt;=Corte+n_Ventana),ISNUMBER(Detalle_24m!CY$56)),Detalle_24m!CY$56,INDEX(Precio_V,15)*INDEX(IdxPrecio_V,1,MIN(10,CY$173)))*(1+V_dPrecio))</f>
        <v>0</v>
      </c>
      <c r="CZ216" s="48">
        <f>IF(CZ$8=1,IF(Reales!$C$52="PYG",IF(CZ$10&gt;0,N(Reales!CZ52)/CZ$10,0),N(Reales!CZ52)),CZ$191*IF(AND(AND(99&gt;Corte,99&lt;=Corte+n_Ventana),ISNUMBER(Detalle_24m!CZ$56)),Detalle_24m!CZ$56,INDEX(Precio_V,15)*INDEX(IdxPrecio_V,1,MIN(10,CZ$173)))*(1+V_dPrecio))</f>
        <v>0</v>
      </c>
      <c r="DA216" s="48">
        <f>IF(DA$8=1,IF(Reales!$C$52="PYG",IF(DA$10&gt;0,N(Reales!DA52)/DA$10,0),N(Reales!DA52)),DA$191*IF(AND(AND(100&gt;Corte,100&lt;=Corte+n_Ventana),ISNUMBER(Detalle_24m!DA$56)),Detalle_24m!DA$56,INDEX(Precio_V,15)*INDEX(IdxPrecio_V,1,MIN(10,DA$173)))*(1+V_dPrecio))</f>
        <v>0</v>
      </c>
      <c r="DB216" s="48">
        <f>IF(DB$8=1,IF(Reales!$C$52="PYG",IF(DB$10&gt;0,N(Reales!DB52)/DB$10,0),N(Reales!DB52)),DB$191*IF(AND(AND(101&gt;Corte,101&lt;=Corte+n_Ventana),ISNUMBER(Detalle_24m!DB$56)),Detalle_24m!DB$56,INDEX(Precio_V,15)*INDEX(IdxPrecio_V,1,MIN(10,DB$173)))*(1+V_dPrecio))</f>
        <v>0</v>
      </c>
      <c r="DC216" s="48">
        <f>IF(DC$8=1,IF(Reales!$C$52="PYG",IF(DC$10&gt;0,N(Reales!DC52)/DC$10,0),N(Reales!DC52)),DC$191*IF(AND(AND(102&gt;Corte,102&lt;=Corte+n_Ventana),ISNUMBER(Detalle_24m!DC$56)),Detalle_24m!DC$56,INDEX(Precio_V,15)*INDEX(IdxPrecio_V,1,MIN(10,DC$173)))*(1+V_dPrecio))</f>
        <v>0</v>
      </c>
      <c r="DD216" s="48">
        <f>IF(DD$8=1,IF(Reales!$C$52="PYG",IF(DD$10&gt;0,N(Reales!DD52)/DD$10,0),N(Reales!DD52)),DD$191*IF(AND(AND(103&gt;Corte,103&lt;=Corte+n_Ventana),ISNUMBER(Detalle_24m!DD$56)),Detalle_24m!DD$56,INDEX(Precio_V,15)*INDEX(IdxPrecio_V,1,MIN(10,DD$173)))*(1+V_dPrecio))</f>
        <v>0</v>
      </c>
      <c r="DE216" s="48">
        <f>IF(DE$8=1,IF(Reales!$C$52="PYG",IF(DE$10&gt;0,N(Reales!DE52)/DE$10,0),N(Reales!DE52)),DE$191*IF(AND(AND(104&gt;Corte,104&lt;=Corte+n_Ventana),ISNUMBER(Detalle_24m!DE$56)),Detalle_24m!DE$56,INDEX(Precio_V,15)*INDEX(IdxPrecio_V,1,MIN(10,DE$173)))*(1+V_dPrecio))</f>
        <v>0</v>
      </c>
      <c r="DF216" s="48">
        <f>IF(DF$8=1,IF(Reales!$C$52="PYG",IF(DF$10&gt;0,N(Reales!DF52)/DF$10,0),N(Reales!DF52)),DF$191*IF(AND(AND(105&gt;Corte,105&lt;=Corte+n_Ventana),ISNUMBER(Detalle_24m!DF$56)),Detalle_24m!DF$56,INDEX(Precio_V,15)*INDEX(IdxPrecio_V,1,MIN(10,DF$173)))*(1+V_dPrecio))</f>
        <v>0</v>
      </c>
      <c r="DG216" s="48">
        <f>IF(DG$8=1,IF(Reales!$C$52="PYG",IF(DG$10&gt;0,N(Reales!DG52)/DG$10,0),N(Reales!DG52)),DG$191*IF(AND(AND(106&gt;Corte,106&lt;=Corte+n_Ventana),ISNUMBER(Detalle_24m!DG$56)),Detalle_24m!DG$56,INDEX(Precio_V,15)*INDEX(IdxPrecio_V,1,MIN(10,DG$173)))*(1+V_dPrecio))</f>
        <v>0</v>
      </c>
      <c r="DH216" s="48">
        <f>IF(DH$8=1,IF(Reales!$C$52="PYG",IF(DH$10&gt;0,N(Reales!DH52)/DH$10,0),N(Reales!DH52)),DH$191*IF(AND(AND(107&gt;Corte,107&lt;=Corte+n_Ventana),ISNUMBER(Detalle_24m!DH$56)),Detalle_24m!DH$56,INDEX(Precio_V,15)*INDEX(IdxPrecio_V,1,MIN(10,DH$173)))*(1+V_dPrecio))</f>
        <v>0</v>
      </c>
      <c r="DI216" s="48">
        <f>IF(DI$8=1,IF(Reales!$C$52="PYG",IF(DI$10&gt;0,N(Reales!DI52)/DI$10,0),N(Reales!DI52)),DI$191*IF(AND(AND(108&gt;Corte,108&lt;=Corte+n_Ventana),ISNUMBER(Detalle_24m!DI$56)),Detalle_24m!DI$56,INDEX(Precio_V,15)*INDEX(IdxPrecio_V,1,MIN(10,DI$173)))*(1+V_dPrecio))</f>
        <v>0</v>
      </c>
      <c r="DJ216" s="48">
        <f>IF(DJ$8=1,IF(Reales!$C$52="PYG",IF(DJ$10&gt;0,N(Reales!DJ52)/DJ$10,0),N(Reales!DJ52)),DJ$191*IF(AND(AND(109&gt;Corte,109&lt;=Corte+n_Ventana),ISNUMBER(Detalle_24m!DJ$56)),Detalle_24m!DJ$56,INDEX(Precio_V,15)*INDEX(IdxPrecio_V,1,MIN(10,DJ$173)))*(1+V_dPrecio))</f>
        <v>0</v>
      </c>
      <c r="DK216" s="48">
        <f>IF(DK$8=1,IF(Reales!$C$52="PYG",IF(DK$10&gt;0,N(Reales!DK52)/DK$10,0),N(Reales!DK52)),DK$191*IF(AND(AND(110&gt;Corte,110&lt;=Corte+n_Ventana),ISNUMBER(Detalle_24m!DK$56)),Detalle_24m!DK$56,INDEX(Precio_V,15)*INDEX(IdxPrecio_V,1,MIN(10,DK$173)))*(1+V_dPrecio))</f>
        <v>0</v>
      </c>
      <c r="DL216" s="48">
        <f>IF(DL$8=1,IF(Reales!$C$52="PYG",IF(DL$10&gt;0,N(Reales!DL52)/DL$10,0),N(Reales!DL52)),DL$191*IF(AND(AND(111&gt;Corte,111&lt;=Corte+n_Ventana),ISNUMBER(Detalle_24m!DL$56)),Detalle_24m!DL$56,INDEX(Precio_V,15)*INDEX(IdxPrecio_V,1,MIN(10,DL$173)))*(1+V_dPrecio))</f>
        <v>0</v>
      </c>
      <c r="DM216" s="48">
        <f>IF(DM$8=1,IF(Reales!$C$52="PYG",IF(DM$10&gt;0,N(Reales!DM52)/DM$10,0),N(Reales!DM52)),DM$191*IF(AND(AND(112&gt;Corte,112&lt;=Corte+n_Ventana),ISNUMBER(Detalle_24m!DM$56)),Detalle_24m!DM$56,INDEX(Precio_V,15)*INDEX(IdxPrecio_V,1,MIN(10,DM$173)))*(1+V_dPrecio))</f>
        <v>0</v>
      </c>
      <c r="DN216" s="48">
        <f>IF(DN$8=1,IF(Reales!$C$52="PYG",IF(DN$10&gt;0,N(Reales!DN52)/DN$10,0),N(Reales!DN52)),DN$191*IF(AND(AND(113&gt;Corte,113&lt;=Corte+n_Ventana),ISNUMBER(Detalle_24m!DN$56)),Detalle_24m!DN$56,INDEX(Precio_V,15)*INDEX(IdxPrecio_V,1,MIN(10,DN$173)))*(1+V_dPrecio))</f>
        <v>0</v>
      </c>
      <c r="DO216" s="48">
        <f>IF(DO$8=1,IF(Reales!$C$52="PYG",IF(DO$10&gt;0,N(Reales!DO52)/DO$10,0),N(Reales!DO52)),DO$191*IF(AND(AND(114&gt;Corte,114&lt;=Corte+n_Ventana),ISNUMBER(Detalle_24m!DO$56)),Detalle_24m!DO$56,INDEX(Precio_V,15)*INDEX(IdxPrecio_V,1,MIN(10,DO$173)))*(1+V_dPrecio))</f>
        <v>0</v>
      </c>
      <c r="DP216" s="48">
        <f>IF(DP$8=1,IF(Reales!$C$52="PYG",IF(DP$10&gt;0,N(Reales!DP52)/DP$10,0),N(Reales!DP52)),DP$191*IF(AND(AND(115&gt;Corte,115&lt;=Corte+n_Ventana),ISNUMBER(Detalle_24m!DP$56)),Detalle_24m!DP$56,INDEX(Precio_V,15)*INDEX(IdxPrecio_V,1,MIN(10,DP$173)))*(1+V_dPrecio))</f>
        <v>0</v>
      </c>
      <c r="DQ216" s="48">
        <f>IF(DQ$8=1,IF(Reales!$C$52="PYG",IF(DQ$10&gt;0,N(Reales!DQ52)/DQ$10,0),N(Reales!DQ52)),DQ$191*IF(AND(AND(116&gt;Corte,116&lt;=Corte+n_Ventana),ISNUMBER(Detalle_24m!DQ$56)),Detalle_24m!DQ$56,INDEX(Precio_V,15)*INDEX(IdxPrecio_V,1,MIN(10,DQ$173)))*(1+V_dPrecio))</f>
        <v>0</v>
      </c>
      <c r="DR216" s="48">
        <f>IF(DR$8=1,IF(Reales!$C$52="PYG",IF(DR$10&gt;0,N(Reales!DR52)/DR$10,0),N(Reales!DR52)),DR$191*IF(AND(AND(117&gt;Corte,117&lt;=Corte+n_Ventana),ISNUMBER(Detalle_24m!DR$56)),Detalle_24m!DR$56,INDEX(Precio_V,15)*INDEX(IdxPrecio_V,1,MIN(10,DR$173)))*(1+V_dPrecio))</f>
        <v>0</v>
      </c>
      <c r="DS216" s="48">
        <f>IF(DS$8=1,IF(Reales!$C$52="PYG",IF(DS$10&gt;0,N(Reales!DS52)/DS$10,0),N(Reales!DS52)),DS$191*IF(AND(AND(118&gt;Corte,118&lt;=Corte+n_Ventana),ISNUMBER(Detalle_24m!DS$56)),Detalle_24m!DS$56,INDEX(Precio_V,15)*INDEX(IdxPrecio_V,1,MIN(10,DS$173)))*(1+V_dPrecio))</f>
        <v>0</v>
      </c>
      <c r="DT216" s="48">
        <f>IF(DT$8=1,IF(Reales!$C$52="PYG",IF(DT$10&gt;0,N(Reales!DT52)/DT$10,0),N(Reales!DT52)),DT$191*IF(AND(AND(119&gt;Corte,119&lt;=Corte+n_Ventana),ISNUMBER(Detalle_24m!DT$56)),Detalle_24m!DT$56,INDEX(Precio_V,15)*INDEX(IdxPrecio_V,1,MIN(10,DT$173)))*(1+V_dPrecio))</f>
        <v>0</v>
      </c>
      <c r="DU216" s="48">
        <f>IF(DU$8=1,IF(Reales!$C$52="PYG",IF(DU$10&gt;0,N(Reales!DU52)/DU$10,0),N(Reales!DU52)),DU$191*IF(AND(AND(120&gt;Corte,120&lt;=Corte+n_Ventana),ISNUMBER(Detalle_24m!DU$56)),Detalle_24m!DU$56,INDEX(Precio_V,15)*INDEX(IdxPrecio_V,1,MIN(10,DU$173)))*(1+V_dPrecio))</f>
        <v>0</v>
      </c>
      <c r="DV216" s="48">
        <f>IF(DV$8=1,IF(Reales!$C$52="PYG",IF(DV$10&gt;0,N(Reales!DV52)/DV$10,0),N(Reales!DV52)),DV$191*IF(AND(AND(121&gt;Corte,121&lt;=Corte+n_Ventana),ISNUMBER(Detalle_24m!DV$56)),Detalle_24m!DV$56,INDEX(Precio_V,15)*INDEX(IdxPrecio_V,1,MIN(10,DV$173)))*(1+V_dPrecio))</f>
        <v>0</v>
      </c>
      <c r="DW216" s="48">
        <f>IF(DW$8=1,IF(Reales!$C$52="PYG",IF(DW$10&gt;0,N(Reales!DW52)/DW$10,0),N(Reales!DW52)),DW$191*IF(AND(AND(122&gt;Corte,122&lt;=Corte+n_Ventana),ISNUMBER(Detalle_24m!DW$56)),Detalle_24m!DW$56,INDEX(Precio_V,15)*INDEX(IdxPrecio_V,1,MIN(10,DW$173)))*(1+V_dPrecio))</f>
        <v>0</v>
      </c>
      <c r="DX216" s="48">
        <f>IF(DX$8=1,IF(Reales!$C$52="PYG",IF(DX$10&gt;0,N(Reales!DX52)/DX$10,0),N(Reales!DX52)),DX$191*IF(AND(AND(123&gt;Corte,123&lt;=Corte+n_Ventana),ISNUMBER(Detalle_24m!DX$56)),Detalle_24m!DX$56,INDEX(Precio_V,15)*INDEX(IdxPrecio_V,1,MIN(10,DX$173)))*(1+V_dPrecio))</f>
        <v>0</v>
      </c>
      <c r="DY216" s="48">
        <f>IF(DY$8=1,IF(Reales!$C$52="PYG",IF(DY$10&gt;0,N(Reales!DY52)/DY$10,0),N(Reales!DY52)),DY$191*IF(AND(AND(124&gt;Corte,124&lt;=Corte+n_Ventana),ISNUMBER(Detalle_24m!DY$56)),Detalle_24m!DY$56,INDEX(Precio_V,15)*INDEX(IdxPrecio_V,1,MIN(10,DY$173)))*(1+V_dPrecio))</f>
        <v>0</v>
      </c>
      <c r="DZ216" s="48">
        <f>IF(DZ$8=1,IF(Reales!$C$52="PYG",IF(DZ$10&gt;0,N(Reales!DZ52)/DZ$10,0),N(Reales!DZ52)),DZ$191*IF(AND(AND(125&gt;Corte,125&lt;=Corte+n_Ventana),ISNUMBER(Detalle_24m!DZ$56)),Detalle_24m!DZ$56,INDEX(Precio_V,15)*INDEX(IdxPrecio_V,1,MIN(10,DZ$173)))*(1+V_dPrecio))</f>
        <v>0</v>
      </c>
      <c r="EA216" s="48">
        <f>IF(EA$8=1,IF(Reales!$C$52="PYG",IF(EA$10&gt;0,N(Reales!EA52)/EA$10,0),N(Reales!EA52)),EA$191*IF(AND(AND(126&gt;Corte,126&lt;=Corte+n_Ventana),ISNUMBER(Detalle_24m!EA$56)),Detalle_24m!EA$56,INDEX(Precio_V,15)*INDEX(IdxPrecio_V,1,MIN(10,EA$173)))*(1+V_dPrecio))</f>
        <v>0</v>
      </c>
      <c r="EB216" s="48">
        <f>IF(EB$8=1,IF(Reales!$C$52="PYG",IF(EB$10&gt;0,N(Reales!EB52)/EB$10,0),N(Reales!EB52)),EB$191*IF(AND(AND(127&gt;Corte,127&lt;=Corte+n_Ventana),ISNUMBER(Detalle_24m!EB$56)),Detalle_24m!EB$56,INDEX(Precio_V,15)*INDEX(IdxPrecio_V,1,MIN(10,EB$173)))*(1+V_dPrecio))</f>
        <v>0</v>
      </c>
      <c r="EC216" s="48">
        <f>IF(EC$8=1,IF(Reales!$C$52="PYG",IF(EC$10&gt;0,N(Reales!EC52)/EC$10,0),N(Reales!EC52)),EC$191*IF(AND(AND(128&gt;Corte,128&lt;=Corte+n_Ventana),ISNUMBER(Detalle_24m!EC$56)),Detalle_24m!EC$56,INDEX(Precio_V,15)*INDEX(IdxPrecio_V,1,MIN(10,EC$173)))*(1+V_dPrecio))</f>
        <v>0</v>
      </c>
      <c r="ED216" s="48">
        <f>IF(ED$8=1,IF(Reales!$C$52="PYG",IF(ED$10&gt;0,N(Reales!ED52)/ED$10,0),N(Reales!ED52)),ED$191*IF(AND(AND(129&gt;Corte,129&lt;=Corte+n_Ventana),ISNUMBER(Detalle_24m!ED$56)),Detalle_24m!ED$56,INDEX(Precio_V,15)*INDEX(IdxPrecio_V,1,MIN(10,ED$173)))*(1+V_dPrecio))</f>
        <v>0</v>
      </c>
      <c r="EE216" s="48">
        <f>IF(EE$8=1,IF(Reales!$C$52="PYG",IF(EE$10&gt;0,N(Reales!EE52)/EE$10,0),N(Reales!EE52)),EE$191*IF(AND(AND(130&gt;Corte,130&lt;=Corte+n_Ventana),ISNUMBER(Detalle_24m!EE$56)),Detalle_24m!EE$56,INDEX(Precio_V,15)*INDEX(IdxPrecio_V,1,MIN(10,EE$173)))*(1+V_dPrecio))</f>
        <v>0</v>
      </c>
      <c r="EF216" s="48">
        <f>IF(EF$8=1,IF(Reales!$C$52="PYG",IF(EF$10&gt;0,N(Reales!EF52)/EF$10,0),N(Reales!EF52)),EF$191*IF(AND(AND(131&gt;Corte,131&lt;=Corte+n_Ventana),ISNUMBER(Detalle_24m!EF$56)),Detalle_24m!EF$56,INDEX(Precio_V,15)*INDEX(IdxPrecio_V,1,MIN(10,EF$173)))*(1+V_dPrecio))</f>
        <v>0</v>
      </c>
      <c r="EG216" s="48">
        <f>IF(EG$8=1,IF(Reales!$C$52="PYG",IF(EG$10&gt;0,N(Reales!EG52)/EG$10,0),N(Reales!EG52)),EG$191*IF(AND(AND(132&gt;Corte,132&lt;=Corte+n_Ventana),ISNUMBER(Detalle_24m!EG$56)),Detalle_24m!EG$56,INDEX(Precio_V,15)*INDEX(IdxPrecio_V,1,MIN(10,EG$173)))*(1+V_dPrecio))</f>
        <v>0</v>
      </c>
      <c r="EH216" s="48">
        <f>IF(EH$8=1,IF(Reales!$C$52="PYG",IF(EH$10&gt;0,N(Reales!EH52)/EH$10,0),N(Reales!EH52)),EH$191*IF(AND(AND(133&gt;Corte,133&lt;=Corte+n_Ventana),ISNUMBER(Detalle_24m!EH$56)),Detalle_24m!EH$56,INDEX(Precio_V,15)*INDEX(IdxPrecio_V,1,MIN(10,EH$173)))*(1+V_dPrecio))</f>
        <v>0</v>
      </c>
      <c r="EI216" s="48">
        <f>IF(EI$8=1,IF(Reales!$C$52="PYG",IF(EI$10&gt;0,N(Reales!EI52)/EI$10,0),N(Reales!EI52)),EI$191*IF(AND(AND(134&gt;Corte,134&lt;=Corte+n_Ventana),ISNUMBER(Detalle_24m!EI$56)),Detalle_24m!EI$56,INDEX(Precio_V,15)*INDEX(IdxPrecio_V,1,MIN(10,EI$173)))*(1+V_dPrecio))</f>
        <v>0</v>
      </c>
      <c r="EJ216" s="48">
        <f>IF(EJ$8=1,IF(Reales!$C$52="PYG",IF(EJ$10&gt;0,N(Reales!EJ52)/EJ$10,0),N(Reales!EJ52)),EJ$191*IF(AND(AND(135&gt;Corte,135&lt;=Corte+n_Ventana),ISNUMBER(Detalle_24m!EJ$56)),Detalle_24m!EJ$56,INDEX(Precio_V,15)*INDEX(IdxPrecio_V,1,MIN(10,EJ$173)))*(1+V_dPrecio))</f>
        <v>0</v>
      </c>
      <c r="EK216" s="48">
        <f>IF(EK$8=1,IF(Reales!$C$52="PYG",IF(EK$10&gt;0,N(Reales!EK52)/EK$10,0),N(Reales!EK52)),EK$191*IF(AND(AND(136&gt;Corte,136&lt;=Corte+n_Ventana),ISNUMBER(Detalle_24m!EK$56)),Detalle_24m!EK$56,INDEX(Precio_V,15)*INDEX(IdxPrecio_V,1,MIN(10,EK$173)))*(1+V_dPrecio))</f>
        <v>0</v>
      </c>
      <c r="EL216" s="48">
        <f>IF(EL$8=1,IF(Reales!$C$52="PYG",IF(EL$10&gt;0,N(Reales!EL52)/EL$10,0),N(Reales!EL52)),EL$191*IF(AND(AND(137&gt;Corte,137&lt;=Corte+n_Ventana),ISNUMBER(Detalle_24m!EL$56)),Detalle_24m!EL$56,INDEX(Precio_V,15)*INDEX(IdxPrecio_V,1,MIN(10,EL$173)))*(1+V_dPrecio))</f>
        <v>0</v>
      </c>
      <c r="EM216" s="48">
        <f>IF(EM$8=1,IF(Reales!$C$52="PYG",IF(EM$10&gt;0,N(Reales!EM52)/EM$10,0),N(Reales!EM52)),EM$191*IF(AND(AND(138&gt;Corte,138&lt;=Corte+n_Ventana),ISNUMBER(Detalle_24m!EM$56)),Detalle_24m!EM$56,INDEX(Precio_V,15)*INDEX(IdxPrecio_V,1,MIN(10,EM$173)))*(1+V_dPrecio))</f>
        <v>0</v>
      </c>
      <c r="EN216" s="48">
        <f>IF(EN$8=1,IF(Reales!$C$52="PYG",IF(EN$10&gt;0,N(Reales!EN52)/EN$10,0),N(Reales!EN52)),EN$191*IF(AND(AND(139&gt;Corte,139&lt;=Corte+n_Ventana),ISNUMBER(Detalle_24m!EN$56)),Detalle_24m!EN$56,INDEX(Precio_V,15)*INDEX(IdxPrecio_V,1,MIN(10,EN$173)))*(1+V_dPrecio))</f>
        <v>0</v>
      </c>
      <c r="EO216" s="48">
        <f>IF(EO$8=1,IF(Reales!$C$52="PYG",IF(EO$10&gt;0,N(Reales!EO52)/EO$10,0),N(Reales!EO52)),EO$191*IF(AND(AND(140&gt;Corte,140&lt;=Corte+n_Ventana),ISNUMBER(Detalle_24m!EO$56)),Detalle_24m!EO$56,INDEX(Precio_V,15)*INDEX(IdxPrecio_V,1,MIN(10,EO$173)))*(1+V_dPrecio))</f>
        <v>0</v>
      </c>
      <c r="EP216" s="48">
        <f>IF(EP$8=1,IF(Reales!$C$52="PYG",IF(EP$10&gt;0,N(Reales!EP52)/EP$10,0),N(Reales!EP52)),EP$191*IF(AND(AND(141&gt;Corte,141&lt;=Corte+n_Ventana),ISNUMBER(Detalle_24m!EP$56)),Detalle_24m!EP$56,INDEX(Precio_V,15)*INDEX(IdxPrecio_V,1,MIN(10,EP$173)))*(1+V_dPrecio))</f>
        <v>0</v>
      </c>
      <c r="EQ216" s="48">
        <f>IF(EQ$8=1,IF(Reales!$C$52="PYG",IF(EQ$10&gt;0,N(Reales!EQ52)/EQ$10,0),N(Reales!EQ52)),EQ$191*IF(AND(AND(142&gt;Corte,142&lt;=Corte+n_Ventana),ISNUMBER(Detalle_24m!EQ$56)),Detalle_24m!EQ$56,INDEX(Precio_V,15)*INDEX(IdxPrecio_V,1,MIN(10,EQ$173)))*(1+V_dPrecio))</f>
        <v>0</v>
      </c>
      <c r="ER216" s="48">
        <f>IF(ER$8=1,IF(Reales!$C$52="PYG",IF(ER$10&gt;0,N(Reales!ER52)/ER$10,0),N(Reales!ER52)),ER$191*IF(AND(AND(143&gt;Corte,143&lt;=Corte+n_Ventana),ISNUMBER(Detalle_24m!ER$56)),Detalle_24m!ER$56,INDEX(Precio_V,15)*INDEX(IdxPrecio_V,1,MIN(10,ER$173)))*(1+V_dPrecio))</f>
        <v>0</v>
      </c>
      <c r="ES216" s="48">
        <f>IF(ES$8=1,IF(Reales!$C$52="PYG",IF(ES$10&gt;0,N(Reales!ES52)/ES$10,0),N(Reales!ES52)),ES$191*IF(AND(AND(144&gt;Corte,144&lt;=Corte+n_Ventana),ISNUMBER(Detalle_24m!ES$56)),Detalle_24m!ES$56,INDEX(Precio_V,15)*INDEX(IdxPrecio_V,1,MIN(10,ES$173)))*(1+V_dPrecio))</f>
        <v>0</v>
      </c>
    </row>
    <row r="217" spans="1:149" x14ac:dyDescent="0.3">
      <c r="A217" s="14" t="s">
        <v>1272</v>
      </c>
      <c r="B217" s="53" t="str">
        <f>IF(INDEX(Prod_Nombre,16)="","Producto 16",INDEX(Prod_Nombre,16))&amp;" — ventas USD"</f>
        <v>Producto 16 — ventas USD</v>
      </c>
      <c r="C217" s="18" t="s">
        <v>439</v>
      </c>
      <c r="E217" s="54">
        <f t="shared" si="605"/>
        <v>0</v>
      </c>
      <c r="F217" s="48">
        <f>IF(F$8=1,IF(Reales!$C$53="PYG",IF(F$10&gt;0,N(Reales!F53)/F$10,0),N(Reales!F53)),F$192*IF(AND(AND(1&gt;Corte,1&lt;=Corte+n_Ventana),ISNUMBER(Detalle_24m!F$57)),Detalle_24m!F$57,INDEX(Precio_V,16)*INDEX(IdxPrecio_V,1,MIN(10,F$173)))*(1+V_dPrecio))</f>
        <v>0</v>
      </c>
      <c r="G217" s="48">
        <f>IF(G$8=1,IF(Reales!$C$53="PYG",IF(G$10&gt;0,N(Reales!G53)/G$10,0),N(Reales!G53)),G$192*IF(AND(AND(2&gt;Corte,2&lt;=Corte+n_Ventana),ISNUMBER(Detalle_24m!G$57)),Detalle_24m!G$57,INDEX(Precio_V,16)*INDEX(IdxPrecio_V,1,MIN(10,G$173)))*(1+V_dPrecio))</f>
        <v>0</v>
      </c>
      <c r="H217" s="48">
        <f>IF(H$8=1,IF(Reales!$C$53="PYG",IF(H$10&gt;0,N(Reales!H53)/H$10,0),N(Reales!H53)),H$192*IF(AND(AND(3&gt;Corte,3&lt;=Corte+n_Ventana),ISNUMBER(Detalle_24m!H$57)),Detalle_24m!H$57,INDEX(Precio_V,16)*INDEX(IdxPrecio_V,1,MIN(10,H$173)))*(1+V_dPrecio))</f>
        <v>0</v>
      </c>
      <c r="I217" s="48">
        <f>IF(I$8=1,IF(Reales!$C$53="PYG",IF(I$10&gt;0,N(Reales!I53)/I$10,0),N(Reales!I53)),I$192*IF(AND(AND(4&gt;Corte,4&lt;=Corte+n_Ventana),ISNUMBER(Detalle_24m!I$57)),Detalle_24m!I$57,INDEX(Precio_V,16)*INDEX(IdxPrecio_V,1,MIN(10,I$173)))*(1+V_dPrecio))</f>
        <v>0</v>
      </c>
      <c r="J217" s="48">
        <f>IF(J$8=1,IF(Reales!$C$53="PYG",IF(J$10&gt;0,N(Reales!J53)/J$10,0),N(Reales!J53)),J$192*IF(AND(AND(5&gt;Corte,5&lt;=Corte+n_Ventana),ISNUMBER(Detalle_24m!J$57)),Detalle_24m!J$57,INDEX(Precio_V,16)*INDEX(IdxPrecio_V,1,MIN(10,J$173)))*(1+V_dPrecio))</f>
        <v>0</v>
      </c>
      <c r="K217" s="48">
        <f>IF(K$8=1,IF(Reales!$C$53="PYG",IF(K$10&gt;0,N(Reales!K53)/K$10,0),N(Reales!K53)),K$192*IF(AND(AND(6&gt;Corte,6&lt;=Corte+n_Ventana),ISNUMBER(Detalle_24m!K$57)),Detalle_24m!K$57,INDEX(Precio_V,16)*INDEX(IdxPrecio_V,1,MIN(10,K$173)))*(1+V_dPrecio))</f>
        <v>0</v>
      </c>
      <c r="L217" s="48">
        <f>IF(L$8=1,IF(Reales!$C$53="PYG",IF(L$10&gt;0,N(Reales!L53)/L$10,0),N(Reales!L53)),L$192*IF(AND(AND(7&gt;Corte,7&lt;=Corte+n_Ventana),ISNUMBER(Detalle_24m!L$57)),Detalle_24m!L$57,INDEX(Precio_V,16)*INDEX(IdxPrecio_V,1,MIN(10,L$173)))*(1+V_dPrecio))</f>
        <v>0</v>
      </c>
      <c r="M217" s="48">
        <f>IF(M$8=1,IF(Reales!$C$53="PYG",IF(M$10&gt;0,N(Reales!M53)/M$10,0),N(Reales!M53)),M$192*IF(AND(AND(8&gt;Corte,8&lt;=Corte+n_Ventana),ISNUMBER(Detalle_24m!M$57)),Detalle_24m!M$57,INDEX(Precio_V,16)*INDEX(IdxPrecio_V,1,MIN(10,M$173)))*(1+V_dPrecio))</f>
        <v>0</v>
      </c>
      <c r="N217" s="48">
        <f>IF(N$8=1,IF(Reales!$C$53="PYG",IF(N$10&gt;0,N(Reales!N53)/N$10,0),N(Reales!N53)),N$192*IF(AND(AND(9&gt;Corte,9&lt;=Corte+n_Ventana),ISNUMBER(Detalle_24m!N$57)),Detalle_24m!N$57,INDEX(Precio_V,16)*INDEX(IdxPrecio_V,1,MIN(10,N$173)))*(1+V_dPrecio))</f>
        <v>0</v>
      </c>
      <c r="O217" s="48">
        <f>IF(O$8=1,IF(Reales!$C$53="PYG",IF(O$10&gt;0,N(Reales!O53)/O$10,0),N(Reales!O53)),O$192*IF(AND(AND(10&gt;Corte,10&lt;=Corte+n_Ventana),ISNUMBER(Detalle_24m!O$57)),Detalle_24m!O$57,INDEX(Precio_V,16)*INDEX(IdxPrecio_V,1,MIN(10,O$173)))*(1+V_dPrecio))</f>
        <v>0</v>
      </c>
      <c r="P217" s="48">
        <f>IF(P$8=1,IF(Reales!$C$53="PYG",IF(P$10&gt;0,N(Reales!P53)/P$10,0),N(Reales!P53)),P$192*IF(AND(AND(11&gt;Corte,11&lt;=Corte+n_Ventana),ISNUMBER(Detalle_24m!P$57)),Detalle_24m!P$57,INDEX(Precio_V,16)*INDEX(IdxPrecio_V,1,MIN(10,P$173)))*(1+V_dPrecio))</f>
        <v>0</v>
      </c>
      <c r="Q217" s="48">
        <f>IF(Q$8=1,IF(Reales!$C$53="PYG",IF(Q$10&gt;0,N(Reales!Q53)/Q$10,0),N(Reales!Q53)),Q$192*IF(AND(AND(12&gt;Corte,12&lt;=Corte+n_Ventana),ISNUMBER(Detalle_24m!Q$57)),Detalle_24m!Q$57,INDEX(Precio_V,16)*INDEX(IdxPrecio_V,1,MIN(10,Q$173)))*(1+V_dPrecio))</f>
        <v>0</v>
      </c>
      <c r="R217" s="48">
        <f>IF(R$8=1,IF(Reales!$C$53="PYG",IF(R$10&gt;0,N(Reales!R53)/R$10,0),N(Reales!R53)),R$192*IF(AND(AND(13&gt;Corte,13&lt;=Corte+n_Ventana),ISNUMBER(Detalle_24m!R$57)),Detalle_24m!R$57,INDEX(Precio_V,16)*INDEX(IdxPrecio_V,1,MIN(10,R$173)))*(1+V_dPrecio))</f>
        <v>0</v>
      </c>
      <c r="S217" s="48">
        <f>IF(S$8=1,IF(Reales!$C$53="PYG",IF(S$10&gt;0,N(Reales!S53)/S$10,0),N(Reales!S53)),S$192*IF(AND(AND(14&gt;Corte,14&lt;=Corte+n_Ventana),ISNUMBER(Detalle_24m!S$57)),Detalle_24m!S$57,INDEX(Precio_V,16)*INDEX(IdxPrecio_V,1,MIN(10,S$173)))*(1+V_dPrecio))</f>
        <v>0</v>
      </c>
      <c r="T217" s="48">
        <f>IF(T$8=1,IF(Reales!$C$53="PYG",IF(T$10&gt;0,N(Reales!T53)/T$10,0),N(Reales!T53)),T$192*IF(AND(AND(15&gt;Corte,15&lt;=Corte+n_Ventana),ISNUMBER(Detalle_24m!T$57)),Detalle_24m!T$57,INDEX(Precio_V,16)*INDEX(IdxPrecio_V,1,MIN(10,T$173)))*(1+V_dPrecio))</f>
        <v>0</v>
      </c>
      <c r="U217" s="48">
        <f>IF(U$8=1,IF(Reales!$C$53="PYG",IF(U$10&gt;0,N(Reales!U53)/U$10,0),N(Reales!U53)),U$192*IF(AND(AND(16&gt;Corte,16&lt;=Corte+n_Ventana),ISNUMBER(Detalle_24m!U$57)),Detalle_24m!U$57,INDEX(Precio_V,16)*INDEX(IdxPrecio_V,1,MIN(10,U$173)))*(1+V_dPrecio))</f>
        <v>0</v>
      </c>
      <c r="V217" s="48">
        <f>IF(V$8=1,IF(Reales!$C$53="PYG",IF(V$10&gt;0,N(Reales!V53)/V$10,0),N(Reales!V53)),V$192*IF(AND(AND(17&gt;Corte,17&lt;=Corte+n_Ventana),ISNUMBER(Detalle_24m!V$57)),Detalle_24m!V$57,INDEX(Precio_V,16)*INDEX(IdxPrecio_V,1,MIN(10,V$173)))*(1+V_dPrecio))</f>
        <v>0</v>
      </c>
      <c r="W217" s="48">
        <f>IF(W$8=1,IF(Reales!$C$53="PYG",IF(W$10&gt;0,N(Reales!W53)/W$10,0),N(Reales!W53)),W$192*IF(AND(AND(18&gt;Corte,18&lt;=Corte+n_Ventana),ISNUMBER(Detalle_24m!W$57)),Detalle_24m!W$57,INDEX(Precio_V,16)*INDEX(IdxPrecio_V,1,MIN(10,W$173)))*(1+V_dPrecio))</f>
        <v>0</v>
      </c>
      <c r="X217" s="48">
        <f>IF(X$8=1,IF(Reales!$C$53="PYG",IF(X$10&gt;0,N(Reales!X53)/X$10,0),N(Reales!X53)),X$192*IF(AND(AND(19&gt;Corte,19&lt;=Corte+n_Ventana),ISNUMBER(Detalle_24m!X$57)),Detalle_24m!X$57,INDEX(Precio_V,16)*INDEX(IdxPrecio_V,1,MIN(10,X$173)))*(1+V_dPrecio))</f>
        <v>0</v>
      </c>
      <c r="Y217" s="48">
        <f>IF(Y$8=1,IF(Reales!$C$53="PYG",IF(Y$10&gt;0,N(Reales!Y53)/Y$10,0),N(Reales!Y53)),Y$192*IF(AND(AND(20&gt;Corte,20&lt;=Corte+n_Ventana),ISNUMBER(Detalle_24m!Y$57)),Detalle_24m!Y$57,INDEX(Precio_V,16)*INDEX(IdxPrecio_V,1,MIN(10,Y$173)))*(1+V_dPrecio))</f>
        <v>0</v>
      </c>
      <c r="Z217" s="48">
        <f>IF(Z$8=1,IF(Reales!$C$53="PYG",IF(Z$10&gt;0,N(Reales!Z53)/Z$10,0),N(Reales!Z53)),Z$192*IF(AND(AND(21&gt;Corte,21&lt;=Corte+n_Ventana),ISNUMBER(Detalle_24m!Z$57)),Detalle_24m!Z$57,INDEX(Precio_V,16)*INDEX(IdxPrecio_V,1,MIN(10,Z$173)))*(1+V_dPrecio))</f>
        <v>0</v>
      </c>
      <c r="AA217" s="48">
        <f>IF(AA$8=1,IF(Reales!$C$53="PYG",IF(AA$10&gt;0,N(Reales!AA53)/AA$10,0),N(Reales!AA53)),AA$192*IF(AND(AND(22&gt;Corte,22&lt;=Corte+n_Ventana),ISNUMBER(Detalle_24m!AA$57)),Detalle_24m!AA$57,INDEX(Precio_V,16)*INDEX(IdxPrecio_V,1,MIN(10,AA$173)))*(1+V_dPrecio))</f>
        <v>0</v>
      </c>
      <c r="AB217" s="48">
        <f>IF(AB$8=1,IF(Reales!$C$53="PYG",IF(AB$10&gt;0,N(Reales!AB53)/AB$10,0),N(Reales!AB53)),AB$192*IF(AND(AND(23&gt;Corte,23&lt;=Corte+n_Ventana),ISNUMBER(Detalle_24m!AB$57)),Detalle_24m!AB$57,INDEX(Precio_V,16)*INDEX(IdxPrecio_V,1,MIN(10,AB$173)))*(1+V_dPrecio))</f>
        <v>0</v>
      </c>
      <c r="AC217" s="48">
        <f>IF(AC$8=1,IF(Reales!$C$53="PYG",IF(AC$10&gt;0,N(Reales!AC53)/AC$10,0),N(Reales!AC53)),AC$192*IF(AND(AND(24&gt;Corte,24&lt;=Corte+n_Ventana),ISNUMBER(Detalle_24m!AC$57)),Detalle_24m!AC$57,INDEX(Precio_V,16)*INDEX(IdxPrecio_V,1,MIN(10,AC$173)))*(1+V_dPrecio))</f>
        <v>0</v>
      </c>
      <c r="AD217" s="48">
        <f>IF(AD$8=1,IF(Reales!$C$53="PYG",IF(AD$10&gt;0,N(Reales!AD53)/AD$10,0),N(Reales!AD53)),AD$192*IF(AND(AND(25&gt;Corte,25&lt;=Corte+n_Ventana),ISNUMBER(Detalle_24m!AD$57)),Detalle_24m!AD$57,INDEX(Precio_V,16)*INDEX(IdxPrecio_V,1,MIN(10,AD$173)))*(1+V_dPrecio))</f>
        <v>0</v>
      </c>
      <c r="AE217" s="48">
        <f>IF(AE$8=1,IF(Reales!$C$53="PYG",IF(AE$10&gt;0,N(Reales!AE53)/AE$10,0),N(Reales!AE53)),AE$192*IF(AND(AND(26&gt;Corte,26&lt;=Corte+n_Ventana),ISNUMBER(Detalle_24m!AE$57)),Detalle_24m!AE$57,INDEX(Precio_V,16)*INDEX(IdxPrecio_V,1,MIN(10,AE$173)))*(1+V_dPrecio))</f>
        <v>0</v>
      </c>
      <c r="AF217" s="48">
        <f>IF(AF$8=1,IF(Reales!$C$53="PYG",IF(AF$10&gt;0,N(Reales!AF53)/AF$10,0),N(Reales!AF53)),AF$192*IF(AND(AND(27&gt;Corte,27&lt;=Corte+n_Ventana),ISNUMBER(Detalle_24m!AF$57)),Detalle_24m!AF$57,INDEX(Precio_V,16)*INDEX(IdxPrecio_V,1,MIN(10,AF$173)))*(1+V_dPrecio))</f>
        <v>0</v>
      </c>
      <c r="AG217" s="48">
        <f>IF(AG$8=1,IF(Reales!$C$53="PYG",IF(AG$10&gt;0,N(Reales!AG53)/AG$10,0),N(Reales!AG53)),AG$192*IF(AND(AND(28&gt;Corte,28&lt;=Corte+n_Ventana),ISNUMBER(Detalle_24m!AG$57)),Detalle_24m!AG$57,INDEX(Precio_V,16)*INDEX(IdxPrecio_V,1,MIN(10,AG$173)))*(1+V_dPrecio))</f>
        <v>0</v>
      </c>
      <c r="AH217" s="48">
        <f>IF(AH$8=1,IF(Reales!$C$53="PYG",IF(AH$10&gt;0,N(Reales!AH53)/AH$10,0),N(Reales!AH53)),AH$192*IF(AND(AND(29&gt;Corte,29&lt;=Corte+n_Ventana),ISNUMBER(Detalle_24m!AH$57)),Detalle_24m!AH$57,INDEX(Precio_V,16)*INDEX(IdxPrecio_V,1,MIN(10,AH$173)))*(1+V_dPrecio))</f>
        <v>0</v>
      </c>
      <c r="AI217" s="48">
        <f>IF(AI$8=1,IF(Reales!$C$53="PYG",IF(AI$10&gt;0,N(Reales!AI53)/AI$10,0),N(Reales!AI53)),AI$192*IF(AND(AND(30&gt;Corte,30&lt;=Corte+n_Ventana),ISNUMBER(Detalle_24m!AI$57)),Detalle_24m!AI$57,INDEX(Precio_V,16)*INDEX(IdxPrecio_V,1,MIN(10,AI$173)))*(1+V_dPrecio))</f>
        <v>0</v>
      </c>
      <c r="AJ217" s="48">
        <f>IF(AJ$8=1,IF(Reales!$C$53="PYG",IF(AJ$10&gt;0,N(Reales!AJ53)/AJ$10,0),N(Reales!AJ53)),AJ$192*IF(AND(AND(31&gt;Corte,31&lt;=Corte+n_Ventana),ISNUMBER(Detalle_24m!AJ$57)),Detalle_24m!AJ$57,INDEX(Precio_V,16)*INDEX(IdxPrecio_V,1,MIN(10,AJ$173)))*(1+V_dPrecio))</f>
        <v>0</v>
      </c>
      <c r="AK217" s="48">
        <f>IF(AK$8=1,IF(Reales!$C$53="PYG",IF(AK$10&gt;0,N(Reales!AK53)/AK$10,0),N(Reales!AK53)),AK$192*IF(AND(AND(32&gt;Corte,32&lt;=Corte+n_Ventana),ISNUMBER(Detalle_24m!AK$57)),Detalle_24m!AK$57,INDEX(Precio_V,16)*INDEX(IdxPrecio_V,1,MIN(10,AK$173)))*(1+V_dPrecio))</f>
        <v>0</v>
      </c>
      <c r="AL217" s="48">
        <f>IF(AL$8=1,IF(Reales!$C$53="PYG",IF(AL$10&gt;0,N(Reales!AL53)/AL$10,0),N(Reales!AL53)),AL$192*IF(AND(AND(33&gt;Corte,33&lt;=Corte+n_Ventana),ISNUMBER(Detalle_24m!AL$57)),Detalle_24m!AL$57,INDEX(Precio_V,16)*INDEX(IdxPrecio_V,1,MIN(10,AL$173)))*(1+V_dPrecio))</f>
        <v>0</v>
      </c>
      <c r="AM217" s="48">
        <f>IF(AM$8=1,IF(Reales!$C$53="PYG",IF(AM$10&gt;0,N(Reales!AM53)/AM$10,0),N(Reales!AM53)),AM$192*IF(AND(AND(34&gt;Corte,34&lt;=Corte+n_Ventana),ISNUMBER(Detalle_24m!AM$57)),Detalle_24m!AM$57,INDEX(Precio_V,16)*INDEX(IdxPrecio_V,1,MIN(10,AM$173)))*(1+V_dPrecio))</f>
        <v>0</v>
      </c>
      <c r="AN217" s="48">
        <f>IF(AN$8=1,IF(Reales!$C$53="PYG",IF(AN$10&gt;0,N(Reales!AN53)/AN$10,0),N(Reales!AN53)),AN$192*IF(AND(AND(35&gt;Corte,35&lt;=Corte+n_Ventana),ISNUMBER(Detalle_24m!AN$57)),Detalle_24m!AN$57,INDEX(Precio_V,16)*INDEX(IdxPrecio_V,1,MIN(10,AN$173)))*(1+V_dPrecio))</f>
        <v>0</v>
      </c>
      <c r="AO217" s="48">
        <f>IF(AO$8=1,IF(Reales!$C$53="PYG",IF(AO$10&gt;0,N(Reales!AO53)/AO$10,0),N(Reales!AO53)),AO$192*IF(AND(AND(36&gt;Corte,36&lt;=Corte+n_Ventana),ISNUMBER(Detalle_24m!AO$57)),Detalle_24m!AO$57,INDEX(Precio_V,16)*INDEX(IdxPrecio_V,1,MIN(10,AO$173)))*(1+V_dPrecio))</f>
        <v>0</v>
      </c>
      <c r="AP217" s="48">
        <f>IF(AP$8=1,IF(Reales!$C$53="PYG",IF(AP$10&gt;0,N(Reales!AP53)/AP$10,0),N(Reales!AP53)),AP$192*IF(AND(AND(37&gt;Corte,37&lt;=Corte+n_Ventana),ISNUMBER(Detalle_24m!AP$57)),Detalle_24m!AP$57,INDEX(Precio_V,16)*INDEX(IdxPrecio_V,1,MIN(10,AP$173)))*(1+V_dPrecio))</f>
        <v>0</v>
      </c>
      <c r="AQ217" s="48">
        <f>IF(AQ$8=1,IF(Reales!$C$53="PYG",IF(AQ$10&gt;0,N(Reales!AQ53)/AQ$10,0),N(Reales!AQ53)),AQ$192*IF(AND(AND(38&gt;Corte,38&lt;=Corte+n_Ventana),ISNUMBER(Detalle_24m!AQ$57)),Detalle_24m!AQ$57,INDEX(Precio_V,16)*INDEX(IdxPrecio_V,1,MIN(10,AQ$173)))*(1+V_dPrecio))</f>
        <v>0</v>
      </c>
      <c r="AR217" s="48">
        <f>IF(AR$8=1,IF(Reales!$C$53="PYG",IF(AR$10&gt;0,N(Reales!AR53)/AR$10,0),N(Reales!AR53)),AR$192*IF(AND(AND(39&gt;Corte,39&lt;=Corte+n_Ventana),ISNUMBER(Detalle_24m!AR$57)),Detalle_24m!AR$57,INDEX(Precio_V,16)*INDEX(IdxPrecio_V,1,MIN(10,AR$173)))*(1+V_dPrecio))</f>
        <v>0</v>
      </c>
      <c r="AS217" s="48">
        <f>IF(AS$8=1,IF(Reales!$C$53="PYG",IF(AS$10&gt;0,N(Reales!AS53)/AS$10,0),N(Reales!AS53)),AS$192*IF(AND(AND(40&gt;Corte,40&lt;=Corte+n_Ventana),ISNUMBER(Detalle_24m!AS$57)),Detalle_24m!AS$57,INDEX(Precio_V,16)*INDEX(IdxPrecio_V,1,MIN(10,AS$173)))*(1+V_dPrecio))</f>
        <v>0</v>
      </c>
      <c r="AT217" s="48">
        <f>IF(AT$8=1,IF(Reales!$C$53="PYG",IF(AT$10&gt;0,N(Reales!AT53)/AT$10,0),N(Reales!AT53)),AT$192*IF(AND(AND(41&gt;Corte,41&lt;=Corte+n_Ventana),ISNUMBER(Detalle_24m!AT$57)),Detalle_24m!AT$57,INDEX(Precio_V,16)*INDEX(IdxPrecio_V,1,MIN(10,AT$173)))*(1+V_dPrecio))</f>
        <v>0</v>
      </c>
      <c r="AU217" s="48">
        <f>IF(AU$8=1,IF(Reales!$C$53="PYG",IF(AU$10&gt;0,N(Reales!AU53)/AU$10,0),N(Reales!AU53)),AU$192*IF(AND(AND(42&gt;Corte,42&lt;=Corte+n_Ventana),ISNUMBER(Detalle_24m!AU$57)),Detalle_24m!AU$57,INDEX(Precio_V,16)*INDEX(IdxPrecio_V,1,MIN(10,AU$173)))*(1+V_dPrecio))</f>
        <v>0</v>
      </c>
      <c r="AV217" s="48">
        <f>IF(AV$8=1,IF(Reales!$C$53="PYG",IF(AV$10&gt;0,N(Reales!AV53)/AV$10,0),N(Reales!AV53)),AV$192*IF(AND(AND(43&gt;Corte,43&lt;=Corte+n_Ventana),ISNUMBER(Detalle_24m!AV$57)),Detalle_24m!AV$57,INDEX(Precio_V,16)*INDEX(IdxPrecio_V,1,MIN(10,AV$173)))*(1+V_dPrecio))</f>
        <v>0</v>
      </c>
      <c r="AW217" s="48">
        <f>IF(AW$8=1,IF(Reales!$C$53="PYG",IF(AW$10&gt;0,N(Reales!AW53)/AW$10,0),N(Reales!AW53)),AW$192*IF(AND(AND(44&gt;Corte,44&lt;=Corte+n_Ventana),ISNUMBER(Detalle_24m!AW$57)),Detalle_24m!AW$57,INDEX(Precio_V,16)*INDEX(IdxPrecio_V,1,MIN(10,AW$173)))*(1+V_dPrecio))</f>
        <v>0</v>
      </c>
      <c r="AX217" s="48">
        <f>IF(AX$8=1,IF(Reales!$C$53="PYG",IF(AX$10&gt;0,N(Reales!AX53)/AX$10,0),N(Reales!AX53)),AX$192*IF(AND(AND(45&gt;Corte,45&lt;=Corte+n_Ventana),ISNUMBER(Detalle_24m!AX$57)),Detalle_24m!AX$57,INDEX(Precio_V,16)*INDEX(IdxPrecio_V,1,MIN(10,AX$173)))*(1+V_dPrecio))</f>
        <v>0</v>
      </c>
      <c r="AY217" s="48">
        <f>IF(AY$8=1,IF(Reales!$C$53="PYG",IF(AY$10&gt;0,N(Reales!AY53)/AY$10,0),N(Reales!AY53)),AY$192*IF(AND(AND(46&gt;Corte,46&lt;=Corte+n_Ventana),ISNUMBER(Detalle_24m!AY$57)),Detalle_24m!AY$57,INDEX(Precio_V,16)*INDEX(IdxPrecio_V,1,MIN(10,AY$173)))*(1+V_dPrecio))</f>
        <v>0</v>
      </c>
      <c r="AZ217" s="48">
        <f>IF(AZ$8=1,IF(Reales!$C$53="PYG",IF(AZ$10&gt;0,N(Reales!AZ53)/AZ$10,0),N(Reales!AZ53)),AZ$192*IF(AND(AND(47&gt;Corte,47&lt;=Corte+n_Ventana),ISNUMBER(Detalle_24m!AZ$57)),Detalle_24m!AZ$57,INDEX(Precio_V,16)*INDEX(IdxPrecio_V,1,MIN(10,AZ$173)))*(1+V_dPrecio))</f>
        <v>0</v>
      </c>
      <c r="BA217" s="48">
        <f>IF(BA$8=1,IF(Reales!$C$53="PYG",IF(BA$10&gt;0,N(Reales!BA53)/BA$10,0),N(Reales!BA53)),BA$192*IF(AND(AND(48&gt;Corte,48&lt;=Corte+n_Ventana),ISNUMBER(Detalle_24m!BA$57)),Detalle_24m!BA$57,INDEX(Precio_V,16)*INDEX(IdxPrecio_V,1,MIN(10,BA$173)))*(1+V_dPrecio))</f>
        <v>0</v>
      </c>
      <c r="BB217" s="48">
        <f>IF(BB$8=1,IF(Reales!$C$53="PYG",IF(BB$10&gt;0,N(Reales!BB53)/BB$10,0),N(Reales!BB53)),BB$192*IF(AND(AND(49&gt;Corte,49&lt;=Corte+n_Ventana),ISNUMBER(Detalle_24m!BB$57)),Detalle_24m!BB$57,INDEX(Precio_V,16)*INDEX(IdxPrecio_V,1,MIN(10,BB$173)))*(1+V_dPrecio))</f>
        <v>0</v>
      </c>
      <c r="BC217" s="48">
        <f>IF(BC$8=1,IF(Reales!$C$53="PYG",IF(BC$10&gt;0,N(Reales!BC53)/BC$10,0),N(Reales!BC53)),BC$192*IF(AND(AND(50&gt;Corte,50&lt;=Corte+n_Ventana),ISNUMBER(Detalle_24m!BC$57)),Detalle_24m!BC$57,INDEX(Precio_V,16)*INDEX(IdxPrecio_V,1,MIN(10,BC$173)))*(1+V_dPrecio))</f>
        <v>0</v>
      </c>
      <c r="BD217" s="48">
        <f>IF(BD$8=1,IF(Reales!$C$53="PYG",IF(BD$10&gt;0,N(Reales!BD53)/BD$10,0),N(Reales!BD53)),BD$192*IF(AND(AND(51&gt;Corte,51&lt;=Corte+n_Ventana),ISNUMBER(Detalle_24m!BD$57)),Detalle_24m!BD$57,INDEX(Precio_V,16)*INDEX(IdxPrecio_V,1,MIN(10,BD$173)))*(1+V_dPrecio))</f>
        <v>0</v>
      </c>
      <c r="BE217" s="48">
        <f>IF(BE$8=1,IF(Reales!$C$53="PYG",IF(BE$10&gt;0,N(Reales!BE53)/BE$10,0),N(Reales!BE53)),BE$192*IF(AND(AND(52&gt;Corte,52&lt;=Corte+n_Ventana),ISNUMBER(Detalle_24m!BE$57)),Detalle_24m!BE$57,INDEX(Precio_V,16)*INDEX(IdxPrecio_V,1,MIN(10,BE$173)))*(1+V_dPrecio))</f>
        <v>0</v>
      </c>
      <c r="BF217" s="48">
        <f>IF(BF$8=1,IF(Reales!$C$53="PYG",IF(BF$10&gt;0,N(Reales!BF53)/BF$10,0),N(Reales!BF53)),BF$192*IF(AND(AND(53&gt;Corte,53&lt;=Corte+n_Ventana),ISNUMBER(Detalle_24m!BF$57)),Detalle_24m!BF$57,INDEX(Precio_V,16)*INDEX(IdxPrecio_V,1,MIN(10,BF$173)))*(1+V_dPrecio))</f>
        <v>0</v>
      </c>
      <c r="BG217" s="48">
        <f>IF(BG$8=1,IF(Reales!$C$53="PYG",IF(BG$10&gt;0,N(Reales!BG53)/BG$10,0),N(Reales!BG53)),BG$192*IF(AND(AND(54&gt;Corte,54&lt;=Corte+n_Ventana),ISNUMBER(Detalle_24m!BG$57)),Detalle_24m!BG$57,INDEX(Precio_V,16)*INDEX(IdxPrecio_V,1,MIN(10,BG$173)))*(1+V_dPrecio))</f>
        <v>0</v>
      </c>
      <c r="BH217" s="48">
        <f>IF(BH$8=1,IF(Reales!$C$53="PYG",IF(BH$10&gt;0,N(Reales!BH53)/BH$10,0),N(Reales!BH53)),BH$192*IF(AND(AND(55&gt;Corte,55&lt;=Corte+n_Ventana),ISNUMBER(Detalle_24m!BH$57)),Detalle_24m!BH$57,INDEX(Precio_V,16)*INDEX(IdxPrecio_V,1,MIN(10,BH$173)))*(1+V_dPrecio))</f>
        <v>0</v>
      </c>
      <c r="BI217" s="48">
        <f>IF(BI$8=1,IF(Reales!$C$53="PYG",IF(BI$10&gt;0,N(Reales!BI53)/BI$10,0),N(Reales!BI53)),BI$192*IF(AND(AND(56&gt;Corte,56&lt;=Corte+n_Ventana),ISNUMBER(Detalle_24m!BI$57)),Detalle_24m!BI$57,INDEX(Precio_V,16)*INDEX(IdxPrecio_V,1,MIN(10,BI$173)))*(1+V_dPrecio))</f>
        <v>0</v>
      </c>
      <c r="BJ217" s="48">
        <f>IF(BJ$8=1,IF(Reales!$C$53="PYG",IF(BJ$10&gt;0,N(Reales!BJ53)/BJ$10,0),N(Reales!BJ53)),BJ$192*IF(AND(AND(57&gt;Corte,57&lt;=Corte+n_Ventana),ISNUMBER(Detalle_24m!BJ$57)),Detalle_24m!BJ$57,INDEX(Precio_V,16)*INDEX(IdxPrecio_V,1,MIN(10,BJ$173)))*(1+V_dPrecio))</f>
        <v>0</v>
      </c>
      <c r="BK217" s="48">
        <f>IF(BK$8=1,IF(Reales!$C$53="PYG",IF(BK$10&gt;0,N(Reales!BK53)/BK$10,0),N(Reales!BK53)),BK$192*IF(AND(AND(58&gt;Corte,58&lt;=Corte+n_Ventana),ISNUMBER(Detalle_24m!BK$57)),Detalle_24m!BK$57,INDEX(Precio_V,16)*INDEX(IdxPrecio_V,1,MIN(10,BK$173)))*(1+V_dPrecio))</f>
        <v>0</v>
      </c>
      <c r="BL217" s="48">
        <f>IF(BL$8=1,IF(Reales!$C$53="PYG",IF(BL$10&gt;0,N(Reales!BL53)/BL$10,0),N(Reales!BL53)),BL$192*IF(AND(AND(59&gt;Corte,59&lt;=Corte+n_Ventana),ISNUMBER(Detalle_24m!BL$57)),Detalle_24m!BL$57,INDEX(Precio_V,16)*INDEX(IdxPrecio_V,1,MIN(10,BL$173)))*(1+V_dPrecio))</f>
        <v>0</v>
      </c>
      <c r="BM217" s="48">
        <f>IF(BM$8=1,IF(Reales!$C$53="PYG",IF(BM$10&gt;0,N(Reales!BM53)/BM$10,0),N(Reales!BM53)),BM$192*IF(AND(AND(60&gt;Corte,60&lt;=Corte+n_Ventana),ISNUMBER(Detalle_24m!BM$57)),Detalle_24m!BM$57,INDEX(Precio_V,16)*INDEX(IdxPrecio_V,1,MIN(10,BM$173)))*(1+V_dPrecio))</f>
        <v>0</v>
      </c>
      <c r="BN217" s="48">
        <f>IF(BN$8=1,IF(Reales!$C$53="PYG",IF(BN$10&gt;0,N(Reales!BN53)/BN$10,0),N(Reales!BN53)),BN$192*IF(AND(AND(61&gt;Corte,61&lt;=Corte+n_Ventana),ISNUMBER(Detalle_24m!BN$57)),Detalle_24m!BN$57,INDEX(Precio_V,16)*INDEX(IdxPrecio_V,1,MIN(10,BN$173)))*(1+V_dPrecio))</f>
        <v>0</v>
      </c>
      <c r="BO217" s="48">
        <f>IF(BO$8=1,IF(Reales!$C$53="PYG",IF(BO$10&gt;0,N(Reales!BO53)/BO$10,0),N(Reales!BO53)),BO$192*IF(AND(AND(62&gt;Corte,62&lt;=Corte+n_Ventana),ISNUMBER(Detalle_24m!BO$57)),Detalle_24m!BO$57,INDEX(Precio_V,16)*INDEX(IdxPrecio_V,1,MIN(10,BO$173)))*(1+V_dPrecio))</f>
        <v>0</v>
      </c>
      <c r="BP217" s="48">
        <f>IF(BP$8=1,IF(Reales!$C$53="PYG",IF(BP$10&gt;0,N(Reales!BP53)/BP$10,0),N(Reales!BP53)),BP$192*IF(AND(AND(63&gt;Corte,63&lt;=Corte+n_Ventana),ISNUMBER(Detalle_24m!BP$57)),Detalle_24m!BP$57,INDEX(Precio_V,16)*INDEX(IdxPrecio_V,1,MIN(10,BP$173)))*(1+V_dPrecio))</f>
        <v>0</v>
      </c>
      <c r="BQ217" s="48">
        <f>IF(BQ$8=1,IF(Reales!$C$53="PYG",IF(BQ$10&gt;0,N(Reales!BQ53)/BQ$10,0),N(Reales!BQ53)),BQ$192*IF(AND(AND(64&gt;Corte,64&lt;=Corte+n_Ventana),ISNUMBER(Detalle_24m!BQ$57)),Detalle_24m!BQ$57,INDEX(Precio_V,16)*INDEX(IdxPrecio_V,1,MIN(10,BQ$173)))*(1+V_dPrecio))</f>
        <v>0</v>
      </c>
      <c r="BR217" s="48">
        <f>IF(BR$8=1,IF(Reales!$C$53="PYG",IF(BR$10&gt;0,N(Reales!BR53)/BR$10,0),N(Reales!BR53)),BR$192*IF(AND(AND(65&gt;Corte,65&lt;=Corte+n_Ventana),ISNUMBER(Detalle_24m!BR$57)),Detalle_24m!BR$57,INDEX(Precio_V,16)*INDEX(IdxPrecio_V,1,MIN(10,BR$173)))*(1+V_dPrecio))</f>
        <v>0</v>
      </c>
      <c r="BS217" s="48">
        <f>IF(BS$8=1,IF(Reales!$C$53="PYG",IF(BS$10&gt;0,N(Reales!BS53)/BS$10,0),N(Reales!BS53)),BS$192*IF(AND(AND(66&gt;Corte,66&lt;=Corte+n_Ventana),ISNUMBER(Detalle_24m!BS$57)),Detalle_24m!BS$57,INDEX(Precio_V,16)*INDEX(IdxPrecio_V,1,MIN(10,BS$173)))*(1+V_dPrecio))</f>
        <v>0</v>
      </c>
      <c r="BT217" s="48">
        <f>IF(BT$8=1,IF(Reales!$C$53="PYG",IF(BT$10&gt;0,N(Reales!BT53)/BT$10,0),N(Reales!BT53)),BT$192*IF(AND(AND(67&gt;Corte,67&lt;=Corte+n_Ventana),ISNUMBER(Detalle_24m!BT$57)),Detalle_24m!BT$57,INDEX(Precio_V,16)*INDEX(IdxPrecio_V,1,MIN(10,BT$173)))*(1+V_dPrecio))</f>
        <v>0</v>
      </c>
      <c r="BU217" s="48">
        <f>IF(BU$8=1,IF(Reales!$C$53="PYG",IF(BU$10&gt;0,N(Reales!BU53)/BU$10,0),N(Reales!BU53)),BU$192*IF(AND(AND(68&gt;Corte,68&lt;=Corte+n_Ventana),ISNUMBER(Detalle_24m!BU$57)),Detalle_24m!BU$57,INDEX(Precio_V,16)*INDEX(IdxPrecio_V,1,MIN(10,BU$173)))*(1+V_dPrecio))</f>
        <v>0</v>
      </c>
      <c r="BV217" s="48">
        <f>IF(BV$8=1,IF(Reales!$C$53="PYG",IF(BV$10&gt;0,N(Reales!BV53)/BV$10,0),N(Reales!BV53)),BV$192*IF(AND(AND(69&gt;Corte,69&lt;=Corte+n_Ventana),ISNUMBER(Detalle_24m!BV$57)),Detalle_24m!BV$57,INDEX(Precio_V,16)*INDEX(IdxPrecio_V,1,MIN(10,BV$173)))*(1+V_dPrecio))</f>
        <v>0</v>
      </c>
      <c r="BW217" s="48">
        <f>IF(BW$8=1,IF(Reales!$C$53="PYG",IF(BW$10&gt;0,N(Reales!BW53)/BW$10,0),N(Reales!BW53)),BW$192*IF(AND(AND(70&gt;Corte,70&lt;=Corte+n_Ventana),ISNUMBER(Detalle_24m!BW$57)),Detalle_24m!BW$57,INDEX(Precio_V,16)*INDEX(IdxPrecio_V,1,MIN(10,BW$173)))*(1+V_dPrecio))</f>
        <v>0</v>
      </c>
      <c r="BX217" s="48">
        <f>IF(BX$8=1,IF(Reales!$C$53="PYG",IF(BX$10&gt;0,N(Reales!BX53)/BX$10,0),N(Reales!BX53)),BX$192*IF(AND(AND(71&gt;Corte,71&lt;=Corte+n_Ventana),ISNUMBER(Detalle_24m!BX$57)),Detalle_24m!BX$57,INDEX(Precio_V,16)*INDEX(IdxPrecio_V,1,MIN(10,BX$173)))*(1+V_dPrecio))</f>
        <v>0</v>
      </c>
      <c r="BY217" s="48">
        <f>IF(BY$8=1,IF(Reales!$C$53="PYG",IF(BY$10&gt;0,N(Reales!BY53)/BY$10,0),N(Reales!BY53)),BY$192*IF(AND(AND(72&gt;Corte,72&lt;=Corte+n_Ventana),ISNUMBER(Detalle_24m!BY$57)),Detalle_24m!BY$57,INDEX(Precio_V,16)*INDEX(IdxPrecio_V,1,MIN(10,BY$173)))*(1+V_dPrecio))</f>
        <v>0</v>
      </c>
      <c r="BZ217" s="48">
        <f>IF(BZ$8=1,IF(Reales!$C$53="PYG",IF(BZ$10&gt;0,N(Reales!BZ53)/BZ$10,0),N(Reales!BZ53)),BZ$192*IF(AND(AND(73&gt;Corte,73&lt;=Corte+n_Ventana),ISNUMBER(Detalle_24m!BZ$57)),Detalle_24m!BZ$57,INDEX(Precio_V,16)*INDEX(IdxPrecio_V,1,MIN(10,BZ$173)))*(1+V_dPrecio))</f>
        <v>0</v>
      </c>
      <c r="CA217" s="48">
        <f>IF(CA$8=1,IF(Reales!$C$53="PYG",IF(CA$10&gt;0,N(Reales!CA53)/CA$10,0),N(Reales!CA53)),CA$192*IF(AND(AND(74&gt;Corte,74&lt;=Corte+n_Ventana),ISNUMBER(Detalle_24m!CA$57)),Detalle_24m!CA$57,INDEX(Precio_V,16)*INDEX(IdxPrecio_V,1,MIN(10,CA$173)))*(1+V_dPrecio))</f>
        <v>0</v>
      </c>
      <c r="CB217" s="48">
        <f>IF(CB$8=1,IF(Reales!$C$53="PYG",IF(CB$10&gt;0,N(Reales!CB53)/CB$10,0),N(Reales!CB53)),CB$192*IF(AND(AND(75&gt;Corte,75&lt;=Corte+n_Ventana),ISNUMBER(Detalle_24m!CB$57)),Detalle_24m!CB$57,INDEX(Precio_V,16)*INDEX(IdxPrecio_V,1,MIN(10,CB$173)))*(1+V_dPrecio))</f>
        <v>0</v>
      </c>
      <c r="CC217" s="48">
        <f>IF(CC$8=1,IF(Reales!$C$53="PYG",IF(CC$10&gt;0,N(Reales!CC53)/CC$10,0),N(Reales!CC53)),CC$192*IF(AND(AND(76&gt;Corte,76&lt;=Corte+n_Ventana),ISNUMBER(Detalle_24m!CC$57)),Detalle_24m!CC$57,INDEX(Precio_V,16)*INDEX(IdxPrecio_V,1,MIN(10,CC$173)))*(1+V_dPrecio))</f>
        <v>0</v>
      </c>
      <c r="CD217" s="48">
        <f>IF(CD$8=1,IF(Reales!$C$53="PYG",IF(CD$10&gt;0,N(Reales!CD53)/CD$10,0),N(Reales!CD53)),CD$192*IF(AND(AND(77&gt;Corte,77&lt;=Corte+n_Ventana),ISNUMBER(Detalle_24m!CD$57)),Detalle_24m!CD$57,INDEX(Precio_V,16)*INDEX(IdxPrecio_V,1,MIN(10,CD$173)))*(1+V_dPrecio))</f>
        <v>0</v>
      </c>
      <c r="CE217" s="48">
        <f>IF(CE$8=1,IF(Reales!$C$53="PYG",IF(CE$10&gt;0,N(Reales!CE53)/CE$10,0),N(Reales!CE53)),CE$192*IF(AND(AND(78&gt;Corte,78&lt;=Corte+n_Ventana),ISNUMBER(Detalle_24m!CE$57)),Detalle_24m!CE$57,INDEX(Precio_V,16)*INDEX(IdxPrecio_V,1,MIN(10,CE$173)))*(1+V_dPrecio))</f>
        <v>0</v>
      </c>
      <c r="CF217" s="48">
        <f>IF(CF$8=1,IF(Reales!$C$53="PYG",IF(CF$10&gt;0,N(Reales!CF53)/CF$10,0),N(Reales!CF53)),CF$192*IF(AND(AND(79&gt;Corte,79&lt;=Corte+n_Ventana),ISNUMBER(Detalle_24m!CF$57)),Detalle_24m!CF$57,INDEX(Precio_V,16)*INDEX(IdxPrecio_V,1,MIN(10,CF$173)))*(1+V_dPrecio))</f>
        <v>0</v>
      </c>
      <c r="CG217" s="48">
        <f>IF(CG$8=1,IF(Reales!$C$53="PYG",IF(CG$10&gt;0,N(Reales!CG53)/CG$10,0),N(Reales!CG53)),CG$192*IF(AND(AND(80&gt;Corte,80&lt;=Corte+n_Ventana),ISNUMBER(Detalle_24m!CG$57)),Detalle_24m!CG$57,INDEX(Precio_V,16)*INDEX(IdxPrecio_V,1,MIN(10,CG$173)))*(1+V_dPrecio))</f>
        <v>0</v>
      </c>
      <c r="CH217" s="48">
        <f>IF(CH$8=1,IF(Reales!$C$53="PYG",IF(CH$10&gt;0,N(Reales!CH53)/CH$10,0),N(Reales!CH53)),CH$192*IF(AND(AND(81&gt;Corte,81&lt;=Corte+n_Ventana),ISNUMBER(Detalle_24m!CH$57)),Detalle_24m!CH$57,INDEX(Precio_V,16)*INDEX(IdxPrecio_V,1,MIN(10,CH$173)))*(1+V_dPrecio))</f>
        <v>0</v>
      </c>
      <c r="CI217" s="48">
        <f>IF(CI$8=1,IF(Reales!$C$53="PYG",IF(CI$10&gt;0,N(Reales!CI53)/CI$10,0),N(Reales!CI53)),CI$192*IF(AND(AND(82&gt;Corte,82&lt;=Corte+n_Ventana),ISNUMBER(Detalle_24m!CI$57)),Detalle_24m!CI$57,INDEX(Precio_V,16)*INDEX(IdxPrecio_V,1,MIN(10,CI$173)))*(1+V_dPrecio))</f>
        <v>0</v>
      </c>
      <c r="CJ217" s="48">
        <f>IF(CJ$8=1,IF(Reales!$C$53="PYG",IF(CJ$10&gt;0,N(Reales!CJ53)/CJ$10,0),N(Reales!CJ53)),CJ$192*IF(AND(AND(83&gt;Corte,83&lt;=Corte+n_Ventana),ISNUMBER(Detalle_24m!CJ$57)),Detalle_24m!CJ$57,INDEX(Precio_V,16)*INDEX(IdxPrecio_V,1,MIN(10,CJ$173)))*(1+V_dPrecio))</f>
        <v>0</v>
      </c>
      <c r="CK217" s="48">
        <f>IF(CK$8=1,IF(Reales!$C$53="PYG",IF(CK$10&gt;0,N(Reales!CK53)/CK$10,0),N(Reales!CK53)),CK$192*IF(AND(AND(84&gt;Corte,84&lt;=Corte+n_Ventana),ISNUMBER(Detalle_24m!CK$57)),Detalle_24m!CK$57,INDEX(Precio_V,16)*INDEX(IdxPrecio_V,1,MIN(10,CK$173)))*(1+V_dPrecio))</f>
        <v>0</v>
      </c>
      <c r="CL217" s="48">
        <f>IF(CL$8=1,IF(Reales!$C$53="PYG",IF(CL$10&gt;0,N(Reales!CL53)/CL$10,0),N(Reales!CL53)),CL$192*IF(AND(AND(85&gt;Corte,85&lt;=Corte+n_Ventana),ISNUMBER(Detalle_24m!CL$57)),Detalle_24m!CL$57,INDEX(Precio_V,16)*INDEX(IdxPrecio_V,1,MIN(10,CL$173)))*(1+V_dPrecio))</f>
        <v>0</v>
      </c>
      <c r="CM217" s="48">
        <f>IF(CM$8=1,IF(Reales!$C$53="PYG",IF(CM$10&gt;0,N(Reales!CM53)/CM$10,0),N(Reales!CM53)),CM$192*IF(AND(AND(86&gt;Corte,86&lt;=Corte+n_Ventana),ISNUMBER(Detalle_24m!CM$57)),Detalle_24m!CM$57,INDEX(Precio_V,16)*INDEX(IdxPrecio_V,1,MIN(10,CM$173)))*(1+V_dPrecio))</f>
        <v>0</v>
      </c>
      <c r="CN217" s="48">
        <f>IF(CN$8=1,IF(Reales!$C$53="PYG",IF(CN$10&gt;0,N(Reales!CN53)/CN$10,0),N(Reales!CN53)),CN$192*IF(AND(AND(87&gt;Corte,87&lt;=Corte+n_Ventana),ISNUMBER(Detalle_24m!CN$57)),Detalle_24m!CN$57,INDEX(Precio_V,16)*INDEX(IdxPrecio_V,1,MIN(10,CN$173)))*(1+V_dPrecio))</f>
        <v>0</v>
      </c>
      <c r="CO217" s="48">
        <f>IF(CO$8=1,IF(Reales!$C$53="PYG",IF(CO$10&gt;0,N(Reales!CO53)/CO$10,0),N(Reales!CO53)),CO$192*IF(AND(AND(88&gt;Corte,88&lt;=Corte+n_Ventana),ISNUMBER(Detalle_24m!CO$57)),Detalle_24m!CO$57,INDEX(Precio_V,16)*INDEX(IdxPrecio_V,1,MIN(10,CO$173)))*(1+V_dPrecio))</f>
        <v>0</v>
      </c>
      <c r="CP217" s="48">
        <f>IF(CP$8=1,IF(Reales!$C$53="PYG",IF(CP$10&gt;0,N(Reales!CP53)/CP$10,0),N(Reales!CP53)),CP$192*IF(AND(AND(89&gt;Corte,89&lt;=Corte+n_Ventana),ISNUMBER(Detalle_24m!CP$57)),Detalle_24m!CP$57,INDEX(Precio_V,16)*INDEX(IdxPrecio_V,1,MIN(10,CP$173)))*(1+V_dPrecio))</f>
        <v>0</v>
      </c>
      <c r="CQ217" s="48">
        <f>IF(CQ$8=1,IF(Reales!$C$53="PYG",IF(CQ$10&gt;0,N(Reales!CQ53)/CQ$10,0),N(Reales!CQ53)),CQ$192*IF(AND(AND(90&gt;Corte,90&lt;=Corte+n_Ventana),ISNUMBER(Detalle_24m!CQ$57)),Detalle_24m!CQ$57,INDEX(Precio_V,16)*INDEX(IdxPrecio_V,1,MIN(10,CQ$173)))*(1+V_dPrecio))</f>
        <v>0</v>
      </c>
      <c r="CR217" s="48">
        <f>IF(CR$8=1,IF(Reales!$C$53="PYG",IF(CR$10&gt;0,N(Reales!CR53)/CR$10,0),N(Reales!CR53)),CR$192*IF(AND(AND(91&gt;Corte,91&lt;=Corte+n_Ventana),ISNUMBER(Detalle_24m!CR$57)),Detalle_24m!CR$57,INDEX(Precio_V,16)*INDEX(IdxPrecio_V,1,MIN(10,CR$173)))*(1+V_dPrecio))</f>
        <v>0</v>
      </c>
      <c r="CS217" s="48">
        <f>IF(CS$8=1,IF(Reales!$C$53="PYG",IF(CS$10&gt;0,N(Reales!CS53)/CS$10,0),N(Reales!CS53)),CS$192*IF(AND(AND(92&gt;Corte,92&lt;=Corte+n_Ventana),ISNUMBER(Detalle_24m!CS$57)),Detalle_24m!CS$57,INDEX(Precio_V,16)*INDEX(IdxPrecio_V,1,MIN(10,CS$173)))*(1+V_dPrecio))</f>
        <v>0</v>
      </c>
      <c r="CT217" s="48">
        <f>IF(CT$8=1,IF(Reales!$C$53="PYG",IF(CT$10&gt;0,N(Reales!CT53)/CT$10,0),N(Reales!CT53)),CT$192*IF(AND(AND(93&gt;Corte,93&lt;=Corte+n_Ventana),ISNUMBER(Detalle_24m!CT$57)),Detalle_24m!CT$57,INDEX(Precio_V,16)*INDEX(IdxPrecio_V,1,MIN(10,CT$173)))*(1+V_dPrecio))</f>
        <v>0</v>
      </c>
      <c r="CU217" s="48">
        <f>IF(CU$8=1,IF(Reales!$C$53="PYG",IF(CU$10&gt;0,N(Reales!CU53)/CU$10,0),N(Reales!CU53)),CU$192*IF(AND(AND(94&gt;Corte,94&lt;=Corte+n_Ventana),ISNUMBER(Detalle_24m!CU$57)),Detalle_24m!CU$57,INDEX(Precio_V,16)*INDEX(IdxPrecio_V,1,MIN(10,CU$173)))*(1+V_dPrecio))</f>
        <v>0</v>
      </c>
      <c r="CV217" s="48">
        <f>IF(CV$8=1,IF(Reales!$C$53="PYG",IF(CV$10&gt;0,N(Reales!CV53)/CV$10,0),N(Reales!CV53)),CV$192*IF(AND(AND(95&gt;Corte,95&lt;=Corte+n_Ventana),ISNUMBER(Detalle_24m!CV$57)),Detalle_24m!CV$57,INDEX(Precio_V,16)*INDEX(IdxPrecio_V,1,MIN(10,CV$173)))*(1+V_dPrecio))</f>
        <v>0</v>
      </c>
      <c r="CW217" s="48">
        <f>IF(CW$8=1,IF(Reales!$C$53="PYG",IF(CW$10&gt;0,N(Reales!CW53)/CW$10,0),N(Reales!CW53)),CW$192*IF(AND(AND(96&gt;Corte,96&lt;=Corte+n_Ventana),ISNUMBER(Detalle_24m!CW$57)),Detalle_24m!CW$57,INDEX(Precio_V,16)*INDEX(IdxPrecio_V,1,MIN(10,CW$173)))*(1+V_dPrecio))</f>
        <v>0</v>
      </c>
      <c r="CX217" s="48">
        <f>IF(CX$8=1,IF(Reales!$C$53="PYG",IF(CX$10&gt;0,N(Reales!CX53)/CX$10,0),N(Reales!CX53)),CX$192*IF(AND(AND(97&gt;Corte,97&lt;=Corte+n_Ventana),ISNUMBER(Detalle_24m!CX$57)),Detalle_24m!CX$57,INDEX(Precio_V,16)*INDEX(IdxPrecio_V,1,MIN(10,CX$173)))*(1+V_dPrecio))</f>
        <v>0</v>
      </c>
      <c r="CY217" s="48">
        <f>IF(CY$8=1,IF(Reales!$C$53="PYG",IF(CY$10&gt;0,N(Reales!CY53)/CY$10,0),N(Reales!CY53)),CY$192*IF(AND(AND(98&gt;Corte,98&lt;=Corte+n_Ventana),ISNUMBER(Detalle_24m!CY$57)),Detalle_24m!CY$57,INDEX(Precio_V,16)*INDEX(IdxPrecio_V,1,MIN(10,CY$173)))*(1+V_dPrecio))</f>
        <v>0</v>
      </c>
      <c r="CZ217" s="48">
        <f>IF(CZ$8=1,IF(Reales!$C$53="PYG",IF(CZ$10&gt;0,N(Reales!CZ53)/CZ$10,0),N(Reales!CZ53)),CZ$192*IF(AND(AND(99&gt;Corte,99&lt;=Corte+n_Ventana),ISNUMBER(Detalle_24m!CZ$57)),Detalle_24m!CZ$57,INDEX(Precio_V,16)*INDEX(IdxPrecio_V,1,MIN(10,CZ$173)))*(1+V_dPrecio))</f>
        <v>0</v>
      </c>
      <c r="DA217" s="48">
        <f>IF(DA$8=1,IF(Reales!$C$53="PYG",IF(DA$10&gt;0,N(Reales!DA53)/DA$10,0),N(Reales!DA53)),DA$192*IF(AND(AND(100&gt;Corte,100&lt;=Corte+n_Ventana),ISNUMBER(Detalle_24m!DA$57)),Detalle_24m!DA$57,INDEX(Precio_V,16)*INDEX(IdxPrecio_V,1,MIN(10,DA$173)))*(1+V_dPrecio))</f>
        <v>0</v>
      </c>
      <c r="DB217" s="48">
        <f>IF(DB$8=1,IF(Reales!$C$53="PYG",IF(DB$10&gt;0,N(Reales!DB53)/DB$10,0),N(Reales!DB53)),DB$192*IF(AND(AND(101&gt;Corte,101&lt;=Corte+n_Ventana),ISNUMBER(Detalle_24m!DB$57)),Detalle_24m!DB$57,INDEX(Precio_V,16)*INDEX(IdxPrecio_V,1,MIN(10,DB$173)))*(1+V_dPrecio))</f>
        <v>0</v>
      </c>
      <c r="DC217" s="48">
        <f>IF(DC$8=1,IF(Reales!$C$53="PYG",IF(DC$10&gt;0,N(Reales!DC53)/DC$10,0),N(Reales!DC53)),DC$192*IF(AND(AND(102&gt;Corte,102&lt;=Corte+n_Ventana),ISNUMBER(Detalle_24m!DC$57)),Detalle_24m!DC$57,INDEX(Precio_V,16)*INDEX(IdxPrecio_V,1,MIN(10,DC$173)))*(1+V_dPrecio))</f>
        <v>0</v>
      </c>
      <c r="DD217" s="48">
        <f>IF(DD$8=1,IF(Reales!$C$53="PYG",IF(DD$10&gt;0,N(Reales!DD53)/DD$10,0),N(Reales!DD53)),DD$192*IF(AND(AND(103&gt;Corte,103&lt;=Corte+n_Ventana),ISNUMBER(Detalle_24m!DD$57)),Detalle_24m!DD$57,INDEX(Precio_V,16)*INDEX(IdxPrecio_V,1,MIN(10,DD$173)))*(1+V_dPrecio))</f>
        <v>0</v>
      </c>
      <c r="DE217" s="48">
        <f>IF(DE$8=1,IF(Reales!$C$53="PYG",IF(DE$10&gt;0,N(Reales!DE53)/DE$10,0),N(Reales!DE53)),DE$192*IF(AND(AND(104&gt;Corte,104&lt;=Corte+n_Ventana),ISNUMBER(Detalle_24m!DE$57)),Detalle_24m!DE$57,INDEX(Precio_V,16)*INDEX(IdxPrecio_V,1,MIN(10,DE$173)))*(1+V_dPrecio))</f>
        <v>0</v>
      </c>
      <c r="DF217" s="48">
        <f>IF(DF$8=1,IF(Reales!$C$53="PYG",IF(DF$10&gt;0,N(Reales!DF53)/DF$10,0),N(Reales!DF53)),DF$192*IF(AND(AND(105&gt;Corte,105&lt;=Corte+n_Ventana),ISNUMBER(Detalle_24m!DF$57)),Detalle_24m!DF$57,INDEX(Precio_V,16)*INDEX(IdxPrecio_V,1,MIN(10,DF$173)))*(1+V_dPrecio))</f>
        <v>0</v>
      </c>
      <c r="DG217" s="48">
        <f>IF(DG$8=1,IF(Reales!$C$53="PYG",IF(DG$10&gt;0,N(Reales!DG53)/DG$10,0),N(Reales!DG53)),DG$192*IF(AND(AND(106&gt;Corte,106&lt;=Corte+n_Ventana),ISNUMBER(Detalle_24m!DG$57)),Detalle_24m!DG$57,INDEX(Precio_V,16)*INDEX(IdxPrecio_V,1,MIN(10,DG$173)))*(1+V_dPrecio))</f>
        <v>0</v>
      </c>
      <c r="DH217" s="48">
        <f>IF(DH$8=1,IF(Reales!$C$53="PYG",IF(DH$10&gt;0,N(Reales!DH53)/DH$10,0),N(Reales!DH53)),DH$192*IF(AND(AND(107&gt;Corte,107&lt;=Corte+n_Ventana),ISNUMBER(Detalle_24m!DH$57)),Detalle_24m!DH$57,INDEX(Precio_V,16)*INDEX(IdxPrecio_V,1,MIN(10,DH$173)))*(1+V_dPrecio))</f>
        <v>0</v>
      </c>
      <c r="DI217" s="48">
        <f>IF(DI$8=1,IF(Reales!$C$53="PYG",IF(DI$10&gt;0,N(Reales!DI53)/DI$10,0),N(Reales!DI53)),DI$192*IF(AND(AND(108&gt;Corte,108&lt;=Corte+n_Ventana),ISNUMBER(Detalle_24m!DI$57)),Detalle_24m!DI$57,INDEX(Precio_V,16)*INDEX(IdxPrecio_V,1,MIN(10,DI$173)))*(1+V_dPrecio))</f>
        <v>0</v>
      </c>
      <c r="DJ217" s="48">
        <f>IF(DJ$8=1,IF(Reales!$C$53="PYG",IF(DJ$10&gt;0,N(Reales!DJ53)/DJ$10,0),N(Reales!DJ53)),DJ$192*IF(AND(AND(109&gt;Corte,109&lt;=Corte+n_Ventana),ISNUMBER(Detalle_24m!DJ$57)),Detalle_24m!DJ$57,INDEX(Precio_V,16)*INDEX(IdxPrecio_V,1,MIN(10,DJ$173)))*(1+V_dPrecio))</f>
        <v>0</v>
      </c>
      <c r="DK217" s="48">
        <f>IF(DK$8=1,IF(Reales!$C$53="PYG",IF(DK$10&gt;0,N(Reales!DK53)/DK$10,0),N(Reales!DK53)),DK$192*IF(AND(AND(110&gt;Corte,110&lt;=Corte+n_Ventana),ISNUMBER(Detalle_24m!DK$57)),Detalle_24m!DK$57,INDEX(Precio_V,16)*INDEX(IdxPrecio_V,1,MIN(10,DK$173)))*(1+V_dPrecio))</f>
        <v>0</v>
      </c>
      <c r="DL217" s="48">
        <f>IF(DL$8=1,IF(Reales!$C$53="PYG",IF(DL$10&gt;0,N(Reales!DL53)/DL$10,0),N(Reales!DL53)),DL$192*IF(AND(AND(111&gt;Corte,111&lt;=Corte+n_Ventana),ISNUMBER(Detalle_24m!DL$57)),Detalle_24m!DL$57,INDEX(Precio_V,16)*INDEX(IdxPrecio_V,1,MIN(10,DL$173)))*(1+V_dPrecio))</f>
        <v>0</v>
      </c>
      <c r="DM217" s="48">
        <f>IF(DM$8=1,IF(Reales!$C$53="PYG",IF(DM$10&gt;0,N(Reales!DM53)/DM$10,0),N(Reales!DM53)),DM$192*IF(AND(AND(112&gt;Corte,112&lt;=Corte+n_Ventana),ISNUMBER(Detalle_24m!DM$57)),Detalle_24m!DM$57,INDEX(Precio_V,16)*INDEX(IdxPrecio_V,1,MIN(10,DM$173)))*(1+V_dPrecio))</f>
        <v>0</v>
      </c>
      <c r="DN217" s="48">
        <f>IF(DN$8=1,IF(Reales!$C$53="PYG",IF(DN$10&gt;0,N(Reales!DN53)/DN$10,0),N(Reales!DN53)),DN$192*IF(AND(AND(113&gt;Corte,113&lt;=Corte+n_Ventana),ISNUMBER(Detalle_24m!DN$57)),Detalle_24m!DN$57,INDEX(Precio_V,16)*INDEX(IdxPrecio_V,1,MIN(10,DN$173)))*(1+V_dPrecio))</f>
        <v>0</v>
      </c>
      <c r="DO217" s="48">
        <f>IF(DO$8=1,IF(Reales!$C$53="PYG",IF(DO$10&gt;0,N(Reales!DO53)/DO$10,0),N(Reales!DO53)),DO$192*IF(AND(AND(114&gt;Corte,114&lt;=Corte+n_Ventana),ISNUMBER(Detalle_24m!DO$57)),Detalle_24m!DO$57,INDEX(Precio_V,16)*INDEX(IdxPrecio_V,1,MIN(10,DO$173)))*(1+V_dPrecio))</f>
        <v>0</v>
      </c>
      <c r="DP217" s="48">
        <f>IF(DP$8=1,IF(Reales!$C$53="PYG",IF(DP$10&gt;0,N(Reales!DP53)/DP$10,0),N(Reales!DP53)),DP$192*IF(AND(AND(115&gt;Corte,115&lt;=Corte+n_Ventana),ISNUMBER(Detalle_24m!DP$57)),Detalle_24m!DP$57,INDEX(Precio_V,16)*INDEX(IdxPrecio_V,1,MIN(10,DP$173)))*(1+V_dPrecio))</f>
        <v>0</v>
      </c>
      <c r="DQ217" s="48">
        <f>IF(DQ$8=1,IF(Reales!$C$53="PYG",IF(DQ$10&gt;0,N(Reales!DQ53)/DQ$10,0),N(Reales!DQ53)),DQ$192*IF(AND(AND(116&gt;Corte,116&lt;=Corte+n_Ventana),ISNUMBER(Detalle_24m!DQ$57)),Detalle_24m!DQ$57,INDEX(Precio_V,16)*INDEX(IdxPrecio_V,1,MIN(10,DQ$173)))*(1+V_dPrecio))</f>
        <v>0</v>
      </c>
      <c r="DR217" s="48">
        <f>IF(DR$8=1,IF(Reales!$C$53="PYG",IF(DR$10&gt;0,N(Reales!DR53)/DR$10,0),N(Reales!DR53)),DR$192*IF(AND(AND(117&gt;Corte,117&lt;=Corte+n_Ventana),ISNUMBER(Detalle_24m!DR$57)),Detalle_24m!DR$57,INDEX(Precio_V,16)*INDEX(IdxPrecio_V,1,MIN(10,DR$173)))*(1+V_dPrecio))</f>
        <v>0</v>
      </c>
      <c r="DS217" s="48">
        <f>IF(DS$8=1,IF(Reales!$C$53="PYG",IF(DS$10&gt;0,N(Reales!DS53)/DS$10,0),N(Reales!DS53)),DS$192*IF(AND(AND(118&gt;Corte,118&lt;=Corte+n_Ventana),ISNUMBER(Detalle_24m!DS$57)),Detalle_24m!DS$57,INDEX(Precio_V,16)*INDEX(IdxPrecio_V,1,MIN(10,DS$173)))*(1+V_dPrecio))</f>
        <v>0</v>
      </c>
      <c r="DT217" s="48">
        <f>IF(DT$8=1,IF(Reales!$C$53="PYG",IF(DT$10&gt;0,N(Reales!DT53)/DT$10,0),N(Reales!DT53)),DT$192*IF(AND(AND(119&gt;Corte,119&lt;=Corte+n_Ventana),ISNUMBER(Detalle_24m!DT$57)),Detalle_24m!DT$57,INDEX(Precio_V,16)*INDEX(IdxPrecio_V,1,MIN(10,DT$173)))*(1+V_dPrecio))</f>
        <v>0</v>
      </c>
      <c r="DU217" s="48">
        <f>IF(DU$8=1,IF(Reales!$C$53="PYG",IF(DU$10&gt;0,N(Reales!DU53)/DU$10,0),N(Reales!DU53)),DU$192*IF(AND(AND(120&gt;Corte,120&lt;=Corte+n_Ventana),ISNUMBER(Detalle_24m!DU$57)),Detalle_24m!DU$57,INDEX(Precio_V,16)*INDEX(IdxPrecio_V,1,MIN(10,DU$173)))*(1+V_dPrecio))</f>
        <v>0</v>
      </c>
      <c r="DV217" s="48">
        <f>IF(DV$8=1,IF(Reales!$C$53="PYG",IF(DV$10&gt;0,N(Reales!DV53)/DV$10,0),N(Reales!DV53)),DV$192*IF(AND(AND(121&gt;Corte,121&lt;=Corte+n_Ventana),ISNUMBER(Detalle_24m!DV$57)),Detalle_24m!DV$57,INDEX(Precio_V,16)*INDEX(IdxPrecio_V,1,MIN(10,DV$173)))*(1+V_dPrecio))</f>
        <v>0</v>
      </c>
      <c r="DW217" s="48">
        <f>IF(DW$8=1,IF(Reales!$C$53="PYG",IF(DW$10&gt;0,N(Reales!DW53)/DW$10,0),N(Reales!DW53)),DW$192*IF(AND(AND(122&gt;Corte,122&lt;=Corte+n_Ventana),ISNUMBER(Detalle_24m!DW$57)),Detalle_24m!DW$57,INDEX(Precio_V,16)*INDEX(IdxPrecio_V,1,MIN(10,DW$173)))*(1+V_dPrecio))</f>
        <v>0</v>
      </c>
      <c r="DX217" s="48">
        <f>IF(DX$8=1,IF(Reales!$C$53="PYG",IF(DX$10&gt;0,N(Reales!DX53)/DX$10,0),N(Reales!DX53)),DX$192*IF(AND(AND(123&gt;Corte,123&lt;=Corte+n_Ventana),ISNUMBER(Detalle_24m!DX$57)),Detalle_24m!DX$57,INDEX(Precio_V,16)*INDEX(IdxPrecio_V,1,MIN(10,DX$173)))*(1+V_dPrecio))</f>
        <v>0</v>
      </c>
      <c r="DY217" s="48">
        <f>IF(DY$8=1,IF(Reales!$C$53="PYG",IF(DY$10&gt;0,N(Reales!DY53)/DY$10,0),N(Reales!DY53)),DY$192*IF(AND(AND(124&gt;Corte,124&lt;=Corte+n_Ventana),ISNUMBER(Detalle_24m!DY$57)),Detalle_24m!DY$57,INDEX(Precio_V,16)*INDEX(IdxPrecio_V,1,MIN(10,DY$173)))*(1+V_dPrecio))</f>
        <v>0</v>
      </c>
      <c r="DZ217" s="48">
        <f>IF(DZ$8=1,IF(Reales!$C$53="PYG",IF(DZ$10&gt;0,N(Reales!DZ53)/DZ$10,0),N(Reales!DZ53)),DZ$192*IF(AND(AND(125&gt;Corte,125&lt;=Corte+n_Ventana),ISNUMBER(Detalle_24m!DZ$57)),Detalle_24m!DZ$57,INDEX(Precio_V,16)*INDEX(IdxPrecio_V,1,MIN(10,DZ$173)))*(1+V_dPrecio))</f>
        <v>0</v>
      </c>
      <c r="EA217" s="48">
        <f>IF(EA$8=1,IF(Reales!$C$53="PYG",IF(EA$10&gt;0,N(Reales!EA53)/EA$10,0),N(Reales!EA53)),EA$192*IF(AND(AND(126&gt;Corte,126&lt;=Corte+n_Ventana),ISNUMBER(Detalle_24m!EA$57)),Detalle_24m!EA$57,INDEX(Precio_V,16)*INDEX(IdxPrecio_V,1,MIN(10,EA$173)))*(1+V_dPrecio))</f>
        <v>0</v>
      </c>
      <c r="EB217" s="48">
        <f>IF(EB$8=1,IF(Reales!$C$53="PYG",IF(EB$10&gt;0,N(Reales!EB53)/EB$10,0),N(Reales!EB53)),EB$192*IF(AND(AND(127&gt;Corte,127&lt;=Corte+n_Ventana),ISNUMBER(Detalle_24m!EB$57)),Detalle_24m!EB$57,INDEX(Precio_V,16)*INDEX(IdxPrecio_V,1,MIN(10,EB$173)))*(1+V_dPrecio))</f>
        <v>0</v>
      </c>
      <c r="EC217" s="48">
        <f>IF(EC$8=1,IF(Reales!$C$53="PYG",IF(EC$10&gt;0,N(Reales!EC53)/EC$10,0),N(Reales!EC53)),EC$192*IF(AND(AND(128&gt;Corte,128&lt;=Corte+n_Ventana),ISNUMBER(Detalle_24m!EC$57)),Detalle_24m!EC$57,INDEX(Precio_V,16)*INDEX(IdxPrecio_V,1,MIN(10,EC$173)))*(1+V_dPrecio))</f>
        <v>0</v>
      </c>
      <c r="ED217" s="48">
        <f>IF(ED$8=1,IF(Reales!$C$53="PYG",IF(ED$10&gt;0,N(Reales!ED53)/ED$10,0),N(Reales!ED53)),ED$192*IF(AND(AND(129&gt;Corte,129&lt;=Corte+n_Ventana),ISNUMBER(Detalle_24m!ED$57)),Detalle_24m!ED$57,INDEX(Precio_V,16)*INDEX(IdxPrecio_V,1,MIN(10,ED$173)))*(1+V_dPrecio))</f>
        <v>0</v>
      </c>
      <c r="EE217" s="48">
        <f>IF(EE$8=1,IF(Reales!$C$53="PYG",IF(EE$10&gt;0,N(Reales!EE53)/EE$10,0),N(Reales!EE53)),EE$192*IF(AND(AND(130&gt;Corte,130&lt;=Corte+n_Ventana),ISNUMBER(Detalle_24m!EE$57)),Detalle_24m!EE$57,INDEX(Precio_V,16)*INDEX(IdxPrecio_V,1,MIN(10,EE$173)))*(1+V_dPrecio))</f>
        <v>0</v>
      </c>
      <c r="EF217" s="48">
        <f>IF(EF$8=1,IF(Reales!$C$53="PYG",IF(EF$10&gt;0,N(Reales!EF53)/EF$10,0),N(Reales!EF53)),EF$192*IF(AND(AND(131&gt;Corte,131&lt;=Corte+n_Ventana),ISNUMBER(Detalle_24m!EF$57)),Detalle_24m!EF$57,INDEX(Precio_V,16)*INDEX(IdxPrecio_V,1,MIN(10,EF$173)))*(1+V_dPrecio))</f>
        <v>0</v>
      </c>
      <c r="EG217" s="48">
        <f>IF(EG$8=1,IF(Reales!$C$53="PYG",IF(EG$10&gt;0,N(Reales!EG53)/EG$10,0),N(Reales!EG53)),EG$192*IF(AND(AND(132&gt;Corte,132&lt;=Corte+n_Ventana),ISNUMBER(Detalle_24m!EG$57)),Detalle_24m!EG$57,INDEX(Precio_V,16)*INDEX(IdxPrecio_V,1,MIN(10,EG$173)))*(1+V_dPrecio))</f>
        <v>0</v>
      </c>
      <c r="EH217" s="48">
        <f>IF(EH$8=1,IF(Reales!$C$53="PYG",IF(EH$10&gt;0,N(Reales!EH53)/EH$10,0),N(Reales!EH53)),EH$192*IF(AND(AND(133&gt;Corte,133&lt;=Corte+n_Ventana),ISNUMBER(Detalle_24m!EH$57)),Detalle_24m!EH$57,INDEX(Precio_V,16)*INDEX(IdxPrecio_V,1,MIN(10,EH$173)))*(1+V_dPrecio))</f>
        <v>0</v>
      </c>
      <c r="EI217" s="48">
        <f>IF(EI$8=1,IF(Reales!$C$53="PYG",IF(EI$10&gt;0,N(Reales!EI53)/EI$10,0),N(Reales!EI53)),EI$192*IF(AND(AND(134&gt;Corte,134&lt;=Corte+n_Ventana),ISNUMBER(Detalle_24m!EI$57)),Detalle_24m!EI$57,INDEX(Precio_V,16)*INDEX(IdxPrecio_V,1,MIN(10,EI$173)))*(1+V_dPrecio))</f>
        <v>0</v>
      </c>
      <c r="EJ217" s="48">
        <f>IF(EJ$8=1,IF(Reales!$C$53="PYG",IF(EJ$10&gt;0,N(Reales!EJ53)/EJ$10,0),N(Reales!EJ53)),EJ$192*IF(AND(AND(135&gt;Corte,135&lt;=Corte+n_Ventana),ISNUMBER(Detalle_24m!EJ$57)),Detalle_24m!EJ$57,INDEX(Precio_V,16)*INDEX(IdxPrecio_V,1,MIN(10,EJ$173)))*(1+V_dPrecio))</f>
        <v>0</v>
      </c>
      <c r="EK217" s="48">
        <f>IF(EK$8=1,IF(Reales!$C$53="PYG",IF(EK$10&gt;0,N(Reales!EK53)/EK$10,0),N(Reales!EK53)),EK$192*IF(AND(AND(136&gt;Corte,136&lt;=Corte+n_Ventana),ISNUMBER(Detalle_24m!EK$57)),Detalle_24m!EK$57,INDEX(Precio_V,16)*INDEX(IdxPrecio_V,1,MIN(10,EK$173)))*(1+V_dPrecio))</f>
        <v>0</v>
      </c>
      <c r="EL217" s="48">
        <f>IF(EL$8=1,IF(Reales!$C$53="PYG",IF(EL$10&gt;0,N(Reales!EL53)/EL$10,0),N(Reales!EL53)),EL$192*IF(AND(AND(137&gt;Corte,137&lt;=Corte+n_Ventana),ISNUMBER(Detalle_24m!EL$57)),Detalle_24m!EL$57,INDEX(Precio_V,16)*INDEX(IdxPrecio_V,1,MIN(10,EL$173)))*(1+V_dPrecio))</f>
        <v>0</v>
      </c>
      <c r="EM217" s="48">
        <f>IF(EM$8=1,IF(Reales!$C$53="PYG",IF(EM$10&gt;0,N(Reales!EM53)/EM$10,0),N(Reales!EM53)),EM$192*IF(AND(AND(138&gt;Corte,138&lt;=Corte+n_Ventana),ISNUMBER(Detalle_24m!EM$57)),Detalle_24m!EM$57,INDEX(Precio_V,16)*INDEX(IdxPrecio_V,1,MIN(10,EM$173)))*(1+V_dPrecio))</f>
        <v>0</v>
      </c>
      <c r="EN217" s="48">
        <f>IF(EN$8=1,IF(Reales!$C$53="PYG",IF(EN$10&gt;0,N(Reales!EN53)/EN$10,0),N(Reales!EN53)),EN$192*IF(AND(AND(139&gt;Corte,139&lt;=Corte+n_Ventana),ISNUMBER(Detalle_24m!EN$57)),Detalle_24m!EN$57,INDEX(Precio_V,16)*INDEX(IdxPrecio_V,1,MIN(10,EN$173)))*(1+V_dPrecio))</f>
        <v>0</v>
      </c>
      <c r="EO217" s="48">
        <f>IF(EO$8=1,IF(Reales!$C$53="PYG",IF(EO$10&gt;0,N(Reales!EO53)/EO$10,0),N(Reales!EO53)),EO$192*IF(AND(AND(140&gt;Corte,140&lt;=Corte+n_Ventana),ISNUMBER(Detalle_24m!EO$57)),Detalle_24m!EO$57,INDEX(Precio_V,16)*INDEX(IdxPrecio_V,1,MIN(10,EO$173)))*(1+V_dPrecio))</f>
        <v>0</v>
      </c>
      <c r="EP217" s="48">
        <f>IF(EP$8=1,IF(Reales!$C$53="PYG",IF(EP$10&gt;0,N(Reales!EP53)/EP$10,0),N(Reales!EP53)),EP$192*IF(AND(AND(141&gt;Corte,141&lt;=Corte+n_Ventana),ISNUMBER(Detalle_24m!EP$57)),Detalle_24m!EP$57,INDEX(Precio_V,16)*INDEX(IdxPrecio_V,1,MIN(10,EP$173)))*(1+V_dPrecio))</f>
        <v>0</v>
      </c>
      <c r="EQ217" s="48">
        <f>IF(EQ$8=1,IF(Reales!$C$53="PYG",IF(EQ$10&gt;0,N(Reales!EQ53)/EQ$10,0),N(Reales!EQ53)),EQ$192*IF(AND(AND(142&gt;Corte,142&lt;=Corte+n_Ventana),ISNUMBER(Detalle_24m!EQ$57)),Detalle_24m!EQ$57,INDEX(Precio_V,16)*INDEX(IdxPrecio_V,1,MIN(10,EQ$173)))*(1+V_dPrecio))</f>
        <v>0</v>
      </c>
      <c r="ER217" s="48">
        <f>IF(ER$8=1,IF(Reales!$C$53="PYG",IF(ER$10&gt;0,N(Reales!ER53)/ER$10,0),N(Reales!ER53)),ER$192*IF(AND(AND(143&gt;Corte,143&lt;=Corte+n_Ventana),ISNUMBER(Detalle_24m!ER$57)),Detalle_24m!ER$57,INDEX(Precio_V,16)*INDEX(IdxPrecio_V,1,MIN(10,ER$173)))*(1+V_dPrecio))</f>
        <v>0</v>
      </c>
      <c r="ES217" s="48">
        <f>IF(ES$8=1,IF(Reales!$C$53="PYG",IF(ES$10&gt;0,N(Reales!ES53)/ES$10,0),N(Reales!ES53)),ES$192*IF(AND(AND(144&gt;Corte,144&lt;=Corte+n_Ventana),ISNUMBER(Detalle_24m!ES$57)),Detalle_24m!ES$57,INDEX(Precio_V,16)*INDEX(IdxPrecio_V,1,MIN(10,ES$173)))*(1+V_dPrecio))</f>
        <v>0</v>
      </c>
    </row>
    <row r="218" spans="1:149" x14ac:dyDescent="0.3">
      <c r="A218" s="14" t="s">
        <v>1273</v>
      </c>
      <c r="B218" s="53" t="str">
        <f>IF(INDEX(Prod_Nombre,17)="","Producto 17",INDEX(Prod_Nombre,17))&amp;" — ventas USD"</f>
        <v>Producto 17 — ventas USD</v>
      </c>
      <c r="C218" s="18" t="s">
        <v>439</v>
      </c>
      <c r="E218" s="54">
        <f t="shared" si="605"/>
        <v>0</v>
      </c>
      <c r="F218" s="48">
        <f>IF(F$8=1,IF(Reales!$C$54="PYG",IF(F$10&gt;0,N(Reales!F54)/F$10,0),N(Reales!F54)),F$193*IF(AND(AND(1&gt;Corte,1&lt;=Corte+n_Ventana),ISNUMBER(Detalle_24m!F$58)),Detalle_24m!F$58,INDEX(Precio_V,17)*INDEX(IdxPrecio_V,1,MIN(10,F$173)))*(1+V_dPrecio))</f>
        <v>0</v>
      </c>
      <c r="G218" s="48">
        <f>IF(G$8=1,IF(Reales!$C$54="PYG",IF(G$10&gt;0,N(Reales!G54)/G$10,0),N(Reales!G54)),G$193*IF(AND(AND(2&gt;Corte,2&lt;=Corte+n_Ventana),ISNUMBER(Detalle_24m!G$58)),Detalle_24m!G$58,INDEX(Precio_V,17)*INDEX(IdxPrecio_V,1,MIN(10,G$173)))*(1+V_dPrecio))</f>
        <v>0</v>
      </c>
      <c r="H218" s="48">
        <f>IF(H$8=1,IF(Reales!$C$54="PYG",IF(H$10&gt;0,N(Reales!H54)/H$10,0),N(Reales!H54)),H$193*IF(AND(AND(3&gt;Corte,3&lt;=Corte+n_Ventana),ISNUMBER(Detalle_24m!H$58)),Detalle_24m!H$58,INDEX(Precio_V,17)*INDEX(IdxPrecio_V,1,MIN(10,H$173)))*(1+V_dPrecio))</f>
        <v>0</v>
      </c>
      <c r="I218" s="48">
        <f>IF(I$8=1,IF(Reales!$C$54="PYG",IF(I$10&gt;0,N(Reales!I54)/I$10,0),N(Reales!I54)),I$193*IF(AND(AND(4&gt;Corte,4&lt;=Corte+n_Ventana),ISNUMBER(Detalle_24m!I$58)),Detalle_24m!I$58,INDEX(Precio_V,17)*INDEX(IdxPrecio_V,1,MIN(10,I$173)))*(1+V_dPrecio))</f>
        <v>0</v>
      </c>
      <c r="J218" s="48">
        <f>IF(J$8=1,IF(Reales!$C$54="PYG",IF(J$10&gt;0,N(Reales!J54)/J$10,0),N(Reales!J54)),J$193*IF(AND(AND(5&gt;Corte,5&lt;=Corte+n_Ventana),ISNUMBER(Detalle_24m!J$58)),Detalle_24m!J$58,INDEX(Precio_V,17)*INDEX(IdxPrecio_V,1,MIN(10,J$173)))*(1+V_dPrecio))</f>
        <v>0</v>
      </c>
      <c r="K218" s="48">
        <f>IF(K$8=1,IF(Reales!$C$54="PYG",IF(K$10&gt;0,N(Reales!K54)/K$10,0),N(Reales!K54)),K$193*IF(AND(AND(6&gt;Corte,6&lt;=Corte+n_Ventana),ISNUMBER(Detalle_24m!K$58)),Detalle_24m!K$58,INDEX(Precio_V,17)*INDEX(IdxPrecio_V,1,MIN(10,K$173)))*(1+V_dPrecio))</f>
        <v>0</v>
      </c>
      <c r="L218" s="48">
        <f>IF(L$8=1,IF(Reales!$C$54="PYG",IF(L$10&gt;0,N(Reales!L54)/L$10,0),N(Reales!L54)),L$193*IF(AND(AND(7&gt;Corte,7&lt;=Corte+n_Ventana),ISNUMBER(Detalle_24m!L$58)),Detalle_24m!L$58,INDEX(Precio_V,17)*INDEX(IdxPrecio_V,1,MIN(10,L$173)))*(1+V_dPrecio))</f>
        <v>0</v>
      </c>
      <c r="M218" s="48">
        <f>IF(M$8=1,IF(Reales!$C$54="PYG",IF(M$10&gt;0,N(Reales!M54)/M$10,0),N(Reales!M54)),M$193*IF(AND(AND(8&gt;Corte,8&lt;=Corte+n_Ventana),ISNUMBER(Detalle_24m!M$58)),Detalle_24m!M$58,INDEX(Precio_V,17)*INDEX(IdxPrecio_V,1,MIN(10,M$173)))*(1+V_dPrecio))</f>
        <v>0</v>
      </c>
      <c r="N218" s="48">
        <f>IF(N$8=1,IF(Reales!$C$54="PYG",IF(N$10&gt;0,N(Reales!N54)/N$10,0),N(Reales!N54)),N$193*IF(AND(AND(9&gt;Corte,9&lt;=Corte+n_Ventana),ISNUMBER(Detalle_24m!N$58)),Detalle_24m!N$58,INDEX(Precio_V,17)*INDEX(IdxPrecio_V,1,MIN(10,N$173)))*(1+V_dPrecio))</f>
        <v>0</v>
      </c>
      <c r="O218" s="48">
        <f>IF(O$8=1,IF(Reales!$C$54="PYG",IF(O$10&gt;0,N(Reales!O54)/O$10,0),N(Reales!O54)),O$193*IF(AND(AND(10&gt;Corte,10&lt;=Corte+n_Ventana),ISNUMBER(Detalle_24m!O$58)),Detalle_24m!O$58,INDEX(Precio_V,17)*INDEX(IdxPrecio_V,1,MIN(10,O$173)))*(1+V_dPrecio))</f>
        <v>0</v>
      </c>
      <c r="P218" s="48">
        <f>IF(P$8=1,IF(Reales!$C$54="PYG",IF(P$10&gt;0,N(Reales!P54)/P$10,0),N(Reales!P54)),P$193*IF(AND(AND(11&gt;Corte,11&lt;=Corte+n_Ventana),ISNUMBER(Detalle_24m!P$58)),Detalle_24m!P$58,INDEX(Precio_V,17)*INDEX(IdxPrecio_V,1,MIN(10,P$173)))*(1+V_dPrecio))</f>
        <v>0</v>
      </c>
      <c r="Q218" s="48">
        <f>IF(Q$8=1,IF(Reales!$C$54="PYG",IF(Q$10&gt;0,N(Reales!Q54)/Q$10,0),N(Reales!Q54)),Q$193*IF(AND(AND(12&gt;Corte,12&lt;=Corte+n_Ventana),ISNUMBER(Detalle_24m!Q$58)),Detalle_24m!Q$58,INDEX(Precio_V,17)*INDEX(IdxPrecio_V,1,MIN(10,Q$173)))*(1+V_dPrecio))</f>
        <v>0</v>
      </c>
      <c r="R218" s="48">
        <f>IF(R$8=1,IF(Reales!$C$54="PYG",IF(R$10&gt;0,N(Reales!R54)/R$10,0),N(Reales!R54)),R$193*IF(AND(AND(13&gt;Corte,13&lt;=Corte+n_Ventana),ISNUMBER(Detalle_24m!R$58)),Detalle_24m!R$58,INDEX(Precio_V,17)*INDEX(IdxPrecio_V,1,MIN(10,R$173)))*(1+V_dPrecio))</f>
        <v>0</v>
      </c>
      <c r="S218" s="48">
        <f>IF(S$8=1,IF(Reales!$C$54="PYG",IF(S$10&gt;0,N(Reales!S54)/S$10,0),N(Reales!S54)),S$193*IF(AND(AND(14&gt;Corte,14&lt;=Corte+n_Ventana),ISNUMBER(Detalle_24m!S$58)),Detalle_24m!S$58,INDEX(Precio_V,17)*INDEX(IdxPrecio_V,1,MIN(10,S$173)))*(1+V_dPrecio))</f>
        <v>0</v>
      </c>
      <c r="T218" s="48">
        <f>IF(T$8=1,IF(Reales!$C$54="PYG",IF(T$10&gt;0,N(Reales!T54)/T$10,0),N(Reales!T54)),T$193*IF(AND(AND(15&gt;Corte,15&lt;=Corte+n_Ventana),ISNUMBER(Detalle_24m!T$58)),Detalle_24m!T$58,INDEX(Precio_V,17)*INDEX(IdxPrecio_V,1,MIN(10,T$173)))*(1+V_dPrecio))</f>
        <v>0</v>
      </c>
      <c r="U218" s="48">
        <f>IF(U$8=1,IF(Reales!$C$54="PYG",IF(U$10&gt;0,N(Reales!U54)/U$10,0),N(Reales!U54)),U$193*IF(AND(AND(16&gt;Corte,16&lt;=Corte+n_Ventana),ISNUMBER(Detalle_24m!U$58)),Detalle_24m!U$58,INDEX(Precio_V,17)*INDEX(IdxPrecio_V,1,MIN(10,U$173)))*(1+V_dPrecio))</f>
        <v>0</v>
      </c>
      <c r="V218" s="48">
        <f>IF(V$8=1,IF(Reales!$C$54="PYG",IF(V$10&gt;0,N(Reales!V54)/V$10,0),N(Reales!V54)),V$193*IF(AND(AND(17&gt;Corte,17&lt;=Corte+n_Ventana),ISNUMBER(Detalle_24m!V$58)),Detalle_24m!V$58,INDEX(Precio_V,17)*INDEX(IdxPrecio_V,1,MIN(10,V$173)))*(1+V_dPrecio))</f>
        <v>0</v>
      </c>
      <c r="W218" s="48">
        <f>IF(W$8=1,IF(Reales!$C$54="PYG",IF(W$10&gt;0,N(Reales!W54)/W$10,0),N(Reales!W54)),W$193*IF(AND(AND(18&gt;Corte,18&lt;=Corte+n_Ventana),ISNUMBER(Detalle_24m!W$58)),Detalle_24m!W$58,INDEX(Precio_V,17)*INDEX(IdxPrecio_V,1,MIN(10,W$173)))*(1+V_dPrecio))</f>
        <v>0</v>
      </c>
      <c r="X218" s="48">
        <f>IF(X$8=1,IF(Reales!$C$54="PYG",IF(X$10&gt;0,N(Reales!X54)/X$10,0),N(Reales!X54)),X$193*IF(AND(AND(19&gt;Corte,19&lt;=Corte+n_Ventana),ISNUMBER(Detalle_24m!X$58)),Detalle_24m!X$58,INDEX(Precio_V,17)*INDEX(IdxPrecio_V,1,MIN(10,X$173)))*(1+V_dPrecio))</f>
        <v>0</v>
      </c>
      <c r="Y218" s="48">
        <f>IF(Y$8=1,IF(Reales!$C$54="PYG",IF(Y$10&gt;0,N(Reales!Y54)/Y$10,0),N(Reales!Y54)),Y$193*IF(AND(AND(20&gt;Corte,20&lt;=Corte+n_Ventana),ISNUMBER(Detalle_24m!Y$58)),Detalle_24m!Y$58,INDEX(Precio_V,17)*INDEX(IdxPrecio_V,1,MIN(10,Y$173)))*(1+V_dPrecio))</f>
        <v>0</v>
      </c>
      <c r="Z218" s="48">
        <f>IF(Z$8=1,IF(Reales!$C$54="PYG",IF(Z$10&gt;0,N(Reales!Z54)/Z$10,0),N(Reales!Z54)),Z$193*IF(AND(AND(21&gt;Corte,21&lt;=Corte+n_Ventana),ISNUMBER(Detalle_24m!Z$58)),Detalle_24m!Z$58,INDEX(Precio_V,17)*INDEX(IdxPrecio_V,1,MIN(10,Z$173)))*(1+V_dPrecio))</f>
        <v>0</v>
      </c>
      <c r="AA218" s="48">
        <f>IF(AA$8=1,IF(Reales!$C$54="PYG",IF(AA$10&gt;0,N(Reales!AA54)/AA$10,0),N(Reales!AA54)),AA$193*IF(AND(AND(22&gt;Corte,22&lt;=Corte+n_Ventana),ISNUMBER(Detalle_24m!AA$58)),Detalle_24m!AA$58,INDEX(Precio_V,17)*INDEX(IdxPrecio_V,1,MIN(10,AA$173)))*(1+V_dPrecio))</f>
        <v>0</v>
      </c>
      <c r="AB218" s="48">
        <f>IF(AB$8=1,IF(Reales!$C$54="PYG",IF(AB$10&gt;0,N(Reales!AB54)/AB$10,0),N(Reales!AB54)),AB$193*IF(AND(AND(23&gt;Corte,23&lt;=Corte+n_Ventana),ISNUMBER(Detalle_24m!AB$58)),Detalle_24m!AB$58,INDEX(Precio_V,17)*INDEX(IdxPrecio_V,1,MIN(10,AB$173)))*(1+V_dPrecio))</f>
        <v>0</v>
      </c>
      <c r="AC218" s="48">
        <f>IF(AC$8=1,IF(Reales!$C$54="PYG",IF(AC$10&gt;0,N(Reales!AC54)/AC$10,0),N(Reales!AC54)),AC$193*IF(AND(AND(24&gt;Corte,24&lt;=Corte+n_Ventana),ISNUMBER(Detalle_24m!AC$58)),Detalle_24m!AC$58,INDEX(Precio_V,17)*INDEX(IdxPrecio_V,1,MIN(10,AC$173)))*(1+V_dPrecio))</f>
        <v>0</v>
      </c>
      <c r="AD218" s="48">
        <f>IF(AD$8=1,IF(Reales!$C$54="PYG",IF(AD$10&gt;0,N(Reales!AD54)/AD$10,0),N(Reales!AD54)),AD$193*IF(AND(AND(25&gt;Corte,25&lt;=Corte+n_Ventana),ISNUMBER(Detalle_24m!AD$58)),Detalle_24m!AD$58,INDEX(Precio_V,17)*INDEX(IdxPrecio_V,1,MIN(10,AD$173)))*(1+V_dPrecio))</f>
        <v>0</v>
      </c>
      <c r="AE218" s="48">
        <f>IF(AE$8=1,IF(Reales!$C$54="PYG",IF(AE$10&gt;0,N(Reales!AE54)/AE$10,0),N(Reales!AE54)),AE$193*IF(AND(AND(26&gt;Corte,26&lt;=Corte+n_Ventana),ISNUMBER(Detalle_24m!AE$58)),Detalle_24m!AE$58,INDEX(Precio_V,17)*INDEX(IdxPrecio_V,1,MIN(10,AE$173)))*(1+V_dPrecio))</f>
        <v>0</v>
      </c>
      <c r="AF218" s="48">
        <f>IF(AF$8=1,IF(Reales!$C$54="PYG",IF(AF$10&gt;0,N(Reales!AF54)/AF$10,0),N(Reales!AF54)),AF$193*IF(AND(AND(27&gt;Corte,27&lt;=Corte+n_Ventana),ISNUMBER(Detalle_24m!AF$58)),Detalle_24m!AF$58,INDEX(Precio_V,17)*INDEX(IdxPrecio_V,1,MIN(10,AF$173)))*(1+V_dPrecio))</f>
        <v>0</v>
      </c>
      <c r="AG218" s="48">
        <f>IF(AG$8=1,IF(Reales!$C$54="PYG",IF(AG$10&gt;0,N(Reales!AG54)/AG$10,0),N(Reales!AG54)),AG$193*IF(AND(AND(28&gt;Corte,28&lt;=Corte+n_Ventana),ISNUMBER(Detalle_24m!AG$58)),Detalle_24m!AG$58,INDEX(Precio_V,17)*INDEX(IdxPrecio_V,1,MIN(10,AG$173)))*(1+V_dPrecio))</f>
        <v>0</v>
      </c>
      <c r="AH218" s="48">
        <f>IF(AH$8=1,IF(Reales!$C$54="PYG",IF(AH$10&gt;0,N(Reales!AH54)/AH$10,0),N(Reales!AH54)),AH$193*IF(AND(AND(29&gt;Corte,29&lt;=Corte+n_Ventana),ISNUMBER(Detalle_24m!AH$58)),Detalle_24m!AH$58,INDEX(Precio_V,17)*INDEX(IdxPrecio_V,1,MIN(10,AH$173)))*(1+V_dPrecio))</f>
        <v>0</v>
      </c>
      <c r="AI218" s="48">
        <f>IF(AI$8=1,IF(Reales!$C$54="PYG",IF(AI$10&gt;0,N(Reales!AI54)/AI$10,0),N(Reales!AI54)),AI$193*IF(AND(AND(30&gt;Corte,30&lt;=Corte+n_Ventana),ISNUMBER(Detalle_24m!AI$58)),Detalle_24m!AI$58,INDEX(Precio_V,17)*INDEX(IdxPrecio_V,1,MIN(10,AI$173)))*(1+V_dPrecio))</f>
        <v>0</v>
      </c>
      <c r="AJ218" s="48">
        <f>IF(AJ$8=1,IF(Reales!$C$54="PYG",IF(AJ$10&gt;0,N(Reales!AJ54)/AJ$10,0),N(Reales!AJ54)),AJ$193*IF(AND(AND(31&gt;Corte,31&lt;=Corte+n_Ventana),ISNUMBER(Detalle_24m!AJ$58)),Detalle_24m!AJ$58,INDEX(Precio_V,17)*INDEX(IdxPrecio_V,1,MIN(10,AJ$173)))*(1+V_dPrecio))</f>
        <v>0</v>
      </c>
      <c r="AK218" s="48">
        <f>IF(AK$8=1,IF(Reales!$C$54="PYG",IF(AK$10&gt;0,N(Reales!AK54)/AK$10,0),N(Reales!AK54)),AK$193*IF(AND(AND(32&gt;Corte,32&lt;=Corte+n_Ventana),ISNUMBER(Detalle_24m!AK$58)),Detalle_24m!AK$58,INDEX(Precio_V,17)*INDEX(IdxPrecio_V,1,MIN(10,AK$173)))*(1+V_dPrecio))</f>
        <v>0</v>
      </c>
      <c r="AL218" s="48">
        <f>IF(AL$8=1,IF(Reales!$C$54="PYG",IF(AL$10&gt;0,N(Reales!AL54)/AL$10,0),N(Reales!AL54)),AL$193*IF(AND(AND(33&gt;Corte,33&lt;=Corte+n_Ventana),ISNUMBER(Detalle_24m!AL$58)),Detalle_24m!AL$58,INDEX(Precio_V,17)*INDEX(IdxPrecio_V,1,MIN(10,AL$173)))*(1+V_dPrecio))</f>
        <v>0</v>
      </c>
      <c r="AM218" s="48">
        <f>IF(AM$8=1,IF(Reales!$C$54="PYG",IF(AM$10&gt;0,N(Reales!AM54)/AM$10,0),N(Reales!AM54)),AM$193*IF(AND(AND(34&gt;Corte,34&lt;=Corte+n_Ventana),ISNUMBER(Detalle_24m!AM$58)),Detalle_24m!AM$58,INDEX(Precio_V,17)*INDEX(IdxPrecio_V,1,MIN(10,AM$173)))*(1+V_dPrecio))</f>
        <v>0</v>
      </c>
      <c r="AN218" s="48">
        <f>IF(AN$8=1,IF(Reales!$C$54="PYG",IF(AN$10&gt;0,N(Reales!AN54)/AN$10,0),N(Reales!AN54)),AN$193*IF(AND(AND(35&gt;Corte,35&lt;=Corte+n_Ventana),ISNUMBER(Detalle_24m!AN$58)),Detalle_24m!AN$58,INDEX(Precio_V,17)*INDEX(IdxPrecio_V,1,MIN(10,AN$173)))*(1+V_dPrecio))</f>
        <v>0</v>
      </c>
      <c r="AO218" s="48">
        <f>IF(AO$8=1,IF(Reales!$C$54="PYG",IF(AO$10&gt;0,N(Reales!AO54)/AO$10,0),N(Reales!AO54)),AO$193*IF(AND(AND(36&gt;Corte,36&lt;=Corte+n_Ventana),ISNUMBER(Detalle_24m!AO$58)),Detalle_24m!AO$58,INDEX(Precio_V,17)*INDEX(IdxPrecio_V,1,MIN(10,AO$173)))*(1+V_dPrecio))</f>
        <v>0</v>
      </c>
      <c r="AP218" s="48">
        <f>IF(AP$8=1,IF(Reales!$C$54="PYG",IF(AP$10&gt;0,N(Reales!AP54)/AP$10,0),N(Reales!AP54)),AP$193*IF(AND(AND(37&gt;Corte,37&lt;=Corte+n_Ventana),ISNUMBER(Detalle_24m!AP$58)),Detalle_24m!AP$58,INDEX(Precio_V,17)*INDEX(IdxPrecio_V,1,MIN(10,AP$173)))*(1+V_dPrecio))</f>
        <v>0</v>
      </c>
      <c r="AQ218" s="48">
        <f>IF(AQ$8=1,IF(Reales!$C$54="PYG",IF(AQ$10&gt;0,N(Reales!AQ54)/AQ$10,0),N(Reales!AQ54)),AQ$193*IF(AND(AND(38&gt;Corte,38&lt;=Corte+n_Ventana),ISNUMBER(Detalle_24m!AQ$58)),Detalle_24m!AQ$58,INDEX(Precio_V,17)*INDEX(IdxPrecio_V,1,MIN(10,AQ$173)))*(1+V_dPrecio))</f>
        <v>0</v>
      </c>
      <c r="AR218" s="48">
        <f>IF(AR$8=1,IF(Reales!$C$54="PYG",IF(AR$10&gt;0,N(Reales!AR54)/AR$10,0),N(Reales!AR54)),AR$193*IF(AND(AND(39&gt;Corte,39&lt;=Corte+n_Ventana),ISNUMBER(Detalle_24m!AR$58)),Detalle_24m!AR$58,INDEX(Precio_V,17)*INDEX(IdxPrecio_V,1,MIN(10,AR$173)))*(1+V_dPrecio))</f>
        <v>0</v>
      </c>
      <c r="AS218" s="48">
        <f>IF(AS$8=1,IF(Reales!$C$54="PYG",IF(AS$10&gt;0,N(Reales!AS54)/AS$10,0),N(Reales!AS54)),AS$193*IF(AND(AND(40&gt;Corte,40&lt;=Corte+n_Ventana),ISNUMBER(Detalle_24m!AS$58)),Detalle_24m!AS$58,INDEX(Precio_V,17)*INDEX(IdxPrecio_V,1,MIN(10,AS$173)))*(1+V_dPrecio))</f>
        <v>0</v>
      </c>
      <c r="AT218" s="48">
        <f>IF(AT$8=1,IF(Reales!$C$54="PYG",IF(AT$10&gt;0,N(Reales!AT54)/AT$10,0),N(Reales!AT54)),AT$193*IF(AND(AND(41&gt;Corte,41&lt;=Corte+n_Ventana),ISNUMBER(Detalle_24m!AT$58)),Detalle_24m!AT$58,INDEX(Precio_V,17)*INDEX(IdxPrecio_V,1,MIN(10,AT$173)))*(1+V_dPrecio))</f>
        <v>0</v>
      </c>
      <c r="AU218" s="48">
        <f>IF(AU$8=1,IF(Reales!$C$54="PYG",IF(AU$10&gt;0,N(Reales!AU54)/AU$10,0),N(Reales!AU54)),AU$193*IF(AND(AND(42&gt;Corte,42&lt;=Corte+n_Ventana),ISNUMBER(Detalle_24m!AU$58)),Detalle_24m!AU$58,INDEX(Precio_V,17)*INDEX(IdxPrecio_V,1,MIN(10,AU$173)))*(1+V_dPrecio))</f>
        <v>0</v>
      </c>
      <c r="AV218" s="48">
        <f>IF(AV$8=1,IF(Reales!$C$54="PYG",IF(AV$10&gt;0,N(Reales!AV54)/AV$10,0),N(Reales!AV54)),AV$193*IF(AND(AND(43&gt;Corte,43&lt;=Corte+n_Ventana),ISNUMBER(Detalle_24m!AV$58)),Detalle_24m!AV$58,INDEX(Precio_V,17)*INDEX(IdxPrecio_V,1,MIN(10,AV$173)))*(1+V_dPrecio))</f>
        <v>0</v>
      </c>
      <c r="AW218" s="48">
        <f>IF(AW$8=1,IF(Reales!$C$54="PYG",IF(AW$10&gt;0,N(Reales!AW54)/AW$10,0),N(Reales!AW54)),AW$193*IF(AND(AND(44&gt;Corte,44&lt;=Corte+n_Ventana),ISNUMBER(Detalle_24m!AW$58)),Detalle_24m!AW$58,INDEX(Precio_V,17)*INDEX(IdxPrecio_V,1,MIN(10,AW$173)))*(1+V_dPrecio))</f>
        <v>0</v>
      </c>
      <c r="AX218" s="48">
        <f>IF(AX$8=1,IF(Reales!$C$54="PYG",IF(AX$10&gt;0,N(Reales!AX54)/AX$10,0),N(Reales!AX54)),AX$193*IF(AND(AND(45&gt;Corte,45&lt;=Corte+n_Ventana),ISNUMBER(Detalle_24m!AX$58)),Detalle_24m!AX$58,INDEX(Precio_V,17)*INDEX(IdxPrecio_V,1,MIN(10,AX$173)))*(1+V_dPrecio))</f>
        <v>0</v>
      </c>
      <c r="AY218" s="48">
        <f>IF(AY$8=1,IF(Reales!$C$54="PYG",IF(AY$10&gt;0,N(Reales!AY54)/AY$10,0),N(Reales!AY54)),AY$193*IF(AND(AND(46&gt;Corte,46&lt;=Corte+n_Ventana),ISNUMBER(Detalle_24m!AY$58)),Detalle_24m!AY$58,INDEX(Precio_V,17)*INDEX(IdxPrecio_V,1,MIN(10,AY$173)))*(1+V_dPrecio))</f>
        <v>0</v>
      </c>
      <c r="AZ218" s="48">
        <f>IF(AZ$8=1,IF(Reales!$C$54="PYG",IF(AZ$10&gt;0,N(Reales!AZ54)/AZ$10,0),N(Reales!AZ54)),AZ$193*IF(AND(AND(47&gt;Corte,47&lt;=Corte+n_Ventana),ISNUMBER(Detalle_24m!AZ$58)),Detalle_24m!AZ$58,INDEX(Precio_V,17)*INDEX(IdxPrecio_V,1,MIN(10,AZ$173)))*(1+V_dPrecio))</f>
        <v>0</v>
      </c>
      <c r="BA218" s="48">
        <f>IF(BA$8=1,IF(Reales!$C$54="PYG",IF(BA$10&gt;0,N(Reales!BA54)/BA$10,0),N(Reales!BA54)),BA$193*IF(AND(AND(48&gt;Corte,48&lt;=Corte+n_Ventana),ISNUMBER(Detalle_24m!BA$58)),Detalle_24m!BA$58,INDEX(Precio_V,17)*INDEX(IdxPrecio_V,1,MIN(10,BA$173)))*(1+V_dPrecio))</f>
        <v>0</v>
      </c>
      <c r="BB218" s="48">
        <f>IF(BB$8=1,IF(Reales!$C$54="PYG",IF(BB$10&gt;0,N(Reales!BB54)/BB$10,0),N(Reales!BB54)),BB$193*IF(AND(AND(49&gt;Corte,49&lt;=Corte+n_Ventana),ISNUMBER(Detalle_24m!BB$58)),Detalle_24m!BB$58,INDEX(Precio_V,17)*INDEX(IdxPrecio_V,1,MIN(10,BB$173)))*(1+V_dPrecio))</f>
        <v>0</v>
      </c>
      <c r="BC218" s="48">
        <f>IF(BC$8=1,IF(Reales!$C$54="PYG",IF(BC$10&gt;0,N(Reales!BC54)/BC$10,0),N(Reales!BC54)),BC$193*IF(AND(AND(50&gt;Corte,50&lt;=Corte+n_Ventana),ISNUMBER(Detalle_24m!BC$58)),Detalle_24m!BC$58,INDEX(Precio_V,17)*INDEX(IdxPrecio_V,1,MIN(10,BC$173)))*(1+V_dPrecio))</f>
        <v>0</v>
      </c>
      <c r="BD218" s="48">
        <f>IF(BD$8=1,IF(Reales!$C$54="PYG",IF(BD$10&gt;0,N(Reales!BD54)/BD$10,0),N(Reales!BD54)),BD$193*IF(AND(AND(51&gt;Corte,51&lt;=Corte+n_Ventana),ISNUMBER(Detalle_24m!BD$58)),Detalle_24m!BD$58,INDEX(Precio_V,17)*INDEX(IdxPrecio_V,1,MIN(10,BD$173)))*(1+V_dPrecio))</f>
        <v>0</v>
      </c>
      <c r="BE218" s="48">
        <f>IF(BE$8=1,IF(Reales!$C$54="PYG",IF(BE$10&gt;0,N(Reales!BE54)/BE$10,0),N(Reales!BE54)),BE$193*IF(AND(AND(52&gt;Corte,52&lt;=Corte+n_Ventana),ISNUMBER(Detalle_24m!BE$58)),Detalle_24m!BE$58,INDEX(Precio_V,17)*INDEX(IdxPrecio_V,1,MIN(10,BE$173)))*(1+V_dPrecio))</f>
        <v>0</v>
      </c>
      <c r="BF218" s="48">
        <f>IF(BF$8=1,IF(Reales!$C$54="PYG",IF(BF$10&gt;0,N(Reales!BF54)/BF$10,0),N(Reales!BF54)),BF$193*IF(AND(AND(53&gt;Corte,53&lt;=Corte+n_Ventana),ISNUMBER(Detalle_24m!BF$58)),Detalle_24m!BF$58,INDEX(Precio_V,17)*INDEX(IdxPrecio_V,1,MIN(10,BF$173)))*(1+V_dPrecio))</f>
        <v>0</v>
      </c>
      <c r="BG218" s="48">
        <f>IF(BG$8=1,IF(Reales!$C$54="PYG",IF(BG$10&gt;0,N(Reales!BG54)/BG$10,0),N(Reales!BG54)),BG$193*IF(AND(AND(54&gt;Corte,54&lt;=Corte+n_Ventana),ISNUMBER(Detalle_24m!BG$58)),Detalle_24m!BG$58,INDEX(Precio_V,17)*INDEX(IdxPrecio_V,1,MIN(10,BG$173)))*(1+V_dPrecio))</f>
        <v>0</v>
      </c>
      <c r="BH218" s="48">
        <f>IF(BH$8=1,IF(Reales!$C$54="PYG",IF(BH$10&gt;0,N(Reales!BH54)/BH$10,0),N(Reales!BH54)),BH$193*IF(AND(AND(55&gt;Corte,55&lt;=Corte+n_Ventana),ISNUMBER(Detalle_24m!BH$58)),Detalle_24m!BH$58,INDEX(Precio_V,17)*INDEX(IdxPrecio_V,1,MIN(10,BH$173)))*(1+V_dPrecio))</f>
        <v>0</v>
      </c>
      <c r="BI218" s="48">
        <f>IF(BI$8=1,IF(Reales!$C$54="PYG",IF(BI$10&gt;0,N(Reales!BI54)/BI$10,0),N(Reales!BI54)),BI$193*IF(AND(AND(56&gt;Corte,56&lt;=Corte+n_Ventana),ISNUMBER(Detalle_24m!BI$58)),Detalle_24m!BI$58,INDEX(Precio_V,17)*INDEX(IdxPrecio_V,1,MIN(10,BI$173)))*(1+V_dPrecio))</f>
        <v>0</v>
      </c>
      <c r="BJ218" s="48">
        <f>IF(BJ$8=1,IF(Reales!$C$54="PYG",IF(BJ$10&gt;0,N(Reales!BJ54)/BJ$10,0),N(Reales!BJ54)),BJ$193*IF(AND(AND(57&gt;Corte,57&lt;=Corte+n_Ventana),ISNUMBER(Detalle_24m!BJ$58)),Detalle_24m!BJ$58,INDEX(Precio_V,17)*INDEX(IdxPrecio_V,1,MIN(10,BJ$173)))*(1+V_dPrecio))</f>
        <v>0</v>
      </c>
      <c r="BK218" s="48">
        <f>IF(BK$8=1,IF(Reales!$C$54="PYG",IF(BK$10&gt;0,N(Reales!BK54)/BK$10,0),N(Reales!BK54)),BK$193*IF(AND(AND(58&gt;Corte,58&lt;=Corte+n_Ventana),ISNUMBER(Detalle_24m!BK$58)),Detalle_24m!BK$58,INDEX(Precio_V,17)*INDEX(IdxPrecio_V,1,MIN(10,BK$173)))*(1+V_dPrecio))</f>
        <v>0</v>
      </c>
      <c r="BL218" s="48">
        <f>IF(BL$8=1,IF(Reales!$C$54="PYG",IF(BL$10&gt;0,N(Reales!BL54)/BL$10,0),N(Reales!BL54)),BL$193*IF(AND(AND(59&gt;Corte,59&lt;=Corte+n_Ventana),ISNUMBER(Detalle_24m!BL$58)),Detalle_24m!BL$58,INDEX(Precio_V,17)*INDEX(IdxPrecio_V,1,MIN(10,BL$173)))*(1+V_dPrecio))</f>
        <v>0</v>
      </c>
      <c r="BM218" s="48">
        <f>IF(BM$8=1,IF(Reales!$C$54="PYG",IF(BM$10&gt;0,N(Reales!BM54)/BM$10,0),N(Reales!BM54)),BM$193*IF(AND(AND(60&gt;Corte,60&lt;=Corte+n_Ventana),ISNUMBER(Detalle_24m!BM$58)),Detalle_24m!BM$58,INDEX(Precio_V,17)*INDEX(IdxPrecio_V,1,MIN(10,BM$173)))*(1+V_dPrecio))</f>
        <v>0</v>
      </c>
      <c r="BN218" s="48">
        <f>IF(BN$8=1,IF(Reales!$C$54="PYG",IF(BN$10&gt;0,N(Reales!BN54)/BN$10,0),N(Reales!BN54)),BN$193*IF(AND(AND(61&gt;Corte,61&lt;=Corte+n_Ventana),ISNUMBER(Detalle_24m!BN$58)),Detalle_24m!BN$58,INDEX(Precio_V,17)*INDEX(IdxPrecio_V,1,MIN(10,BN$173)))*(1+V_dPrecio))</f>
        <v>0</v>
      </c>
      <c r="BO218" s="48">
        <f>IF(BO$8=1,IF(Reales!$C$54="PYG",IF(BO$10&gt;0,N(Reales!BO54)/BO$10,0),N(Reales!BO54)),BO$193*IF(AND(AND(62&gt;Corte,62&lt;=Corte+n_Ventana),ISNUMBER(Detalle_24m!BO$58)),Detalle_24m!BO$58,INDEX(Precio_V,17)*INDEX(IdxPrecio_V,1,MIN(10,BO$173)))*(1+V_dPrecio))</f>
        <v>0</v>
      </c>
      <c r="BP218" s="48">
        <f>IF(BP$8=1,IF(Reales!$C$54="PYG",IF(BP$10&gt;0,N(Reales!BP54)/BP$10,0),N(Reales!BP54)),BP$193*IF(AND(AND(63&gt;Corte,63&lt;=Corte+n_Ventana),ISNUMBER(Detalle_24m!BP$58)),Detalle_24m!BP$58,INDEX(Precio_V,17)*INDEX(IdxPrecio_V,1,MIN(10,BP$173)))*(1+V_dPrecio))</f>
        <v>0</v>
      </c>
      <c r="BQ218" s="48">
        <f>IF(BQ$8=1,IF(Reales!$C$54="PYG",IF(BQ$10&gt;0,N(Reales!BQ54)/BQ$10,0),N(Reales!BQ54)),BQ$193*IF(AND(AND(64&gt;Corte,64&lt;=Corte+n_Ventana),ISNUMBER(Detalle_24m!BQ$58)),Detalle_24m!BQ$58,INDEX(Precio_V,17)*INDEX(IdxPrecio_V,1,MIN(10,BQ$173)))*(1+V_dPrecio))</f>
        <v>0</v>
      </c>
      <c r="BR218" s="48">
        <f>IF(BR$8=1,IF(Reales!$C$54="PYG",IF(BR$10&gt;0,N(Reales!BR54)/BR$10,0),N(Reales!BR54)),BR$193*IF(AND(AND(65&gt;Corte,65&lt;=Corte+n_Ventana),ISNUMBER(Detalle_24m!BR$58)),Detalle_24m!BR$58,INDEX(Precio_V,17)*INDEX(IdxPrecio_V,1,MIN(10,BR$173)))*(1+V_dPrecio))</f>
        <v>0</v>
      </c>
      <c r="BS218" s="48">
        <f>IF(BS$8=1,IF(Reales!$C$54="PYG",IF(BS$10&gt;0,N(Reales!BS54)/BS$10,0),N(Reales!BS54)),BS$193*IF(AND(AND(66&gt;Corte,66&lt;=Corte+n_Ventana),ISNUMBER(Detalle_24m!BS$58)),Detalle_24m!BS$58,INDEX(Precio_V,17)*INDEX(IdxPrecio_V,1,MIN(10,BS$173)))*(1+V_dPrecio))</f>
        <v>0</v>
      </c>
      <c r="BT218" s="48">
        <f>IF(BT$8=1,IF(Reales!$C$54="PYG",IF(BT$10&gt;0,N(Reales!BT54)/BT$10,0),N(Reales!BT54)),BT$193*IF(AND(AND(67&gt;Corte,67&lt;=Corte+n_Ventana),ISNUMBER(Detalle_24m!BT$58)),Detalle_24m!BT$58,INDEX(Precio_V,17)*INDEX(IdxPrecio_V,1,MIN(10,BT$173)))*(1+V_dPrecio))</f>
        <v>0</v>
      </c>
      <c r="BU218" s="48">
        <f>IF(BU$8=1,IF(Reales!$C$54="PYG",IF(BU$10&gt;0,N(Reales!BU54)/BU$10,0),N(Reales!BU54)),BU$193*IF(AND(AND(68&gt;Corte,68&lt;=Corte+n_Ventana),ISNUMBER(Detalle_24m!BU$58)),Detalle_24m!BU$58,INDEX(Precio_V,17)*INDEX(IdxPrecio_V,1,MIN(10,BU$173)))*(1+V_dPrecio))</f>
        <v>0</v>
      </c>
      <c r="BV218" s="48">
        <f>IF(BV$8=1,IF(Reales!$C$54="PYG",IF(BV$10&gt;0,N(Reales!BV54)/BV$10,0),N(Reales!BV54)),BV$193*IF(AND(AND(69&gt;Corte,69&lt;=Corte+n_Ventana),ISNUMBER(Detalle_24m!BV$58)),Detalle_24m!BV$58,INDEX(Precio_V,17)*INDEX(IdxPrecio_V,1,MIN(10,BV$173)))*(1+V_dPrecio))</f>
        <v>0</v>
      </c>
      <c r="BW218" s="48">
        <f>IF(BW$8=1,IF(Reales!$C$54="PYG",IF(BW$10&gt;0,N(Reales!BW54)/BW$10,0),N(Reales!BW54)),BW$193*IF(AND(AND(70&gt;Corte,70&lt;=Corte+n_Ventana),ISNUMBER(Detalle_24m!BW$58)),Detalle_24m!BW$58,INDEX(Precio_V,17)*INDEX(IdxPrecio_V,1,MIN(10,BW$173)))*(1+V_dPrecio))</f>
        <v>0</v>
      </c>
      <c r="BX218" s="48">
        <f>IF(BX$8=1,IF(Reales!$C$54="PYG",IF(BX$10&gt;0,N(Reales!BX54)/BX$10,0),N(Reales!BX54)),BX$193*IF(AND(AND(71&gt;Corte,71&lt;=Corte+n_Ventana),ISNUMBER(Detalle_24m!BX$58)),Detalle_24m!BX$58,INDEX(Precio_V,17)*INDEX(IdxPrecio_V,1,MIN(10,BX$173)))*(1+V_dPrecio))</f>
        <v>0</v>
      </c>
      <c r="BY218" s="48">
        <f>IF(BY$8=1,IF(Reales!$C$54="PYG",IF(BY$10&gt;0,N(Reales!BY54)/BY$10,0),N(Reales!BY54)),BY$193*IF(AND(AND(72&gt;Corte,72&lt;=Corte+n_Ventana),ISNUMBER(Detalle_24m!BY$58)),Detalle_24m!BY$58,INDEX(Precio_V,17)*INDEX(IdxPrecio_V,1,MIN(10,BY$173)))*(1+V_dPrecio))</f>
        <v>0</v>
      </c>
      <c r="BZ218" s="48">
        <f>IF(BZ$8=1,IF(Reales!$C$54="PYG",IF(BZ$10&gt;0,N(Reales!BZ54)/BZ$10,0),N(Reales!BZ54)),BZ$193*IF(AND(AND(73&gt;Corte,73&lt;=Corte+n_Ventana),ISNUMBER(Detalle_24m!BZ$58)),Detalle_24m!BZ$58,INDEX(Precio_V,17)*INDEX(IdxPrecio_V,1,MIN(10,BZ$173)))*(1+V_dPrecio))</f>
        <v>0</v>
      </c>
      <c r="CA218" s="48">
        <f>IF(CA$8=1,IF(Reales!$C$54="PYG",IF(CA$10&gt;0,N(Reales!CA54)/CA$10,0),N(Reales!CA54)),CA$193*IF(AND(AND(74&gt;Corte,74&lt;=Corte+n_Ventana),ISNUMBER(Detalle_24m!CA$58)),Detalle_24m!CA$58,INDEX(Precio_V,17)*INDEX(IdxPrecio_V,1,MIN(10,CA$173)))*(1+V_dPrecio))</f>
        <v>0</v>
      </c>
      <c r="CB218" s="48">
        <f>IF(CB$8=1,IF(Reales!$C$54="PYG",IF(CB$10&gt;0,N(Reales!CB54)/CB$10,0),N(Reales!CB54)),CB$193*IF(AND(AND(75&gt;Corte,75&lt;=Corte+n_Ventana),ISNUMBER(Detalle_24m!CB$58)),Detalle_24m!CB$58,INDEX(Precio_V,17)*INDEX(IdxPrecio_V,1,MIN(10,CB$173)))*(1+V_dPrecio))</f>
        <v>0</v>
      </c>
      <c r="CC218" s="48">
        <f>IF(CC$8=1,IF(Reales!$C$54="PYG",IF(CC$10&gt;0,N(Reales!CC54)/CC$10,0),N(Reales!CC54)),CC$193*IF(AND(AND(76&gt;Corte,76&lt;=Corte+n_Ventana),ISNUMBER(Detalle_24m!CC$58)),Detalle_24m!CC$58,INDEX(Precio_V,17)*INDEX(IdxPrecio_V,1,MIN(10,CC$173)))*(1+V_dPrecio))</f>
        <v>0</v>
      </c>
      <c r="CD218" s="48">
        <f>IF(CD$8=1,IF(Reales!$C$54="PYG",IF(CD$10&gt;0,N(Reales!CD54)/CD$10,0),N(Reales!CD54)),CD$193*IF(AND(AND(77&gt;Corte,77&lt;=Corte+n_Ventana),ISNUMBER(Detalle_24m!CD$58)),Detalle_24m!CD$58,INDEX(Precio_V,17)*INDEX(IdxPrecio_V,1,MIN(10,CD$173)))*(1+V_dPrecio))</f>
        <v>0</v>
      </c>
      <c r="CE218" s="48">
        <f>IF(CE$8=1,IF(Reales!$C$54="PYG",IF(CE$10&gt;0,N(Reales!CE54)/CE$10,0),N(Reales!CE54)),CE$193*IF(AND(AND(78&gt;Corte,78&lt;=Corte+n_Ventana),ISNUMBER(Detalle_24m!CE$58)),Detalle_24m!CE$58,INDEX(Precio_V,17)*INDEX(IdxPrecio_V,1,MIN(10,CE$173)))*(1+V_dPrecio))</f>
        <v>0</v>
      </c>
      <c r="CF218" s="48">
        <f>IF(CF$8=1,IF(Reales!$C$54="PYG",IF(CF$10&gt;0,N(Reales!CF54)/CF$10,0),N(Reales!CF54)),CF$193*IF(AND(AND(79&gt;Corte,79&lt;=Corte+n_Ventana),ISNUMBER(Detalle_24m!CF$58)),Detalle_24m!CF$58,INDEX(Precio_V,17)*INDEX(IdxPrecio_V,1,MIN(10,CF$173)))*(1+V_dPrecio))</f>
        <v>0</v>
      </c>
      <c r="CG218" s="48">
        <f>IF(CG$8=1,IF(Reales!$C$54="PYG",IF(CG$10&gt;0,N(Reales!CG54)/CG$10,0),N(Reales!CG54)),CG$193*IF(AND(AND(80&gt;Corte,80&lt;=Corte+n_Ventana),ISNUMBER(Detalle_24m!CG$58)),Detalle_24m!CG$58,INDEX(Precio_V,17)*INDEX(IdxPrecio_V,1,MIN(10,CG$173)))*(1+V_dPrecio))</f>
        <v>0</v>
      </c>
      <c r="CH218" s="48">
        <f>IF(CH$8=1,IF(Reales!$C$54="PYG",IF(CH$10&gt;0,N(Reales!CH54)/CH$10,0),N(Reales!CH54)),CH$193*IF(AND(AND(81&gt;Corte,81&lt;=Corte+n_Ventana),ISNUMBER(Detalle_24m!CH$58)),Detalle_24m!CH$58,INDEX(Precio_V,17)*INDEX(IdxPrecio_V,1,MIN(10,CH$173)))*(1+V_dPrecio))</f>
        <v>0</v>
      </c>
      <c r="CI218" s="48">
        <f>IF(CI$8=1,IF(Reales!$C$54="PYG",IF(CI$10&gt;0,N(Reales!CI54)/CI$10,0),N(Reales!CI54)),CI$193*IF(AND(AND(82&gt;Corte,82&lt;=Corte+n_Ventana),ISNUMBER(Detalle_24m!CI$58)),Detalle_24m!CI$58,INDEX(Precio_V,17)*INDEX(IdxPrecio_V,1,MIN(10,CI$173)))*(1+V_dPrecio))</f>
        <v>0</v>
      </c>
      <c r="CJ218" s="48">
        <f>IF(CJ$8=1,IF(Reales!$C$54="PYG",IF(CJ$10&gt;0,N(Reales!CJ54)/CJ$10,0),N(Reales!CJ54)),CJ$193*IF(AND(AND(83&gt;Corte,83&lt;=Corte+n_Ventana),ISNUMBER(Detalle_24m!CJ$58)),Detalle_24m!CJ$58,INDEX(Precio_V,17)*INDEX(IdxPrecio_V,1,MIN(10,CJ$173)))*(1+V_dPrecio))</f>
        <v>0</v>
      </c>
      <c r="CK218" s="48">
        <f>IF(CK$8=1,IF(Reales!$C$54="PYG",IF(CK$10&gt;0,N(Reales!CK54)/CK$10,0),N(Reales!CK54)),CK$193*IF(AND(AND(84&gt;Corte,84&lt;=Corte+n_Ventana),ISNUMBER(Detalle_24m!CK$58)),Detalle_24m!CK$58,INDEX(Precio_V,17)*INDEX(IdxPrecio_V,1,MIN(10,CK$173)))*(1+V_dPrecio))</f>
        <v>0</v>
      </c>
      <c r="CL218" s="48">
        <f>IF(CL$8=1,IF(Reales!$C$54="PYG",IF(CL$10&gt;0,N(Reales!CL54)/CL$10,0),N(Reales!CL54)),CL$193*IF(AND(AND(85&gt;Corte,85&lt;=Corte+n_Ventana),ISNUMBER(Detalle_24m!CL$58)),Detalle_24m!CL$58,INDEX(Precio_V,17)*INDEX(IdxPrecio_V,1,MIN(10,CL$173)))*(1+V_dPrecio))</f>
        <v>0</v>
      </c>
      <c r="CM218" s="48">
        <f>IF(CM$8=1,IF(Reales!$C$54="PYG",IF(CM$10&gt;0,N(Reales!CM54)/CM$10,0),N(Reales!CM54)),CM$193*IF(AND(AND(86&gt;Corte,86&lt;=Corte+n_Ventana),ISNUMBER(Detalle_24m!CM$58)),Detalle_24m!CM$58,INDEX(Precio_V,17)*INDEX(IdxPrecio_V,1,MIN(10,CM$173)))*(1+V_dPrecio))</f>
        <v>0</v>
      </c>
      <c r="CN218" s="48">
        <f>IF(CN$8=1,IF(Reales!$C$54="PYG",IF(CN$10&gt;0,N(Reales!CN54)/CN$10,0),N(Reales!CN54)),CN$193*IF(AND(AND(87&gt;Corte,87&lt;=Corte+n_Ventana),ISNUMBER(Detalle_24m!CN$58)),Detalle_24m!CN$58,INDEX(Precio_V,17)*INDEX(IdxPrecio_V,1,MIN(10,CN$173)))*(1+V_dPrecio))</f>
        <v>0</v>
      </c>
      <c r="CO218" s="48">
        <f>IF(CO$8=1,IF(Reales!$C$54="PYG",IF(CO$10&gt;0,N(Reales!CO54)/CO$10,0),N(Reales!CO54)),CO$193*IF(AND(AND(88&gt;Corte,88&lt;=Corte+n_Ventana),ISNUMBER(Detalle_24m!CO$58)),Detalle_24m!CO$58,INDEX(Precio_V,17)*INDEX(IdxPrecio_V,1,MIN(10,CO$173)))*(1+V_dPrecio))</f>
        <v>0</v>
      </c>
      <c r="CP218" s="48">
        <f>IF(CP$8=1,IF(Reales!$C$54="PYG",IF(CP$10&gt;0,N(Reales!CP54)/CP$10,0),N(Reales!CP54)),CP$193*IF(AND(AND(89&gt;Corte,89&lt;=Corte+n_Ventana),ISNUMBER(Detalle_24m!CP$58)),Detalle_24m!CP$58,INDEX(Precio_V,17)*INDEX(IdxPrecio_V,1,MIN(10,CP$173)))*(1+V_dPrecio))</f>
        <v>0</v>
      </c>
      <c r="CQ218" s="48">
        <f>IF(CQ$8=1,IF(Reales!$C$54="PYG",IF(CQ$10&gt;0,N(Reales!CQ54)/CQ$10,0),N(Reales!CQ54)),CQ$193*IF(AND(AND(90&gt;Corte,90&lt;=Corte+n_Ventana),ISNUMBER(Detalle_24m!CQ$58)),Detalle_24m!CQ$58,INDEX(Precio_V,17)*INDEX(IdxPrecio_V,1,MIN(10,CQ$173)))*(1+V_dPrecio))</f>
        <v>0</v>
      </c>
      <c r="CR218" s="48">
        <f>IF(CR$8=1,IF(Reales!$C$54="PYG",IF(CR$10&gt;0,N(Reales!CR54)/CR$10,0),N(Reales!CR54)),CR$193*IF(AND(AND(91&gt;Corte,91&lt;=Corte+n_Ventana),ISNUMBER(Detalle_24m!CR$58)),Detalle_24m!CR$58,INDEX(Precio_V,17)*INDEX(IdxPrecio_V,1,MIN(10,CR$173)))*(1+V_dPrecio))</f>
        <v>0</v>
      </c>
      <c r="CS218" s="48">
        <f>IF(CS$8=1,IF(Reales!$C$54="PYG",IF(CS$10&gt;0,N(Reales!CS54)/CS$10,0),N(Reales!CS54)),CS$193*IF(AND(AND(92&gt;Corte,92&lt;=Corte+n_Ventana),ISNUMBER(Detalle_24m!CS$58)),Detalle_24m!CS$58,INDEX(Precio_V,17)*INDEX(IdxPrecio_V,1,MIN(10,CS$173)))*(1+V_dPrecio))</f>
        <v>0</v>
      </c>
      <c r="CT218" s="48">
        <f>IF(CT$8=1,IF(Reales!$C$54="PYG",IF(CT$10&gt;0,N(Reales!CT54)/CT$10,0),N(Reales!CT54)),CT$193*IF(AND(AND(93&gt;Corte,93&lt;=Corte+n_Ventana),ISNUMBER(Detalle_24m!CT$58)),Detalle_24m!CT$58,INDEX(Precio_V,17)*INDEX(IdxPrecio_V,1,MIN(10,CT$173)))*(1+V_dPrecio))</f>
        <v>0</v>
      </c>
      <c r="CU218" s="48">
        <f>IF(CU$8=1,IF(Reales!$C$54="PYG",IF(CU$10&gt;0,N(Reales!CU54)/CU$10,0),N(Reales!CU54)),CU$193*IF(AND(AND(94&gt;Corte,94&lt;=Corte+n_Ventana),ISNUMBER(Detalle_24m!CU$58)),Detalle_24m!CU$58,INDEX(Precio_V,17)*INDEX(IdxPrecio_V,1,MIN(10,CU$173)))*(1+V_dPrecio))</f>
        <v>0</v>
      </c>
      <c r="CV218" s="48">
        <f>IF(CV$8=1,IF(Reales!$C$54="PYG",IF(CV$10&gt;0,N(Reales!CV54)/CV$10,0),N(Reales!CV54)),CV$193*IF(AND(AND(95&gt;Corte,95&lt;=Corte+n_Ventana),ISNUMBER(Detalle_24m!CV$58)),Detalle_24m!CV$58,INDEX(Precio_V,17)*INDEX(IdxPrecio_V,1,MIN(10,CV$173)))*(1+V_dPrecio))</f>
        <v>0</v>
      </c>
      <c r="CW218" s="48">
        <f>IF(CW$8=1,IF(Reales!$C$54="PYG",IF(CW$10&gt;0,N(Reales!CW54)/CW$10,0),N(Reales!CW54)),CW$193*IF(AND(AND(96&gt;Corte,96&lt;=Corte+n_Ventana),ISNUMBER(Detalle_24m!CW$58)),Detalle_24m!CW$58,INDEX(Precio_V,17)*INDEX(IdxPrecio_V,1,MIN(10,CW$173)))*(1+V_dPrecio))</f>
        <v>0</v>
      </c>
      <c r="CX218" s="48">
        <f>IF(CX$8=1,IF(Reales!$C$54="PYG",IF(CX$10&gt;0,N(Reales!CX54)/CX$10,0),N(Reales!CX54)),CX$193*IF(AND(AND(97&gt;Corte,97&lt;=Corte+n_Ventana),ISNUMBER(Detalle_24m!CX$58)),Detalle_24m!CX$58,INDEX(Precio_V,17)*INDEX(IdxPrecio_V,1,MIN(10,CX$173)))*(1+V_dPrecio))</f>
        <v>0</v>
      </c>
      <c r="CY218" s="48">
        <f>IF(CY$8=1,IF(Reales!$C$54="PYG",IF(CY$10&gt;0,N(Reales!CY54)/CY$10,0),N(Reales!CY54)),CY$193*IF(AND(AND(98&gt;Corte,98&lt;=Corte+n_Ventana),ISNUMBER(Detalle_24m!CY$58)),Detalle_24m!CY$58,INDEX(Precio_V,17)*INDEX(IdxPrecio_V,1,MIN(10,CY$173)))*(1+V_dPrecio))</f>
        <v>0</v>
      </c>
      <c r="CZ218" s="48">
        <f>IF(CZ$8=1,IF(Reales!$C$54="PYG",IF(CZ$10&gt;0,N(Reales!CZ54)/CZ$10,0),N(Reales!CZ54)),CZ$193*IF(AND(AND(99&gt;Corte,99&lt;=Corte+n_Ventana),ISNUMBER(Detalle_24m!CZ$58)),Detalle_24m!CZ$58,INDEX(Precio_V,17)*INDEX(IdxPrecio_V,1,MIN(10,CZ$173)))*(1+V_dPrecio))</f>
        <v>0</v>
      </c>
      <c r="DA218" s="48">
        <f>IF(DA$8=1,IF(Reales!$C$54="PYG",IF(DA$10&gt;0,N(Reales!DA54)/DA$10,0),N(Reales!DA54)),DA$193*IF(AND(AND(100&gt;Corte,100&lt;=Corte+n_Ventana),ISNUMBER(Detalle_24m!DA$58)),Detalle_24m!DA$58,INDEX(Precio_V,17)*INDEX(IdxPrecio_V,1,MIN(10,DA$173)))*(1+V_dPrecio))</f>
        <v>0</v>
      </c>
      <c r="DB218" s="48">
        <f>IF(DB$8=1,IF(Reales!$C$54="PYG",IF(DB$10&gt;0,N(Reales!DB54)/DB$10,0),N(Reales!DB54)),DB$193*IF(AND(AND(101&gt;Corte,101&lt;=Corte+n_Ventana),ISNUMBER(Detalle_24m!DB$58)),Detalle_24m!DB$58,INDEX(Precio_V,17)*INDEX(IdxPrecio_V,1,MIN(10,DB$173)))*(1+V_dPrecio))</f>
        <v>0</v>
      </c>
      <c r="DC218" s="48">
        <f>IF(DC$8=1,IF(Reales!$C$54="PYG",IF(DC$10&gt;0,N(Reales!DC54)/DC$10,0),N(Reales!DC54)),DC$193*IF(AND(AND(102&gt;Corte,102&lt;=Corte+n_Ventana),ISNUMBER(Detalle_24m!DC$58)),Detalle_24m!DC$58,INDEX(Precio_V,17)*INDEX(IdxPrecio_V,1,MIN(10,DC$173)))*(1+V_dPrecio))</f>
        <v>0</v>
      </c>
      <c r="DD218" s="48">
        <f>IF(DD$8=1,IF(Reales!$C$54="PYG",IF(DD$10&gt;0,N(Reales!DD54)/DD$10,0),N(Reales!DD54)),DD$193*IF(AND(AND(103&gt;Corte,103&lt;=Corte+n_Ventana),ISNUMBER(Detalle_24m!DD$58)),Detalle_24m!DD$58,INDEX(Precio_V,17)*INDEX(IdxPrecio_V,1,MIN(10,DD$173)))*(1+V_dPrecio))</f>
        <v>0</v>
      </c>
      <c r="DE218" s="48">
        <f>IF(DE$8=1,IF(Reales!$C$54="PYG",IF(DE$10&gt;0,N(Reales!DE54)/DE$10,0),N(Reales!DE54)),DE$193*IF(AND(AND(104&gt;Corte,104&lt;=Corte+n_Ventana),ISNUMBER(Detalle_24m!DE$58)),Detalle_24m!DE$58,INDEX(Precio_V,17)*INDEX(IdxPrecio_V,1,MIN(10,DE$173)))*(1+V_dPrecio))</f>
        <v>0</v>
      </c>
      <c r="DF218" s="48">
        <f>IF(DF$8=1,IF(Reales!$C$54="PYG",IF(DF$10&gt;0,N(Reales!DF54)/DF$10,0),N(Reales!DF54)),DF$193*IF(AND(AND(105&gt;Corte,105&lt;=Corte+n_Ventana),ISNUMBER(Detalle_24m!DF$58)),Detalle_24m!DF$58,INDEX(Precio_V,17)*INDEX(IdxPrecio_V,1,MIN(10,DF$173)))*(1+V_dPrecio))</f>
        <v>0</v>
      </c>
      <c r="DG218" s="48">
        <f>IF(DG$8=1,IF(Reales!$C$54="PYG",IF(DG$10&gt;0,N(Reales!DG54)/DG$10,0),N(Reales!DG54)),DG$193*IF(AND(AND(106&gt;Corte,106&lt;=Corte+n_Ventana),ISNUMBER(Detalle_24m!DG$58)),Detalle_24m!DG$58,INDEX(Precio_V,17)*INDEX(IdxPrecio_V,1,MIN(10,DG$173)))*(1+V_dPrecio))</f>
        <v>0</v>
      </c>
      <c r="DH218" s="48">
        <f>IF(DH$8=1,IF(Reales!$C$54="PYG",IF(DH$10&gt;0,N(Reales!DH54)/DH$10,0),N(Reales!DH54)),DH$193*IF(AND(AND(107&gt;Corte,107&lt;=Corte+n_Ventana),ISNUMBER(Detalle_24m!DH$58)),Detalle_24m!DH$58,INDEX(Precio_V,17)*INDEX(IdxPrecio_V,1,MIN(10,DH$173)))*(1+V_dPrecio))</f>
        <v>0</v>
      </c>
      <c r="DI218" s="48">
        <f>IF(DI$8=1,IF(Reales!$C$54="PYG",IF(DI$10&gt;0,N(Reales!DI54)/DI$10,0),N(Reales!DI54)),DI$193*IF(AND(AND(108&gt;Corte,108&lt;=Corte+n_Ventana),ISNUMBER(Detalle_24m!DI$58)),Detalle_24m!DI$58,INDEX(Precio_V,17)*INDEX(IdxPrecio_V,1,MIN(10,DI$173)))*(1+V_dPrecio))</f>
        <v>0</v>
      </c>
      <c r="DJ218" s="48">
        <f>IF(DJ$8=1,IF(Reales!$C$54="PYG",IF(DJ$10&gt;0,N(Reales!DJ54)/DJ$10,0),N(Reales!DJ54)),DJ$193*IF(AND(AND(109&gt;Corte,109&lt;=Corte+n_Ventana),ISNUMBER(Detalle_24m!DJ$58)),Detalle_24m!DJ$58,INDEX(Precio_V,17)*INDEX(IdxPrecio_V,1,MIN(10,DJ$173)))*(1+V_dPrecio))</f>
        <v>0</v>
      </c>
      <c r="DK218" s="48">
        <f>IF(DK$8=1,IF(Reales!$C$54="PYG",IF(DK$10&gt;0,N(Reales!DK54)/DK$10,0),N(Reales!DK54)),DK$193*IF(AND(AND(110&gt;Corte,110&lt;=Corte+n_Ventana),ISNUMBER(Detalle_24m!DK$58)),Detalle_24m!DK$58,INDEX(Precio_V,17)*INDEX(IdxPrecio_V,1,MIN(10,DK$173)))*(1+V_dPrecio))</f>
        <v>0</v>
      </c>
      <c r="DL218" s="48">
        <f>IF(DL$8=1,IF(Reales!$C$54="PYG",IF(DL$10&gt;0,N(Reales!DL54)/DL$10,0),N(Reales!DL54)),DL$193*IF(AND(AND(111&gt;Corte,111&lt;=Corte+n_Ventana),ISNUMBER(Detalle_24m!DL$58)),Detalle_24m!DL$58,INDEX(Precio_V,17)*INDEX(IdxPrecio_V,1,MIN(10,DL$173)))*(1+V_dPrecio))</f>
        <v>0</v>
      </c>
      <c r="DM218" s="48">
        <f>IF(DM$8=1,IF(Reales!$C$54="PYG",IF(DM$10&gt;0,N(Reales!DM54)/DM$10,0),N(Reales!DM54)),DM$193*IF(AND(AND(112&gt;Corte,112&lt;=Corte+n_Ventana),ISNUMBER(Detalle_24m!DM$58)),Detalle_24m!DM$58,INDEX(Precio_V,17)*INDEX(IdxPrecio_V,1,MIN(10,DM$173)))*(1+V_dPrecio))</f>
        <v>0</v>
      </c>
      <c r="DN218" s="48">
        <f>IF(DN$8=1,IF(Reales!$C$54="PYG",IF(DN$10&gt;0,N(Reales!DN54)/DN$10,0),N(Reales!DN54)),DN$193*IF(AND(AND(113&gt;Corte,113&lt;=Corte+n_Ventana),ISNUMBER(Detalle_24m!DN$58)),Detalle_24m!DN$58,INDEX(Precio_V,17)*INDEX(IdxPrecio_V,1,MIN(10,DN$173)))*(1+V_dPrecio))</f>
        <v>0</v>
      </c>
      <c r="DO218" s="48">
        <f>IF(DO$8=1,IF(Reales!$C$54="PYG",IF(DO$10&gt;0,N(Reales!DO54)/DO$10,0),N(Reales!DO54)),DO$193*IF(AND(AND(114&gt;Corte,114&lt;=Corte+n_Ventana),ISNUMBER(Detalle_24m!DO$58)),Detalle_24m!DO$58,INDEX(Precio_V,17)*INDEX(IdxPrecio_V,1,MIN(10,DO$173)))*(1+V_dPrecio))</f>
        <v>0</v>
      </c>
      <c r="DP218" s="48">
        <f>IF(DP$8=1,IF(Reales!$C$54="PYG",IF(DP$10&gt;0,N(Reales!DP54)/DP$10,0),N(Reales!DP54)),DP$193*IF(AND(AND(115&gt;Corte,115&lt;=Corte+n_Ventana),ISNUMBER(Detalle_24m!DP$58)),Detalle_24m!DP$58,INDEX(Precio_V,17)*INDEX(IdxPrecio_V,1,MIN(10,DP$173)))*(1+V_dPrecio))</f>
        <v>0</v>
      </c>
      <c r="DQ218" s="48">
        <f>IF(DQ$8=1,IF(Reales!$C$54="PYG",IF(DQ$10&gt;0,N(Reales!DQ54)/DQ$10,0),N(Reales!DQ54)),DQ$193*IF(AND(AND(116&gt;Corte,116&lt;=Corte+n_Ventana),ISNUMBER(Detalle_24m!DQ$58)),Detalle_24m!DQ$58,INDEX(Precio_V,17)*INDEX(IdxPrecio_V,1,MIN(10,DQ$173)))*(1+V_dPrecio))</f>
        <v>0</v>
      </c>
      <c r="DR218" s="48">
        <f>IF(DR$8=1,IF(Reales!$C$54="PYG",IF(DR$10&gt;0,N(Reales!DR54)/DR$10,0),N(Reales!DR54)),DR$193*IF(AND(AND(117&gt;Corte,117&lt;=Corte+n_Ventana),ISNUMBER(Detalle_24m!DR$58)),Detalle_24m!DR$58,INDEX(Precio_V,17)*INDEX(IdxPrecio_V,1,MIN(10,DR$173)))*(1+V_dPrecio))</f>
        <v>0</v>
      </c>
      <c r="DS218" s="48">
        <f>IF(DS$8=1,IF(Reales!$C$54="PYG",IF(DS$10&gt;0,N(Reales!DS54)/DS$10,0),N(Reales!DS54)),DS$193*IF(AND(AND(118&gt;Corte,118&lt;=Corte+n_Ventana),ISNUMBER(Detalle_24m!DS$58)),Detalle_24m!DS$58,INDEX(Precio_V,17)*INDEX(IdxPrecio_V,1,MIN(10,DS$173)))*(1+V_dPrecio))</f>
        <v>0</v>
      </c>
      <c r="DT218" s="48">
        <f>IF(DT$8=1,IF(Reales!$C$54="PYG",IF(DT$10&gt;0,N(Reales!DT54)/DT$10,0),N(Reales!DT54)),DT$193*IF(AND(AND(119&gt;Corte,119&lt;=Corte+n_Ventana),ISNUMBER(Detalle_24m!DT$58)),Detalle_24m!DT$58,INDEX(Precio_V,17)*INDEX(IdxPrecio_V,1,MIN(10,DT$173)))*(1+V_dPrecio))</f>
        <v>0</v>
      </c>
      <c r="DU218" s="48">
        <f>IF(DU$8=1,IF(Reales!$C$54="PYG",IF(DU$10&gt;0,N(Reales!DU54)/DU$10,0),N(Reales!DU54)),DU$193*IF(AND(AND(120&gt;Corte,120&lt;=Corte+n_Ventana),ISNUMBER(Detalle_24m!DU$58)),Detalle_24m!DU$58,INDEX(Precio_V,17)*INDEX(IdxPrecio_V,1,MIN(10,DU$173)))*(1+V_dPrecio))</f>
        <v>0</v>
      </c>
      <c r="DV218" s="48">
        <f>IF(DV$8=1,IF(Reales!$C$54="PYG",IF(DV$10&gt;0,N(Reales!DV54)/DV$10,0),N(Reales!DV54)),DV$193*IF(AND(AND(121&gt;Corte,121&lt;=Corte+n_Ventana),ISNUMBER(Detalle_24m!DV$58)),Detalle_24m!DV$58,INDEX(Precio_V,17)*INDEX(IdxPrecio_V,1,MIN(10,DV$173)))*(1+V_dPrecio))</f>
        <v>0</v>
      </c>
      <c r="DW218" s="48">
        <f>IF(DW$8=1,IF(Reales!$C$54="PYG",IF(DW$10&gt;0,N(Reales!DW54)/DW$10,0),N(Reales!DW54)),DW$193*IF(AND(AND(122&gt;Corte,122&lt;=Corte+n_Ventana),ISNUMBER(Detalle_24m!DW$58)),Detalle_24m!DW$58,INDEX(Precio_V,17)*INDEX(IdxPrecio_V,1,MIN(10,DW$173)))*(1+V_dPrecio))</f>
        <v>0</v>
      </c>
      <c r="DX218" s="48">
        <f>IF(DX$8=1,IF(Reales!$C$54="PYG",IF(DX$10&gt;0,N(Reales!DX54)/DX$10,0),N(Reales!DX54)),DX$193*IF(AND(AND(123&gt;Corte,123&lt;=Corte+n_Ventana),ISNUMBER(Detalle_24m!DX$58)),Detalle_24m!DX$58,INDEX(Precio_V,17)*INDEX(IdxPrecio_V,1,MIN(10,DX$173)))*(1+V_dPrecio))</f>
        <v>0</v>
      </c>
      <c r="DY218" s="48">
        <f>IF(DY$8=1,IF(Reales!$C$54="PYG",IF(DY$10&gt;0,N(Reales!DY54)/DY$10,0),N(Reales!DY54)),DY$193*IF(AND(AND(124&gt;Corte,124&lt;=Corte+n_Ventana),ISNUMBER(Detalle_24m!DY$58)),Detalle_24m!DY$58,INDEX(Precio_V,17)*INDEX(IdxPrecio_V,1,MIN(10,DY$173)))*(1+V_dPrecio))</f>
        <v>0</v>
      </c>
      <c r="DZ218" s="48">
        <f>IF(DZ$8=1,IF(Reales!$C$54="PYG",IF(DZ$10&gt;0,N(Reales!DZ54)/DZ$10,0),N(Reales!DZ54)),DZ$193*IF(AND(AND(125&gt;Corte,125&lt;=Corte+n_Ventana),ISNUMBER(Detalle_24m!DZ$58)),Detalle_24m!DZ$58,INDEX(Precio_V,17)*INDEX(IdxPrecio_V,1,MIN(10,DZ$173)))*(1+V_dPrecio))</f>
        <v>0</v>
      </c>
      <c r="EA218" s="48">
        <f>IF(EA$8=1,IF(Reales!$C$54="PYG",IF(EA$10&gt;0,N(Reales!EA54)/EA$10,0),N(Reales!EA54)),EA$193*IF(AND(AND(126&gt;Corte,126&lt;=Corte+n_Ventana),ISNUMBER(Detalle_24m!EA$58)),Detalle_24m!EA$58,INDEX(Precio_V,17)*INDEX(IdxPrecio_V,1,MIN(10,EA$173)))*(1+V_dPrecio))</f>
        <v>0</v>
      </c>
      <c r="EB218" s="48">
        <f>IF(EB$8=1,IF(Reales!$C$54="PYG",IF(EB$10&gt;0,N(Reales!EB54)/EB$10,0),N(Reales!EB54)),EB$193*IF(AND(AND(127&gt;Corte,127&lt;=Corte+n_Ventana),ISNUMBER(Detalle_24m!EB$58)),Detalle_24m!EB$58,INDEX(Precio_V,17)*INDEX(IdxPrecio_V,1,MIN(10,EB$173)))*(1+V_dPrecio))</f>
        <v>0</v>
      </c>
      <c r="EC218" s="48">
        <f>IF(EC$8=1,IF(Reales!$C$54="PYG",IF(EC$10&gt;0,N(Reales!EC54)/EC$10,0),N(Reales!EC54)),EC$193*IF(AND(AND(128&gt;Corte,128&lt;=Corte+n_Ventana),ISNUMBER(Detalle_24m!EC$58)),Detalle_24m!EC$58,INDEX(Precio_V,17)*INDEX(IdxPrecio_V,1,MIN(10,EC$173)))*(1+V_dPrecio))</f>
        <v>0</v>
      </c>
      <c r="ED218" s="48">
        <f>IF(ED$8=1,IF(Reales!$C$54="PYG",IF(ED$10&gt;0,N(Reales!ED54)/ED$10,0),N(Reales!ED54)),ED$193*IF(AND(AND(129&gt;Corte,129&lt;=Corte+n_Ventana),ISNUMBER(Detalle_24m!ED$58)),Detalle_24m!ED$58,INDEX(Precio_V,17)*INDEX(IdxPrecio_V,1,MIN(10,ED$173)))*(1+V_dPrecio))</f>
        <v>0</v>
      </c>
      <c r="EE218" s="48">
        <f>IF(EE$8=1,IF(Reales!$C$54="PYG",IF(EE$10&gt;0,N(Reales!EE54)/EE$10,0),N(Reales!EE54)),EE$193*IF(AND(AND(130&gt;Corte,130&lt;=Corte+n_Ventana),ISNUMBER(Detalle_24m!EE$58)),Detalle_24m!EE$58,INDEX(Precio_V,17)*INDEX(IdxPrecio_V,1,MIN(10,EE$173)))*(1+V_dPrecio))</f>
        <v>0</v>
      </c>
      <c r="EF218" s="48">
        <f>IF(EF$8=1,IF(Reales!$C$54="PYG",IF(EF$10&gt;0,N(Reales!EF54)/EF$10,0),N(Reales!EF54)),EF$193*IF(AND(AND(131&gt;Corte,131&lt;=Corte+n_Ventana),ISNUMBER(Detalle_24m!EF$58)),Detalle_24m!EF$58,INDEX(Precio_V,17)*INDEX(IdxPrecio_V,1,MIN(10,EF$173)))*(1+V_dPrecio))</f>
        <v>0</v>
      </c>
      <c r="EG218" s="48">
        <f>IF(EG$8=1,IF(Reales!$C$54="PYG",IF(EG$10&gt;0,N(Reales!EG54)/EG$10,0),N(Reales!EG54)),EG$193*IF(AND(AND(132&gt;Corte,132&lt;=Corte+n_Ventana),ISNUMBER(Detalle_24m!EG$58)),Detalle_24m!EG$58,INDEX(Precio_V,17)*INDEX(IdxPrecio_V,1,MIN(10,EG$173)))*(1+V_dPrecio))</f>
        <v>0</v>
      </c>
      <c r="EH218" s="48">
        <f>IF(EH$8=1,IF(Reales!$C$54="PYG",IF(EH$10&gt;0,N(Reales!EH54)/EH$10,0),N(Reales!EH54)),EH$193*IF(AND(AND(133&gt;Corte,133&lt;=Corte+n_Ventana),ISNUMBER(Detalle_24m!EH$58)),Detalle_24m!EH$58,INDEX(Precio_V,17)*INDEX(IdxPrecio_V,1,MIN(10,EH$173)))*(1+V_dPrecio))</f>
        <v>0</v>
      </c>
      <c r="EI218" s="48">
        <f>IF(EI$8=1,IF(Reales!$C$54="PYG",IF(EI$10&gt;0,N(Reales!EI54)/EI$10,0),N(Reales!EI54)),EI$193*IF(AND(AND(134&gt;Corte,134&lt;=Corte+n_Ventana),ISNUMBER(Detalle_24m!EI$58)),Detalle_24m!EI$58,INDEX(Precio_V,17)*INDEX(IdxPrecio_V,1,MIN(10,EI$173)))*(1+V_dPrecio))</f>
        <v>0</v>
      </c>
      <c r="EJ218" s="48">
        <f>IF(EJ$8=1,IF(Reales!$C$54="PYG",IF(EJ$10&gt;0,N(Reales!EJ54)/EJ$10,0),N(Reales!EJ54)),EJ$193*IF(AND(AND(135&gt;Corte,135&lt;=Corte+n_Ventana),ISNUMBER(Detalle_24m!EJ$58)),Detalle_24m!EJ$58,INDEX(Precio_V,17)*INDEX(IdxPrecio_V,1,MIN(10,EJ$173)))*(1+V_dPrecio))</f>
        <v>0</v>
      </c>
      <c r="EK218" s="48">
        <f>IF(EK$8=1,IF(Reales!$C$54="PYG",IF(EK$10&gt;0,N(Reales!EK54)/EK$10,0),N(Reales!EK54)),EK$193*IF(AND(AND(136&gt;Corte,136&lt;=Corte+n_Ventana),ISNUMBER(Detalle_24m!EK$58)),Detalle_24m!EK$58,INDEX(Precio_V,17)*INDEX(IdxPrecio_V,1,MIN(10,EK$173)))*(1+V_dPrecio))</f>
        <v>0</v>
      </c>
      <c r="EL218" s="48">
        <f>IF(EL$8=1,IF(Reales!$C$54="PYG",IF(EL$10&gt;0,N(Reales!EL54)/EL$10,0),N(Reales!EL54)),EL$193*IF(AND(AND(137&gt;Corte,137&lt;=Corte+n_Ventana),ISNUMBER(Detalle_24m!EL$58)),Detalle_24m!EL$58,INDEX(Precio_V,17)*INDEX(IdxPrecio_V,1,MIN(10,EL$173)))*(1+V_dPrecio))</f>
        <v>0</v>
      </c>
      <c r="EM218" s="48">
        <f>IF(EM$8=1,IF(Reales!$C$54="PYG",IF(EM$10&gt;0,N(Reales!EM54)/EM$10,0),N(Reales!EM54)),EM$193*IF(AND(AND(138&gt;Corte,138&lt;=Corte+n_Ventana),ISNUMBER(Detalle_24m!EM$58)),Detalle_24m!EM$58,INDEX(Precio_V,17)*INDEX(IdxPrecio_V,1,MIN(10,EM$173)))*(1+V_dPrecio))</f>
        <v>0</v>
      </c>
      <c r="EN218" s="48">
        <f>IF(EN$8=1,IF(Reales!$C$54="PYG",IF(EN$10&gt;0,N(Reales!EN54)/EN$10,0),N(Reales!EN54)),EN$193*IF(AND(AND(139&gt;Corte,139&lt;=Corte+n_Ventana),ISNUMBER(Detalle_24m!EN$58)),Detalle_24m!EN$58,INDEX(Precio_V,17)*INDEX(IdxPrecio_V,1,MIN(10,EN$173)))*(1+V_dPrecio))</f>
        <v>0</v>
      </c>
      <c r="EO218" s="48">
        <f>IF(EO$8=1,IF(Reales!$C$54="PYG",IF(EO$10&gt;0,N(Reales!EO54)/EO$10,0),N(Reales!EO54)),EO$193*IF(AND(AND(140&gt;Corte,140&lt;=Corte+n_Ventana),ISNUMBER(Detalle_24m!EO$58)),Detalle_24m!EO$58,INDEX(Precio_V,17)*INDEX(IdxPrecio_V,1,MIN(10,EO$173)))*(1+V_dPrecio))</f>
        <v>0</v>
      </c>
      <c r="EP218" s="48">
        <f>IF(EP$8=1,IF(Reales!$C$54="PYG",IF(EP$10&gt;0,N(Reales!EP54)/EP$10,0),N(Reales!EP54)),EP$193*IF(AND(AND(141&gt;Corte,141&lt;=Corte+n_Ventana),ISNUMBER(Detalle_24m!EP$58)),Detalle_24m!EP$58,INDEX(Precio_V,17)*INDEX(IdxPrecio_V,1,MIN(10,EP$173)))*(1+V_dPrecio))</f>
        <v>0</v>
      </c>
      <c r="EQ218" s="48">
        <f>IF(EQ$8=1,IF(Reales!$C$54="PYG",IF(EQ$10&gt;0,N(Reales!EQ54)/EQ$10,0),N(Reales!EQ54)),EQ$193*IF(AND(AND(142&gt;Corte,142&lt;=Corte+n_Ventana),ISNUMBER(Detalle_24m!EQ$58)),Detalle_24m!EQ$58,INDEX(Precio_V,17)*INDEX(IdxPrecio_V,1,MIN(10,EQ$173)))*(1+V_dPrecio))</f>
        <v>0</v>
      </c>
      <c r="ER218" s="48">
        <f>IF(ER$8=1,IF(Reales!$C$54="PYG",IF(ER$10&gt;0,N(Reales!ER54)/ER$10,0),N(Reales!ER54)),ER$193*IF(AND(AND(143&gt;Corte,143&lt;=Corte+n_Ventana),ISNUMBER(Detalle_24m!ER$58)),Detalle_24m!ER$58,INDEX(Precio_V,17)*INDEX(IdxPrecio_V,1,MIN(10,ER$173)))*(1+V_dPrecio))</f>
        <v>0</v>
      </c>
      <c r="ES218" s="48">
        <f>IF(ES$8=1,IF(Reales!$C$54="PYG",IF(ES$10&gt;0,N(Reales!ES54)/ES$10,0),N(Reales!ES54)),ES$193*IF(AND(AND(144&gt;Corte,144&lt;=Corte+n_Ventana),ISNUMBER(Detalle_24m!ES$58)),Detalle_24m!ES$58,INDEX(Precio_V,17)*INDEX(IdxPrecio_V,1,MIN(10,ES$173)))*(1+V_dPrecio))</f>
        <v>0</v>
      </c>
    </row>
    <row r="219" spans="1:149" x14ac:dyDescent="0.3">
      <c r="A219" s="14" t="s">
        <v>1274</v>
      </c>
      <c r="B219" s="53" t="str">
        <f>IF(INDEX(Prod_Nombre,18)="","Producto 18",INDEX(Prod_Nombre,18))&amp;" — ventas USD"</f>
        <v>Producto 18 — ventas USD</v>
      </c>
      <c r="C219" s="18" t="s">
        <v>439</v>
      </c>
      <c r="E219" s="54">
        <f t="shared" si="605"/>
        <v>0</v>
      </c>
      <c r="F219" s="48">
        <f>IF(F$8=1,IF(Reales!$C$55="PYG",IF(F$10&gt;0,N(Reales!F55)/F$10,0),N(Reales!F55)),F$194*IF(AND(AND(1&gt;Corte,1&lt;=Corte+n_Ventana),ISNUMBER(Detalle_24m!F$59)),Detalle_24m!F$59,INDEX(Precio_V,18)*INDEX(IdxPrecio_V,1,MIN(10,F$173)))*(1+V_dPrecio))</f>
        <v>0</v>
      </c>
      <c r="G219" s="48">
        <f>IF(G$8=1,IF(Reales!$C$55="PYG",IF(G$10&gt;0,N(Reales!G55)/G$10,0),N(Reales!G55)),G$194*IF(AND(AND(2&gt;Corte,2&lt;=Corte+n_Ventana),ISNUMBER(Detalle_24m!G$59)),Detalle_24m!G$59,INDEX(Precio_V,18)*INDEX(IdxPrecio_V,1,MIN(10,G$173)))*(1+V_dPrecio))</f>
        <v>0</v>
      </c>
      <c r="H219" s="48">
        <f>IF(H$8=1,IF(Reales!$C$55="PYG",IF(H$10&gt;0,N(Reales!H55)/H$10,0),N(Reales!H55)),H$194*IF(AND(AND(3&gt;Corte,3&lt;=Corte+n_Ventana),ISNUMBER(Detalle_24m!H$59)),Detalle_24m!H$59,INDEX(Precio_V,18)*INDEX(IdxPrecio_V,1,MIN(10,H$173)))*(1+V_dPrecio))</f>
        <v>0</v>
      </c>
      <c r="I219" s="48">
        <f>IF(I$8=1,IF(Reales!$C$55="PYG",IF(I$10&gt;0,N(Reales!I55)/I$10,0),N(Reales!I55)),I$194*IF(AND(AND(4&gt;Corte,4&lt;=Corte+n_Ventana),ISNUMBER(Detalle_24m!I$59)),Detalle_24m!I$59,INDEX(Precio_V,18)*INDEX(IdxPrecio_V,1,MIN(10,I$173)))*(1+V_dPrecio))</f>
        <v>0</v>
      </c>
      <c r="J219" s="48">
        <f>IF(J$8=1,IF(Reales!$C$55="PYG",IF(J$10&gt;0,N(Reales!J55)/J$10,0),N(Reales!J55)),J$194*IF(AND(AND(5&gt;Corte,5&lt;=Corte+n_Ventana),ISNUMBER(Detalle_24m!J$59)),Detalle_24m!J$59,INDEX(Precio_V,18)*INDEX(IdxPrecio_V,1,MIN(10,J$173)))*(1+V_dPrecio))</f>
        <v>0</v>
      </c>
      <c r="K219" s="48">
        <f>IF(K$8=1,IF(Reales!$C$55="PYG",IF(K$10&gt;0,N(Reales!K55)/K$10,0),N(Reales!K55)),K$194*IF(AND(AND(6&gt;Corte,6&lt;=Corte+n_Ventana),ISNUMBER(Detalle_24m!K$59)),Detalle_24m!K$59,INDEX(Precio_V,18)*INDEX(IdxPrecio_V,1,MIN(10,K$173)))*(1+V_dPrecio))</f>
        <v>0</v>
      </c>
      <c r="L219" s="48">
        <f>IF(L$8=1,IF(Reales!$C$55="PYG",IF(L$10&gt;0,N(Reales!L55)/L$10,0),N(Reales!L55)),L$194*IF(AND(AND(7&gt;Corte,7&lt;=Corte+n_Ventana),ISNUMBER(Detalle_24m!L$59)),Detalle_24m!L$59,INDEX(Precio_V,18)*INDEX(IdxPrecio_V,1,MIN(10,L$173)))*(1+V_dPrecio))</f>
        <v>0</v>
      </c>
      <c r="M219" s="48">
        <f>IF(M$8=1,IF(Reales!$C$55="PYG",IF(M$10&gt;0,N(Reales!M55)/M$10,0),N(Reales!M55)),M$194*IF(AND(AND(8&gt;Corte,8&lt;=Corte+n_Ventana),ISNUMBER(Detalle_24m!M$59)),Detalle_24m!M$59,INDEX(Precio_V,18)*INDEX(IdxPrecio_V,1,MIN(10,M$173)))*(1+V_dPrecio))</f>
        <v>0</v>
      </c>
      <c r="N219" s="48">
        <f>IF(N$8=1,IF(Reales!$C$55="PYG",IF(N$10&gt;0,N(Reales!N55)/N$10,0),N(Reales!N55)),N$194*IF(AND(AND(9&gt;Corte,9&lt;=Corte+n_Ventana),ISNUMBER(Detalle_24m!N$59)),Detalle_24m!N$59,INDEX(Precio_V,18)*INDEX(IdxPrecio_V,1,MIN(10,N$173)))*(1+V_dPrecio))</f>
        <v>0</v>
      </c>
      <c r="O219" s="48">
        <f>IF(O$8=1,IF(Reales!$C$55="PYG",IF(O$10&gt;0,N(Reales!O55)/O$10,0),N(Reales!O55)),O$194*IF(AND(AND(10&gt;Corte,10&lt;=Corte+n_Ventana),ISNUMBER(Detalle_24m!O$59)),Detalle_24m!O$59,INDEX(Precio_V,18)*INDEX(IdxPrecio_V,1,MIN(10,O$173)))*(1+V_dPrecio))</f>
        <v>0</v>
      </c>
      <c r="P219" s="48">
        <f>IF(P$8=1,IF(Reales!$C$55="PYG",IF(P$10&gt;0,N(Reales!P55)/P$10,0),N(Reales!P55)),P$194*IF(AND(AND(11&gt;Corte,11&lt;=Corte+n_Ventana),ISNUMBER(Detalle_24m!P$59)),Detalle_24m!P$59,INDEX(Precio_V,18)*INDEX(IdxPrecio_V,1,MIN(10,P$173)))*(1+V_dPrecio))</f>
        <v>0</v>
      </c>
      <c r="Q219" s="48">
        <f>IF(Q$8=1,IF(Reales!$C$55="PYG",IF(Q$10&gt;0,N(Reales!Q55)/Q$10,0),N(Reales!Q55)),Q$194*IF(AND(AND(12&gt;Corte,12&lt;=Corte+n_Ventana),ISNUMBER(Detalle_24m!Q$59)),Detalle_24m!Q$59,INDEX(Precio_V,18)*INDEX(IdxPrecio_V,1,MIN(10,Q$173)))*(1+V_dPrecio))</f>
        <v>0</v>
      </c>
      <c r="R219" s="48">
        <f>IF(R$8=1,IF(Reales!$C$55="PYG",IF(R$10&gt;0,N(Reales!R55)/R$10,0),N(Reales!R55)),R$194*IF(AND(AND(13&gt;Corte,13&lt;=Corte+n_Ventana),ISNUMBER(Detalle_24m!R$59)),Detalle_24m!R$59,INDEX(Precio_V,18)*INDEX(IdxPrecio_V,1,MIN(10,R$173)))*(1+V_dPrecio))</f>
        <v>0</v>
      </c>
      <c r="S219" s="48">
        <f>IF(S$8=1,IF(Reales!$C$55="PYG",IF(S$10&gt;0,N(Reales!S55)/S$10,0),N(Reales!S55)),S$194*IF(AND(AND(14&gt;Corte,14&lt;=Corte+n_Ventana),ISNUMBER(Detalle_24m!S$59)),Detalle_24m!S$59,INDEX(Precio_V,18)*INDEX(IdxPrecio_V,1,MIN(10,S$173)))*(1+V_dPrecio))</f>
        <v>0</v>
      </c>
      <c r="T219" s="48">
        <f>IF(T$8=1,IF(Reales!$C$55="PYG",IF(T$10&gt;0,N(Reales!T55)/T$10,0),N(Reales!T55)),T$194*IF(AND(AND(15&gt;Corte,15&lt;=Corte+n_Ventana),ISNUMBER(Detalle_24m!T$59)),Detalle_24m!T$59,INDEX(Precio_V,18)*INDEX(IdxPrecio_V,1,MIN(10,T$173)))*(1+V_dPrecio))</f>
        <v>0</v>
      </c>
      <c r="U219" s="48">
        <f>IF(U$8=1,IF(Reales!$C$55="PYG",IF(U$10&gt;0,N(Reales!U55)/U$10,0),N(Reales!U55)),U$194*IF(AND(AND(16&gt;Corte,16&lt;=Corte+n_Ventana),ISNUMBER(Detalle_24m!U$59)),Detalle_24m!U$59,INDEX(Precio_V,18)*INDEX(IdxPrecio_V,1,MIN(10,U$173)))*(1+V_dPrecio))</f>
        <v>0</v>
      </c>
      <c r="V219" s="48">
        <f>IF(V$8=1,IF(Reales!$C$55="PYG",IF(V$10&gt;0,N(Reales!V55)/V$10,0),N(Reales!V55)),V$194*IF(AND(AND(17&gt;Corte,17&lt;=Corte+n_Ventana),ISNUMBER(Detalle_24m!V$59)),Detalle_24m!V$59,INDEX(Precio_V,18)*INDEX(IdxPrecio_V,1,MIN(10,V$173)))*(1+V_dPrecio))</f>
        <v>0</v>
      </c>
      <c r="W219" s="48">
        <f>IF(W$8=1,IF(Reales!$C$55="PYG",IF(W$10&gt;0,N(Reales!W55)/W$10,0),N(Reales!W55)),W$194*IF(AND(AND(18&gt;Corte,18&lt;=Corte+n_Ventana),ISNUMBER(Detalle_24m!W$59)),Detalle_24m!W$59,INDEX(Precio_V,18)*INDEX(IdxPrecio_V,1,MIN(10,W$173)))*(1+V_dPrecio))</f>
        <v>0</v>
      </c>
      <c r="X219" s="48">
        <f>IF(X$8=1,IF(Reales!$C$55="PYG",IF(X$10&gt;0,N(Reales!X55)/X$10,0),N(Reales!X55)),X$194*IF(AND(AND(19&gt;Corte,19&lt;=Corte+n_Ventana),ISNUMBER(Detalle_24m!X$59)),Detalle_24m!X$59,INDEX(Precio_V,18)*INDEX(IdxPrecio_V,1,MIN(10,X$173)))*(1+V_dPrecio))</f>
        <v>0</v>
      </c>
      <c r="Y219" s="48">
        <f>IF(Y$8=1,IF(Reales!$C$55="PYG",IF(Y$10&gt;0,N(Reales!Y55)/Y$10,0),N(Reales!Y55)),Y$194*IF(AND(AND(20&gt;Corte,20&lt;=Corte+n_Ventana),ISNUMBER(Detalle_24m!Y$59)),Detalle_24m!Y$59,INDEX(Precio_V,18)*INDEX(IdxPrecio_V,1,MIN(10,Y$173)))*(1+V_dPrecio))</f>
        <v>0</v>
      </c>
      <c r="Z219" s="48">
        <f>IF(Z$8=1,IF(Reales!$C$55="PYG",IF(Z$10&gt;0,N(Reales!Z55)/Z$10,0),N(Reales!Z55)),Z$194*IF(AND(AND(21&gt;Corte,21&lt;=Corte+n_Ventana),ISNUMBER(Detalle_24m!Z$59)),Detalle_24m!Z$59,INDEX(Precio_V,18)*INDEX(IdxPrecio_V,1,MIN(10,Z$173)))*(1+V_dPrecio))</f>
        <v>0</v>
      </c>
      <c r="AA219" s="48">
        <f>IF(AA$8=1,IF(Reales!$C$55="PYG",IF(AA$10&gt;0,N(Reales!AA55)/AA$10,0),N(Reales!AA55)),AA$194*IF(AND(AND(22&gt;Corte,22&lt;=Corte+n_Ventana),ISNUMBER(Detalle_24m!AA$59)),Detalle_24m!AA$59,INDEX(Precio_V,18)*INDEX(IdxPrecio_V,1,MIN(10,AA$173)))*(1+V_dPrecio))</f>
        <v>0</v>
      </c>
      <c r="AB219" s="48">
        <f>IF(AB$8=1,IF(Reales!$C$55="PYG",IF(AB$10&gt;0,N(Reales!AB55)/AB$10,0),N(Reales!AB55)),AB$194*IF(AND(AND(23&gt;Corte,23&lt;=Corte+n_Ventana),ISNUMBER(Detalle_24m!AB$59)),Detalle_24m!AB$59,INDEX(Precio_V,18)*INDEX(IdxPrecio_V,1,MIN(10,AB$173)))*(1+V_dPrecio))</f>
        <v>0</v>
      </c>
      <c r="AC219" s="48">
        <f>IF(AC$8=1,IF(Reales!$C$55="PYG",IF(AC$10&gt;0,N(Reales!AC55)/AC$10,0),N(Reales!AC55)),AC$194*IF(AND(AND(24&gt;Corte,24&lt;=Corte+n_Ventana),ISNUMBER(Detalle_24m!AC$59)),Detalle_24m!AC$59,INDEX(Precio_V,18)*INDEX(IdxPrecio_V,1,MIN(10,AC$173)))*(1+V_dPrecio))</f>
        <v>0</v>
      </c>
      <c r="AD219" s="48">
        <f>IF(AD$8=1,IF(Reales!$C$55="PYG",IF(AD$10&gt;0,N(Reales!AD55)/AD$10,0),N(Reales!AD55)),AD$194*IF(AND(AND(25&gt;Corte,25&lt;=Corte+n_Ventana),ISNUMBER(Detalle_24m!AD$59)),Detalle_24m!AD$59,INDEX(Precio_V,18)*INDEX(IdxPrecio_V,1,MIN(10,AD$173)))*(1+V_dPrecio))</f>
        <v>0</v>
      </c>
      <c r="AE219" s="48">
        <f>IF(AE$8=1,IF(Reales!$C$55="PYG",IF(AE$10&gt;0,N(Reales!AE55)/AE$10,0),N(Reales!AE55)),AE$194*IF(AND(AND(26&gt;Corte,26&lt;=Corte+n_Ventana),ISNUMBER(Detalle_24m!AE$59)),Detalle_24m!AE$59,INDEX(Precio_V,18)*INDEX(IdxPrecio_V,1,MIN(10,AE$173)))*(1+V_dPrecio))</f>
        <v>0</v>
      </c>
      <c r="AF219" s="48">
        <f>IF(AF$8=1,IF(Reales!$C$55="PYG",IF(AF$10&gt;0,N(Reales!AF55)/AF$10,0),N(Reales!AF55)),AF$194*IF(AND(AND(27&gt;Corte,27&lt;=Corte+n_Ventana),ISNUMBER(Detalle_24m!AF$59)),Detalle_24m!AF$59,INDEX(Precio_V,18)*INDEX(IdxPrecio_V,1,MIN(10,AF$173)))*(1+V_dPrecio))</f>
        <v>0</v>
      </c>
      <c r="AG219" s="48">
        <f>IF(AG$8=1,IF(Reales!$C$55="PYG",IF(AG$10&gt;0,N(Reales!AG55)/AG$10,0),N(Reales!AG55)),AG$194*IF(AND(AND(28&gt;Corte,28&lt;=Corte+n_Ventana),ISNUMBER(Detalle_24m!AG$59)),Detalle_24m!AG$59,INDEX(Precio_V,18)*INDEX(IdxPrecio_V,1,MIN(10,AG$173)))*(1+V_dPrecio))</f>
        <v>0</v>
      </c>
      <c r="AH219" s="48">
        <f>IF(AH$8=1,IF(Reales!$C$55="PYG",IF(AH$10&gt;0,N(Reales!AH55)/AH$10,0),N(Reales!AH55)),AH$194*IF(AND(AND(29&gt;Corte,29&lt;=Corte+n_Ventana),ISNUMBER(Detalle_24m!AH$59)),Detalle_24m!AH$59,INDEX(Precio_V,18)*INDEX(IdxPrecio_V,1,MIN(10,AH$173)))*(1+V_dPrecio))</f>
        <v>0</v>
      </c>
      <c r="AI219" s="48">
        <f>IF(AI$8=1,IF(Reales!$C$55="PYG",IF(AI$10&gt;0,N(Reales!AI55)/AI$10,0),N(Reales!AI55)),AI$194*IF(AND(AND(30&gt;Corte,30&lt;=Corte+n_Ventana),ISNUMBER(Detalle_24m!AI$59)),Detalle_24m!AI$59,INDEX(Precio_V,18)*INDEX(IdxPrecio_V,1,MIN(10,AI$173)))*(1+V_dPrecio))</f>
        <v>0</v>
      </c>
      <c r="AJ219" s="48">
        <f>IF(AJ$8=1,IF(Reales!$C$55="PYG",IF(AJ$10&gt;0,N(Reales!AJ55)/AJ$10,0),N(Reales!AJ55)),AJ$194*IF(AND(AND(31&gt;Corte,31&lt;=Corte+n_Ventana),ISNUMBER(Detalle_24m!AJ$59)),Detalle_24m!AJ$59,INDEX(Precio_V,18)*INDEX(IdxPrecio_V,1,MIN(10,AJ$173)))*(1+V_dPrecio))</f>
        <v>0</v>
      </c>
      <c r="AK219" s="48">
        <f>IF(AK$8=1,IF(Reales!$C$55="PYG",IF(AK$10&gt;0,N(Reales!AK55)/AK$10,0),N(Reales!AK55)),AK$194*IF(AND(AND(32&gt;Corte,32&lt;=Corte+n_Ventana),ISNUMBER(Detalle_24m!AK$59)),Detalle_24m!AK$59,INDEX(Precio_V,18)*INDEX(IdxPrecio_V,1,MIN(10,AK$173)))*(1+V_dPrecio))</f>
        <v>0</v>
      </c>
      <c r="AL219" s="48">
        <f>IF(AL$8=1,IF(Reales!$C$55="PYG",IF(AL$10&gt;0,N(Reales!AL55)/AL$10,0),N(Reales!AL55)),AL$194*IF(AND(AND(33&gt;Corte,33&lt;=Corte+n_Ventana),ISNUMBER(Detalle_24m!AL$59)),Detalle_24m!AL$59,INDEX(Precio_V,18)*INDEX(IdxPrecio_V,1,MIN(10,AL$173)))*(1+V_dPrecio))</f>
        <v>0</v>
      </c>
      <c r="AM219" s="48">
        <f>IF(AM$8=1,IF(Reales!$C$55="PYG",IF(AM$10&gt;0,N(Reales!AM55)/AM$10,0),N(Reales!AM55)),AM$194*IF(AND(AND(34&gt;Corte,34&lt;=Corte+n_Ventana),ISNUMBER(Detalle_24m!AM$59)),Detalle_24m!AM$59,INDEX(Precio_V,18)*INDEX(IdxPrecio_V,1,MIN(10,AM$173)))*(1+V_dPrecio))</f>
        <v>0</v>
      </c>
      <c r="AN219" s="48">
        <f>IF(AN$8=1,IF(Reales!$C$55="PYG",IF(AN$10&gt;0,N(Reales!AN55)/AN$10,0),N(Reales!AN55)),AN$194*IF(AND(AND(35&gt;Corte,35&lt;=Corte+n_Ventana),ISNUMBER(Detalle_24m!AN$59)),Detalle_24m!AN$59,INDEX(Precio_V,18)*INDEX(IdxPrecio_V,1,MIN(10,AN$173)))*(1+V_dPrecio))</f>
        <v>0</v>
      </c>
      <c r="AO219" s="48">
        <f>IF(AO$8=1,IF(Reales!$C$55="PYG",IF(AO$10&gt;0,N(Reales!AO55)/AO$10,0),N(Reales!AO55)),AO$194*IF(AND(AND(36&gt;Corte,36&lt;=Corte+n_Ventana),ISNUMBER(Detalle_24m!AO$59)),Detalle_24m!AO$59,INDEX(Precio_V,18)*INDEX(IdxPrecio_V,1,MIN(10,AO$173)))*(1+V_dPrecio))</f>
        <v>0</v>
      </c>
      <c r="AP219" s="48">
        <f>IF(AP$8=1,IF(Reales!$C$55="PYG",IF(AP$10&gt;0,N(Reales!AP55)/AP$10,0),N(Reales!AP55)),AP$194*IF(AND(AND(37&gt;Corte,37&lt;=Corte+n_Ventana),ISNUMBER(Detalle_24m!AP$59)),Detalle_24m!AP$59,INDEX(Precio_V,18)*INDEX(IdxPrecio_V,1,MIN(10,AP$173)))*(1+V_dPrecio))</f>
        <v>0</v>
      </c>
      <c r="AQ219" s="48">
        <f>IF(AQ$8=1,IF(Reales!$C$55="PYG",IF(AQ$10&gt;0,N(Reales!AQ55)/AQ$10,0),N(Reales!AQ55)),AQ$194*IF(AND(AND(38&gt;Corte,38&lt;=Corte+n_Ventana),ISNUMBER(Detalle_24m!AQ$59)),Detalle_24m!AQ$59,INDEX(Precio_V,18)*INDEX(IdxPrecio_V,1,MIN(10,AQ$173)))*(1+V_dPrecio))</f>
        <v>0</v>
      </c>
      <c r="AR219" s="48">
        <f>IF(AR$8=1,IF(Reales!$C$55="PYG",IF(AR$10&gt;0,N(Reales!AR55)/AR$10,0),N(Reales!AR55)),AR$194*IF(AND(AND(39&gt;Corte,39&lt;=Corte+n_Ventana),ISNUMBER(Detalle_24m!AR$59)),Detalle_24m!AR$59,INDEX(Precio_V,18)*INDEX(IdxPrecio_V,1,MIN(10,AR$173)))*(1+V_dPrecio))</f>
        <v>0</v>
      </c>
      <c r="AS219" s="48">
        <f>IF(AS$8=1,IF(Reales!$C$55="PYG",IF(AS$10&gt;0,N(Reales!AS55)/AS$10,0),N(Reales!AS55)),AS$194*IF(AND(AND(40&gt;Corte,40&lt;=Corte+n_Ventana),ISNUMBER(Detalle_24m!AS$59)),Detalle_24m!AS$59,INDEX(Precio_V,18)*INDEX(IdxPrecio_V,1,MIN(10,AS$173)))*(1+V_dPrecio))</f>
        <v>0</v>
      </c>
      <c r="AT219" s="48">
        <f>IF(AT$8=1,IF(Reales!$C$55="PYG",IF(AT$10&gt;0,N(Reales!AT55)/AT$10,0),N(Reales!AT55)),AT$194*IF(AND(AND(41&gt;Corte,41&lt;=Corte+n_Ventana),ISNUMBER(Detalle_24m!AT$59)),Detalle_24m!AT$59,INDEX(Precio_V,18)*INDEX(IdxPrecio_V,1,MIN(10,AT$173)))*(1+V_dPrecio))</f>
        <v>0</v>
      </c>
      <c r="AU219" s="48">
        <f>IF(AU$8=1,IF(Reales!$C$55="PYG",IF(AU$10&gt;0,N(Reales!AU55)/AU$10,0),N(Reales!AU55)),AU$194*IF(AND(AND(42&gt;Corte,42&lt;=Corte+n_Ventana),ISNUMBER(Detalle_24m!AU$59)),Detalle_24m!AU$59,INDEX(Precio_V,18)*INDEX(IdxPrecio_V,1,MIN(10,AU$173)))*(1+V_dPrecio))</f>
        <v>0</v>
      </c>
      <c r="AV219" s="48">
        <f>IF(AV$8=1,IF(Reales!$C$55="PYG",IF(AV$10&gt;0,N(Reales!AV55)/AV$10,0),N(Reales!AV55)),AV$194*IF(AND(AND(43&gt;Corte,43&lt;=Corte+n_Ventana),ISNUMBER(Detalle_24m!AV$59)),Detalle_24m!AV$59,INDEX(Precio_V,18)*INDEX(IdxPrecio_V,1,MIN(10,AV$173)))*(1+V_dPrecio))</f>
        <v>0</v>
      </c>
      <c r="AW219" s="48">
        <f>IF(AW$8=1,IF(Reales!$C$55="PYG",IF(AW$10&gt;0,N(Reales!AW55)/AW$10,0),N(Reales!AW55)),AW$194*IF(AND(AND(44&gt;Corte,44&lt;=Corte+n_Ventana),ISNUMBER(Detalle_24m!AW$59)),Detalle_24m!AW$59,INDEX(Precio_V,18)*INDEX(IdxPrecio_V,1,MIN(10,AW$173)))*(1+V_dPrecio))</f>
        <v>0</v>
      </c>
      <c r="AX219" s="48">
        <f>IF(AX$8=1,IF(Reales!$C$55="PYG",IF(AX$10&gt;0,N(Reales!AX55)/AX$10,0),N(Reales!AX55)),AX$194*IF(AND(AND(45&gt;Corte,45&lt;=Corte+n_Ventana),ISNUMBER(Detalle_24m!AX$59)),Detalle_24m!AX$59,INDEX(Precio_V,18)*INDEX(IdxPrecio_V,1,MIN(10,AX$173)))*(1+V_dPrecio))</f>
        <v>0</v>
      </c>
      <c r="AY219" s="48">
        <f>IF(AY$8=1,IF(Reales!$C$55="PYG",IF(AY$10&gt;0,N(Reales!AY55)/AY$10,0),N(Reales!AY55)),AY$194*IF(AND(AND(46&gt;Corte,46&lt;=Corte+n_Ventana),ISNUMBER(Detalle_24m!AY$59)),Detalle_24m!AY$59,INDEX(Precio_V,18)*INDEX(IdxPrecio_V,1,MIN(10,AY$173)))*(1+V_dPrecio))</f>
        <v>0</v>
      </c>
      <c r="AZ219" s="48">
        <f>IF(AZ$8=1,IF(Reales!$C$55="PYG",IF(AZ$10&gt;0,N(Reales!AZ55)/AZ$10,0),N(Reales!AZ55)),AZ$194*IF(AND(AND(47&gt;Corte,47&lt;=Corte+n_Ventana),ISNUMBER(Detalle_24m!AZ$59)),Detalle_24m!AZ$59,INDEX(Precio_V,18)*INDEX(IdxPrecio_V,1,MIN(10,AZ$173)))*(1+V_dPrecio))</f>
        <v>0</v>
      </c>
      <c r="BA219" s="48">
        <f>IF(BA$8=1,IF(Reales!$C$55="PYG",IF(BA$10&gt;0,N(Reales!BA55)/BA$10,0),N(Reales!BA55)),BA$194*IF(AND(AND(48&gt;Corte,48&lt;=Corte+n_Ventana),ISNUMBER(Detalle_24m!BA$59)),Detalle_24m!BA$59,INDEX(Precio_V,18)*INDEX(IdxPrecio_V,1,MIN(10,BA$173)))*(1+V_dPrecio))</f>
        <v>0</v>
      </c>
      <c r="BB219" s="48">
        <f>IF(BB$8=1,IF(Reales!$C$55="PYG",IF(BB$10&gt;0,N(Reales!BB55)/BB$10,0),N(Reales!BB55)),BB$194*IF(AND(AND(49&gt;Corte,49&lt;=Corte+n_Ventana),ISNUMBER(Detalle_24m!BB$59)),Detalle_24m!BB$59,INDEX(Precio_V,18)*INDEX(IdxPrecio_V,1,MIN(10,BB$173)))*(1+V_dPrecio))</f>
        <v>0</v>
      </c>
      <c r="BC219" s="48">
        <f>IF(BC$8=1,IF(Reales!$C$55="PYG",IF(BC$10&gt;0,N(Reales!BC55)/BC$10,0),N(Reales!BC55)),BC$194*IF(AND(AND(50&gt;Corte,50&lt;=Corte+n_Ventana),ISNUMBER(Detalle_24m!BC$59)),Detalle_24m!BC$59,INDEX(Precio_V,18)*INDEX(IdxPrecio_V,1,MIN(10,BC$173)))*(1+V_dPrecio))</f>
        <v>0</v>
      </c>
      <c r="BD219" s="48">
        <f>IF(BD$8=1,IF(Reales!$C$55="PYG",IF(BD$10&gt;0,N(Reales!BD55)/BD$10,0),N(Reales!BD55)),BD$194*IF(AND(AND(51&gt;Corte,51&lt;=Corte+n_Ventana),ISNUMBER(Detalle_24m!BD$59)),Detalle_24m!BD$59,INDEX(Precio_V,18)*INDEX(IdxPrecio_V,1,MIN(10,BD$173)))*(1+V_dPrecio))</f>
        <v>0</v>
      </c>
      <c r="BE219" s="48">
        <f>IF(BE$8=1,IF(Reales!$C$55="PYG",IF(BE$10&gt;0,N(Reales!BE55)/BE$10,0),N(Reales!BE55)),BE$194*IF(AND(AND(52&gt;Corte,52&lt;=Corte+n_Ventana),ISNUMBER(Detalle_24m!BE$59)),Detalle_24m!BE$59,INDEX(Precio_V,18)*INDEX(IdxPrecio_V,1,MIN(10,BE$173)))*(1+V_dPrecio))</f>
        <v>0</v>
      </c>
      <c r="BF219" s="48">
        <f>IF(BF$8=1,IF(Reales!$C$55="PYG",IF(BF$10&gt;0,N(Reales!BF55)/BF$10,0),N(Reales!BF55)),BF$194*IF(AND(AND(53&gt;Corte,53&lt;=Corte+n_Ventana),ISNUMBER(Detalle_24m!BF$59)),Detalle_24m!BF$59,INDEX(Precio_V,18)*INDEX(IdxPrecio_V,1,MIN(10,BF$173)))*(1+V_dPrecio))</f>
        <v>0</v>
      </c>
      <c r="BG219" s="48">
        <f>IF(BG$8=1,IF(Reales!$C$55="PYG",IF(BG$10&gt;0,N(Reales!BG55)/BG$10,0),N(Reales!BG55)),BG$194*IF(AND(AND(54&gt;Corte,54&lt;=Corte+n_Ventana),ISNUMBER(Detalle_24m!BG$59)),Detalle_24m!BG$59,INDEX(Precio_V,18)*INDEX(IdxPrecio_V,1,MIN(10,BG$173)))*(1+V_dPrecio))</f>
        <v>0</v>
      </c>
      <c r="BH219" s="48">
        <f>IF(BH$8=1,IF(Reales!$C$55="PYG",IF(BH$10&gt;0,N(Reales!BH55)/BH$10,0),N(Reales!BH55)),BH$194*IF(AND(AND(55&gt;Corte,55&lt;=Corte+n_Ventana),ISNUMBER(Detalle_24m!BH$59)),Detalle_24m!BH$59,INDEX(Precio_V,18)*INDEX(IdxPrecio_V,1,MIN(10,BH$173)))*(1+V_dPrecio))</f>
        <v>0</v>
      </c>
      <c r="BI219" s="48">
        <f>IF(BI$8=1,IF(Reales!$C$55="PYG",IF(BI$10&gt;0,N(Reales!BI55)/BI$10,0),N(Reales!BI55)),BI$194*IF(AND(AND(56&gt;Corte,56&lt;=Corte+n_Ventana),ISNUMBER(Detalle_24m!BI$59)),Detalle_24m!BI$59,INDEX(Precio_V,18)*INDEX(IdxPrecio_V,1,MIN(10,BI$173)))*(1+V_dPrecio))</f>
        <v>0</v>
      </c>
      <c r="BJ219" s="48">
        <f>IF(BJ$8=1,IF(Reales!$C$55="PYG",IF(BJ$10&gt;0,N(Reales!BJ55)/BJ$10,0),N(Reales!BJ55)),BJ$194*IF(AND(AND(57&gt;Corte,57&lt;=Corte+n_Ventana),ISNUMBER(Detalle_24m!BJ$59)),Detalle_24m!BJ$59,INDEX(Precio_V,18)*INDEX(IdxPrecio_V,1,MIN(10,BJ$173)))*(1+V_dPrecio))</f>
        <v>0</v>
      </c>
      <c r="BK219" s="48">
        <f>IF(BK$8=1,IF(Reales!$C$55="PYG",IF(BK$10&gt;0,N(Reales!BK55)/BK$10,0),N(Reales!BK55)),BK$194*IF(AND(AND(58&gt;Corte,58&lt;=Corte+n_Ventana),ISNUMBER(Detalle_24m!BK$59)),Detalle_24m!BK$59,INDEX(Precio_V,18)*INDEX(IdxPrecio_V,1,MIN(10,BK$173)))*(1+V_dPrecio))</f>
        <v>0</v>
      </c>
      <c r="BL219" s="48">
        <f>IF(BL$8=1,IF(Reales!$C$55="PYG",IF(BL$10&gt;0,N(Reales!BL55)/BL$10,0),N(Reales!BL55)),BL$194*IF(AND(AND(59&gt;Corte,59&lt;=Corte+n_Ventana),ISNUMBER(Detalle_24m!BL$59)),Detalle_24m!BL$59,INDEX(Precio_V,18)*INDEX(IdxPrecio_V,1,MIN(10,BL$173)))*(1+V_dPrecio))</f>
        <v>0</v>
      </c>
      <c r="BM219" s="48">
        <f>IF(BM$8=1,IF(Reales!$C$55="PYG",IF(BM$10&gt;0,N(Reales!BM55)/BM$10,0),N(Reales!BM55)),BM$194*IF(AND(AND(60&gt;Corte,60&lt;=Corte+n_Ventana),ISNUMBER(Detalle_24m!BM$59)),Detalle_24m!BM$59,INDEX(Precio_V,18)*INDEX(IdxPrecio_V,1,MIN(10,BM$173)))*(1+V_dPrecio))</f>
        <v>0</v>
      </c>
      <c r="BN219" s="48">
        <f>IF(BN$8=1,IF(Reales!$C$55="PYG",IF(BN$10&gt;0,N(Reales!BN55)/BN$10,0),N(Reales!BN55)),BN$194*IF(AND(AND(61&gt;Corte,61&lt;=Corte+n_Ventana),ISNUMBER(Detalle_24m!BN$59)),Detalle_24m!BN$59,INDEX(Precio_V,18)*INDEX(IdxPrecio_V,1,MIN(10,BN$173)))*(1+V_dPrecio))</f>
        <v>0</v>
      </c>
      <c r="BO219" s="48">
        <f>IF(BO$8=1,IF(Reales!$C$55="PYG",IF(BO$10&gt;0,N(Reales!BO55)/BO$10,0),N(Reales!BO55)),BO$194*IF(AND(AND(62&gt;Corte,62&lt;=Corte+n_Ventana),ISNUMBER(Detalle_24m!BO$59)),Detalle_24m!BO$59,INDEX(Precio_V,18)*INDEX(IdxPrecio_V,1,MIN(10,BO$173)))*(1+V_dPrecio))</f>
        <v>0</v>
      </c>
      <c r="BP219" s="48">
        <f>IF(BP$8=1,IF(Reales!$C$55="PYG",IF(BP$10&gt;0,N(Reales!BP55)/BP$10,0),N(Reales!BP55)),BP$194*IF(AND(AND(63&gt;Corte,63&lt;=Corte+n_Ventana),ISNUMBER(Detalle_24m!BP$59)),Detalle_24m!BP$59,INDEX(Precio_V,18)*INDEX(IdxPrecio_V,1,MIN(10,BP$173)))*(1+V_dPrecio))</f>
        <v>0</v>
      </c>
      <c r="BQ219" s="48">
        <f>IF(BQ$8=1,IF(Reales!$C$55="PYG",IF(BQ$10&gt;0,N(Reales!BQ55)/BQ$10,0),N(Reales!BQ55)),BQ$194*IF(AND(AND(64&gt;Corte,64&lt;=Corte+n_Ventana),ISNUMBER(Detalle_24m!BQ$59)),Detalle_24m!BQ$59,INDEX(Precio_V,18)*INDEX(IdxPrecio_V,1,MIN(10,BQ$173)))*(1+V_dPrecio))</f>
        <v>0</v>
      </c>
      <c r="BR219" s="48">
        <f>IF(BR$8=1,IF(Reales!$C$55="PYG",IF(BR$10&gt;0,N(Reales!BR55)/BR$10,0),N(Reales!BR55)),BR$194*IF(AND(AND(65&gt;Corte,65&lt;=Corte+n_Ventana),ISNUMBER(Detalle_24m!BR$59)),Detalle_24m!BR$59,INDEX(Precio_V,18)*INDEX(IdxPrecio_V,1,MIN(10,BR$173)))*(1+V_dPrecio))</f>
        <v>0</v>
      </c>
      <c r="BS219" s="48">
        <f>IF(BS$8=1,IF(Reales!$C$55="PYG",IF(BS$10&gt;0,N(Reales!BS55)/BS$10,0),N(Reales!BS55)),BS$194*IF(AND(AND(66&gt;Corte,66&lt;=Corte+n_Ventana),ISNUMBER(Detalle_24m!BS$59)),Detalle_24m!BS$59,INDEX(Precio_V,18)*INDEX(IdxPrecio_V,1,MIN(10,BS$173)))*(1+V_dPrecio))</f>
        <v>0</v>
      </c>
      <c r="BT219" s="48">
        <f>IF(BT$8=1,IF(Reales!$C$55="PYG",IF(BT$10&gt;0,N(Reales!BT55)/BT$10,0),N(Reales!BT55)),BT$194*IF(AND(AND(67&gt;Corte,67&lt;=Corte+n_Ventana),ISNUMBER(Detalle_24m!BT$59)),Detalle_24m!BT$59,INDEX(Precio_V,18)*INDEX(IdxPrecio_V,1,MIN(10,BT$173)))*(1+V_dPrecio))</f>
        <v>0</v>
      </c>
      <c r="BU219" s="48">
        <f>IF(BU$8=1,IF(Reales!$C$55="PYG",IF(BU$10&gt;0,N(Reales!BU55)/BU$10,0),N(Reales!BU55)),BU$194*IF(AND(AND(68&gt;Corte,68&lt;=Corte+n_Ventana),ISNUMBER(Detalle_24m!BU$59)),Detalle_24m!BU$59,INDEX(Precio_V,18)*INDEX(IdxPrecio_V,1,MIN(10,BU$173)))*(1+V_dPrecio))</f>
        <v>0</v>
      </c>
      <c r="BV219" s="48">
        <f>IF(BV$8=1,IF(Reales!$C$55="PYG",IF(BV$10&gt;0,N(Reales!BV55)/BV$10,0),N(Reales!BV55)),BV$194*IF(AND(AND(69&gt;Corte,69&lt;=Corte+n_Ventana),ISNUMBER(Detalle_24m!BV$59)),Detalle_24m!BV$59,INDEX(Precio_V,18)*INDEX(IdxPrecio_V,1,MIN(10,BV$173)))*(1+V_dPrecio))</f>
        <v>0</v>
      </c>
      <c r="BW219" s="48">
        <f>IF(BW$8=1,IF(Reales!$C$55="PYG",IF(BW$10&gt;0,N(Reales!BW55)/BW$10,0),N(Reales!BW55)),BW$194*IF(AND(AND(70&gt;Corte,70&lt;=Corte+n_Ventana),ISNUMBER(Detalle_24m!BW$59)),Detalle_24m!BW$59,INDEX(Precio_V,18)*INDEX(IdxPrecio_V,1,MIN(10,BW$173)))*(1+V_dPrecio))</f>
        <v>0</v>
      </c>
      <c r="BX219" s="48">
        <f>IF(BX$8=1,IF(Reales!$C$55="PYG",IF(BX$10&gt;0,N(Reales!BX55)/BX$10,0),N(Reales!BX55)),BX$194*IF(AND(AND(71&gt;Corte,71&lt;=Corte+n_Ventana),ISNUMBER(Detalle_24m!BX$59)),Detalle_24m!BX$59,INDEX(Precio_V,18)*INDEX(IdxPrecio_V,1,MIN(10,BX$173)))*(1+V_dPrecio))</f>
        <v>0</v>
      </c>
      <c r="BY219" s="48">
        <f>IF(BY$8=1,IF(Reales!$C$55="PYG",IF(BY$10&gt;0,N(Reales!BY55)/BY$10,0),N(Reales!BY55)),BY$194*IF(AND(AND(72&gt;Corte,72&lt;=Corte+n_Ventana),ISNUMBER(Detalle_24m!BY$59)),Detalle_24m!BY$59,INDEX(Precio_V,18)*INDEX(IdxPrecio_V,1,MIN(10,BY$173)))*(1+V_dPrecio))</f>
        <v>0</v>
      </c>
      <c r="BZ219" s="48">
        <f>IF(BZ$8=1,IF(Reales!$C$55="PYG",IF(BZ$10&gt;0,N(Reales!BZ55)/BZ$10,0),N(Reales!BZ55)),BZ$194*IF(AND(AND(73&gt;Corte,73&lt;=Corte+n_Ventana),ISNUMBER(Detalle_24m!BZ$59)),Detalle_24m!BZ$59,INDEX(Precio_V,18)*INDEX(IdxPrecio_V,1,MIN(10,BZ$173)))*(1+V_dPrecio))</f>
        <v>0</v>
      </c>
      <c r="CA219" s="48">
        <f>IF(CA$8=1,IF(Reales!$C$55="PYG",IF(CA$10&gt;0,N(Reales!CA55)/CA$10,0),N(Reales!CA55)),CA$194*IF(AND(AND(74&gt;Corte,74&lt;=Corte+n_Ventana),ISNUMBER(Detalle_24m!CA$59)),Detalle_24m!CA$59,INDEX(Precio_V,18)*INDEX(IdxPrecio_V,1,MIN(10,CA$173)))*(1+V_dPrecio))</f>
        <v>0</v>
      </c>
      <c r="CB219" s="48">
        <f>IF(CB$8=1,IF(Reales!$C$55="PYG",IF(CB$10&gt;0,N(Reales!CB55)/CB$10,0),N(Reales!CB55)),CB$194*IF(AND(AND(75&gt;Corte,75&lt;=Corte+n_Ventana),ISNUMBER(Detalle_24m!CB$59)),Detalle_24m!CB$59,INDEX(Precio_V,18)*INDEX(IdxPrecio_V,1,MIN(10,CB$173)))*(1+V_dPrecio))</f>
        <v>0</v>
      </c>
      <c r="CC219" s="48">
        <f>IF(CC$8=1,IF(Reales!$C$55="PYG",IF(CC$10&gt;0,N(Reales!CC55)/CC$10,0),N(Reales!CC55)),CC$194*IF(AND(AND(76&gt;Corte,76&lt;=Corte+n_Ventana),ISNUMBER(Detalle_24m!CC$59)),Detalle_24m!CC$59,INDEX(Precio_V,18)*INDEX(IdxPrecio_V,1,MIN(10,CC$173)))*(1+V_dPrecio))</f>
        <v>0</v>
      </c>
      <c r="CD219" s="48">
        <f>IF(CD$8=1,IF(Reales!$C$55="PYG",IF(CD$10&gt;0,N(Reales!CD55)/CD$10,0),N(Reales!CD55)),CD$194*IF(AND(AND(77&gt;Corte,77&lt;=Corte+n_Ventana),ISNUMBER(Detalle_24m!CD$59)),Detalle_24m!CD$59,INDEX(Precio_V,18)*INDEX(IdxPrecio_V,1,MIN(10,CD$173)))*(1+V_dPrecio))</f>
        <v>0</v>
      </c>
      <c r="CE219" s="48">
        <f>IF(CE$8=1,IF(Reales!$C$55="PYG",IF(CE$10&gt;0,N(Reales!CE55)/CE$10,0),N(Reales!CE55)),CE$194*IF(AND(AND(78&gt;Corte,78&lt;=Corte+n_Ventana),ISNUMBER(Detalle_24m!CE$59)),Detalle_24m!CE$59,INDEX(Precio_V,18)*INDEX(IdxPrecio_V,1,MIN(10,CE$173)))*(1+V_dPrecio))</f>
        <v>0</v>
      </c>
      <c r="CF219" s="48">
        <f>IF(CF$8=1,IF(Reales!$C$55="PYG",IF(CF$10&gt;0,N(Reales!CF55)/CF$10,0),N(Reales!CF55)),CF$194*IF(AND(AND(79&gt;Corte,79&lt;=Corte+n_Ventana),ISNUMBER(Detalle_24m!CF$59)),Detalle_24m!CF$59,INDEX(Precio_V,18)*INDEX(IdxPrecio_V,1,MIN(10,CF$173)))*(1+V_dPrecio))</f>
        <v>0</v>
      </c>
      <c r="CG219" s="48">
        <f>IF(CG$8=1,IF(Reales!$C$55="PYG",IF(CG$10&gt;0,N(Reales!CG55)/CG$10,0),N(Reales!CG55)),CG$194*IF(AND(AND(80&gt;Corte,80&lt;=Corte+n_Ventana),ISNUMBER(Detalle_24m!CG$59)),Detalle_24m!CG$59,INDEX(Precio_V,18)*INDEX(IdxPrecio_V,1,MIN(10,CG$173)))*(1+V_dPrecio))</f>
        <v>0</v>
      </c>
      <c r="CH219" s="48">
        <f>IF(CH$8=1,IF(Reales!$C$55="PYG",IF(CH$10&gt;0,N(Reales!CH55)/CH$10,0),N(Reales!CH55)),CH$194*IF(AND(AND(81&gt;Corte,81&lt;=Corte+n_Ventana),ISNUMBER(Detalle_24m!CH$59)),Detalle_24m!CH$59,INDEX(Precio_V,18)*INDEX(IdxPrecio_V,1,MIN(10,CH$173)))*(1+V_dPrecio))</f>
        <v>0</v>
      </c>
      <c r="CI219" s="48">
        <f>IF(CI$8=1,IF(Reales!$C$55="PYG",IF(CI$10&gt;0,N(Reales!CI55)/CI$10,0),N(Reales!CI55)),CI$194*IF(AND(AND(82&gt;Corte,82&lt;=Corte+n_Ventana),ISNUMBER(Detalle_24m!CI$59)),Detalle_24m!CI$59,INDEX(Precio_V,18)*INDEX(IdxPrecio_V,1,MIN(10,CI$173)))*(1+V_dPrecio))</f>
        <v>0</v>
      </c>
      <c r="CJ219" s="48">
        <f>IF(CJ$8=1,IF(Reales!$C$55="PYG",IF(CJ$10&gt;0,N(Reales!CJ55)/CJ$10,0),N(Reales!CJ55)),CJ$194*IF(AND(AND(83&gt;Corte,83&lt;=Corte+n_Ventana),ISNUMBER(Detalle_24m!CJ$59)),Detalle_24m!CJ$59,INDEX(Precio_V,18)*INDEX(IdxPrecio_V,1,MIN(10,CJ$173)))*(1+V_dPrecio))</f>
        <v>0</v>
      </c>
      <c r="CK219" s="48">
        <f>IF(CK$8=1,IF(Reales!$C$55="PYG",IF(CK$10&gt;0,N(Reales!CK55)/CK$10,0),N(Reales!CK55)),CK$194*IF(AND(AND(84&gt;Corte,84&lt;=Corte+n_Ventana),ISNUMBER(Detalle_24m!CK$59)),Detalle_24m!CK$59,INDEX(Precio_V,18)*INDEX(IdxPrecio_V,1,MIN(10,CK$173)))*(1+V_dPrecio))</f>
        <v>0</v>
      </c>
      <c r="CL219" s="48">
        <f>IF(CL$8=1,IF(Reales!$C$55="PYG",IF(CL$10&gt;0,N(Reales!CL55)/CL$10,0),N(Reales!CL55)),CL$194*IF(AND(AND(85&gt;Corte,85&lt;=Corte+n_Ventana),ISNUMBER(Detalle_24m!CL$59)),Detalle_24m!CL$59,INDEX(Precio_V,18)*INDEX(IdxPrecio_V,1,MIN(10,CL$173)))*(1+V_dPrecio))</f>
        <v>0</v>
      </c>
      <c r="CM219" s="48">
        <f>IF(CM$8=1,IF(Reales!$C$55="PYG",IF(CM$10&gt;0,N(Reales!CM55)/CM$10,0),N(Reales!CM55)),CM$194*IF(AND(AND(86&gt;Corte,86&lt;=Corte+n_Ventana),ISNUMBER(Detalle_24m!CM$59)),Detalle_24m!CM$59,INDEX(Precio_V,18)*INDEX(IdxPrecio_V,1,MIN(10,CM$173)))*(1+V_dPrecio))</f>
        <v>0</v>
      </c>
      <c r="CN219" s="48">
        <f>IF(CN$8=1,IF(Reales!$C$55="PYG",IF(CN$10&gt;0,N(Reales!CN55)/CN$10,0),N(Reales!CN55)),CN$194*IF(AND(AND(87&gt;Corte,87&lt;=Corte+n_Ventana),ISNUMBER(Detalle_24m!CN$59)),Detalle_24m!CN$59,INDEX(Precio_V,18)*INDEX(IdxPrecio_V,1,MIN(10,CN$173)))*(1+V_dPrecio))</f>
        <v>0</v>
      </c>
      <c r="CO219" s="48">
        <f>IF(CO$8=1,IF(Reales!$C$55="PYG",IF(CO$10&gt;0,N(Reales!CO55)/CO$10,0),N(Reales!CO55)),CO$194*IF(AND(AND(88&gt;Corte,88&lt;=Corte+n_Ventana),ISNUMBER(Detalle_24m!CO$59)),Detalle_24m!CO$59,INDEX(Precio_V,18)*INDEX(IdxPrecio_V,1,MIN(10,CO$173)))*(1+V_dPrecio))</f>
        <v>0</v>
      </c>
      <c r="CP219" s="48">
        <f>IF(CP$8=1,IF(Reales!$C$55="PYG",IF(CP$10&gt;0,N(Reales!CP55)/CP$10,0),N(Reales!CP55)),CP$194*IF(AND(AND(89&gt;Corte,89&lt;=Corte+n_Ventana),ISNUMBER(Detalle_24m!CP$59)),Detalle_24m!CP$59,INDEX(Precio_V,18)*INDEX(IdxPrecio_V,1,MIN(10,CP$173)))*(1+V_dPrecio))</f>
        <v>0</v>
      </c>
      <c r="CQ219" s="48">
        <f>IF(CQ$8=1,IF(Reales!$C$55="PYG",IF(CQ$10&gt;0,N(Reales!CQ55)/CQ$10,0),N(Reales!CQ55)),CQ$194*IF(AND(AND(90&gt;Corte,90&lt;=Corte+n_Ventana),ISNUMBER(Detalle_24m!CQ$59)),Detalle_24m!CQ$59,INDEX(Precio_V,18)*INDEX(IdxPrecio_V,1,MIN(10,CQ$173)))*(1+V_dPrecio))</f>
        <v>0</v>
      </c>
      <c r="CR219" s="48">
        <f>IF(CR$8=1,IF(Reales!$C$55="PYG",IF(CR$10&gt;0,N(Reales!CR55)/CR$10,0),N(Reales!CR55)),CR$194*IF(AND(AND(91&gt;Corte,91&lt;=Corte+n_Ventana),ISNUMBER(Detalle_24m!CR$59)),Detalle_24m!CR$59,INDEX(Precio_V,18)*INDEX(IdxPrecio_V,1,MIN(10,CR$173)))*(1+V_dPrecio))</f>
        <v>0</v>
      </c>
      <c r="CS219" s="48">
        <f>IF(CS$8=1,IF(Reales!$C$55="PYG",IF(CS$10&gt;0,N(Reales!CS55)/CS$10,0),N(Reales!CS55)),CS$194*IF(AND(AND(92&gt;Corte,92&lt;=Corte+n_Ventana),ISNUMBER(Detalle_24m!CS$59)),Detalle_24m!CS$59,INDEX(Precio_V,18)*INDEX(IdxPrecio_V,1,MIN(10,CS$173)))*(1+V_dPrecio))</f>
        <v>0</v>
      </c>
      <c r="CT219" s="48">
        <f>IF(CT$8=1,IF(Reales!$C$55="PYG",IF(CT$10&gt;0,N(Reales!CT55)/CT$10,0),N(Reales!CT55)),CT$194*IF(AND(AND(93&gt;Corte,93&lt;=Corte+n_Ventana),ISNUMBER(Detalle_24m!CT$59)),Detalle_24m!CT$59,INDEX(Precio_V,18)*INDEX(IdxPrecio_V,1,MIN(10,CT$173)))*(1+V_dPrecio))</f>
        <v>0</v>
      </c>
      <c r="CU219" s="48">
        <f>IF(CU$8=1,IF(Reales!$C$55="PYG",IF(CU$10&gt;0,N(Reales!CU55)/CU$10,0),N(Reales!CU55)),CU$194*IF(AND(AND(94&gt;Corte,94&lt;=Corte+n_Ventana),ISNUMBER(Detalle_24m!CU$59)),Detalle_24m!CU$59,INDEX(Precio_V,18)*INDEX(IdxPrecio_V,1,MIN(10,CU$173)))*(1+V_dPrecio))</f>
        <v>0</v>
      </c>
      <c r="CV219" s="48">
        <f>IF(CV$8=1,IF(Reales!$C$55="PYG",IF(CV$10&gt;0,N(Reales!CV55)/CV$10,0),N(Reales!CV55)),CV$194*IF(AND(AND(95&gt;Corte,95&lt;=Corte+n_Ventana),ISNUMBER(Detalle_24m!CV$59)),Detalle_24m!CV$59,INDEX(Precio_V,18)*INDEX(IdxPrecio_V,1,MIN(10,CV$173)))*(1+V_dPrecio))</f>
        <v>0</v>
      </c>
      <c r="CW219" s="48">
        <f>IF(CW$8=1,IF(Reales!$C$55="PYG",IF(CW$10&gt;0,N(Reales!CW55)/CW$10,0),N(Reales!CW55)),CW$194*IF(AND(AND(96&gt;Corte,96&lt;=Corte+n_Ventana),ISNUMBER(Detalle_24m!CW$59)),Detalle_24m!CW$59,INDEX(Precio_V,18)*INDEX(IdxPrecio_V,1,MIN(10,CW$173)))*(1+V_dPrecio))</f>
        <v>0</v>
      </c>
      <c r="CX219" s="48">
        <f>IF(CX$8=1,IF(Reales!$C$55="PYG",IF(CX$10&gt;0,N(Reales!CX55)/CX$10,0),N(Reales!CX55)),CX$194*IF(AND(AND(97&gt;Corte,97&lt;=Corte+n_Ventana),ISNUMBER(Detalle_24m!CX$59)),Detalle_24m!CX$59,INDEX(Precio_V,18)*INDEX(IdxPrecio_V,1,MIN(10,CX$173)))*(1+V_dPrecio))</f>
        <v>0</v>
      </c>
      <c r="CY219" s="48">
        <f>IF(CY$8=1,IF(Reales!$C$55="PYG",IF(CY$10&gt;0,N(Reales!CY55)/CY$10,0),N(Reales!CY55)),CY$194*IF(AND(AND(98&gt;Corte,98&lt;=Corte+n_Ventana),ISNUMBER(Detalle_24m!CY$59)),Detalle_24m!CY$59,INDEX(Precio_V,18)*INDEX(IdxPrecio_V,1,MIN(10,CY$173)))*(1+V_dPrecio))</f>
        <v>0</v>
      </c>
      <c r="CZ219" s="48">
        <f>IF(CZ$8=1,IF(Reales!$C$55="PYG",IF(CZ$10&gt;0,N(Reales!CZ55)/CZ$10,0),N(Reales!CZ55)),CZ$194*IF(AND(AND(99&gt;Corte,99&lt;=Corte+n_Ventana),ISNUMBER(Detalle_24m!CZ$59)),Detalle_24m!CZ$59,INDEX(Precio_V,18)*INDEX(IdxPrecio_V,1,MIN(10,CZ$173)))*(1+V_dPrecio))</f>
        <v>0</v>
      </c>
      <c r="DA219" s="48">
        <f>IF(DA$8=1,IF(Reales!$C$55="PYG",IF(DA$10&gt;0,N(Reales!DA55)/DA$10,0),N(Reales!DA55)),DA$194*IF(AND(AND(100&gt;Corte,100&lt;=Corte+n_Ventana),ISNUMBER(Detalle_24m!DA$59)),Detalle_24m!DA$59,INDEX(Precio_V,18)*INDEX(IdxPrecio_V,1,MIN(10,DA$173)))*(1+V_dPrecio))</f>
        <v>0</v>
      </c>
      <c r="DB219" s="48">
        <f>IF(DB$8=1,IF(Reales!$C$55="PYG",IF(DB$10&gt;0,N(Reales!DB55)/DB$10,0),N(Reales!DB55)),DB$194*IF(AND(AND(101&gt;Corte,101&lt;=Corte+n_Ventana),ISNUMBER(Detalle_24m!DB$59)),Detalle_24m!DB$59,INDEX(Precio_V,18)*INDEX(IdxPrecio_V,1,MIN(10,DB$173)))*(1+V_dPrecio))</f>
        <v>0</v>
      </c>
      <c r="DC219" s="48">
        <f>IF(DC$8=1,IF(Reales!$C$55="PYG",IF(DC$10&gt;0,N(Reales!DC55)/DC$10,0),N(Reales!DC55)),DC$194*IF(AND(AND(102&gt;Corte,102&lt;=Corte+n_Ventana),ISNUMBER(Detalle_24m!DC$59)),Detalle_24m!DC$59,INDEX(Precio_V,18)*INDEX(IdxPrecio_V,1,MIN(10,DC$173)))*(1+V_dPrecio))</f>
        <v>0</v>
      </c>
      <c r="DD219" s="48">
        <f>IF(DD$8=1,IF(Reales!$C$55="PYG",IF(DD$10&gt;0,N(Reales!DD55)/DD$10,0),N(Reales!DD55)),DD$194*IF(AND(AND(103&gt;Corte,103&lt;=Corte+n_Ventana),ISNUMBER(Detalle_24m!DD$59)),Detalle_24m!DD$59,INDEX(Precio_V,18)*INDEX(IdxPrecio_V,1,MIN(10,DD$173)))*(1+V_dPrecio))</f>
        <v>0</v>
      </c>
      <c r="DE219" s="48">
        <f>IF(DE$8=1,IF(Reales!$C$55="PYG",IF(DE$10&gt;0,N(Reales!DE55)/DE$10,0),N(Reales!DE55)),DE$194*IF(AND(AND(104&gt;Corte,104&lt;=Corte+n_Ventana),ISNUMBER(Detalle_24m!DE$59)),Detalle_24m!DE$59,INDEX(Precio_V,18)*INDEX(IdxPrecio_V,1,MIN(10,DE$173)))*(1+V_dPrecio))</f>
        <v>0</v>
      </c>
      <c r="DF219" s="48">
        <f>IF(DF$8=1,IF(Reales!$C$55="PYG",IF(DF$10&gt;0,N(Reales!DF55)/DF$10,0),N(Reales!DF55)),DF$194*IF(AND(AND(105&gt;Corte,105&lt;=Corte+n_Ventana),ISNUMBER(Detalle_24m!DF$59)),Detalle_24m!DF$59,INDEX(Precio_V,18)*INDEX(IdxPrecio_V,1,MIN(10,DF$173)))*(1+V_dPrecio))</f>
        <v>0</v>
      </c>
      <c r="DG219" s="48">
        <f>IF(DG$8=1,IF(Reales!$C$55="PYG",IF(DG$10&gt;0,N(Reales!DG55)/DG$10,0),N(Reales!DG55)),DG$194*IF(AND(AND(106&gt;Corte,106&lt;=Corte+n_Ventana),ISNUMBER(Detalle_24m!DG$59)),Detalle_24m!DG$59,INDEX(Precio_V,18)*INDEX(IdxPrecio_V,1,MIN(10,DG$173)))*(1+V_dPrecio))</f>
        <v>0</v>
      </c>
      <c r="DH219" s="48">
        <f>IF(DH$8=1,IF(Reales!$C$55="PYG",IF(DH$10&gt;0,N(Reales!DH55)/DH$10,0),N(Reales!DH55)),DH$194*IF(AND(AND(107&gt;Corte,107&lt;=Corte+n_Ventana),ISNUMBER(Detalle_24m!DH$59)),Detalle_24m!DH$59,INDEX(Precio_V,18)*INDEX(IdxPrecio_V,1,MIN(10,DH$173)))*(1+V_dPrecio))</f>
        <v>0</v>
      </c>
      <c r="DI219" s="48">
        <f>IF(DI$8=1,IF(Reales!$C$55="PYG",IF(DI$10&gt;0,N(Reales!DI55)/DI$10,0),N(Reales!DI55)),DI$194*IF(AND(AND(108&gt;Corte,108&lt;=Corte+n_Ventana),ISNUMBER(Detalle_24m!DI$59)),Detalle_24m!DI$59,INDEX(Precio_V,18)*INDEX(IdxPrecio_V,1,MIN(10,DI$173)))*(1+V_dPrecio))</f>
        <v>0</v>
      </c>
      <c r="DJ219" s="48">
        <f>IF(DJ$8=1,IF(Reales!$C$55="PYG",IF(DJ$10&gt;0,N(Reales!DJ55)/DJ$10,0),N(Reales!DJ55)),DJ$194*IF(AND(AND(109&gt;Corte,109&lt;=Corte+n_Ventana),ISNUMBER(Detalle_24m!DJ$59)),Detalle_24m!DJ$59,INDEX(Precio_V,18)*INDEX(IdxPrecio_V,1,MIN(10,DJ$173)))*(1+V_dPrecio))</f>
        <v>0</v>
      </c>
      <c r="DK219" s="48">
        <f>IF(DK$8=1,IF(Reales!$C$55="PYG",IF(DK$10&gt;0,N(Reales!DK55)/DK$10,0),N(Reales!DK55)),DK$194*IF(AND(AND(110&gt;Corte,110&lt;=Corte+n_Ventana),ISNUMBER(Detalle_24m!DK$59)),Detalle_24m!DK$59,INDEX(Precio_V,18)*INDEX(IdxPrecio_V,1,MIN(10,DK$173)))*(1+V_dPrecio))</f>
        <v>0</v>
      </c>
      <c r="DL219" s="48">
        <f>IF(DL$8=1,IF(Reales!$C$55="PYG",IF(DL$10&gt;0,N(Reales!DL55)/DL$10,0),N(Reales!DL55)),DL$194*IF(AND(AND(111&gt;Corte,111&lt;=Corte+n_Ventana),ISNUMBER(Detalle_24m!DL$59)),Detalle_24m!DL$59,INDEX(Precio_V,18)*INDEX(IdxPrecio_V,1,MIN(10,DL$173)))*(1+V_dPrecio))</f>
        <v>0</v>
      </c>
      <c r="DM219" s="48">
        <f>IF(DM$8=1,IF(Reales!$C$55="PYG",IF(DM$10&gt;0,N(Reales!DM55)/DM$10,0),N(Reales!DM55)),DM$194*IF(AND(AND(112&gt;Corte,112&lt;=Corte+n_Ventana),ISNUMBER(Detalle_24m!DM$59)),Detalle_24m!DM$59,INDEX(Precio_V,18)*INDEX(IdxPrecio_V,1,MIN(10,DM$173)))*(1+V_dPrecio))</f>
        <v>0</v>
      </c>
      <c r="DN219" s="48">
        <f>IF(DN$8=1,IF(Reales!$C$55="PYG",IF(DN$10&gt;0,N(Reales!DN55)/DN$10,0),N(Reales!DN55)),DN$194*IF(AND(AND(113&gt;Corte,113&lt;=Corte+n_Ventana),ISNUMBER(Detalle_24m!DN$59)),Detalle_24m!DN$59,INDEX(Precio_V,18)*INDEX(IdxPrecio_V,1,MIN(10,DN$173)))*(1+V_dPrecio))</f>
        <v>0</v>
      </c>
      <c r="DO219" s="48">
        <f>IF(DO$8=1,IF(Reales!$C$55="PYG",IF(DO$10&gt;0,N(Reales!DO55)/DO$10,0),N(Reales!DO55)),DO$194*IF(AND(AND(114&gt;Corte,114&lt;=Corte+n_Ventana),ISNUMBER(Detalle_24m!DO$59)),Detalle_24m!DO$59,INDEX(Precio_V,18)*INDEX(IdxPrecio_V,1,MIN(10,DO$173)))*(1+V_dPrecio))</f>
        <v>0</v>
      </c>
      <c r="DP219" s="48">
        <f>IF(DP$8=1,IF(Reales!$C$55="PYG",IF(DP$10&gt;0,N(Reales!DP55)/DP$10,0),N(Reales!DP55)),DP$194*IF(AND(AND(115&gt;Corte,115&lt;=Corte+n_Ventana),ISNUMBER(Detalle_24m!DP$59)),Detalle_24m!DP$59,INDEX(Precio_V,18)*INDEX(IdxPrecio_V,1,MIN(10,DP$173)))*(1+V_dPrecio))</f>
        <v>0</v>
      </c>
      <c r="DQ219" s="48">
        <f>IF(DQ$8=1,IF(Reales!$C$55="PYG",IF(DQ$10&gt;0,N(Reales!DQ55)/DQ$10,0),N(Reales!DQ55)),DQ$194*IF(AND(AND(116&gt;Corte,116&lt;=Corte+n_Ventana),ISNUMBER(Detalle_24m!DQ$59)),Detalle_24m!DQ$59,INDEX(Precio_V,18)*INDEX(IdxPrecio_V,1,MIN(10,DQ$173)))*(1+V_dPrecio))</f>
        <v>0</v>
      </c>
      <c r="DR219" s="48">
        <f>IF(DR$8=1,IF(Reales!$C$55="PYG",IF(DR$10&gt;0,N(Reales!DR55)/DR$10,0),N(Reales!DR55)),DR$194*IF(AND(AND(117&gt;Corte,117&lt;=Corte+n_Ventana),ISNUMBER(Detalle_24m!DR$59)),Detalle_24m!DR$59,INDEX(Precio_V,18)*INDEX(IdxPrecio_V,1,MIN(10,DR$173)))*(1+V_dPrecio))</f>
        <v>0</v>
      </c>
      <c r="DS219" s="48">
        <f>IF(DS$8=1,IF(Reales!$C$55="PYG",IF(DS$10&gt;0,N(Reales!DS55)/DS$10,0),N(Reales!DS55)),DS$194*IF(AND(AND(118&gt;Corte,118&lt;=Corte+n_Ventana),ISNUMBER(Detalle_24m!DS$59)),Detalle_24m!DS$59,INDEX(Precio_V,18)*INDEX(IdxPrecio_V,1,MIN(10,DS$173)))*(1+V_dPrecio))</f>
        <v>0</v>
      </c>
      <c r="DT219" s="48">
        <f>IF(DT$8=1,IF(Reales!$C$55="PYG",IF(DT$10&gt;0,N(Reales!DT55)/DT$10,0),N(Reales!DT55)),DT$194*IF(AND(AND(119&gt;Corte,119&lt;=Corte+n_Ventana),ISNUMBER(Detalle_24m!DT$59)),Detalle_24m!DT$59,INDEX(Precio_V,18)*INDEX(IdxPrecio_V,1,MIN(10,DT$173)))*(1+V_dPrecio))</f>
        <v>0</v>
      </c>
      <c r="DU219" s="48">
        <f>IF(DU$8=1,IF(Reales!$C$55="PYG",IF(DU$10&gt;0,N(Reales!DU55)/DU$10,0),N(Reales!DU55)),DU$194*IF(AND(AND(120&gt;Corte,120&lt;=Corte+n_Ventana),ISNUMBER(Detalle_24m!DU$59)),Detalle_24m!DU$59,INDEX(Precio_V,18)*INDEX(IdxPrecio_V,1,MIN(10,DU$173)))*(1+V_dPrecio))</f>
        <v>0</v>
      </c>
      <c r="DV219" s="48">
        <f>IF(DV$8=1,IF(Reales!$C$55="PYG",IF(DV$10&gt;0,N(Reales!DV55)/DV$10,0),N(Reales!DV55)),DV$194*IF(AND(AND(121&gt;Corte,121&lt;=Corte+n_Ventana),ISNUMBER(Detalle_24m!DV$59)),Detalle_24m!DV$59,INDEX(Precio_V,18)*INDEX(IdxPrecio_V,1,MIN(10,DV$173)))*(1+V_dPrecio))</f>
        <v>0</v>
      </c>
      <c r="DW219" s="48">
        <f>IF(DW$8=1,IF(Reales!$C$55="PYG",IF(DW$10&gt;0,N(Reales!DW55)/DW$10,0),N(Reales!DW55)),DW$194*IF(AND(AND(122&gt;Corte,122&lt;=Corte+n_Ventana),ISNUMBER(Detalle_24m!DW$59)),Detalle_24m!DW$59,INDEX(Precio_V,18)*INDEX(IdxPrecio_V,1,MIN(10,DW$173)))*(1+V_dPrecio))</f>
        <v>0</v>
      </c>
      <c r="DX219" s="48">
        <f>IF(DX$8=1,IF(Reales!$C$55="PYG",IF(DX$10&gt;0,N(Reales!DX55)/DX$10,0),N(Reales!DX55)),DX$194*IF(AND(AND(123&gt;Corte,123&lt;=Corte+n_Ventana),ISNUMBER(Detalle_24m!DX$59)),Detalle_24m!DX$59,INDEX(Precio_V,18)*INDEX(IdxPrecio_V,1,MIN(10,DX$173)))*(1+V_dPrecio))</f>
        <v>0</v>
      </c>
      <c r="DY219" s="48">
        <f>IF(DY$8=1,IF(Reales!$C$55="PYG",IF(DY$10&gt;0,N(Reales!DY55)/DY$10,0),N(Reales!DY55)),DY$194*IF(AND(AND(124&gt;Corte,124&lt;=Corte+n_Ventana),ISNUMBER(Detalle_24m!DY$59)),Detalle_24m!DY$59,INDEX(Precio_V,18)*INDEX(IdxPrecio_V,1,MIN(10,DY$173)))*(1+V_dPrecio))</f>
        <v>0</v>
      </c>
      <c r="DZ219" s="48">
        <f>IF(DZ$8=1,IF(Reales!$C$55="PYG",IF(DZ$10&gt;0,N(Reales!DZ55)/DZ$10,0),N(Reales!DZ55)),DZ$194*IF(AND(AND(125&gt;Corte,125&lt;=Corte+n_Ventana),ISNUMBER(Detalle_24m!DZ$59)),Detalle_24m!DZ$59,INDEX(Precio_V,18)*INDEX(IdxPrecio_V,1,MIN(10,DZ$173)))*(1+V_dPrecio))</f>
        <v>0</v>
      </c>
      <c r="EA219" s="48">
        <f>IF(EA$8=1,IF(Reales!$C$55="PYG",IF(EA$10&gt;0,N(Reales!EA55)/EA$10,0),N(Reales!EA55)),EA$194*IF(AND(AND(126&gt;Corte,126&lt;=Corte+n_Ventana),ISNUMBER(Detalle_24m!EA$59)),Detalle_24m!EA$59,INDEX(Precio_V,18)*INDEX(IdxPrecio_V,1,MIN(10,EA$173)))*(1+V_dPrecio))</f>
        <v>0</v>
      </c>
      <c r="EB219" s="48">
        <f>IF(EB$8=1,IF(Reales!$C$55="PYG",IF(EB$10&gt;0,N(Reales!EB55)/EB$10,0),N(Reales!EB55)),EB$194*IF(AND(AND(127&gt;Corte,127&lt;=Corte+n_Ventana),ISNUMBER(Detalle_24m!EB$59)),Detalle_24m!EB$59,INDEX(Precio_V,18)*INDEX(IdxPrecio_V,1,MIN(10,EB$173)))*(1+V_dPrecio))</f>
        <v>0</v>
      </c>
      <c r="EC219" s="48">
        <f>IF(EC$8=1,IF(Reales!$C$55="PYG",IF(EC$10&gt;0,N(Reales!EC55)/EC$10,0),N(Reales!EC55)),EC$194*IF(AND(AND(128&gt;Corte,128&lt;=Corte+n_Ventana),ISNUMBER(Detalle_24m!EC$59)),Detalle_24m!EC$59,INDEX(Precio_V,18)*INDEX(IdxPrecio_V,1,MIN(10,EC$173)))*(1+V_dPrecio))</f>
        <v>0</v>
      </c>
      <c r="ED219" s="48">
        <f>IF(ED$8=1,IF(Reales!$C$55="PYG",IF(ED$10&gt;0,N(Reales!ED55)/ED$10,0),N(Reales!ED55)),ED$194*IF(AND(AND(129&gt;Corte,129&lt;=Corte+n_Ventana),ISNUMBER(Detalle_24m!ED$59)),Detalle_24m!ED$59,INDEX(Precio_V,18)*INDEX(IdxPrecio_V,1,MIN(10,ED$173)))*(1+V_dPrecio))</f>
        <v>0</v>
      </c>
      <c r="EE219" s="48">
        <f>IF(EE$8=1,IF(Reales!$C$55="PYG",IF(EE$10&gt;0,N(Reales!EE55)/EE$10,0),N(Reales!EE55)),EE$194*IF(AND(AND(130&gt;Corte,130&lt;=Corte+n_Ventana),ISNUMBER(Detalle_24m!EE$59)),Detalle_24m!EE$59,INDEX(Precio_V,18)*INDEX(IdxPrecio_V,1,MIN(10,EE$173)))*(1+V_dPrecio))</f>
        <v>0</v>
      </c>
      <c r="EF219" s="48">
        <f>IF(EF$8=1,IF(Reales!$C$55="PYG",IF(EF$10&gt;0,N(Reales!EF55)/EF$10,0),N(Reales!EF55)),EF$194*IF(AND(AND(131&gt;Corte,131&lt;=Corte+n_Ventana),ISNUMBER(Detalle_24m!EF$59)),Detalle_24m!EF$59,INDEX(Precio_V,18)*INDEX(IdxPrecio_V,1,MIN(10,EF$173)))*(1+V_dPrecio))</f>
        <v>0</v>
      </c>
      <c r="EG219" s="48">
        <f>IF(EG$8=1,IF(Reales!$C$55="PYG",IF(EG$10&gt;0,N(Reales!EG55)/EG$10,0),N(Reales!EG55)),EG$194*IF(AND(AND(132&gt;Corte,132&lt;=Corte+n_Ventana),ISNUMBER(Detalle_24m!EG$59)),Detalle_24m!EG$59,INDEX(Precio_V,18)*INDEX(IdxPrecio_V,1,MIN(10,EG$173)))*(1+V_dPrecio))</f>
        <v>0</v>
      </c>
      <c r="EH219" s="48">
        <f>IF(EH$8=1,IF(Reales!$C$55="PYG",IF(EH$10&gt;0,N(Reales!EH55)/EH$10,0),N(Reales!EH55)),EH$194*IF(AND(AND(133&gt;Corte,133&lt;=Corte+n_Ventana),ISNUMBER(Detalle_24m!EH$59)),Detalle_24m!EH$59,INDEX(Precio_V,18)*INDEX(IdxPrecio_V,1,MIN(10,EH$173)))*(1+V_dPrecio))</f>
        <v>0</v>
      </c>
      <c r="EI219" s="48">
        <f>IF(EI$8=1,IF(Reales!$C$55="PYG",IF(EI$10&gt;0,N(Reales!EI55)/EI$10,0),N(Reales!EI55)),EI$194*IF(AND(AND(134&gt;Corte,134&lt;=Corte+n_Ventana),ISNUMBER(Detalle_24m!EI$59)),Detalle_24m!EI$59,INDEX(Precio_V,18)*INDEX(IdxPrecio_V,1,MIN(10,EI$173)))*(1+V_dPrecio))</f>
        <v>0</v>
      </c>
      <c r="EJ219" s="48">
        <f>IF(EJ$8=1,IF(Reales!$C$55="PYG",IF(EJ$10&gt;0,N(Reales!EJ55)/EJ$10,0),N(Reales!EJ55)),EJ$194*IF(AND(AND(135&gt;Corte,135&lt;=Corte+n_Ventana),ISNUMBER(Detalle_24m!EJ$59)),Detalle_24m!EJ$59,INDEX(Precio_V,18)*INDEX(IdxPrecio_V,1,MIN(10,EJ$173)))*(1+V_dPrecio))</f>
        <v>0</v>
      </c>
      <c r="EK219" s="48">
        <f>IF(EK$8=1,IF(Reales!$C$55="PYG",IF(EK$10&gt;0,N(Reales!EK55)/EK$10,0),N(Reales!EK55)),EK$194*IF(AND(AND(136&gt;Corte,136&lt;=Corte+n_Ventana),ISNUMBER(Detalle_24m!EK$59)),Detalle_24m!EK$59,INDEX(Precio_V,18)*INDEX(IdxPrecio_V,1,MIN(10,EK$173)))*(1+V_dPrecio))</f>
        <v>0</v>
      </c>
      <c r="EL219" s="48">
        <f>IF(EL$8=1,IF(Reales!$C$55="PYG",IF(EL$10&gt;0,N(Reales!EL55)/EL$10,0),N(Reales!EL55)),EL$194*IF(AND(AND(137&gt;Corte,137&lt;=Corte+n_Ventana),ISNUMBER(Detalle_24m!EL$59)),Detalle_24m!EL$59,INDEX(Precio_V,18)*INDEX(IdxPrecio_V,1,MIN(10,EL$173)))*(1+V_dPrecio))</f>
        <v>0</v>
      </c>
      <c r="EM219" s="48">
        <f>IF(EM$8=1,IF(Reales!$C$55="PYG",IF(EM$10&gt;0,N(Reales!EM55)/EM$10,0),N(Reales!EM55)),EM$194*IF(AND(AND(138&gt;Corte,138&lt;=Corte+n_Ventana),ISNUMBER(Detalle_24m!EM$59)),Detalle_24m!EM$59,INDEX(Precio_V,18)*INDEX(IdxPrecio_V,1,MIN(10,EM$173)))*(1+V_dPrecio))</f>
        <v>0</v>
      </c>
      <c r="EN219" s="48">
        <f>IF(EN$8=1,IF(Reales!$C$55="PYG",IF(EN$10&gt;0,N(Reales!EN55)/EN$10,0),N(Reales!EN55)),EN$194*IF(AND(AND(139&gt;Corte,139&lt;=Corte+n_Ventana),ISNUMBER(Detalle_24m!EN$59)),Detalle_24m!EN$59,INDEX(Precio_V,18)*INDEX(IdxPrecio_V,1,MIN(10,EN$173)))*(1+V_dPrecio))</f>
        <v>0</v>
      </c>
      <c r="EO219" s="48">
        <f>IF(EO$8=1,IF(Reales!$C$55="PYG",IF(EO$10&gt;0,N(Reales!EO55)/EO$10,0),N(Reales!EO55)),EO$194*IF(AND(AND(140&gt;Corte,140&lt;=Corte+n_Ventana),ISNUMBER(Detalle_24m!EO$59)),Detalle_24m!EO$59,INDEX(Precio_V,18)*INDEX(IdxPrecio_V,1,MIN(10,EO$173)))*(1+V_dPrecio))</f>
        <v>0</v>
      </c>
      <c r="EP219" s="48">
        <f>IF(EP$8=1,IF(Reales!$C$55="PYG",IF(EP$10&gt;0,N(Reales!EP55)/EP$10,0),N(Reales!EP55)),EP$194*IF(AND(AND(141&gt;Corte,141&lt;=Corte+n_Ventana),ISNUMBER(Detalle_24m!EP$59)),Detalle_24m!EP$59,INDEX(Precio_V,18)*INDEX(IdxPrecio_V,1,MIN(10,EP$173)))*(1+V_dPrecio))</f>
        <v>0</v>
      </c>
      <c r="EQ219" s="48">
        <f>IF(EQ$8=1,IF(Reales!$C$55="PYG",IF(EQ$10&gt;0,N(Reales!EQ55)/EQ$10,0),N(Reales!EQ55)),EQ$194*IF(AND(AND(142&gt;Corte,142&lt;=Corte+n_Ventana),ISNUMBER(Detalle_24m!EQ$59)),Detalle_24m!EQ$59,INDEX(Precio_V,18)*INDEX(IdxPrecio_V,1,MIN(10,EQ$173)))*(1+V_dPrecio))</f>
        <v>0</v>
      </c>
      <c r="ER219" s="48">
        <f>IF(ER$8=1,IF(Reales!$C$55="PYG",IF(ER$10&gt;0,N(Reales!ER55)/ER$10,0),N(Reales!ER55)),ER$194*IF(AND(AND(143&gt;Corte,143&lt;=Corte+n_Ventana),ISNUMBER(Detalle_24m!ER$59)),Detalle_24m!ER$59,INDEX(Precio_V,18)*INDEX(IdxPrecio_V,1,MIN(10,ER$173)))*(1+V_dPrecio))</f>
        <v>0</v>
      </c>
      <c r="ES219" s="48">
        <f>IF(ES$8=1,IF(Reales!$C$55="PYG",IF(ES$10&gt;0,N(Reales!ES55)/ES$10,0),N(Reales!ES55)),ES$194*IF(AND(AND(144&gt;Corte,144&lt;=Corte+n_Ventana),ISNUMBER(Detalle_24m!ES$59)),Detalle_24m!ES$59,INDEX(Precio_V,18)*INDEX(IdxPrecio_V,1,MIN(10,ES$173)))*(1+V_dPrecio))</f>
        <v>0</v>
      </c>
    </row>
    <row r="220" spans="1:149" x14ac:dyDescent="0.3">
      <c r="A220" s="14" t="s">
        <v>1275</v>
      </c>
      <c r="B220" s="53" t="str">
        <f>IF(INDEX(Prod_Nombre,19)="","Producto 19",INDEX(Prod_Nombre,19))&amp;" — ventas USD"</f>
        <v>Producto 19 — ventas USD</v>
      </c>
      <c r="C220" s="18" t="s">
        <v>439</v>
      </c>
      <c r="E220" s="54">
        <f t="shared" si="605"/>
        <v>0</v>
      </c>
      <c r="F220" s="48">
        <f>IF(F$8=1,IF(Reales!$C$56="PYG",IF(F$10&gt;0,N(Reales!F56)/F$10,0),N(Reales!F56)),F$195*IF(AND(AND(1&gt;Corte,1&lt;=Corte+n_Ventana),ISNUMBER(Detalle_24m!F$60)),Detalle_24m!F$60,INDEX(Precio_V,19)*INDEX(IdxPrecio_V,1,MIN(10,F$173)))*(1+V_dPrecio))</f>
        <v>0</v>
      </c>
      <c r="G220" s="48">
        <f>IF(G$8=1,IF(Reales!$C$56="PYG",IF(G$10&gt;0,N(Reales!G56)/G$10,0),N(Reales!G56)),G$195*IF(AND(AND(2&gt;Corte,2&lt;=Corte+n_Ventana),ISNUMBER(Detalle_24m!G$60)),Detalle_24m!G$60,INDEX(Precio_V,19)*INDEX(IdxPrecio_V,1,MIN(10,G$173)))*(1+V_dPrecio))</f>
        <v>0</v>
      </c>
      <c r="H220" s="48">
        <f>IF(H$8=1,IF(Reales!$C$56="PYG",IF(H$10&gt;0,N(Reales!H56)/H$10,0),N(Reales!H56)),H$195*IF(AND(AND(3&gt;Corte,3&lt;=Corte+n_Ventana),ISNUMBER(Detalle_24m!H$60)),Detalle_24m!H$60,INDEX(Precio_V,19)*INDEX(IdxPrecio_V,1,MIN(10,H$173)))*(1+V_dPrecio))</f>
        <v>0</v>
      </c>
      <c r="I220" s="48">
        <f>IF(I$8=1,IF(Reales!$C$56="PYG",IF(I$10&gt;0,N(Reales!I56)/I$10,0),N(Reales!I56)),I$195*IF(AND(AND(4&gt;Corte,4&lt;=Corte+n_Ventana),ISNUMBER(Detalle_24m!I$60)),Detalle_24m!I$60,INDEX(Precio_V,19)*INDEX(IdxPrecio_V,1,MIN(10,I$173)))*(1+V_dPrecio))</f>
        <v>0</v>
      </c>
      <c r="J220" s="48">
        <f>IF(J$8=1,IF(Reales!$C$56="PYG",IF(J$10&gt;0,N(Reales!J56)/J$10,0),N(Reales!J56)),J$195*IF(AND(AND(5&gt;Corte,5&lt;=Corte+n_Ventana),ISNUMBER(Detalle_24m!J$60)),Detalle_24m!J$60,INDEX(Precio_V,19)*INDEX(IdxPrecio_V,1,MIN(10,J$173)))*(1+V_dPrecio))</f>
        <v>0</v>
      </c>
      <c r="K220" s="48">
        <f>IF(K$8=1,IF(Reales!$C$56="PYG",IF(K$10&gt;0,N(Reales!K56)/K$10,0),N(Reales!K56)),K$195*IF(AND(AND(6&gt;Corte,6&lt;=Corte+n_Ventana),ISNUMBER(Detalle_24m!K$60)),Detalle_24m!K$60,INDEX(Precio_V,19)*INDEX(IdxPrecio_V,1,MIN(10,K$173)))*(1+V_dPrecio))</f>
        <v>0</v>
      </c>
      <c r="L220" s="48">
        <f>IF(L$8=1,IF(Reales!$C$56="PYG",IF(L$10&gt;0,N(Reales!L56)/L$10,0),N(Reales!L56)),L$195*IF(AND(AND(7&gt;Corte,7&lt;=Corte+n_Ventana),ISNUMBER(Detalle_24m!L$60)),Detalle_24m!L$60,INDEX(Precio_V,19)*INDEX(IdxPrecio_V,1,MIN(10,L$173)))*(1+V_dPrecio))</f>
        <v>0</v>
      </c>
      <c r="M220" s="48">
        <f>IF(M$8=1,IF(Reales!$C$56="PYG",IF(M$10&gt;0,N(Reales!M56)/M$10,0),N(Reales!M56)),M$195*IF(AND(AND(8&gt;Corte,8&lt;=Corte+n_Ventana),ISNUMBER(Detalle_24m!M$60)),Detalle_24m!M$60,INDEX(Precio_V,19)*INDEX(IdxPrecio_V,1,MIN(10,M$173)))*(1+V_dPrecio))</f>
        <v>0</v>
      </c>
      <c r="N220" s="48">
        <f>IF(N$8=1,IF(Reales!$C$56="PYG",IF(N$10&gt;0,N(Reales!N56)/N$10,0),N(Reales!N56)),N$195*IF(AND(AND(9&gt;Corte,9&lt;=Corte+n_Ventana),ISNUMBER(Detalle_24m!N$60)),Detalle_24m!N$60,INDEX(Precio_V,19)*INDEX(IdxPrecio_V,1,MIN(10,N$173)))*(1+V_dPrecio))</f>
        <v>0</v>
      </c>
      <c r="O220" s="48">
        <f>IF(O$8=1,IF(Reales!$C$56="PYG",IF(O$10&gt;0,N(Reales!O56)/O$10,0),N(Reales!O56)),O$195*IF(AND(AND(10&gt;Corte,10&lt;=Corte+n_Ventana),ISNUMBER(Detalle_24m!O$60)),Detalle_24m!O$60,INDEX(Precio_V,19)*INDEX(IdxPrecio_V,1,MIN(10,O$173)))*(1+V_dPrecio))</f>
        <v>0</v>
      </c>
      <c r="P220" s="48">
        <f>IF(P$8=1,IF(Reales!$C$56="PYG",IF(P$10&gt;0,N(Reales!P56)/P$10,0),N(Reales!P56)),P$195*IF(AND(AND(11&gt;Corte,11&lt;=Corte+n_Ventana),ISNUMBER(Detalle_24m!P$60)),Detalle_24m!P$60,INDEX(Precio_V,19)*INDEX(IdxPrecio_V,1,MIN(10,P$173)))*(1+V_dPrecio))</f>
        <v>0</v>
      </c>
      <c r="Q220" s="48">
        <f>IF(Q$8=1,IF(Reales!$C$56="PYG",IF(Q$10&gt;0,N(Reales!Q56)/Q$10,0),N(Reales!Q56)),Q$195*IF(AND(AND(12&gt;Corte,12&lt;=Corte+n_Ventana),ISNUMBER(Detalle_24m!Q$60)),Detalle_24m!Q$60,INDEX(Precio_V,19)*INDEX(IdxPrecio_V,1,MIN(10,Q$173)))*(1+V_dPrecio))</f>
        <v>0</v>
      </c>
      <c r="R220" s="48">
        <f>IF(R$8=1,IF(Reales!$C$56="PYG",IF(R$10&gt;0,N(Reales!R56)/R$10,0),N(Reales!R56)),R$195*IF(AND(AND(13&gt;Corte,13&lt;=Corte+n_Ventana),ISNUMBER(Detalle_24m!R$60)),Detalle_24m!R$60,INDEX(Precio_V,19)*INDEX(IdxPrecio_V,1,MIN(10,R$173)))*(1+V_dPrecio))</f>
        <v>0</v>
      </c>
      <c r="S220" s="48">
        <f>IF(S$8=1,IF(Reales!$C$56="PYG",IF(S$10&gt;0,N(Reales!S56)/S$10,0),N(Reales!S56)),S$195*IF(AND(AND(14&gt;Corte,14&lt;=Corte+n_Ventana),ISNUMBER(Detalle_24m!S$60)),Detalle_24m!S$60,INDEX(Precio_V,19)*INDEX(IdxPrecio_V,1,MIN(10,S$173)))*(1+V_dPrecio))</f>
        <v>0</v>
      </c>
      <c r="T220" s="48">
        <f>IF(T$8=1,IF(Reales!$C$56="PYG",IF(T$10&gt;0,N(Reales!T56)/T$10,0),N(Reales!T56)),T$195*IF(AND(AND(15&gt;Corte,15&lt;=Corte+n_Ventana),ISNUMBER(Detalle_24m!T$60)),Detalle_24m!T$60,INDEX(Precio_V,19)*INDEX(IdxPrecio_V,1,MIN(10,T$173)))*(1+V_dPrecio))</f>
        <v>0</v>
      </c>
      <c r="U220" s="48">
        <f>IF(U$8=1,IF(Reales!$C$56="PYG",IF(U$10&gt;0,N(Reales!U56)/U$10,0),N(Reales!U56)),U$195*IF(AND(AND(16&gt;Corte,16&lt;=Corte+n_Ventana),ISNUMBER(Detalle_24m!U$60)),Detalle_24m!U$60,INDEX(Precio_V,19)*INDEX(IdxPrecio_V,1,MIN(10,U$173)))*(1+V_dPrecio))</f>
        <v>0</v>
      </c>
      <c r="V220" s="48">
        <f>IF(V$8=1,IF(Reales!$C$56="PYG",IF(V$10&gt;0,N(Reales!V56)/V$10,0),N(Reales!V56)),V$195*IF(AND(AND(17&gt;Corte,17&lt;=Corte+n_Ventana),ISNUMBER(Detalle_24m!V$60)),Detalle_24m!V$60,INDEX(Precio_V,19)*INDEX(IdxPrecio_V,1,MIN(10,V$173)))*(1+V_dPrecio))</f>
        <v>0</v>
      </c>
      <c r="W220" s="48">
        <f>IF(W$8=1,IF(Reales!$C$56="PYG",IF(W$10&gt;0,N(Reales!W56)/W$10,0),N(Reales!W56)),W$195*IF(AND(AND(18&gt;Corte,18&lt;=Corte+n_Ventana),ISNUMBER(Detalle_24m!W$60)),Detalle_24m!W$60,INDEX(Precio_V,19)*INDEX(IdxPrecio_V,1,MIN(10,W$173)))*(1+V_dPrecio))</f>
        <v>0</v>
      </c>
      <c r="X220" s="48">
        <f>IF(X$8=1,IF(Reales!$C$56="PYG",IF(X$10&gt;0,N(Reales!X56)/X$10,0),N(Reales!X56)),X$195*IF(AND(AND(19&gt;Corte,19&lt;=Corte+n_Ventana),ISNUMBER(Detalle_24m!X$60)),Detalle_24m!X$60,INDEX(Precio_V,19)*INDEX(IdxPrecio_V,1,MIN(10,X$173)))*(1+V_dPrecio))</f>
        <v>0</v>
      </c>
      <c r="Y220" s="48">
        <f>IF(Y$8=1,IF(Reales!$C$56="PYG",IF(Y$10&gt;0,N(Reales!Y56)/Y$10,0),N(Reales!Y56)),Y$195*IF(AND(AND(20&gt;Corte,20&lt;=Corte+n_Ventana),ISNUMBER(Detalle_24m!Y$60)),Detalle_24m!Y$60,INDEX(Precio_V,19)*INDEX(IdxPrecio_V,1,MIN(10,Y$173)))*(1+V_dPrecio))</f>
        <v>0</v>
      </c>
      <c r="Z220" s="48">
        <f>IF(Z$8=1,IF(Reales!$C$56="PYG",IF(Z$10&gt;0,N(Reales!Z56)/Z$10,0),N(Reales!Z56)),Z$195*IF(AND(AND(21&gt;Corte,21&lt;=Corte+n_Ventana),ISNUMBER(Detalle_24m!Z$60)),Detalle_24m!Z$60,INDEX(Precio_V,19)*INDEX(IdxPrecio_V,1,MIN(10,Z$173)))*(1+V_dPrecio))</f>
        <v>0</v>
      </c>
      <c r="AA220" s="48">
        <f>IF(AA$8=1,IF(Reales!$C$56="PYG",IF(AA$10&gt;0,N(Reales!AA56)/AA$10,0),N(Reales!AA56)),AA$195*IF(AND(AND(22&gt;Corte,22&lt;=Corte+n_Ventana),ISNUMBER(Detalle_24m!AA$60)),Detalle_24m!AA$60,INDEX(Precio_V,19)*INDEX(IdxPrecio_V,1,MIN(10,AA$173)))*(1+V_dPrecio))</f>
        <v>0</v>
      </c>
      <c r="AB220" s="48">
        <f>IF(AB$8=1,IF(Reales!$C$56="PYG",IF(AB$10&gt;0,N(Reales!AB56)/AB$10,0),N(Reales!AB56)),AB$195*IF(AND(AND(23&gt;Corte,23&lt;=Corte+n_Ventana),ISNUMBER(Detalle_24m!AB$60)),Detalle_24m!AB$60,INDEX(Precio_V,19)*INDEX(IdxPrecio_V,1,MIN(10,AB$173)))*(1+V_dPrecio))</f>
        <v>0</v>
      </c>
      <c r="AC220" s="48">
        <f>IF(AC$8=1,IF(Reales!$C$56="PYG",IF(AC$10&gt;0,N(Reales!AC56)/AC$10,0),N(Reales!AC56)),AC$195*IF(AND(AND(24&gt;Corte,24&lt;=Corte+n_Ventana),ISNUMBER(Detalle_24m!AC$60)),Detalle_24m!AC$60,INDEX(Precio_V,19)*INDEX(IdxPrecio_V,1,MIN(10,AC$173)))*(1+V_dPrecio))</f>
        <v>0</v>
      </c>
      <c r="AD220" s="48">
        <f>IF(AD$8=1,IF(Reales!$C$56="PYG",IF(AD$10&gt;0,N(Reales!AD56)/AD$10,0),N(Reales!AD56)),AD$195*IF(AND(AND(25&gt;Corte,25&lt;=Corte+n_Ventana),ISNUMBER(Detalle_24m!AD$60)),Detalle_24m!AD$60,INDEX(Precio_V,19)*INDEX(IdxPrecio_V,1,MIN(10,AD$173)))*(1+V_dPrecio))</f>
        <v>0</v>
      </c>
      <c r="AE220" s="48">
        <f>IF(AE$8=1,IF(Reales!$C$56="PYG",IF(AE$10&gt;0,N(Reales!AE56)/AE$10,0),N(Reales!AE56)),AE$195*IF(AND(AND(26&gt;Corte,26&lt;=Corte+n_Ventana),ISNUMBER(Detalle_24m!AE$60)),Detalle_24m!AE$60,INDEX(Precio_V,19)*INDEX(IdxPrecio_V,1,MIN(10,AE$173)))*(1+V_dPrecio))</f>
        <v>0</v>
      </c>
      <c r="AF220" s="48">
        <f>IF(AF$8=1,IF(Reales!$C$56="PYG",IF(AF$10&gt;0,N(Reales!AF56)/AF$10,0),N(Reales!AF56)),AF$195*IF(AND(AND(27&gt;Corte,27&lt;=Corte+n_Ventana),ISNUMBER(Detalle_24m!AF$60)),Detalle_24m!AF$60,INDEX(Precio_V,19)*INDEX(IdxPrecio_V,1,MIN(10,AF$173)))*(1+V_dPrecio))</f>
        <v>0</v>
      </c>
      <c r="AG220" s="48">
        <f>IF(AG$8=1,IF(Reales!$C$56="PYG",IF(AG$10&gt;0,N(Reales!AG56)/AG$10,0),N(Reales!AG56)),AG$195*IF(AND(AND(28&gt;Corte,28&lt;=Corte+n_Ventana),ISNUMBER(Detalle_24m!AG$60)),Detalle_24m!AG$60,INDEX(Precio_V,19)*INDEX(IdxPrecio_V,1,MIN(10,AG$173)))*(1+V_dPrecio))</f>
        <v>0</v>
      </c>
      <c r="AH220" s="48">
        <f>IF(AH$8=1,IF(Reales!$C$56="PYG",IF(AH$10&gt;0,N(Reales!AH56)/AH$10,0),N(Reales!AH56)),AH$195*IF(AND(AND(29&gt;Corte,29&lt;=Corte+n_Ventana),ISNUMBER(Detalle_24m!AH$60)),Detalle_24m!AH$60,INDEX(Precio_V,19)*INDEX(IdxPrecio_V,1,MIN(10,AH$173)))*(1+V_dPrecio))</f>
        <v>0</v>
      </c>
      <c r="AI220" s="48">
        <f>IF(AI$8=1,IF(Reales!$C$56="PYG",IF(AI$10&gt;0,N(Reales!AI56)/AI$10,0),N(Reales!AI56)),AI$195*IF(AND(AND(30&gt;Corte,30&lt;=Corte+n_Ventana),ISNUMBER(Detalle_24m!AI$60)),Detalle_24m!AI$60,INDEX(Precio_V,19)*INDEX(IdxPrecio_V,1,MIN(10,AI$173)))*(1+V_dPrecio))</f>
        <v>0</v>
      </c>
      <c r="AJ220" s="48">
        <f>IF(AJ$8=1,IF(Reales!$C$56="PYG",IF(AJ$10&gt;0,N(Reales!AJ56)/AJ$10,0),N(Reales!AJ56)),AJ$195*IF(AND(AND(31&gt;Corte,31&lt;=Corte+n_Ventana),ISNUMBER(Detalle_24m!AJ$60)),Detalle_24m!AJ$60,INDEX(Precio_V,19)*INDEX(IdxPrecio_V,1,MIN(10,AJ$173)))*(1+V_dPrecio))</f>
        <v>0</v>
      </c>
      <c r="AK220" s="48">
        <f>IF(AK$8=1,IF(Reales!$C$56="PYG",IF(AK$10&gt;0,N(Reales!AK56)/AK$10,0),N(Reales!AK56)),AK$195*IF(AND(AND(32&gt;Corte,32&lt;=Corte+n_Ventana),ISNUMBER(Detalle_24m!AK$60)),Detalle_24m!AK$60,INDEX(Precio_V,19)*INDEX(IdxPrecio_V,1,MIN(10,AK$173)))*(1+V_dPrecio))</f>
        <v>0</v>
      </c>
      <c r="AL220" s="48">
        <f>IF(AL$8=1,IF(Reales!$C$56="PYG",IF(AL$10&gt;0,N(Reales!AL56)/AL$10,0),N(Reales!AL56)),AL$195*IF(AND(AND(33&gt;Corte,33&lt;=Corte+n_Ventana),ISNUMBER(Detalle_24m!AL$60)),Detalle_24m!AL$60,INDEX(Precio_V,19)*INDEX(IdxPrecio_V,1,MIN(10,AL$173)))*(1+V_dPrecio))</f>
        <v>0</v>
      </c>
      <c r="AM220" s="48">
        <f>IF(AM$8=1,IF(Reales!$C$56="PYG",IF(AM$10&gt;0,N(Reales!AM56)/AM$10,0),N(Reales!AM56)),AM$195*IF(AND(AND(34&gt;Corte,34&lt;=Corte+n_Ventana),ISNUMBER(Detalle_24m!AM$60)),Detalle_24m!AM$60,INDEX(Precio_V,19)*INDEX(IdxPrecio_V,1,MIN(10,AM$173)))*(1+V_dPrecio))</f>
        <v>0</v>
      </c>
      <c r="AN220" s="48">
        <f>IF(AN$8=1,IF(Reales!$C$56="PYG",IF(AN$10&gt;0,N(Reales!AN56)/AN$10,0),N(Reales!AN56)),AN$195*IF(AND(AND(35&gt;Corte,35&lt;=Corte+n_Ventana),ISNUMBER(Detalle_24m!AN$60)),Detalle_24m!AN$60,INDEX(Precio_V,19)*INDEX(IdxPrecio_V,1,MIN(10,AN$173)))*(1+V_dPrecio))</f>
        <v>0</v>
      </c>
      <c r="AO220" s="48">
        <f>IF(AO$8=1,IF(Reales!$C$56="PYG",IF(AO$10&gt;0,N(Reales!AO56)/AO$10,0),N(Reales!AO56)),AO$195*IF(AND(AND(36&gt;Corte,36&lt;=Corte+n_Ventana),ISNUMBER(Detalle_24m!AO$60)),Detalle_24m!AO$60,INDEX(Precio_V,19)*INDEX(IdxPrecio_V,1,MIN(10,AO$173)))*(1+V_dPrecio))</f>
        <v>0</v>
      </c>
      <c r="AP220" s="48">
        <f>IF(AP$8=1,IF(Reales!$C$56="PYG",IF(AP$10&gt;0,N(Reales!AP56)/AP$10,0),N(Reales!AP56)),AP$195*IF(AND(AND(37&gt;Corte,37&lt;=Corte+n_Ventana),ISNUMBER(Detalle_24m!AP$60)),Detalle_24m!AP$60,INDEX(Precio_V,19)*INDEX(IdxPrecio_V,1,MIN(10,AP$173)))*(1+V_dPrecio))</f>
        <v>0</v>
      </c>
      <c r="AQ220" s="48">
        <f>IF(AQ$8=1,IF(Reales!$C$56="PYG",IF(AQ$10&gt;0,N(Reales!AQ56)/AQ$10,0),N(Reales!AQ56)),AQ$195*IF(AND(AND(38&gt;Corte,38&lt;=Corte+n_Ventana),ISNUMBER(Detalle_24m!AQ$60)),Detalle_24m!AQ$60,INDEX(Precio_V,19)*INDEX(IdxPrecio_V,1,MIN(10,AQ$173)))*(1+V_dPrecio))</f>
        <v>0</v>
      </c>
      <c r="AR220" s="48">
        <f>IF(AR$8=1,IF(Reales!$C$56="PYG",IF(AR$10&gt;0,N(Reales!AR56)/AR$10,0),N(Reales!AR56)),AR$195*IF(AND(AND(39&gt;Corte,39&lt;=Corte+n_Ventana),ISNUMBER(Detalle_24m!AR$60)),Detalle_24m!AR$60,INDEX(Precio_V,19)*INDEX(IdxPrecio_V,1,MIN(10,AR$173)))*(1+V_dPrecio))</f>
        <v>0</v>
      </c>
      <c r="AS220" s="48">
        <f>IF(AS$8=1,IF(Reales!$C$56="PYG",IF(AS$10&gt;0,N(Reales!AS56)/AS$10,0),N(Reales!AS56)),AS$195*IF(AND(AND(40&gt;Corte,40&lt;=Corte+n_Ventana),ISNUMBER(Detalle_24m!AS$60)),Detalle_24m!AS$60,INDEX(Precio_V,19)*INDEX(IdxPrecio_V,1,MIN(10,AS$173)))*(1+V_dPrecio))</f>
        <v>0</v>
      </c>
      <c r="AT220" s="48">
        <f>IF(AT$8=1,IF(Reales!$C$56="PYG",IF(AT$10&gt;0,N(Reales!AT56)/AT$10,0),N(Reales!AT56)),AT$195*IF(AND(AND(41&gt;Corte,41&lt;=Corte+n_Ventana),ISNUMBER(Detalle_24m!AT$60)),Detalle_24m!AT$60,INDEX(Precio_V,19)*INDEX(IdxPrecio_V,1,MIN(10,AT$173)))*(1+V_dPrecio))</f>
        <v>0</v>
      </c>
      <c r="AU220" s="48">
        <f>IF(AU$8=1,IF(Reales!$C$56="PYG",IF(AU$10&gt;0,N(Reales!AU56)/AU$10,0),N(Reales!AU56)),AU$195*IF(AND(AND(42&gt;Corte,42&lt;=Corte+n_Ventana),ISNUMBER(Detalle_24m!AU$60)),Detalle_24m!AU$60,INDEX(Precio_V,19)*INDEX(IdxPrecio_V,1,MIN(10,AU$173)))*(1+V_dPrecio))</f>
        <v>0</v>
      </c>
      <c r="AV220" s="48">
        <f>IF(AV$8=1,IF(Reales!$C$56="PYG",IF(AV$10&gt;0,N(Reales!AV56)/AV$10,0),N(Reales!AV56)),AV$195*IF(AND(AND(43&gt;Corte,43&lt;=Corte+n_Ventana),ISNUMBER(Detalle_24m!AV$60)),Detalle_24m!AV$60,INDEX(Precio_V,19)*INDEX(IdxPrecio_V,1,MIN(10,AV$173)))*(1+V_dPrecio))</f>
        <v>0</v>
      </c>
      <c r="AW220" s="48">
        <f>IF(AW$8=1,IF(Reales!$C$56="PYG",IF(AW$10&gt;0,N(Reales!AW56)/AW$10,0),N(Reales!AW56)),AW$195*IF(AND(AND(44&gt;Corte,44&lt;=Corte+n_Ventana),ISNUMBER(Detalle_24m!AW$60)),Detalle_24m!AW$60,INDEX(Precio_V,19)*INDEX(IdxPrecio_V,1,MIN(10,AW$173)))*(1+V_dPrecio))</f>
        <v>0</v>
      </c>
      <c r="AX220" s="48">
        <f>IF(AX$8=1,IF(Reales!$C$56="PYG",IF(AX$10&gt;0,N(Reales!AX56)/AX$10,0),N(Reales!AX56)),AX$195*IF(AND(AND(45&gt;Corte,45&lt;=Corte+n_Ventana),ISNUMBER(Detalle_24m!AX$60)),Detalle_24m!AX$60,INDEX(Precio_V,19)*INDEX(IdxPrecio_V,1,MIN(10,AX$173)))*(1+V_dPrecio))</f>
        <v>0</v>
      </c>
      <c r="AY220" s="48">
        <f>IF(AY$8=1,IF(Reales!$C$56="PYG",IF(AY$10&gt;0,N(Reales!AY56)/AY$10,0),N(Reales!AY56)),AY$195*IF(AND(AND(46&gt;Corte,46&lt;=Corte+n_Ventana),ISNUMBER(Detalle_24m!AY$60)),Detalle_24m!AY$60,INDEX(Precio_V,19)*INDEX(IdxPrecio_V,1,MIN(10,AY$173)))*(1+V_dPrecio))</f>
        <v>0</v>
      </c>
      <c r="AZ220" s="48">
        <f>IF(AZ$8=1,IF(Reales!$C$56="PYG",IF(AZ$10&gt;0,N(Reales!AZ56)/AZ$10,0),N(Reales!AZ56)),AZ$195*IF(AND(AND(47&gt;Corte,47&lt;=Corte+n_Ventana),ISNUMBER(Detalle_24m!AZ$60)),Detalle_24m!AZ$60,INDEX(Precio_V,19)*INDEX(IdxPrecio_V,1,MIN(10,AZ$173)))*(1+V_dPrecio))</f>
        <v>0</v>
      </c>
      <c r="BA220" s="48">
        <f>IF(BA$8=1,IF(Reales!$C$56="PYG",IF(BA$10&gt;0,N(Reales!BA56)/BA$10,0),N(Reales!BA56)),BA$195*IF(AND(AND(48&gt;Corte,48&lt;=Corte+n_Ventana),ISNUMBER(Detalle_24m!BA$60)),Detalle_24m!BA$60,INDEX(Precio_V,19)*INDEX(IdxPrecio_V,1,MIN(10,BA$173)))*(1+V_dPrecio))</f>
        <v>0</v>
      </c>
      <c r="BB220" s="48">
        <f>IF(BB$8=1,IF(Reales!$C$56="PYG",IF(BB$10&gt;0,N(Reales!BB56)/BB$10,0),N(Reales!BB56)),BB$195*IF(AND(AND(49&gt;Corte,49&lt;=Corte+n_Ventana),ISNUMBER(Detalle_24m!BB$60)),Detalle_24m!BB$60,INDEX(Precio_V,19)*INDEX(IdxPrecio_V,1,MIN(10,BB$173)))*(1+V_dPrecio))</f>
        <v>0</v>
      </c>
      <c r="BC220" s="48">
        <f>IF(BC$8=1,IF(Reales!$C$56="PYG",IF(BC$10&gt;0,N(Reales!BC56)/BC$10,0),N(Reales!BC56)),BC$195*IF(AND(AND(50&gt;Corte,50&lt;=Corte+n_Ventana),ISNUMBER(Detalle_24m!BC$60)),Detalle_24m!BC$60,INDEX(Precio_V,19)*INDEX(IdxPrecio_V,1,MIN(10,BC$173)))*(1+V_dPrecio))</f>
        <v>0</v>
      </c>
      <c r="BD220" s="48">
        <f>IF(BD$8=1,IF(Reales!$C$56="PYG",IF(BD$10&gt;0,N(Reales!BD56)/BD$10,0),N(Reales!BD56)),BD$195*IF(AND(AND(51&gt;Corte,51&lt;=Corte+n_Ventana),ISNUMBER(Detalle_24m!BD$60)),Detalle_24m!BD$60,INDEX(Precio_V,19)*INDEX(IdxPrecio_V,1,MIN(10,BD$173)))*(1+V_dPrecio))</f>
        <v>0</v>
      </c>
      <c r="BE220" s="48">
        <f>IF(BE$8=1,IF(Reales!$C$56="PYG",IF(BE$10&gt;0,N(Reales!BE56)/BE$10,0),N(Reales!BE56)),BE$195*IF(AND(AND(52&gt;Corte,52&lt;=Corte+n_Ventana),ISNUMBER(Detalle_24m!BE$60)),Detalle_24m!BE$60,INDEX(Precio_V,19)*INDEX(IdxPrecio_V,1,MIN(10,BE$173)))*(1+V_dPrecio))</f>
        <v>0</v>
      </c>
      <c r="BF220" s="48">
        <f>IF(BF$8=1,IF(Reales!$C$56="PYG",IF(BF$10&gt;0,N(Reales!BF56)/BF$10,0),N(Reales!BF56)),BF$195*IF(AND(AND(53&gt;Corte,53&lt;=Corte+n_Ventana),ISNUMBER(Detalle_24m!BF$60)),Detalle_24m!BF$60,INDEX(Precio_V,19)*INDEX(IdxPrecio_V,1,MIN(10,BF$173)))*(1+V_dPrecio))</f>
        <v>0</v>
      </c>
      <c r="BG220" s="48">
        <f>IF(BG$8=1,IF(Reales!$C$56="PYG",IF(BG$10&gt;0,N(Reales!BG56)/BG$10,0),N(Reales!BG56)),BG$195*IF(AND(AND(54&gt;Corte,54&lt;=Corte+n_Ventana),ISNUMBER(Detalle_24m!BG$60)),Detalle_24m!BG$60,INDEX(Precio_V,19)*INDEX(IdxPrecio_V,1,MIN(10,BG$173)))*(1+V_dPrecio))</f>
        <v>0</v>
      </c>
      <c r="BH220" s="48">
        <f>IF(BH$8=1,IF(Reales!$C$56="PYG",IF(BH$10&gt;0,N(Reales!BH56)/BH$10,0),N(Reales!BH56)),BH$195*IF(AND(AND(55&gt;Corte,55&lt;=Corte+n_Ventana),ISNUMBER(Detalle_24m!BH$60)),Detalle_24m!BH$60,INDEX(Precio_V,19)*INDEX(IdxPrecio_V,1,MIN(10,BH$173)))*(1+V_dPrecio))</f>
        <v>0</v>
      </c>
      <c r="BI220" s="48">
        <f>IF(BI$8=1,IF(Reales!$C$56="PYG",IF(BI$10&gt;0,N(Reales!BI56)/BI$10,0),N(Reales!BI56)),BI$195*IF(AND(AND(56&gt;Corte,56&lt;=Corte+n_Ventana),ISNUMBER(Detalle_24m!BI$60)),Detalle_24m!BI$60,INDEX(Precio_V,19)*INDEX(IdxPrecio_V,1,MIN(10,BI$173)))*(1+V_dPrecio))</f>
        <v>0</v>
      </c>
      <c r="BJ220" s="48">
        <f>IF(BJ$8=1,IF(Reales!$C$56="PYG",IF(BJ$10&gt;0,N(Reales!BJ56)/BJ$10,0),N(Reales!BJ56)),BJ$195*IF(AND(AND(57&gt;Corte,57&lt;=Corte+n_Ventana),ISNUMBER(Detalle_24m!BJ$60)),Detalle_24m!BJ$60,INDEX(Precio_V,19)*INDEX(IdxPrecio_V,1,MIN(10,BJ$173)))*(1+V_dPrecio))</f>
        <v>0</v>
      </c>
      <c r="BK220" s="48">
        <f>IF(BK$8=1,IF(Reales!$C$56="PYG",IF(BK$10&gt;0,N(Reales!BK56)/BK$10,0),N(Reales!BK56)),BK$195*IF(AND(AND(58&gt;Corte,58&lt;=Corte+n_Ventana),ISNUMBER(Detalle_24m!BK$60)),Detalle_24m!BK$60,INDEX(Precio_V,19)*INDEX(IdxPrecio_V,1,MIN(10,BK$173)))*(1+V_dPrecio))</f>
        <v>0</v>
      </c>
      <c r="BL220" s="48">
        <f>IF(BL$8=1,IF(Reales!$C$56="PYG",IF(BL$10&gt;0,N(Reales!BL56)/BL$10,0),N(Reales!BL56)),BL$195*IF(AND(AND(59&gt;Corte,59&lt;=Corte+n_Ventana),ISNUMBER(Detalle_24m!BL$60)),Detalle_24m!BL$60,INDEX(Precio_V,19)*INDEX(IdxPrecio_V,1,MIN(10,BL$173)))*(1+V_dPrecio))</f>
        <v>0</v>
      </c>
      <c r="BM220" s="48">
        <f>IF(BM$8=1,IF(Reales!$C$56="PYG",IF(BM$10&gt;0,N(Reales!BM56)/BM$10,0),N(Reales!BM56)),BM$195*IF(AND(AND(60&gt;Corte,60&lt;=Corte+n_Ventana),ISNUMBER(Detalle_24m!BM$60)),Detalle_24m!BM$60,INDEX(Precio_V,19)*INDEX(IdxPrecio_V,1,MIN(10,BM$173)))*(1+V_dPrecio))</f>
        <v>0</v>
      </c>
      <c r="BN220" s="48">
        <f>IF(BN$8=1,IF(Reales!$C$56="PYG",IF(BN$10&gt;0,N(Reales!BN56)/BN$10,0),N(Reales!BN56)),BN$195*IF(AND(AND(61&gt;Corte,61&lt;=Corte+n_Ventana),ISNUMBER(Detalle_24m!BN$60)),Detalle_24m!BN$60,INDEX(Precio_V,19)*INDEX(IdxPrecio_V,1,MIN(10,BN$173)))*(1+V_dPrecio))</f>
        <v>0</v>
      </c>
      <c r="BO220" s="48">
        <f>IF(BO$8=1,IF(Reales!$C$56="PYG",IF(BO$10&gt;0,N(Reales!BO56)/BO$10,0),N(Reales!BO56)),BO$195*IF(AND(AND(62&gt;Corte,62&lt;=Corte+n_Ventana),ISNUMBER(Detalle_24m!BO$60)),Detalle_24m!BO$60,INDEX(Precio_V,19)*INDEX(IdxPrecio_V,1,MIN(10,BO$173)))*(1+V_dPrecio))</f>
        <v>0</v>
      </c>
      <c r="BP220" s="48">
        <f>IF(BP$8=1,IF(Reales!$C$56="PYG",IF(BP$10&gt;0,N(Reales!BP56)/BP$10,0),N(Reales!BP56)),BP$195*IF(AND(AND(63&gt;Corte,63&lt;=Corte+n_Ventana),ISNUMBER(Detalle_24m!BP$60)),Detalle_24m!BP$60,INDEX(Precio_V,19)*INDEX(IdxPrecio_V,1,MIN(10,BP$173)))*(1+V_dPrecio))</f>
        <v>0</v>
      </c>
      <c r="BQ220" s="48">
        <f>IF(BQ$8=1,IF(Reales!$C$56="PYG",IF(BQ$10&gt;0,N(Reales!BQ56)/BQ$10,0),N(Reales!BQ56)),BQ$195*IF(AND(AND(64&gt;Corte,64&lt;=Corte+n_Ventana),ISNUMBER(Detalle_24m!BQ$60)),Detalle_24m!BQ$60,INDEX(Precio_V,19)*INDEX(IdxPrecio_V,1,MIN(10,BQ$173)))*(1+V_dPrecio))</f>
        <v>0</v>
      </c>
      <c r="BR220" s="48">
        <f>IF(BR$8=1,IF(Reales!$C$56="PYG",IF(BR$10&gt;0,N(Reales!BR56)/BR$10,0),N(Reales!BR56)),BR$195*IF(AND(AND(65&gt;Corte,65&lt;=Corte+n_Ventana),ISNUMBER(Detalle_24m!BR$60)),Detalle_24m!BR$60,INDEX(Precio_V,19)*INDEX(IdxPrecio_V,1,MIN(10,BR$173)))*(1+V_dPrecio))</f>
        <v>0</v>
      </c>
      <c r="BS220" s="48">
        <f>IF(BS$8=1,IF(Reales!$C$56="PYG",IF(BS$10&gt;0,N(Reales!BS56)/BS$10,0),N(Reales!BS56)),BS$195*IF(AND(AND(66&gt;Corte,66&lt;=Corte+n_Ventana),ISNUMBER(Detalle_24m!BS$60)),Detalle_24m!BS$60,INDEX(Precio_V,19)*INDEX(IdxPrecio_V,1,MIN(10,BS$173)))*(1+V_dPrecio))</f>
        <v>0</v>
      </c>
      <c r="BT220" s="48">
        <f>IF(BT$8=1,IF(Reales!$C$56="PYG",IF(BT$10&gt;0,N(Reales!BT56)/BT$10,0),N(Reales!BT56)),BT$195*IF(AND(AND(67&gt;Corte,67&lt;=Corte+n_Ventana),ISNUMBER(Detalle_24m!BT$60)),Detalle_24m!BT$60,INDEX(Precio_V,19)*INDEX(IdxPrecio_V,1,MIN(10,BT$173)))*(1+V_dPrecio))</f>
        <v>0</v>
      </c>
      <c r="BU220" s="48">
        <f>IF(BU$8=1,IF(Reales!$C$56="PYG",IF(BU$10&gt;0,N(Reales!BU56)/BU$10,0),N(Reales!BU56)),BU$195*IF(AND(AND(68&gt;Corte,68&lt;=Corte+n_Ventana),ISNUMBER(Detalle_24m!BU$60)),Detalle_24m!BU$60,INDEX(Precio_V,19)*INDEX(IdxPrecio_V,1,MIN(10,BU$173)))*(1+V_dPrecio))</f>
        <v>0</v>
      </c>
      <c r="BV220" s="48">
        <f>IF(BV$8=1,IF(Reales!$C$56="PYG",IF(BV$10&gt;0,N(Reales!BV56)/BV$10,0),N(Reales!BV56)),BV$195*IF(AND(AND(69&gt;Corte,69&lt;=Corte+n_Ventana),ISNUMBER(Detalle_24m!BV$60)),Detalle_24m!BV$60,INDEX(Precio_V,19)*INDEX(IdxPrecio_V,1,MIN(10,BV$173)))*(1+V_dPrecio))</f>
        <v>0</v>
      </c>
      <c r="BW220" s="48">
        <f>IF(BW$8=1,IF(Reales!$C$56="PYG",IF(BW$10&gt;0,N(Reales!BW56)/BW$10,0),N(Reales!BW56)),BW$195*IF(AND(AND(70&gt;Corte,70&lt;=Corte+n_Ventana),ISNUMBER(Detalle_24m!BW$60)),Detalle_24m!BW$60,INDEX(Precio_V,19)*INDEX(IdxPrecio_V,1,MIN(10,BW$173)))*(1+V_dPrecio))</f>
        <v>0</v>
      </c>
      <c r="BX220" s="48">
        <f>IF(BX$8=1,IF(Reales!$C$56="PYG",IF(BX$10&gt;0,N(Reales!BX56)/BX$10,0),N(Reales!BX56)),BX$195*IF(AND(AND(71&gt;Corte,71&lt;=Corte+n_Ventana),ISNUMBER(Detalle_24m!BX$60)),Detalle_24m!BX$60,INDEX(Precio_V,19)*INDEX(IdxPrecio_V,1,MIN(10,BX$173)))*(1+V_dPrecio))</f>
        <v>0</v>
      </c>
      <c r="BY220" s="48">
        <f>IF(BY$8=1,IF(Reales!$C$56="PYG",IF(BY$10&gt;0,N(Reales!BY56)/BY$10,0),N(Reales!BY56)),BY$195*IF(AND(AND(72&gt;Corte,72&lt;=Corte+n_Ventana),ISNUMBER(Detalle_24m!BY$60)),Detalle_24m!BY$60,INDEX(Precio_V,19)*INDEX(IdxPrecio_V,1,MIN(10,BY$173)))*(1+V_dPrecio))</f>
        <v>0</v>
      </c>
      <c r="BZ220" s="48">
        <f>IF(BZ$8=1,IF(Reales!$C$56="PYG",IF(BZ$10&gt;0,N(Reales!BZ56)/BZ$10,0),N(Reales!BZ56)),BZ$195*IF(AND(AND(73&gt;Corte,73&lt;=Corte+n_Ventana),ISNUMBER(Detalle_24m!BZ$60)),Detalle_24m!BZ$60,INDEX(Precio_V,19)*INDEX(IdxPrecio_V,1,MIN(10,BZ$173)))*(1+V_dPrecio))</f>
        <v>0</v>
      </c>
      <c r="CA220" s="48">
        <f>IF(CA$8=1,IF(Reales!$C$56="PYG",IF(CA$10&gt;0,N(Reales!CA56)/CA$10,0),N(Reales!CA56)),CA$195*IF(AND(AND(74&gt;Corte,74&lt;=Corte+n_Ventana),ISNUMBER(Detalle_24m!CA$60)),Detalle_24m!CA$60,INDEX(Precio_V,19)*INDEX(IdxPrecio_V,1,MIN(10,CA$173)))*(1+V_dPrecio))</f>
        <v>0</v>
      </c>
      <c r="CB220" s="48">
        <f>IF(CB$8=1,IF(Reales!$C$56="PYG",IF(CB$10&gt;0,N(Reales!CB56)/CB$10,0),N(Reales!CB56)),CB$195*IF(AND(AND(75&gt;Corte,75&lt;=Corte+n_Ventana),ISNUMBER(Detalle_24m!CB$60)),Detalle_24m!CB$60,INDEX(Precio_V,19)*INDEX(IdxPrecio_V,1,MIN(10,CB$173)))*(1+V_dPrecio))</f>
        <v>0</v>
      </c>
      <c r="CC220" s="48">
        <f>IF(CC$8=1,IF(Reales!$C$56="PYG",IF(CC$10&gt;0,N(Reales!CC56)/CC$10,0),N(Reales!CC56)),CC$195*IF(AND(AND(76&gt;Corte,76&lt;=Corte+n_Ventana),ISNUMBER(Detalle_24m!CC$60)),Detalle_24m!CC$60,INDEX(Precio_V,19)*INDEX(IdxPrecio_V,1,MIN(10,CC$173)))*(1+V_dPrecio))</f>
        <v>0</v>
      </c>
      <c r="CD220" s="48">
        <f>IF(CD$8=1,IF(Reales!$C$56="PYG",IF(CD$10&gt;0,N(Reales!CD56)/CD$10,0),N(Reales!CD56)),CD$195*IF(AND(AND(77&gt;Corte,77&lt;=Corte+n_Ventana),ISNUMBER(Detalle_24m!CD$60)),Detalle_24m!CD$60,INDEX(Precio_V,19)*INDEX(IdxPrecio_V,1,MIN(10,CD$173)))*(1+V_dPrecio))</f>
        <v>0</v>
      </c>
      <c r="CE220" s="48">
        <f>IF(CE$8=1,IF(Reales!$C$56="PYG",IF(CE$10&gt;0,N(Reales!CE56)/CE$10,0),N(Reales!CE56)),CE$195*IF(AND(AND(78&gt;Corte,78&lt;=Corte+n_Ventana),ISNUMBER(Detalle_24m!CE$60)),Detalle_24m!CE$60,INDEX(Precio_V,19)*INDEX(IdxPrecio_V,1,MIN(10,CE$173)))*(1+V_dPrecio))</f>
        <v>0</v>
      </c>
      <c r="CF220" s="48">
        <f>IF(CF$8=1,IF(Reales!$C$56="PYG",IF(CF$10&gt;0,N(Reales!CF56)/CF$10,0),N(Reales!CF56)),CF$195*IF(AND(AND(79&gt;Corte,79&lt;=Corte+n_Ventana),ISNUMBER(Detalle_24m!CF$60)),Detalle_24m!CF$60,INDEX(Precio_V,19)*INDEX(IdxPrecio_V,1,MIN(10,CF$173)))*(1+V_dPrecio))</f>
        <v>0</v>
      </c>
      <c r="CG220" s="48">
        <f>IF(CG$8=1,IF(Reales!$C$56="PYG",IF(CG$10&gt;0,N(Reales!CG56)/CG$10,0),N(Reales!CG56)),CG$195*IF(AND(AND(80&gt;Corte,80&lt;=Corte+n_Ventana),ISNUMBER(Detalle_24m!CG$60)),Detalle_24m!CG$60,INDEX(Precio_V,19)*INDEX(IdxPrecio_V,1,MIN(10,CG$173)))*(1+V_dPrecio))</f>
        <v>0</v>
      </c>
      <c r="CH220" s="48">
        <f>IF(CH$8=1,IF(Reales!$C$56="PYG",IF(CH$10&gt;0,N(Reales!CH56)/CH$10,0),N(Reales!CH56)),CH$195*IF(AND(AND(81&gt;Corte,81&lt;=Corte+n_Ventana),ISNUMBER(Detalle_24m!CH$60)),Detalle_24m!CH$60,INDEX(Precio_V,19)*INDEX(IdxPrecio_V,1,MIN(10,CH$173)))*(1+V_dPrecio))</f>
        <v>0</v>
      </c>
      <c r="CI220" s="48">
        <f>IF(CI$8=1,IF(Reales!$C$56="PYG",IF(CI$10&gt;0,N(Reales!CI56)/CI$10,0),N(Reales!CI56)),CI$195*IF(AND(AND(82&gt;Corte,82&lt;=Corte+n_Ventana),ISNUMBER(Detalle_24m!CI$60)),Detalle_24m!CI$60,INDEX(Precio_V,19)*INDEX(IdxPrecio_V,1,MIN(10,CI$173)))*(1+V_dPrecio))</f>
        <v>0</v>
      </c>
      <c r="CJ220" s="48">
        <f>IF(CJ$8=1,IF(Reales!$C$56="PYG",IF(CJ$10&gt;0,N(Reales!CJ56)/CJ$10,0),N(Reales!CJ56)),CJ$195*IF(AND(AND(83&gt;Corte,83&lt;=Corte+n_Ventana),ISNUMBER(Detalle_24m!CJ$60)),Detalle_24m!CJ$60,INDEX(Precio_V,19)*INDEX(IdxPrecio_V,1,MIN(10,CJ$173)))*(1+V_dPrecio))</f>
        <v>0</v>
      </c>
      <c r="CK220" s="48">
        <f>IF(CK$8=1,IF(Reales!$C$56="PYG",IF(CK$10&gt;0,N(Reales!CK56)/CK$10,0),N(Reales!CK56)),CK$195*IF(AND(AND(84&gt;Corte,84&lt;=Corte+n_Ventana),ISNUMBER(Detalle_24m!CK$60)),Detalle_24m!CK$60,INDEX(Precio_V,19)*INDEX(IdxPrecio_V,1,MIN(10,CK$173)))*(1+V_dPrecio))</f>
        <v>0</v>
      </c>
      <c r="CL220" s="48">
        <f>IF(CL$8=1,IF(Reales!$C$56="PYG",IF(CL$10&gt;0,N(Reales!CL56)/CL$10,0),N(Reales!CL56)),CL$195*IF(AND(AND(85&gt;Corte,85&lt;=Corte+n_Ventana),ISNUMBER(Detalle_24m!CL$60)),Detalle_24m!CL$60,INDEX(Precio_V,19)*INDEX(IdxPrecio_V,1,MIN(10,CL$173)))*(1+V_dPrecio))</f>
        <v>0</v>
      </c>
      <c r="CM220" s="48">
        <f>IF(CM$8=1,IF(Reales!$C$56="PYG",IF(CM$10&gt;0,N(Reales!CM56)/CM$10,0),N(Reales!CM56)),CM$195*IF(AND(AND(86&gt;Corte,86&lt;=Corte+n_Ventana),ISNUMBER(Detalle_24m!CM$60)),Detalle_24m!CM$60,INDEX(Precio_V,19)*INDEX(IdxPrecio_V,1,MIN(10,CM$173)))*(1+V_dPrecio))</f>
        <v>0</v>
      </c>
      <c r="CN220" s="48">
        <f>IF(CN$8=1,IF(Reales!$C$56="PYG",IF(CN$10&gt;0,N(Reales!CN56)/CN$10,0),N(Reales!CN56)),CN$195*IF(AND(AND(87&gt;Corte,87&lt;=Corte+n_Ventana),ISNUMBER(Detalle_24m!CN$60)),Detalle_24m!CN$60,INDEX(Precio_V,19)*INDEX(IdxPrecio_V,1,MIN(10,CN$173)))*(1+V_dPrecio))</f>
        <v>0</v>
      </c>
      <c r="CO220" s="48">
        <f>IF(CO$8=1,IF(Reales!$C$56="PYG",IF(CO$10&gt;0,N(Reales!CO56)/CO$10,0),N(Reales!CO56)),CO$195*IF(AND(AND(88&gt;Corte,88&lt;=Corte+n_Ventana),ISNUMBER(Detalle_24m!CO$60)),Detalle_24m!CO$60,INDEX(Precio_V,19)*INDEX(IdxPrecio_V,1,MIN(10,CO$173)))*(1+V_dPrecio))</f>
        <v>0</v>
      </c>
      <c r="CP220" s="48">
        <f>IF(CP$8=1,IF(Reales!$C$56="PYG",IF(CP$10&gt;0,N(Reales!CP56)/CP$10,0),N(Reales!CP56)),CP$195*IF(AND(AND(89&gt;Corte,89&lt;=Corte+n_Ventana),ISNUMBER(Detalle_24m!CP$60)),Detalle_24m!CP$60,INDEX(Precio_V,19)*INDEX(IdxPrecio_V,1,MIN(10,CP$173)))*(1+V_dPrecio))</f>
        <v>0</v>
      </c>
      <c r="CQ220" s="48">
        <f>IF(CQ$8=1,IF(Reales!$C$56="PYG",IF(CQ$10&gt;0,N(Reales!CQ56)/CQ$10,0),N(Reales!CQ56)),CQ$195*IF(AND(AND(90&gt;Corte,90&lt;=Corte+n_Ventana),ISNUMBER(Detalle_24m!CQ$60)),Detalle_24m!CQ$60,INDEX(Precio_V,19)*INDEX(IdxPrecio_V,1,MIN(10,CQ$173)))*(1+V_dPrecio))</f>
        <v>0</v>
      </c>
      <c r="CR220" s="48">
        <f>IF(CR$8=1,IF(Reales!$C$56="PYG",IF(CR$10&gt;0,N(Reales!CR56)/CR$10,0),N(Reales!CR56)),CR$195*IF(AND(AND(91&gt;Corte,91&lt;=Corte+n_Ventana),ISNUMBER(Detalle_24m!CR$60)),Detalle_24m!CR$60,INDEX(Precio_V,19)*INDEX(IdxPrecio_V,1,MIN(10,CR$173)))*(1+V_dPrecio))</f>
        <v>0</v>
      </c>
      <c r="CS220" s="48">
        <f>IF(CS$8=1,IF(Reales!$C$56="PYG",IF(CS$10&gt;0,N(Reales!CS56)/CS$10,0),N(Reales!CS56)),CS$195*IF(AND(AND(92&gt;Corte,92&lt;=Corte+n_Ventana),ISNUMBER(Detalle_24m!CS$60)),Detalle_24m!CS$60,INDEX(Precio_V,19)*INDEX(IdxPrecio_V,1,MIN(10,CS$173)))*(1+V_dPrecio))</f>
        <v>0</v>
      </c>
      <c r="CT220" s="48">
        <f>IF(CT$8=1,IF(Reales!$C$56="PYG",IF(CT$10&gt;0,N(Reales!CT56)/CT$10,0),N(Reales!CT56)),CT$195*IF(AND(AND(93&gt;Corte,93&lt;=Corte+n_Ventana),ISNUMBER(Detalle_24m!CT$60)),Detalle_24m!CT$60,INDEX(Precio_V,19)*INDEX(IdxPrecio_V,1,MIN(10,CT$173)))*(1+V_dPrecio))</f>
        <v>0</v>
      </c>
      <c r="CU220" s="48">
        <f>IF(CU$8=1,IF(Reales!$C$56="PYG",IF(CU$10&gt;0,N(Reales!CU56)/CU$10,0),N(Reales!CU56)),CU$195*IF(AND(AND(94&gt;Corte,94&lt;=Corte+n_Ventana),ISNUMBER(Detalle_24m!CU$60)),Detalle_24m!CU$60,INDEX(Precio_V,19)*INDEX(IdxPrecio_V,1,MIN(10,CU$173)))*(1+V_dPrecio))</f>
        <v>0</v>
      </c>
      <c r="CV220" s="48">
        <f>IF(CV$8=1,IF(Reales!$C$56="PYG",IF(CV$10&gt;0,N(Reales!CV56)/CV$10,0),N(Reales!CV56)),CV$195*IF(AND(AND(95&gt;Corte,95&lt;=Corte+n_Ventana),ISNUMBER(Detalle_24m!CV$60)),Detalle_24m!CV$60,INDEX(Precio_V,19)*INDEX(IdxPrecio_V,1,MIN(10,CV$173)))*(1+V_dPrecio))</f>
        <v>0</v>
      </c>
      <c r="CW220" s="48">
        <f>IF(CW$8=1,IF(Reales!$C$56="PYG",IF(CW$10&gt;0,N(Reales!CW56)/CW$10,0),N(Reales!CW56)),CW$195*IF(AND(AND(96&gt;Corte,96&lt;=Corte+n_Ventana),ISNUMBER(Detalle_24m!CW$60)),Detalle_24m!CW$60,INDEX(Precio_V,19)*INDEX(IdxPrecio_V,1,MIN(10,CW$173)))*(1+V_dPrecio))</f>
        <v>0</v>
      </c>
      <c r="CX220" s="48">
        <f>IF(CX$8=1,IF(Reales!$C$56="PYG",IF(CX$10&gt;0,N(Reales!CX56)/CX$10,0),N(Reales!CX56)),CX$195*IF(AND(AND(97&gt;Corte,97&lt;=Corte+n_Ventana),ISNUMBER(Detalle_24m!CX$60)),Detalle_24m!CX$60,INDEX(Precio_V,19)*INDEX(IdxPrecio_V,1,MIN(10,CX$173)))*(1+V_dPrecio))</f>
        <v>0</v>
      </c>
      <c r="CY220" s="48">
        <f>IF(CY$8=1,IF(Reales!$C$56="PYG",IF(CY$10&gt;0,N(Reales!CY56)/CY$10,0),N(Reales!CY56)),CY$195*IF(AND(AND(98&gt;Corte,98&lt;=Corte+n_Ventana),ISNUMBER(Detalle_24m!CY$60)),Detalle_24m!CY$60,INDEX(Precio_V,19)*INDEX(IdxPrecio_V,1,MIN(10,CY$173)))*(1+V_dPrecio))</f>
        <v>0</v>
      </c>
      <c r="CZ220" s="48">
        <f>IF(CZ$8=1,IF(Reales!$C$56="PYG",IF(CZ$10&gt;0,N(Reales!CZ56)/CZ$10,0),N(Reales!CZ56)),CZ$195*IF(AND(AND(99&gt;Corte,99&lt;=Corte+n_Ventana),ISNUMBER(Detalle_24m!CZ$60)),Detalle_24m!CZ$60,INDEX(Precio_V,19)*INDEX(IdxPrecio_V,1,MIN(10,CZ$173)))*(1+V_dPrecio))</f>
        <v>0</v>
      </c>
      <c r="DA220" s="48">
        <f>IF(DA$8=1,IF(Reales!$C$56="PYG",IF(DA$10&gt;0,N(Reales!DA56)/DA$10,0),N(Reales!DA56)),DA$195*IF(AND(AND(100&gt;Corte,100&lt;=Corte+n_Ventana),ISNUMBER(Detalle_24m!DA$60)),Detalle_24m!DA$60,INDEX(Precio_V,19)*INDEX(IdxPrecio_V,1,MIN(10,DA$173)))*(1+V_dPrecio))</f>
        <v>0</v>
      </c>
      <c r="DB220" s="48">
        <f>IF(DB$8=1,IF(Reales!$C$56="PYG",IF(DB$10&gt;0,N(Reales!DB56)/DB$10,0),N(Reales!DB56)),DB$195*IF(AND(AND(101&gt;Corte,101&lt;=Corte+n_Ventana),ISNUMBER(Detalle_24m!DB$60)),Detalle_24m!DB$60,INDEX(Precio_V,19)*INDEX(IdxPrecio_V,1,MIN(10,DB$173)))*(1+V_dPrecio))</f>
        <v>0</v>
      </c>
      <c r="DC220" s="48">
        <f>IF(DC$8=1,IF(Reales!$C$56="PYG",IF(DC$10&gt;0,N(Reales!DC56)/DC$10,0),N(Reales!DC56)),DC$195*IF(AND(AND(102&gt;Corte,102&lt;=Corte+n_Ventana),ISNUMBER(Detalle_24m!DC$60)),Detalle_24m!DC$60,INDEX(Precio_V,19)*INDEX(IdxPrecio_V,1,MIN(10,DC$173)))*(1+V_dPrecio))</f>
        <v>0</v>
      </c>
      <c r="DD220" s="48">
        <f>IF(DD$8=1,IF(Reales!$C$56="PYG",IF(DD$10&gt;0,N(Reales!DD56)/DD$10,0),N(Reales!DD56)),DD$195*IF(AND(AND(103&gt;Corte,103&lt;=Corte+n_Ventana),ISNUMBER(Detalle_24m!DD$60)),Detalle_24m!DD$60,INDEX(Precio_V,19)*INDEX(IdxPrecio_V,1,MIN(10,DD$173)))*(1+V_dPrecio))</f>
        <v>0</v>
      </c>
      <c r="DE220" s="48">
        <f>IF(DE$8=1,IF(Reales!$C$56="PYG",IF(DE$10&gt;0,N(Reales!DE56)/DE$10,0),N(Reales!DE56)),DE$195*IF(AND(AND(104&gt;Corte,104&lt;=Corte+n_Ventana),ISNUMBER(Detalle_24m!DE$60)),Detalle_24m!DE$60,INDEX(Precio_V,19)*INDEX(IdxPrecio_V,1,MIN(10,DE$173)))*(1+V_dPrecio))</f>
        <v>0</v>
      </c>
      <c r="DF220" s="48">
        <f>IF(DF$8=1,IF(Reales!$C$56="PYG",IF(DF$10&gt;0,N(Reales!DF56)/DF$10,0),N(Reales!DF56)),DF$195*IF(AND(AND(105&gt;Corte,105&lt;=Corte+n_Ventana),ISNUMBER(Detalle_24m!DF$60)),Detalle_24m!DF$60,INDEX(Precio_V,19)*INDEX(IdxPrecio_V,1,MIN(10,DF$173)))*(1+V_dPrecio))</f>
        <v>0</v>
      </c>
      <c r="DG220" s="48">
        <f>IF(DG$8=1,IF(Reales!$C$56="PYG",IF(DG$10&gt;0,N(Reales!DG56)/DG$10,0),N(Reales!DG56)),DG$195*IF(AND(AND(106&gt;Corte,106&lt;=Corte+n_Ventana),ISNUMBER(Detalle_24m!DG$60)),Detalle_24m!DG$60,INDEX(Precio_V,19)*INDEX(IdxPrecio_V,1,MIN(10,DG$173)))*(1+V_dPrecio))</f>
        <v>0</v>
      </c>
      <c r="DH220" s="48">
        <f>IF(DH$8=1,IF(Reales!$C$56="PYG",IF(DH$10&gt;0,N(Reales!DH56)/DH$10,0),N(Reales!DH56)),DH$195*IF(AND(AND(107&gt;Corte,107&lt;=Corte+n_Ventana),ISNUMBER(Detalle_24m!DH$60)),Detalle_24m!DH$60,INDEX(Precio_V,19)*INDEX(IdxPrecio_V,1,MIN(10,DH$173)))*(1+V_dPrecio))</f>
        <v>0</v>
      </c>
      <c r="DI220" s="48">
        <f>IF(DI$8=1,IF(Reales!$C$56="PYG",IF(DI$10&gt;0,N(Reales!DI56)/DI$10,0),N(Reales!DI56)),DI$195*IF(AND(AND(108&gt;Corte,108&lt;=Corte+n_Ventana),ISNUMBER(Detalle_24m!DI$60)),Detalle_24m!DI$60,INDEX(Precio_V,19)*INDEX(IdxPrecio_V,1,MIN(10,DI$173)))*(1+V_dPrecio))</f>
        <v>0</v>
      </c>
      <c r="DJ220" s="48">
        <f>IF(DJ$8=1,IF(Reales!$C$56="PYG",IF(DJ$10&gt;0,N(Reales!DJ56)/DJ$10,0),N(Reales!DJ56)),DJ$195*IF(AND(AND(109&gt;Corte,109&lt;=Corte+n_Ventana),ISNUMBER(Detalle_24m!DJ$60)),Detalle_24m!DJ$60,INDEX(Precio_V,19)*INDEX(IdxPrecio_V,1,MIN(10,DJ$173)))*(1+V_dPrecio))</f>
        <v>0</v>
      </c>
      <c r="DK220" s="48">
        <f>IF(DK$8=1,IF(Reales!$C$56="PYG",IF(DK$10&gt;0,N(Reales!DK56)/DK$10,0),N(Reales!DK56)),DK$195*IF(AND(AND(110&gt;Corte,110&lt;=Corte+n_Ventana),ISNUMBER(Detalle_24m!DK$60)),Detalle_24m!DK$60,INDEX(Precio_V,19)*INDEX(IdxPrecio_V,1,MIN(10,DK$173)))*(1+V_dPrecio))</f>
        <v>0</v>
      </c>
      <c r="DL220" s="48">
        <f>IF(DL$8=1,IF(Reales!$C$56="PYG",IF(DL$10&gt;0,N(Reales!DL56)/DL$10,0),N(Reales!DL56)),DL$195*IF(AND(AND(111&gt;Corte,111&lt;=Corte+n_Ventana),ISNUMBER(Detalle_24m!DL$60)),Detalle_24m!DL$60,INDEX(Precio_V,19)*INDEX(IdxPrecio_V,1,MIN(10,DL$173)))*(1+V_dPrecio))</f>
        <v>0</v>
      </c>
      <c r="DM220" s="48">
        <f>IF(DM$8=1,IF(Reales!$C$56="PYG",IF(DM$10&gt;0,N(Reales!DM56)/DM$10,0),N(Reales!DM56)),DM$195*IF(AND(AND(112&gt;Corte,112&lt;=Corte+n_Ventana),ISNUMBER(Detalle_24m!DM$60)),Detalle_24m!DM$60,INDEX(Precio_V,19)*INDEX(IdxPrecio_V,1,MIN(10,DM$173)))*(1+V_dPrecio))</f>
        <v>0</v>
      </c>
      <c r="DN220" s="48">
        <f>IF(DN$8=1,IF(Reales!$C$56="PYG",IF(DN$10&gt;0,N(Reales!DN56)/DN$10,0),N(Reales!DN56)),DN$195*IF(AND(AND(113&gt;Corte,113&lt;=Corte+n_Ventana),ISNUMBER(Detalle_24m!DN$60)),Detalle_24m!DN$60,INDEX(Precio_V,19)*INDEX(IdxPrecio_V,1,MIN(10,DN$173)))*(1+V_dPrecio))</f>
        <v>0</v>
      </c>
      <c r="DO220" s="48">
        <f>IF(DO$8=1,IF(Reales!$C$56="PYG",IF(DO$10&gt;0,N(Reales!DO56)/DO$10,0),N(Reales!DO56)),DO$195*IF(AND(AND(114&gt;Corte,114&lt;=Corte+n_Ventana),ISNUMBER(Detalle_24m!DO$60)),Detalle_24m!DO$60,INDEX(Precio_V,19)*INDEX(IdxPrecio_V,1,MIN(10,DO$173)))*(1+V_dPrecio))</f>
        <v>0</v>
      </c>
      <c r="DP220" s="48">
        <f>IF(DP$8=1,IF(Reales!$C$56="PYG",IF(DP$10&gt;0,N(Reales!DP56)/DP$10,0),N(Reales!DP56)),DP$195*IF(AND(AND(115&gt;Corte,115&lt;=Corte+n_Ventana),ISNUMBER(Detalle_24m!DP$60)),Detalle_24m!DP$60,INDEX(Precio_V,19)*INDEX(IdxPrecio_V,1,MIN(10,DP$173)))*(1+V_dPrecio))</f>
        <v>0</v>
      </c>
      <c r="DQ220" s="48">
        <f>IF(DQ$8=1,IF(Reales!$C$56="PYG",IF(DQ$10&gt;0,N(Reales!DQ56)/DQ$10,0),N(Reales!DQ56)),DQ$195*IF(AND(AND(116&gt;Corte,116&lt;=Corte+n_Ventana),ISNUMBER(Detalle_24m!DQ$60)),Detalle_24m!DQ$60,INDEX(Precio_V,19)*INDEX(IdxPrecio_V,1,MIN(10,DQ$173)))*(1+V_dPrecio))</f>
        <v>0</v>
      </c>
      <c r="DR220" s="48">
        <f>IF(DR$8=1,IF(Reales!$C$56="PYG",IF(DR$10&gt;0,N(Reales!DR56)/DR$10,0),N(Reales!DR56)),DR$195*IF(AND(AND(117&gt;Corte,117&lt;=Corte+n_Ventana),ISNUMBER(Detalle_24m!DR$60)),Detalle_24m!DR$60,INDEX(Precio_V,19)*INDEX(IdxPrecio_V,1,MIN(10,DR$173)))*(1+V_dPrecio))</f>
        <v>0</v>
      </c>
      <c r="DS220" s="48">
        <f>IF(DS$8=1,IF(Reales!$C$56="PYG",IF(DS$10&gt;0,N(Reales!DS56)/DS$10,0),N(Reales!DS56)),DS$195*IF(AND(AND(118&gt;Corte,118&lt;=Corte+n_Ventana),ISNUMBER(Detalle_24m!DS$60)),Detalle_24m!DS$60,INDEX(Precio_V,19)*INDEX(IdxPrecio_V,1,MIN(10,DS$173)))*(1+V_dPrecio))</f>
        <v>0</v>
      </c>
      <c r="DT220" s="48">
        <f>IF(DT$8=1,IF(Reales!$C$56="PYG",IF(DT$10&gt;0,N(Reales!DT56)/DT$10,0),N(Reales!DT56)),DT$195*IF(AND(AND(119&gt;Corte,119&lt;=Corte+n_Ventana),ISNUMBER(Detalle_24m!DT$60)),Detalle_24m!DT$60,INDEX(Precio_V,19)*INDEX(IdxPrecio_V,1,MIN(10,DT$173)))*(1+V_dPrecio))</f>
        <v>0</v>
      </c>
      <c r="DU220" s="48">
        <f>IF(DU$8=1,IF(Reales!$C$56="PYG",IF(DU$10&gt;0,N(Reales!DU56)/DU$10,0),N(Reales!DU56)),DU$195*IF(AND(AND(120&gt;Corte,120&lt;=Corte+n_Ventana),ISNUMBER(Detalle_24m!DU$60)),Detalle_24m!DU$60,INDEX(Precio_V,19)*INDEX(IdxPrecio_V,1,MIN(10,DU$173)))*(1+V_dPrecio))</f>
        <v>0</v>
      </c>
      <c r="DV220" s="48">
        <f>IF(DV$8=1,IF(Reales!$C$56="PYG",IF(DV$10&gt;0,N(Reales!DV56)/DV$10,0),N(Reales!DV56)),DV$195*IF(AND(AND(121&gt;Corte,121&lt;=Corte+n_Ventana),ISNUMBER(Detalle_24m!DV$60)),Detalle_24m!DV$60,INDEX(Precio_V,19)*INDEX(IdxPrecio_V,1,MIN(10,DV$173)))*(1+V_dPrecio))</f>
        <v>0</v>
      </c>
      <c r="DW220" s="48">
        <f>IF(DW$8=1,IF(Reales!$C$56="PYG",IF(DW$10&gt;0,N(Reales!DW56)/DW$10,0),N(Reales!DW56)),DW$195*IF(AND(AND(122&gt;Corte,122&lt;=Corte+n_Ventana),ISNUMBER(Detalle_24m!DW$60)),Detalle_24m!DW$60,INDEX(Precio_V,19)*INDEX(IdxPrecio_V,1,MIN(10,DW$173)))*(1+V_dPrecio))</f>
        <v>0</v>
      </c>
      <c r="DX220" s="48">
        <f>IF(DX$8=1,IF(Reales!$C$56="PYG",IF(DX$10&gt;0,N(Reales!DX56)/DX$10,0),N(Reales!DX56)),DX$195*IF(AND(AND(123&gt;Corte,123&lt;=Corte+n_Ventana),ISNUMBER(Detalle_24m!DX$60)),Detalle_24m!DX$60,INDEX(Precio_V,19)*INDEX(IdxPrecio_V,1,MIN(10,DX$173)))*(1+V_dPrecio))</f>
        <v>0</v>
      </c>
      <c r="DY220" s="48">
        <f>IF(DY$8=1,IF(Reales!$C$56="PYG",IF(DY$10&gt;0,N(Reales!DY56)/DY$10,0),N(Reales!DY56)),DY$195*IF(AND(AND(124&gt;Corte,124&lt;=Corte+n_Ventana),ISNUMBER(Detalle_24m!DY$60)),Detalle_24m!DY$60,INDEX(Precio_V,19)*INDEX(IdxPrecio_V,1,MIN(10,DY$173)))*(1+V_dPrecio))</f>
        <v>0</v>
      </c>
      <c r="DZ220" s="48">
        <f>IF(DZ$8=1,IF(Reales!$C$56="PYG",IF(DZ$10&gt;0,N(Reales!DZ56)/DZ$10,0),N(Reales!DZ56)),DZ$195*IF(AND(AND(125&gt;Corte,125&lt;=Corte+n_Ventana),ISNUMBER(Detalle_24m!DZ$60)),Detalle_24m!DZ$60,INDEX(Precio_V,19)*INDEX(IdxPrecio_V,1,MIN(10,DZ$173)))*(1+V_dPrecio))</f>
        <v>0</v>
      </c>
      <c r="EA220" s="48">
        <f>IF(EA$8=1,IF(Reales!$C$56="PYG",IF(EA$10&gt;0,N(Reales!EA56)/EA$10,0),N(Reales!EA56)),EA$195*IF(AND(AND(126&gt;Corte,126&lt;=Corte+n_Ventana),ISNUMBER(Detalle_24m!EA$60)),Detalle_24m!EA$60,INDEX(Precio_V,19)*INDEX(IdxPrecio_V,1,MIN(10,EA$173)))*(1+V_dPrecio))</f>
        <v>0</v>
      </c>
      <c r="EB220" s="48">
        <f>IF(EB$8=1,IF(Reales!$C$56="PYG",IF(EB$10&gt;0,N(Reales!EB56)/EB$10,0),N(Reales!EB56)),EB$195*IF(AND(AND(127&gt;Corte,127&lt;=Corte+n_Ventana),ISNUMBER(Detalle_24m!EB$60)),Detalle_24m!EB$60,INDEX(Precio_V,19)*INDEX(IdxPrecio_V,1,MIN(10,EB$173)))*(1+V_dPrecio))</f>
        <v>0</v>
      </c>
      <c r="EC220" s="48">
        <f>IF(EC$8=1,IF(Reales!$C$56="PYG",IF(EC$10&gt;0,N(Reales!EC56)/EC$10,0),N(Reales!EC56)),EC$195*IF(AND(AND(128&gt;Corte,128&lt;=Corte+n_Ventana),ISNUMBER(Detalle_24m!EC$60)),Detalle_24m!EC$60,INDEX(Precio_V,19)*INDEX(IdxPrecio_V,1,MIN(10,EC$173)))*(1+V_dPrecio))</f>
        <v>0</v>
      </c>
      <c r="ED220" s="48">
        <f>IF(ED$8=1,IF(Reales!$C$56="PYG",IF(ED$10&gt;0,N(Reales!ED56)/ED$10,0),N(Reales!ED56)),ED$195*IF(AND(AND(129&gt;Corte,129&lt;=Corte+n_Ventana),ISNUMBER(Detalle_24m!ED$60)),Detalle_24m!ED$60,INDEX(Precio_V,19)*INDEX(IdxPrecio_V,1,MIN(10,ED$173)))*(1+V_dPrecio))</f>
        <v>0</v>
      </c>
      <c r="EE220" s="48">
        <f>IF(EE$8=1,IF(Reales!$C$56="PYG",IF(EE$10&gt;0,N(Reales!EE56)/EE$10,0),N(Reales!EE56)),EE$195*IF(AND(AND(130&gt;Corte,130&lt;=Corte+n_Ventana),ISNUMBER(Detalle_24m!EE$60)),Detalle_24m!EE$60,INDEX(Precio_V,19)*INDEX(IdxPrecio_V,1,MIN(10,EE$173)))*(1+V_dPrecio))</f>
        <v>0</v>
      </c>
      <c r="EF220" s="48">
        <f>IF(EF$8=1,IF(Reales!$C$56="PYG",IF(EF$10&gt;0,N(Reales!EF56)/EF$10,0),N(Reales!EF56)),EF$195*IF(AND(AND(131&gt;Corte,131&lt;=Corte+n_Ventana),ISNUMBER(Detalle_24m!EF$60)),Detalle_24m!EF$60,INDEX(Precio_V,19)*INDEX(IdxPrecio_V,1,MIN(10,EF$173)))*(1+V_dPrecio))</f>
        <v>0</v>
      </c>
      <c r="EG220" s="48">
        <f>IF(EG$8=1,IF(Reales!$C$56="PYG",IF(EG$10&gt;0,N(Reales!EG56)/EG$10,0),N(Reales!EG56)),EG$195*IF(AND(AND(132&gt;Corte,132&lt;=Corte+n_Ventana),ISNUMBER(Detalle_24m!EG$60)),Detalle_24m!EG$60,INDEX(Precio_V,19)*INDEX(IdxPrecio_V,1,MIN(10,EG$173)))*(1+V_dPrecio))</f>
        <v>0</v>
      </c>
      <c r="EH220" s="48">
        <f>IF(EH$8=1,IF(Reales!$C$56="PYG",IF(EH$10&gt;0,N(Reales!EH56)/EH$10,0),N(Reales!EH56)),EH$195*IF(AND(AND(133&gt;Corte,133&lt;=Corte+n_Ventana),ISNUMBER(Detalle_24m!EH$60)),Detalle_24m!EH$60,INDEX(Precio_V,19)*INDEX(IdxPrecio_V,1,MIN(10,EH$173)))*(1+V_dPrecio))</f>
        <v>0</v>
      </c>
      <c r="EI220" s="48">
        <f>IF(EI$8=1,IF(Reales!$C$56="PYG",IF(EI$10&gt;0,N(Reales!EI56)/EI$10,0),N(Reales!EI56)),EI$195*IF(AND(AND(134&gt;Corte,134&lt;=Corte+n_Ventana),ISNUMBER(Detalle_24m!EI$60)),Detalle_24m!EI$60,INDEX(Precio_V,19)*INDEX(IdxPrecio_V,1,MIN(10,EI$173)))*(1+V_dPrecio))</f>
        <v>0</v>
      </c>
      <c r="EJ220" s="48">
        <f>IF(EJ$8=1,IF(Reales!$C$56="PYG",IF(EJ$10&gt;0,N(Reales!EJ56)/EJ$10,0),N(Reales!EJ56)),EJ$195*IF(AND(AND(135&gt;Corte,135&lt;=Corte+n_Ventana),ISNUMBER(Detalle_24m!EJ$60)),Detalle_24m!EJ$60,INDEX(Precio_V,19)*INDEX(IdxPrecio_V,1,MIN(10,EJ$173)))*(1+V_dPrecio))</f>
        <v>0</v>
      </c>
      <c r="EK220" s="48">
        <f>IF(EK$8=1,IF(Reales!$C$56="PYG",IF(EK$10&gt;0,N(Reales!EK56)/EK$10,0),N(Reales!EK56)),EK$195*IF(AND(AND(136&gt;Corte,136&lt;=Corte+n_Ventana),ISNUMBER(Detalle_24m!EK$60)),Detalle_24m!EK$60,INDEX(Precio_V,19)*INDEX(IdxPrecio_V,1,MIN(10,EK$173)))*(1+V_dPrecio))</f>
        <v>0</v>
      </c>
      <c r="EL220" s="48">
        <f>IF(EL$8=1,IF(Reales!$C$56="PYG",IF(EL$10&gt;0,N(Reales!EL56)/EL$10,0),N(Reales!EL56)),EL$195*IF(AND(AND(137&gt;Corte,137&lt;=Corte+n_Ventana),ISNUMBER(Detalle_24m!EL$60)),Detalle_24m!EL$60,INDEX(Precio_V,19)*INDEX(IdxPrecio_V,1,MIN(10,EL$173)))*(1+V_dPrecio))</f>
        <v>0</v>
      </c>
      <c r="EM220" s="48">
        <f>IF(EM$8=1,IF(Reales!$C$56="PYG",IF(EM$10&gt;0,N(Reales!EM56)/EM$10,0),N(Reales!EM56)),EM$195*IF(AND(AND(138&gt;Corte,138&lt;=Corte+n_Ventana),ISNUMBER(Detalle_24m!EM$60)),Detalle_24m!EM$60,INDEX(Precio_V,19)*INDEX(IdxPrecio_V,1,MIN(10,EM$173)))*(1+V_dPrecio))</f>
        <v>0</v>
      </c>
      <c r="EN220" s="48">
        <f>IF(EN$8=1,IF(Reales!$C$56="PYG",IF(EN$10&gt;0,N(Reales!EN56)/EN$10,0),N(Reales!EN56)),EN$195*IF(AND(AND(139&gt;Corte,139&lt;=Corte+n_Ventana),ISNUMBER(Detalle_24m!EN$60)),Detalle_24m!EN$60,INDEX(Precio_V,19)*INDEX(IdxPrecio_V,1,MIN(10,EN$173)))*(1+V_dPrecio))</f>
        <v>0</v>
      </c>
      <c r="EO220" s="48">
        <f>IF(EO$8=1,IF(Reales!$C$56="PYG",IF(EO$10&gt;0,N(Reales!EO56)/EO$10,0),N(Reales!EO56)),EO$195*IF(AND(AND(140&gt;Corte,140&lt;=Corte+n_Ventana),ISNUMBER(Detalle_24m!EO$60)),Detalle_24m!EO$60,INDEX(Precio_V,19)*INDEX(IdxPrecio_V,1,MIN(10,EO$173)))*(1+V_dPrecio))</f>
        <v>0</v>
      </c>
      <c r="EP220" s="48">
        <f>IF(EP$8=1,IF(Reales!$C$56="PYG",IF(EP$10&gt;0,N(Reales!EP56)/EP$10,0),N(Reales!EP56)),EP$195*IF(AND(AND(141&gt;Corte,141&lt;=Corte+n_Ventana),ISNUMBER(Detalle_24m!EP$60)),Detalle_24m!EP$60,INDEX(Precio_V,19)*INDEX(IdxPrecio_V,1,MIN(10,EP$173)))*(1+V_dPrecio))</f>
        <v>0</v>
      </c>
      <c r="EQ220" s="48">
        <f>IF(EQ$8=1,IF(Reales!$C$56="PYG",IF(EQ$10&gt;0,N(Reales!EQ56)/EQ$10,0),N(Reales!EQ56)),EQ$195*IF(AND(AND(142&gt;Corte,142&lt;=Corte+n_Ventana),ISNUMBER(Detalle_24m!EQ$60)),Detalle_24m!EQ$60,INDEX(Precio_V,19)*INDEX(IdxPrecio_V,1,MIN(10,EQ$173)))*(1+V_dPrecio))</f>
        <v>0</v>
      </c>
      <c r="ER220" s="48">
        <f>IF(ER$8=1,IF(Reales!$C$56="PYG",IF(ER$10&gt;0,N(Reales!ER56)/ER$10,0),N(Reales!ER56)),ER$195*IF(AND(AND(143&gt;Corte,143&lt;=Corte+n_Ventana),ISNUMBER(Detalle_24m!ER$60)),Detalle_24m!ER$60,INDEX(Precio_V,19)*INDEX(IdxPrecio_V,1,MIN(10,ER$173)))*(1+V_dPrecio))</f>
        <v>0</v>
      </c>
      <c r="ES220" s="48">
        <f>IF(ES$8=1,IF(Reales!$C$56="PYG",IF(ES$10&gt;0,N(Reales!ES56)/ES$10,0),N(Reales!ES56)),ES$195*IF(AND(AND(144&gt;Corte,144&lt;=Corte+n_Ventana),ISNUMBER(Detalle_24m!ES$60)),Detalle_24m!ES$60,INDEX(Precio_V,19)*INDEX(IdxPrecio_V,1,MIN(10,ES$173)))*(1+V_dPrecio))</f>
        <v>0</v>
      </c>
    </row>
    <row r="221" spans="1:149" x14ac:dyDescent="0.3">
      <c r="A221" s="14" t="s">
        <v>1276</v>
      </c>
      <c r="B221" s="53" t="str">
        <f>IF(INDEX(Prod_Nombre,20)="","Producto 20",INDEX(Prod_Nombre,20))&amp;" — ventas USD"</f>
        <v>Producto 20 — ventas USD</v>
      </c>
      <c r="C221" s="18" t="s">
        <v>439</v>
      </c>
      <c r="E221" s="54">
        <f t="shared" si="605"/>
        <v>0</v>
      </c>
      <c r="F221" s="48">
        <f>IF(F$8=1,IF(Reales!$C$57="PYG",IF(F$10&gt;0,N(Reales!F57)/F$10,0),N(Reales!F57)),F$196*IF(AND(AND(1&gt;Corte,1&lt;=Corte+n_Ventana),ISNUMBER(Detalle_24m!F$61)),Detalle_24m!F$61,INDEX(Precio_V,20)*INDEX(IdxPrecio_V,1,MIN(10,F$173)))*(1+V_dPrecio))</f>
        <v>0</v>
      </c>
      <c r="G221" s="48">
        <f>IF(G$8=1,IF(Reales!$C$57="PYG",IF(G$10&gt;0,N(Reales!G57)/G$10,0),N(Reales!G57)),G$196*IF(AND(AND(2&gt;Corte,2&lt;=Corte+n_Ventana),ISNUMBER(Detalle_24m!G$61)),Detalle_24m!G$61,INDEX(Precio_V,20)*INDEX(IdxPrecio_V,1,MIN(10,G$173)))*(1+V_dPrecio))</f>
        <v>0</v>
      </c>
      <c r="H221" s="48">
        <f>IF(H$8=1,IF(Reales!$C$57="PYG",IF(H$10&gt;0,N(Reales!H57)/H$10,0),N(Reales!H57)),H$196*IF(AND(AND(3&gt;Corte,3&lt;=Corte+n_Ventana),ISNUMBER(Detalle_24m!H$61)),Detalle_24m!H$61,INDEX(Precio_V,20)*INDEX(IdxPrecio_V,1,MIN(10,H$173)))*(1+V_dPrecio))</f>
        <v>0</v>
      </c>
      <c r="I221" s="48">
        <f>IF(I$8=1,IF(Reales!$C$57="PYG",IF(I$10&gt;0,N(Reales!I57)/I$10,0),N(Reales!I57)),I$196*IF(AND(AND(4&gt;Corte,4&lt;=Corte+n_Ventana),ISNUMBER(Detalle_24m!I$61)),Detalle_24m!I$61,INDEX(Precio_V,20)*INDEX(IdxPrecio_V,1,MIN(10,I$173)))*(1+V_dPrecio))</f>
        <v>0</v>
      </c>
      <c r="J221" s="48">
        <f>IF(J$8=1,IF(Reales!$C$57="PYG",IF(J$10&gt;0,N(Reales!J57)/J$10,0),N(Reales!J57)),J$196*IF(AND(AND(5&gt;Corte,5&lt;=Corte+n_Ventana),ISNUMBER(Detalle_24m!J$61)),Detalle_24m!J$61,INDEX(Precio_V,20)*INDEX(IdxPrecio_V,1,MIN(10,J$173)))*(1+V_dPrecio))</f>
        <v>0</v>
      </c>
      <c r="K221" s="48">
        <f>IF(K$8=1,IF(Reales!$C$57="PYG",IF(K$10&gt;0,N(Reales!K57)/K$10,0),N(Reales!K57)),K$196*IF(AND(AND(6&gt;Corte,6&lt;=Corte+n_Ventana),ISNUMBER(Detalle_24m!K$61)),Detalle_24m!K$61,INDEX(Precio_V,20)*INDEX(IdxPrecio_V,1,MIN(10,K$173)))*(1+V_dPrecio))</f>
        <v>0</v>
      </c>
      <c r="L221" s="48">
        <f>IF(L$8=1,IF(Reales!$C$57="PYG",IF(L$10&gt;0,N(Reales!L57)/L$10,0),N(Reales!L57)),L$196*IF(AND(AND(7&gt;Corte,7&lt;=Corte+n_Ventana),ISNUMBER(Detalle_24m!L$61)),Detalle_24m!L$61,INDEX(Precio_V,20)*INDEX(IdxPrecio_V,1,MIN(10,L$173)))*(1+V_dPrecio))</f>
        <v>0</v>
      </c>
      <c r="M221" s="48">
        <f>IF(M$8=1,IF(Reales!$C$57="PYG",IF(M$10&gt;0,N(Reales!M57)/M$10,0),N(Reales!M57)),M$196*IF(AND(AND(8&gt;Corte,8&lt;=Corte+n_Ventana),ISNUMBER(Detalle_24m!M$61)),Detalle_24m!M$61,INDEX(Precio_V,20)*INDEX(IdxPrecio_V,1,MIN(10,M$173)))*(1+V_dPrecio))</f>
        <v>0</v>
      </c>
      <c r="N221" s="48">
        <f>IF(N$8=1,IF(Reales!$C$57="PYG",IF(N$10&gt;0,N(Reales!N57)/N$10,0),N(Reales!N57)),N$196*IF(AND(AND(9&gt;Corte,9&lt;=Corte+n_Ventana),ISNUMBER(Detalle_24m!N$61)),Detalle_24m!N$61,INDEX(Precio_V,20)*INDEX(IdxPrecio_V,1,MIN(10,N$173)))*(1+V_dPrecio))</f>
        <v>0</v>
      </c>
      <c r="O221" s="48">
        <f>IF(O$8=1,IF(Reales!$C$57="PYG",IF(O$10&gt;0,N(Reales!O57)/O$10,0),N(Reales!O57)),O$196*IF(AND(AND(10&gt;Corte,10&lt;=Corte+n_Ventana),ISNUMBER(Detalle_24m!O$61)),Detalle_24m!O$61,INDEX(Precio_V,20)*INDEX(IdxPrecio_V,1,MIN(10,O$173)))*(1+V_dPrecio))</f>
        <v>0</v>
      </c>
      <c r="P221" s="48">
        <f>IF(P$8=1,IF(Reales!$C$57="PYG",IF(P$10&gt;0,N(Reales!P57)/P$10,0),N(Reales!P57)),P$196*IF(AND(AND(11&gt;Corte,11&lt;=Corte+n_Ventana),ISNUMBER(Detalle_24m!P$61)),Detalle_24m!P$61,INDEX(Precio_V,20)*INDEX(IdxPrecio_V,1,MIN(10,P$173)))*(1+V_dPrecio))</f>
        <v>0</v>
      </c>
      <c r="Q221" s="48">
        <f>IF(Q$8=1,IF(Reales!$C$57="PYG",IF(Q$10&gt;0,N(Reales!Q57)/Q$10,0),N(Reales!Q57)),Q$196*IF(AND(AND(12&gt;Corte,12&lt;=Corte+n_Ventana),ISNUMBER(Detalle_24m!Q$61)),Detalle_24m!Q$61,INDEX(Precio_V,20)*INDEX(IdxPrecio_V,1,MIN(10,Q$173)))*(1+V_dPrecio))</f>
        <v>0</v>
      </c>
      <c r="R221" s="48">
        <f>IF(R$8=1,IF(Reales!$C$57="PYG",IF(R$10&gt;0,N(Reales!R57)/R$10,0),N(Reales!R57)),R$196*IF(AND(AND(13&gt;Corte,13&lt;=Corte+n_Ventana),ISNUMBER(Detalle_24m!R$61)),Detalle_24m!R$61,INDEX(Precio_V,20)*INDEX(IdxPrecio_V,1,MIN(10,R$173)))*(1+V_dPrecio))</f>
        <v>0</v>
      </c>
      <c r="S221" s="48">
        <f>IF(S$8=1,IF(Reales!$C$57="PYG",IF(S$10&gt;0,N(Reales!S57)/S$10,0),N(Reales!S57)),S$196*IF(AND(AND(14&gt;Corte,14&lt;=Corte+n_Ventana),ISNUMBER(Detalle_24m!S$61)),Detalle_24m!S$61,INDEX(Precio_V,20)*INDEX(IdxPrecio_V,1,MIN(10,S$173)))*(1+V_dPrecio))</f>
        <v>0</v>
      </c>
      <c r="T221" s="48">
        <f>IF(T$8=1,IF(Reales!$C$57="PYG",IF(T$10&gt;0,N(Reales!T57)/T$10,0),N(Reales!T57)),T$196*IF(AND(AND(15&gt;Corte,15&lt;=Corte+n_Ventana),ISNUMBER(Detalle_24m!T$61)),Detalle_24m!T$61,INDEX(Precio_V,20)*INDEX(IdxPrecio_V,1,MIN(10,T$173)))*(1+V_dPrecio))</f>
        <v>0</v>
      </c>
      <c r="U221" s="48">
        <f>IF(U$8=1,IF(Reales!$C$57="PYG",IF(U$10&gt;0,N(Reales!U57)/U$10,0),N(Reales!U57)),U$196*IF(AND(AND(16&gt;Corte,16&lt;=Corte+n_Ventana),ISNUMBER(Detalle_24m!U$61)),Detalle_24m!U$61,INDEX(Precio_V,20)*INDEX(IdxPrecio_V,1,MIN(10,U$173)))*(1+V_dPrecio))</f>
        <v>0</v>
      </c>
      <c r="V221" s="48">
        <f>IF(V$8=1,IF(Reales!$C$57="PYG",IF(V$10&gt;0,N(Reales!V57)/V$10,0),N(Reales!V57)),V$196*IF(AND(AND(17&gt;Corte,17&lt;=Corte+n_Ventana),ISNUMBER(Detalle_24m!V$61)),Detalle_24m!V$61,INDEX(Precio_V,20)*INDEX(IdxPrecio_V,1,MIN(10,V$173)))*(1+V_dPrecio))</f>
        <v>0</v>
      </c>
      <c r="W221" s="48">
        <f>IF(W$8=1,IF(Reales!$C$57="PYG",IF(W$10&gt;0,N(Reales!W57)/W$10,0),N(Reales!W57)),W$196*IF(AND(AND(18&gt;Corte,18&lt;=Corte+n_Ventana),ISNUMBER(Detalle_24m!W$61)),Detalle_24m!W$61,INDEX(Precio_V,20)*INDEX(IdxPrecio_V,1,MIN(10,W$173)))*(1+V_dPrecio))</f>
        <v>0</v>
      </c>
      <c r="X221" s="48">
        <f>IF(X$8=1,IF(Reales!$C$57="PYG",IF(X$10&gt;0,N(Reales!X57)/X$10,0),N(Reales!X57)),X$196*IF(AND(AND(19&gt;Corte,19&lt;=Corte+n_Ventana),ISNUMBER(Detalle_24m!X$61)),Detalle_24m!X$61,INDEX(Precio_V,20)*INDEX(IdxPrecio_V,1,MIN(10,X$173)))*(1+V_dPrecio))</f>
        <v>0</v>
      </c>
      <c r="Y221" s="48">
        <f>IF(Y$8=1,IF(Reales!$C$57="PYG",IF(Y$10&gt;0,N(Reales!Y57)/Y$10,0),N(Reales!Y57)),Y$196*IF(AND(AND(20&gt;Corte,20&lt;=Corte+n_Ventana),ISNUMBER(Detalle_24m!Y$61)),Detalle_24m!Y$61,INDEX(Precio_V,20)*INDEX(IdxPrecio_V,1,MIN(10,Y$173)))*(1+V_dPrecio))</f>
        <v>0</v>
      </c>
      <c r="Z221" s="48">
        <f>IF(Z$8=1,IF(Reales!$C$57="PYG",IF(Z$10&gt;0,N(Reales!Z57)/Z$10,0),N(Reales!Z57)),Z$196*IF(AND(AND(21&gt;Corte,21&lt;=Corte+n_Ventana),ISNUMBER(Detalle_24m!Z$61)),Detalle_24m!Z$61,INDEX(Precio_V,20)*INDEX(IdxPrecio_V,1,MIN(10,Z$173)))*(1+V_dPrecio))</f>
        <v>0</v>
      </c>
      <c r="AA221" s="48">
        <f>IF(AA$8=1,IF(Reales!$C$57="PYG",IF(AA$10&gt;0,N(Reales!AA57)/AA$10,0),N(Reales!AA57)),AA$196*IF(AND(AND(22&gt;Corte,22&lt;=Corte+n_Ventana),ISNUMBER(Detalle_24m!AA$61)),Detalle_24m!AA$61,INDEX(Precio_V,20)*INDEX(IdxPrecio_V,1,MIN(10,AA$173)))*(1+V_dPrecio))</f>
        <v>0</v>
      </c>
      <c r="AB221" s="48">
        <f>IF(AB$8=1,IF(Reales!$C$57="PYG",IF(AB$10&gt;0,N(Reales!AB57)/AB$10,0),N(Reales!AB57)),AB$196*IF(AND(AND(23&gt;Corte,23&lt;=Corte+n_Ventana),ISNUMBER(Detalle_24m!AB$61)),Detalle_24m!AB$61,INDEX(Precio_V,20)*INDEX(IdxPrecio_V,1,MIN(10,AB$173)))*(1+V_dPrecio))</f>
        <v>0</v>
      </c>
      <c r="AC221" s="48">
        <f>IF(AC$8=1,IF(Reales!$C$57="PYG",IF(AC$10&gt;0,N(Reales!AC57)/AC$10,0),N(Reales!AC57)),AC$196*IF(AND(AND(24&gt;Corte,24&lt;=Corte+n_Ventana),ISNUMBER(Detalle_24m!AC$61)),Detalle_24m!AC$61,INDEX(Precio_V,20)*INDEX(IdxPrecio_V,1,MIN(10,AC$173)))*(1+V_dPrecio))</f>
        <v>0</v>
      </c>
      <c r="AD221" s="48">
        <f>IF(AD$8=1,IF(Reales!$C$57="PYG",IF(AD$10&gt;0,N(Reales!AD57)/AD$10,0),N(Reales!AD57)),AD$196*IF(AND(AND(25&gt;Corte,25&lt;=Corte+n_Ventana),ISNUMBER(Detalle_24m!AD$61)),Detalle_24m!AD$61,INDEX(Precio_V,20)*INDEX(IdxPrecio_V,1,MIN(10,AD$173)))*(1+V_dPrecio))</f>
        <v>0</v>
      </c>
      <c r="AE221" s="48">
        <f>IF(AE$8=1,IF(Reales!$C$57="PYG",IF(AE$10&gt;0,N(Reales!AE57)/AE$10,0),N(Reales!AE57)),AE$196*IF(AND(AND(26&gt;Corte,26&lt;=Corte+n_Ventana),ISNUMBER(Detalle_24m!AE$61)),Detalle_24m!AE$61,INDEX(Precio_V,20)*INDEX(IdxPrecio_V,1,MIN(10,AE$173)))*(1+V_dPrecio))</f>
        <v>0</v>
      </c>
      <c r="AF221" s="48">
        <f>IF(AF$8=1,IF(Reales!$C$57="PYG",IF(AF$10&gt;0,N(Reales!AF57)/AF$10,0),N(Reales!AF57)),AF$196*IF(AND(AND(27&gt;Corte,27&lt;=Corte+n_Ventana),ISNUMBER(Detalle_24m!AF$61)),Detalle_24m!AF$61,INDEX(Precio_V,20)*INDEX(IdxPrecio_V,1,MIN(10,AF$173)))*(1+V_dPrecio))</f>
        <v>0</v>
      </c>
      <c r="AG221" s="48">
        <f>IF(AG$8=1,IF(Reales!$C$57="PYG",IF(AG$10&gt;0,N(Reales!AG57)/AG$10,0),N(Reales!AG57)),AG$196*IF(AND(AND(28&gt;Corte,28&lt;=Corte+n_Ventana),ISNUMBER(Detalle_24m!AG$61)),Detalle_24m!AG$61,INDEX(Precio_V,20)*INDEX(IdxPrecio_V,1,MIN(10,AG$173)))*(1+V_dPrecio))</f>
        <v>0</v>
      </c>
      <c r="AH221" s="48">
        <f>IF(AH$8=1,IF(Reales!$C$57="PYG",IF(AH$10&gt;0,N(Reales!AH57)/AH$10,0),N(Reales!AH57)),AH$196*IF(AND(AND(29&gt;Corte,29&lt;=Corte+n_Ventana),ISNUMBER(Detalle_24m!AH$61)),Detalle_24m!AH$61,INDEX(Precio_V,20)*INDEX(IdxPrecio_V,1,MIN(10,AH$173)))*(1+V_dPrecio))</f>
        <v>0</v>
      </c>
      <c r="AI221" s="48">
        <f>IF(AI$8=1,IF(Reales!$C$57="PYG",IF(AI$10&gt;0,N(Reales!AI57)/AI$10,0),N(Reales!AI57)),AI$196*IF(AND(AND(30&gt;Corte,30&lt;=Corte+n_Ventana),ISNUMBER(Detalle_24m!AI$61)),Detalle_24m!AI$61,INDEX(Precio_V,20)*INDEX(IdxPrecio_V,1,MIN(10,AI$173)))*(1+V_dPrecio))</f>
        <v>0</v>
      </c>
      <c r="AJ221" s="48">
        <f>IF(AJ$8=1,IF(Reales!$C$57="PYG",IF(AJ$10&gt;0,N(Reales!AJ57)/AJ$10,0),N(Reales!AJ57)),AJ$196*IF(AND(AND(31&gt;Corte,31&lt;=Corte+n_Ventana),ISNUMBER(Detalle_24m!AJ$61)),Detalle_24m!AJ$61,INDEX(Precio_V,20)*INDEX(IdxPrecio_V,1,MIN(10,AJ$173)))*(1+V_dPrecio))</f>
        <v>0</v>
      </c>
      <c r="AK221" s="48">
        <f>IF(AK$8=1,IF(Reales!$C$57="PYG",IF(AK$10&gt;0,N(Reales!AK57)/AK$10,0),N(Reales!AK57)),AK$196*IF(AND(AND(32&gt;Corte,32&lt;=Corte+n_Ventana),ISNUMBER(Detalle_24m!AK$61)),Detalle_24m!AK$61,INDEX(Precio_V,20)*INDEX(IdxPrecio_V,1,MIN(10,AK$173)))*(1+V_dPrecio))</f>
        <v>0</v>
      </c>
      <c r="AL221" s="48">
        <f>IF(AL$8=1,IF(Reales!$C$57="PYG",IF(AL$10&gt;0,N(Reales!AL57)/AL$10,0),N(Reales!AL57)),AL$196*IF(AND(AND(33&gt;Corte,33&lt;=Corte+n_Ventana),ISNUMBER(Detalle_24m!AL$61)),Detalle_24m!AL$61,INDEX(Precio_V,20)*INDEX(IdxPrecio_V,1,MIN(10,AL$173)))*(1+V_dPrecio))</f>
        <v>0</v>
      </c>
      <c r="AM221" s="48">
        <f>IF(AM$8=1,IF(Reales!$C$57="PYG",IF(AM$10&gt;0,N(Reales!AM57)/AM$10,0),N(Reales!AM57)),AM$196*IF(AND(AND(34&gt;Corte,34&lt;=Corte+n_Ventana),ISNUMBER(Detalle_24m!AM$61)),Detalle_24m!AM$61,INDEX(Precio_V,20)*INDEX(IdxPrecio_V,1,MIN(10,AM$173)))*(1+V_dPrecio))</f>
        <v>0</v>
      </c>
      <c r="AN221" s="48">
        <f>IF(AN$8=1,IF(Reales!$C$57="PYG",IF(AN$10&gt;0,N(Reales!AN57)/AN$10,0),N(Reales!AN57)),AN$196*IF(AND(AND(35&gt;Corte,35&lt;=Corte+n_Ventana),ISNUMBER(Detalle_24m!AN$61)),Detalle_24m!AN$61,INDEX(Precio_V,20)*INDEX(IdxPrecio_V,1,MIN(10,AN$173)))*(1+V_dPrecio))</f>
        <v>0</v>
      </c>
      <c r="AO221" s="48">
        <f>IF(AO$8=1,IF(Reales!$C$57="PYG",IF(AO$10&gt;0,N(Reales!AO57)/AO$10,0),N(Reales!AO57)),AO$196*IF(AND(AND(36&gt;Corte,36&lt;=Corte+n_Ventana),ISNUMBER(Detalle_24m!AO$61)),Detalle_24m!AO$61,INDEX(Precio_V,20)*INDEX(IdxPrecio_V,1,MIN(10,AO$173)))*(1+V_dPrecio))</f>
        <v>0</v>
      </c>
      <c r="AP221" s="48">
        <f>IF(AP$8=1,IF(Reales!$C$57="PYG",IF(AP$10&gt;0,N(Reales!AP57)/AP$10,0),N(Reales!AP57)),AP$196*IF(AND(AND(37&gt;Corte,37&lt;=Corte+n_Ventana),ISNUMBER(Detalle_24m!AP$61)),Detalle_24m!AP$61,INDEX(Precio_V,20)*INDEX(IdxPrecio_V,1,MIN(10,AP$173)))*(1+V_dPrecio))</f>
        <v>0</v>
      </c>
      <c r="AQ221" s="48">
        <f>IF(AQ$8=1,IF(Reales!$C$57="PYG",IF(AQ$10&gt;0,N(Reales!AQ57)/AQ$10,0),N(Reales!AQ57)),AQ$196*IF(AND(AND(38&gt;Corte,38&lt;=Corte+n_Ventana),ISNUMBER(Detalle_24m!AQ$61)),Detalle_24m!AQ$61,INDEX(Precio_V,20)*INDEX(IdxPrecio_V,1,MIN(10,AQ$173)))*(1+V_dPrecio))</f>
        <v>0</v>
      </c>
      <c r="AR221" s="48">
        <f>IF(AR$8=1,IF(Reales!$C$57="PYG",IF(AR$10&gt;0,N(Reales!AR57)/AR$10,0),N(Reales!AR57)),AR$196*IF(AND(AND(39&gt;Corte,39&lt;=Corte+n_Ventana),ISNUMBER(Detalle_24m!AR$61)),Detalle_24m!AR$61,INDEX(Precio_V,20)*INDEX(IdxPrecio_V,1,MIN(10,AR$173)))*(1+V_dPrecio))</f>
        <v>0</v>
      </c>
      <c r="AS221" s="48">
        <f>IF(AS$8=1,IF(Reales!$C$57="PYG",IF(AS$10&gt;0,N(Reales!AS57)/AS$10,0),N(Reales!AS57)),AS$196*IF(AND(AND(40&gt;Corte,40&lt;=Corte+n_Ventana),ISNUMBER(Detalle_24m!AS$61)),Detalle_24m!AS$61,INDEX(Precio_V,20)*INDEX(IdxPrecio_V,1,MIN(10,AS$173)))*(1+V_dPrecio))</f>
        <v>0</v>
      </c>
      <c r="AT221" s="48">
        <f>IF(AT$8=1,IF(Reales!$C$57="PYG",IF(AT$10&gt;0,N(Reales!AT57)/AT$10,0),N(Reales!AT57)),AT$196*IF(AND(AND(41&gt;Corte,41&lt;=Corte+n_Ventana),ISNUMBER(Detalle_24m!AT$61)),Detalle_24m!AT$61,INDEX(Precio_V,20)*INDEX(IdxPrecio_V,1,MIN(10,AT$173)))*(1+V_dPrecio))</f>
        <v>0</v>
      </c>
      <c r="AU221" s="48">
        <f>IF(AU$8=1,IF(Reales!$C$57="PYG",IF(AU$10&gt;0,N(Reales!AU57)/AU$10,0),N(Reales!AU57)),AU$196*IF(AND(AND(42&gt;Corte,42&lt;=Corte+n_Ventana),ISNUMBER(Detalle_24m!AU$61)),Detalle_24m!AU$61,INDEX(Precio_V,20)*INDEX(IdxPrecio_V,1,MIN(10,AU$173)))*(1+V_dPrecio))</f>
        <v>0</v>
      </c>
      <c r="AV221" s="48">
        <f>IF(AV$8=1,IF(Reales!$C$57="PYG",IF(AV$10&gt;0,N(Reales!AV57)/AV$10,0),N(Reales!AV57)),AV$196*IF(AND(AND(43&gt;Corte,43&lt;=Corte+n_Ventana),ISNUMBER(Detalle_24m!AV$61)),Detalle_24m!AV$61,INDEX(Precio_V,20)*INDEX(IdxPrecio_V,1,MIN(10,AV$173)))*(1+V_dPrecio))</f>
        <v>0</v>
      </c>
      <c r="AW221" s="48">
        <f>IF(AW$8=1,IF(Reales!$C$57="PYG",IF(AW$10&gt;0,N(Reales!AW57)/AW$10,0),N(Reales!AW57)),AW$196*IF(AND(AND(44&gt;Corte,44&lt;=Corte+n_Ventana),ISNUMBER(Detalle_24m!AW$61)),Detalle_24m!AW$61,INDEX(Precio_V,20)*INDEX(IdxPrecio_V,1,MIN(10,AW$173)))*(1+V_dPrecio))</f>
        <v>0</v>
      </c>
      <c r="AX221" s="48">
        <f>IF(AX$8=1,IF(Reales!$C$57="PYG",IF(AX$10&gt;0,N(Reales!AX57)/AX$10,0),N(Reales!AX57)),AX$196*IF(AND(AND(45&gt;Corte,45&lt;=Corte+n_Ventana),ISNUMBER(Detalle_24m!AX$61)),Detalle_24m!AX$61,INDEX(Precio_V,20)*INDEX(IdxPrecio_V,1,MIN(10,AX$173)))*(1+V_dPrecio))</f>
        <v>0</v>
      </c>
      <c r="AY221" s="48">
        <f>IF(AY$8=1,IF(Reales!$C$57="PYG",IF(AY$10&gt;0,N(Reales!AY57)/AY$10,0),N(Reales!AY57)),AY$196*IF(AND(AND(46&gt;Corte,46&lt;=Corte+n_Ventana),ISNUMBER(Detalle_24m!AY$61)),Detalle_24m!AY$61,INDEX(Precio_V,20)*INDEX(IdxPrecio_V,1,MIN(10,AY$173)))*(1+V_dPrecio))</f>
        <v>0</v>
      </c>
      <c r="AZ221" s="48">
        <f>IF(AZ$8=1,IF(Reales!$C$57="PYG",IF(AZ$10&gt;0,N(Reales!AZ57)/AZ$10,0),N(Reales!AZ57)),AZ$196*IF(AND(AND(47&gt;Corte,47&lt;=Corte+n_Ventana),ISNUMBER(Detalle_24m!AZ$61)),Detalle_24m!AZ$61,INDEX(Precio_V,20)*INDEX(IdxPrecio_V,1,MIN(10,AZ$173)))*(1+V_dPrecio))</f>
        <v>0</v>
      </c>
      <c r="BA221" s="48">
        <f>IF(BA$8=1,IF(Reales!$C$57="PYG",IF(BA$10&gt;0,N(Reales!BA57)/BA$10,0),N(Reales!BA57)),BA$196*IF(AND(AND(48&gt;Corte,48&lt;=Corte+n_Ventana),ISNUMBER(Detalle_24m!BA$61)),Detalle_24m!BA$61,INDEX(Precio_V,20)*INDEX(IdxPrecio_V,1,MIN(10,BA$173)))*(1+V_dPrecio))</f>
        <v>0</v>
      </c>
      <c r="BB221" s="48">
        <f>IF(BB$8=1,IF(Reales!$C$57="PYG",IF(BB$10&gt;0,N(Reales!BB57)/BB$10,0),N(Reales!BB57)),BB$196*IF(AND(AND(49&gt;Corte,49&lt;=Corte+n_Ventana),ISNUMBER(Detalle_24m!BB$61)),Detalle_24m!BB$61,INDEX(Precio_V,20)*INDEX(IdxPrecio_V,1,MIN(10,BB$173)))*(1+V_dPrecio))</f>
        <v>0</v>
      </c>
      <c r="BC221" s="48">
        <f>IF(BC$8=1,IF(Reales!$C$57="PYG",IF(BC$10&gt;0,N(Reales!BC57)/BC$10,0),N(Reales!BC57)),BC$196*IF(AND(AND(50&gt;Corte,50&lt;=Corte+n_Ventana),ISNUMBER(Detalle_24m!BC$61)),Detalle_24m!BC$61,INDEX(Precio_V,20)*INDEX(IdxPrecio_V,1,MIN(10,BC$173)))*(1+V_dPrecio))</f>
        <v>0</v>
      </c>
      <c r="BD221" s="48">
        <f>IF(BD$8=1,IF(Reales!$C$57="PYG",IF(BD$10&gt;0,N(Reales!BD57)/BD$10,0),N(Reales!BD57)),BD$196*IF(AND(AND(51&gt;Corte,51&lt;=Corte+n_Ventana),ISNUMBER(Detalle_24m!BD$61)),Detalle_24m!BD$61,INDEX(Precio_V,20)*INDEX(IdxPrecio_V,1,MIN(10,BD$173)))*(1+V_dPrecio))</f>
        <v>0</v>
      </c>
      <c r="BE221" s="48">
        <f>IF(BE$8=1,IF(Reales!$C$57="PYG",IF(BE$10&gt;0,N(Reales!BE57)/BE$10,0),N(Reales!BE57)),BE$196*IF(AND(AND(52&gt;Corte,52&lt;=Corte+n_Ventana),ISNUMBER(Detalle_24m!BE$61)),Detalle_24m!BE$61,INDEX(Precio_V,20)*INDEX(IdxPrecio_V,1,MIN(10,BE$173)))*(1+V_dPrecio))</f>
        <v>0</v>
      </c>
      <c r="BF221" s="48">
        <f>IF(BF$8=1,IF(Reales!$C$57="PYG",IF(BF$10&gt;0,N(Reales!BF57)/BF$10,0),N(Reales!BF57)),BF$196*IF(AND(AND(53&gt;Corte,53&lt;=Corte+n_Ventana),ISNUMBER(Detalle_24m!BF$61)),Detalle_24m!BF$61,INDEX(Precio_V,20)*INDEX(IdxPrecio_V,1,MIN(10,BF$173)))*(1+V_dPrecio))</f>
        <v>0</v>
      </c>
      <c r="BG221" s="48">
        <f>IF(BG$8=1,IF(Reales!$C$57="PYG",IF(BG$10&gt;0,N(Reales!BG57)/BG$10,0),N(Reales!BG57)),BG$196*IF(AND(AND(54&gt;Corte,54&lt;=Corte+n_Ventana),ISNUMBER(Detalle_24m!BG$61)),Detalle_24m!BG$61,INDEX(Precio_V,20)*INDEX(IdxPrecio_V,1,MIN(10,BG$173)))*(1+V_dPrecio))</f>
        <v>0</v>
      </c>
      <c r="BH221" s="48">
        <f>IF(BH$8=1,IF(Reales!$C$57="PYG",IF(BH$10&gt;0,N(Reales!BH57)/BH$10,0),N(Reales!BH57)),BH$196*IF(AND(AND(55&gt;Corte,55&lt;=Corte+n_Ventana),ISNUMBER(Detalle_24m!BH$61)),Detalle_24m!BH$61,INDEX(Precio_V,20)*INDEX(IdxPrecio_V,1,MIN(10,BH$173)))*(1+V_dPrecio))</f>
        <v>0</v>
      </c>
      <c r="BI221" s="48">
        <f>IF(BI$8=1,IF(Reales!$C$57="PYG",IF(BI$10&gt;0,N(Reales!BI57)/BI$10,0),N(Reales!BI57)),BI$196*IF(AND(AND(56&gt;Corte,56&lt;=Corte+n_Ventana),ISNUMBER(Detalle_24m!BI$61)),Detalle_24m!BI$61,INDEX(Precio_V,20)*INDEX(IdxPrecio_V,1,MIN(10,BI$173)))*(1+V_dPrecio))</f>
        <v>0</v>
      </c>
      <c r="BJ221" s="48">
        <f>IF(BJ$8=1,IF(Reales!$C$57="PYG",IF(BJ$10&gt;0,N(Reales!BJ57)/BJ$10,0),N(Reales!BJ57)),BJ$196*IF(AND(AND(57&gt;Corte,57&lt;=Corte+n_Ventana),ISNUMBER(Detalle_24m!BJ$61)),Detalle_24m!BJ$61,INDEX(Precio_V,20)*INDEX(IdxPrecio_V,1,MIN(10,BJ$173)))*(1+V_dPrecio))</f>
        <v>0</v>
      </c>
      <c r="BK221" s="48">
        <f>IF(BK$8=1,IF(Reales!$C$57="PYG",IF(BK$10&gt;0,N(Reales!BK57)/BK$10,0),N(Reales!BK57)),BK$196*IF(AND(AND(58&gt;Corte,58&lt;=Corte+n_Ventana),ISNUMBER(Detalle_24m!BK$61)),Detalle_24m!BK$61,INDEX(Precio_V,20)*INDEX(IdxPrecio_V,1,MIN(10,BK$173)))*(1+V_dPrecio))</f>
        <v>0</v>
      </c>
      <c r="BL221" s="48">
        <f>IF(BL$8=1,IF(Reales!$C$57="PYG",IF(BL$10&gt;0,N(Reales!BL57)/BL$10,0),N(Reales!BL57)),BL$196*IF(AND(AND(59&gt;Corte,59&lt;=Corte+n_Ventana),ISNUMBER(Detalle_24m!BL$61)),Detalle_24m!BL$61,INDEX(Precio_V,20)*INDEX(IdxPrecio_V,1,MIN(10,BL$173)))*(1+V_dPrecio))</f>
        <v>0</v>
      </c>
      <c r="BM221" s="48">
        <f>IF(BM$8=1,IF(Reales!$C$57="PYG",IF(BM$10&gt;0,N(Reales!BM57)/BM$10,0),N(Reales!BM57)),BM$196*IF(AND(AND(60&gt;Corte,60&lt;=Corte+n_Ventana),ISNUMBER(Detalle_24m!BM$61)),Detalle_24m!BM$61,INDEX(Precio_V,20)*INDEX(IdxPrecio_V,1,MIN(10,BM$173)))*(1+V_dPrecio))</f>
        <v>0</v>
      </c>
      <c r="BN221" s="48">
        <f>IF(BN$8=1,IF(Reales!$C$57="PYG",IF(BN$10&gt;0,N(Reales!BN57)/BN$10,0),N(Reales!BN57)),BN$196*IF(AND(AND(61&gt;Corte,61&lt;=Corte+n_Ventana),ISNUMBER(Detalle_24m!BN$61)),Detalle_24m!BN$61,INDEX(Precio_V,20)*INDEX(IdxPrecio_V,1,MIN(10,BN$173)))*(1+V_dPrecio))</f>
        <v>0</v>
      </c>
      <c r="BO221" s="48">
        <f>IF(BO$8=1,IF(Reales!$C$57="PYG",IF(BO$10&gt;0,N(Reales!BO57)/BO$10,0),N(Reales!BO57)),BO$196*IF(AND(AND(62&gt;Corte,62&lt;=Corte+n_Ventana),ISNUMBER(Detalle_24m!BO$61)),Detalle_24m!BO$61,INDEX(Precio_V,20)*INDEX(IdxPrecio_V,1,MIN(10,BO$173)))*(1+V_dPrecio))</f>
        <v>0</v>
      </c>
      <c r="BP221" s="48">
        <f>IF(BP$8=1,IF(Reales!$C$57="PYG",IF(BP$10&gt;0,N(Reales!BP57)/BP$10,0),N(Reales!BP57)),BP$196*IF(AND(AND(63&gt;Corte,63&lt;=Corte+n_Ventana),ISNUMBER(Detalle_24m!BP$61)),Detalle_24m!BP$61,INDEX(Precio_V,20)*INDEX(IdxPrecio_V,1,MIN(10,BP$173)))*(1+V_dPrecio))</f>
        <v>0</v>
      </c>
      <c r="BQ221" s="48">
        <f>IF(BQ$8=1,IF(Reales!$C$57="PYG",IF(BQ$10&gt;0,N(Reales!BQ57)/BQ$10,0),N(Reales!BQ57)),BQ$196*IF(AND(AND(64&gt;Corte,64&lt;=Corte+n_Ventana),ISNUMBER(Detalle_24m!BQ$61)),Detalle_24m!BQ$61,INDEX(Precio_V,20)*INDEX(IdxPrecio_V,1,MIN(10,BQ$173)))*(1+V_dPrecio))</f>
        <v>0</v>
      </c>
      <c r="BR221" s="48">
        <f>IF(BR$8=1,IF(Reales!$C$57="PYG",IF(BR$10&gt;0,N(Reales!BR57)/BR$10,0),N(Reales!BR57)),BR$196*IF(AND(AND(65&gt;Corte,65&lt;=Corte+n_Ventana),ISNUMBER(Detalle_24m!BR$61)),Detalle_24m!BR$61,INDEX(Precio_V,20)*INDEX(IdxPrecio_V,1,MIN(10,BR$173)))*(1+V_dPrecio))</f>
        <v>0</v>
      </c>
      <c r="BS221" s="48">
        <f>IF(BS$8=1,IF(Reales!$C$57="PYG",IF(BS$10&gt;0,N(Reales!BS57)/BS$10,0),N(Reales!BS57)),BS$196*IF(AND(AND(66&gt;Corte,66&lt;=Corte+n_Ventana),ISNUMBER(Detalle_24m!BS$61)),Detalle_24m!BS$61,INDEX(Precio_V,20)*INDEX(IdxPrecio_V,1,MIN(10,BS$173)))*(1+V_dPrecio))</f>
        <v>0</v>
      </c>
      <c r="BT221" s="48">
        <f>IF(BT$8=1,IF(Reales!$C$57="PYG",IF(BT$10&gt;0,N(Reales!BT57)/BT$10,0),N(Reales!BT57)),BT$196*IF(AND(AND(67&gt;Corte,67&lt;=Corte+n_Ventana),ISNUMBER(Detalle_24m!BT$61)),Detalle_24m!BT$61,INDEX(Precio_V,20)*INDEX(IdxPrecio_V,1,MIN(10,BT$173)))*(1+V_dPrecio))</f>
        <v>0</v>
      </c>
      <c r="BU221" s="48">
        <f>IF(BU$8=1,IF(Reales!$C$57="PYG",IF(BU$10&gt;0,N(Reales!BU57)/BU$10,0),N(Reales!BU57)),BU$196*IF(AND(AND(68&gt;Corte,68&lt;=Corte+n_Ventana),ISNUMBER(Detalle_24m!BU$61)),Detalle_24m!BU$61,INDEX(Precio_V,20)*INDEX(IdxPrecio_V,1,MIN(10,BU$173)))*(1+V_dPrecio))</f>
        <v>0</v>
      </c>
      <c r="BV221" s="48">
        <f>IF(BV$8=1,IF(Reales!$C$57="PYG",IF(BV$10&gt;0,N(Reales!BV57)/BV$10,0),N(Reales!BV57)),BV$196*IF(AND(AND(69&gt;Corte,69&lt;=Corte+n_Ventana),ISNUMBER(Detalle_24m!BV$61)),Detalle_24m!BV$61,INDEX(Precio_V,20)*INDEX(IdxPrecio_V,1,MIN(10,BV$173)))*(1+V_dPrecio))</f>
        <v>0</v>
      </c>
      <c r="BW221" s="48">
        <f>IF(BW$8=1,IF(Reales!$C$57="PYG",IF(BW$10&gt;0,N(Reales!BW57)/BW$10,0),N(Reales!BW57)),BW$196*IF(AND(AND(70&gt;Corte,70&lt;=Corte+n_Ventana),ISNUMBER(Detalle_24m!BW$61)),Detalle_24m!BW$61,INDEX(Precio_V,20)*INDEX(IdxPrecio_V,1,MIN(10,BW$173)))*(1+V_dPrecio))</f>
        <v>0</v>
      </c>
      <c r="BX221" s="48">
        <f>IF(BX$8=1,IF(Reales!$C$57="PYG",IF(BX$10&gt;0,N(Reales!BX57)/BX$10,0),N(Reales!BX57)),BX$196*IF(AND(AND(71&gt;Corte,71&lt;=Corte+n_Ventana),ISNUMBER(Detalle_24m!BX$61)),Detalle_24m!BX$61,INDEX(Precio_V,20)*INDEX(IdxPrecio_V,1,MIN(10,BX$173)))*(1+V_dPrecio))</f>
        <v>0</v>
      </c>
      <c r="BY221" s="48">
        <f>IF(BY$8=1,IF(Reales!$C$57="PYG",IF(BY$10&gt;0,N(Reales!BY57)/BY$10,0),N(Reales!BY57)),BY$196*IF(AND(AND(72&gt;Corte,72&lt;=Corte+n_Ventana),ISNUMBER(Detalle_24m!BY$61)),Detalle_24m!BY$61,INDEX(Precio_V,20)*INDEX(IdxPrecio_V,1,MIN(10,BY$173)))*(1+V_dPrecio))</f>
        <v>0</v>
      </c>
      <c r="BZ221" s="48">
        <f>IF(BZ$8=1,IF(Reales!$C$57="PYG",IF(BZ$10&gt;0,N(Reales!BZ57)/BZ$10,0),N(Reales!BZ57)),BZ$196*IF(AND(AND(73&gt;Corte,73&lt;=Corte+n_Ventana),ISNUMBER(Detalle_24m!BZ$61)),Detalle_24m!BZ$61,INDEX(Precio_V,20)*INDEX(IdxPrecio_V,1,MIN(10,BZ$173)))*(1+V_dPrecio))</f>
        <v>0</v>
      </c>
      <c r="CA221" s="48">
        <f>IF(CA$8=1,IF(Reales!$C$57="PYG",IF(CA$10&gt;0,N(Reales!CA57)/CA$10,0),N(Reales!CA57)),CA$196*IF(AND(AND(74&gt;Corte,74&lt;=Corte+n_Ventana),ISNUMBER(Detalle_24m!CA$61)),Detalle_24m!CA$61,INDEX(Precio_V,20)*INDEX(IdxPrecio_V,1,MIN(10,CA$173)))*(1+V_dPrecio))</f>
        <v>0</v>
      </c>
      <c r="CB221" s="48">
        <f>IF(CB$8=1,IF(Reales!$C$57="PYG",IF(CB$10&gt;0,N(Reales!CB57)/CB$10,0),N(Reales!CB57)),CB$196*IF(AND(AND(75&gt;Corte,75&lt;=Corte+n_Ventana),ISNUMBER(Detalle_24m!CB$61)),Detalle_24m!CB$61,INDEX(Precio_V,20)*INDEX(IdxPrecio_V,1,MIN(10,CB$173)))*(1+V_dPrecio))</f>
        <v>0</v>
      </c>
      <c r="CC221" s="48">
        <f>IF(CC$8=1,IF(Reales!$C$57="PYG",IF(CC$10&gt;0,N(Reales!CC57)/CC$10,0),N(Reales!CC57)),CC$196*IF(AND(AND(76&gt;Corte,76&lt;=Corte+n_Ventana),ISNUMBER(Detalle_24m!CC$61)),Detalle_24m!CC$61,INDEX(Precio_V,20)*INDEX(IdxPrecio_V,1,MIN(10,CC$173)))*(1+V_dPrecio))</f>
        <v>0</v>
      </c>
      <c r="CD221" s="48">
        <f>IF(CD$8=1,IF(Reales!$C$57="PYG",IF(CD$10&gt;0,N(Reales!CD57)/CD$10,0),N(Reales!CD57)),CD$196*IF(AND(AND(77&gt;Corte,77&lt;=Corte+n_Ventana),ISNUMBER(Detalle_24m!CD$61)),Detalle_24m!CD$61,INDEX(Precio_V,20)*INDEX(IdxPrecio_V,1,MIN(10,CD$173)))*(1+V_dPrecio))</f>
        <v>0</v>
      </c>
      <c r="CE221" s="48">
        <f>IF(CE$8=1,IF(Reales!$C$57="PYG",IF(CE$10&gt;0,N(Reales!CE57)/CE$10,0),N(Reales!CE57)),CE$196*IF(AND(AND(78&gt;Corte,78&lt;=Corte+n_Ventana),ISNUMBER(Detalle_24m!CE$61)),Detalle_24m!CE$61,INDEX(Precio_V,20)*INDEX(IdxPrecio_V,1,MIN(10,CE$173)))*(1+V_dPrecio))</f>
        <v>0</v>
      </c>
      <c r="CF221" s="48">
        <f>IF(CF$8=1,IF(Reales!$C$57="PYG",IF(CF$10&gt;0,N(Reales!CF57)/CF$10,0),N(Reales!CF57)),CF$196*IF(AND(AND(79&gt;Corte,79&lt;=Corte+n_Ventana),ISNUMBER(Detalle_24m!CF$61)),Detalle_24m!CF$61,INDEX(Precio_V,20)*INDEX(IdxPrecio_V,1,MIN(10,CF$173)))*(1+V_dPrecio))</f>
        <v>0</v>
      </c>
      <c r="CG221" s="48">
        <f>IF(CG$8=1,IF(Reales!$C$57="PYG",IF(CG$10&gt;0,N(Reales!CG57)/CG$10,0),N(Reales!CG57)),CG$196*IF(AND(AND(80&gt;Corte,80&lt;=Corte+n_Ventana),ISNUMBER(Detalle_24m!CG$61)),Detalle_24m!CG$61,INDEX(Precio_V,20)*INDEX(IdxPrecio_V,1,MIN(10,CG$173)))*(1+V_dPrecio))</f>
        <v>0</v>
      </c>
      <c r="CH221" s="48">
        <f>IF(CH$8=1,IF(Reales!$C$57="PYG",IF(CH$10&gt;0,N(Reales!CH57)/CH$10,0),N(Reales!CH57)),CH$196*IF(AND(AND(81&gt;Corte,81&lt;=Corte+n_Ventana),ISNUMBER(Detalle_24m!CH$61)),Detalle_24m!CH$61,INDEX(Precio_V,20)*INDEX(IdxPrecio_V,1,MIN(10,CH$173)))*(1+V_dPrecio))</f>
        <v>0</v>
      </c>
      <c r="CI221" s="48">
        <f>IF(CI$8=1,IF(Reales!$C$57="PYG",IF(CI$10&gt;0,N(Reales!CI57)/CI$10,0),N(Reales!CI57)),CI$196*IF(AND(AND(82&gt;Corte,82&lt;=Corte+n_Ventana),ISNUMBER(Detalle_24m!CI$61)),Detalle_24m!CI$61,INDEX(Precio_V,20)*INDEX(IdxPrecio_V,1,MIN(10,CI$173)))*(1+V_dPrecio))</f>
        <v>0</v>
      </c>
      <c r="CJ221" s="48">
        <f>IF(CJ$8=1,IF(Reales!$C$57="PYG",IF(CJ$10&gt;0,N(Reales!CJ57)/CJ$10,0),N(Reales!CJ57)),CJ$196*IF(AND(AND(83&gt;Corte,83&lt;=Corte+n_Ventana),ISNUMBER(Detalle_24m!CJ$61)),Detalle_24m!CJ$61,INDEX(Precio_V,20)*INDEX(IdxPrecio_V,1,MIN(10,CJ$173)))*(1+V_dPrecio))</f>
        <v>0</v>
      </c>
      <c r="CK221" s="48">
        <f>IF(CK$8=1,IF(Reales!$C$57="PYG",IF(CK$10&gt;0,N(Reales!CK57)/CK$10,0),N(Reales!CK57)),CK$196*IF(AND(AND(84&gt;Corte,84&lt;=Corte+n_Ventana),ISNUMBER(Detalle_24m!CK$61)),Detalle_24m!CK$61,INDEX(Precio_V,20)*INDEX(IdxPrecio_V,1,MIN(10,CK$173)))*(1+V_dPrecio))</f>
        <v>0</v>
      </c>
      <c r="CL221" s="48">
        <f>IF(CL$8=1,IF(Reales!$C$57="PYG",IF(CL$10&gt;0,N(Reales!CL57)/CL$10,0),N(Reales!CL57)),CL$196*IF(AND(AND(85&gt;Corte,85&lt;=Corte+n_Ventana),ISNUMBER(Detalle_24m!CL$61)),Detalle_24m!CL$61,INDEX(Precio_V,20)*INDEX(IdxPrecio_V,1,MIN(10,CL$173)))*(1+V_dPrecio))</f>
        <v>0</v>
      </c>
      <c r="CM221" s="48">
        <f>IF(CM$8=1,IF(Reales!$C$57="PYG",IF(CM$10&gt;0,N(Reales!CM57)/CM$10,0),N(Reales!CM57)),CM$196*IF(AND(AND(86&gt;Corte,86&lt;=Corte+n_Ventana),ISNUMBER(Detalle_24m!CM$61)),Detalle_24m!CM$61,INDEX(Precio_V,20)*INDEX(IdxPrecio_V,1,MIN(10,CM$173)))*(1+V_dPrecio))</f>
        <v>0</v>
      </c>
      <c r="CN221" s="48">
        <f>IF(CN$8=1,IF(Reales!$C$57="PYG",IF(CN$10&gt;0,N(Reales!CN57)/CN$10,0),N(Reales!CN57)),CN$196*IF(AND(AND(87&gt;Corte,87&lt;=Corte+n_Ventana),ISNUMBER(Detalle_24m!CN$61)),Detalle_24m!CN$61,INDEX(Precio_V,20)*INDEX(IdxPrecio_V,1,MIN(10,CN$173)))*(1+V_dPrecio))</f>
        <v>0</v>
      </c>
      <c r="CO221" s="48">
        <f>IF(CO$8=1,IF(Reales!$C$57="PYG",IF(CO$10&gt;0,N(Reales!CO57)/CO$10,0),N(Reales!CO57)),CO$196*IF(AND(AND(88&gt;Corte,88&lt;=Corte+n_Ventana),ISNUMBER(Detalle_24m!CO$61)),Detalle_24m!CO$61,INDEX(Precio_V,20)*INDEX(IdxPrecio_V,1,MIN(10,CO$173)))*(1+V_dPrecio))</f>
        <v>0</v>
      </c>
      <c r="CP221" s="48">
        <f>IF(CP$8=1,IF(Reales!$C$57="PYG",IF(CP$10&gt;0,N(Reales!CP57)/CP$10,0),N(Reales!CP57)),CP$196*IF(AND(AND(89&gt;Corte,89&lt;=Corte+n_Ventana),ISNUMBER(Detalle_24m!CP$61)),Detalle_24m!CP$61,INDEX(Precio_V,20)*INDEX(IdxPrecio_V,1,MIN(10,CP$173)))*(1+V_dPrecio))</f>
        <v>0</v>
      </c>
      <c r="CQ221" s="48">
        <f>IF(CQ$8=1,IF(Reales!$C$57="PYG",IF(CQ$10&gt;0,N(Reales!CQ57)/CQ$10,0),N(Reales!CQ57)),CQ$196*IF(AND(AND(90&gt;Corte,90&lt;=Corte+n_Ventana),ISNUMBER(Detalle_24m!CQ$61)),Detalle_24m!CQ$61,INDEX(Precio_V,20)*INDEX(IdxPrecio_V,1,MIN(10,CQ$173)))*(1+V_dPrecio))</f>
        <v>0</v>
      </c>
      <c r="CR221" s="48">
        <f>IF(CR$8=1,IF(Reales!$C$57="PYG",IF(CR$10&gt;0,N(Reales!CR57)/CR$10,0),N(Reales!CR57)),CR$196*IF(AND(AND(91&gt;Corte,91&lt;=Corte+n_Ventana),ISNUMBER(Detalle_24m!CR$61)),Detalle_24m!CR$61,INDEX(Precio_V,20)*INDEX(IdxPrecio_V,1,MIN(10,CR$173)))*(1+V_dPrecio))</f>
        <v>0</v>
      </c>
      <c r="CS221" s="48">
        <f>IF(CS$8=1,IF(Reales!$C$57="PYG",IF(CS$10&gt;0,N(Reales!CS57)/CS$10,0),N(Reales!CS57)),CS$196*IF(AND(AND(92&gt;Corte,92&lt;=Corte+n_Ventana),ISNUMBER(Detalle_24m!CS$61)),Detalle_24m!CS$61,INDEX(Precio_V,20)*INDEX(IdxPrecio_V,1,MIN(10,CS$173)))*(1+V_dPrecio))</f>
        <v>0</v>
      </c>
      <c r="CT221" s="48">
        <f>IF(CT$8=1,IF(Reales!$C$57="PYG",IF(CT$10&gt;0,N(Reales!CT57)/CT$10,0),N(Reales!CT57)),CT$196*IF(AND(AND(93&gt;Corte,93&lt;=Corte+n_Ventana),ISNUMBER(Detalle_24m!CT$61)),Detalle_24m!CT$61,INDEX(Precio_V,20)*INDEX(IdxPrecio_V,1,MIN(10,CT$173)))*(1+V_dPrecio))</f>
        <v>0</v>
      </c>
      <c r="CU221" s="48">
        <f>IF(CU$8=1,IF(Reales!$C$57="PYG",IF(CU$10&gt;0,N(Reales!CU57)/CU$10,0),N(Reales!CU57)),CU$196*IF(AND(AND(94&gt;Corte,94&lt;=Corte+n_Ventana),ISNUMBER(Detalle_24m!CU$61)),Detalle_24m!CU$61,INDEX(Precio_V,20)*INDEX(IdxPrecio_V,1,MIN(10,CU$173)))*(1+V_dPrecio))</f>
        <v>0</v>
      </c>
      <c r="CV221" s="48">
        <f>IF(CV$8=1,IF(Reales!$C$57="PYG",IF(CV$10&gt;0,N(Reales!CV57)/CV$10,0),N(Reales!CV57)),CV$196*IF(AND(AND(95&gt;Corte,95&lt;=Corte+n_Ventana),ISNUMBER(Detalle_24m!CV$61)),Detalle_24m!CV$61,INDEX(Precio_V,20)*INDEX(IdxPrecio_V,1,MIN(10,CV$173)))*(1+V_dPrecio))</f>
        <v>0</v>
      </c>
      <c r="CW221" s="48">
        <f>IF(CW$8=1,IF(Reales!$C$57="PYG",IF(CW$10&gt;0,N(Reales!CW57)/CW$10,0),N(Reales!CW57)),CW$196*IF(AND(AND(96&gt;Corte,96&lt;=Corte+n_Ventana),ISNUMBER(Detalle_24m!CW$61)),Detalle_24m!CW$61,INDEX(Precio_V,20)*INDEX(IdxPrecio_V,1,MIN(10,CW$173)))*(1+V_dPrecio))</f>
        <v>0</v>
      </c>
      <c r="CX221" s="48">
        <f>IF(CX$8=1,IF(Reales!$C$57="PYG",IF(CX$10&gt;0,N(Reales!CX57)/CX$10,0),N(Reales!CX57)),CX$196*IF(AND(AND(97&gt;Corte,97&lt;=Corte+n_Ventana),ISNUMBER(Detalle_24m!CX$61)),Detalle_24m!CX$61,INDEX(Precio_V,20)*INDEX(IdxPrecio_V,1,MIN(10,CX$173)))*(1+V_dPrecio))</f>
        <v>0</v>
      </c>
      <c r="CY221" s="48">
        <f>IF(CY$8=1,IF(Reales!$C$57="PYG",IF(CY$10&gt;0,N(Reales!CY57)/CY$10,0),N(Reales!CY57)),CY$196*IF(AND(AND(98&gt;Corte,98&lt;=Corte+n_Ventana),ISNUMBER(Detalle_24m!CY$61)),Detalle_24m!CY$61,INDEX(Precio_V,20)*INDEX(IdxPrecio_V,1,MIN(10,CY$173)))*(1+V_dPrecio))</f>
        <v>0</v>
      </c>
      <c r="CZ221" s="48">
        <f>IF(CZ$8=1,IF(Reales!$C$57="PYG",IF(CZ$10&gt;0,N(Reales!CZ57)/CZ$10,0),N(Reales!CZ57)),CZ$196*IF(AND(AND(99&gt;Corte,99&lt;=Corte+n_Ventana),ISNUMBER(Detalle_24m!CZ$61)),Detalle_24m!CZ$61,INDEX(Precio_V,20)*INDEX(IdxPrecio_V,1,MIN(10,CZ$173)))*(1+V_dPrecio))</f>
        <v>0</v>
      </c>
      <c r="DA221" s="48">
        <f>IF(DA$8=1,IF(Reales!$C$57="PYG",IF(DA$10&gt;0,N(Reales!DA57)/DA$10,0),N(Reales!DA57)),DA$196*IF(AND(AND(100&gt;Corte,100&lt;=Corte+n_Ventana),ISNUMBER(Detalle_24m!DA$61)),Detalle_24m!DA$61,INDEX(Precio_V,20)*INDEX(IdxPrecio_V,1,MIN(10,DA$173)))*(1+V_dPrecio))</f>
        <v>0</v>
      </c>
      <c r="DB221" s="48">
        <f>IF(DB$8=1,IF(Reales!$C$57="PYG",IF(DB$10&gt;0,N(Reales!DB57)/DB$10,0),N(Reales!DB57)),DB$196*IF(AND(AND(101&gt;Corte,101&lt;=Corte+n_Ventana),ISNUMBER(Detalle_24m!DB$61)),Detalle_24m!DB$61,INDEX(Precio_V,20)*INDEX(IdxPrecio_V,1,MIN(10,DB$173)))*(1+V_dPrecio))</f>
        <v>0</v>
      </c>
      <c r="DC221" s="48">
        <f>IF(DC$8=1,IF(Reales!$C$57="PYG",IF(DC$10&gt;0,N(Reales!DC57)/DC$10,0),N(Reales!DC57)),DC$196*IF(AND(AND(102&gt;Corte,102&lt;=Corte+n_Ventana),ISNUMBER(Detalle_24m!DC$61)),Detalle_24m!DC$61,INDEX(Precio_V,20)*INDEX(IdxPrecio_V,1,MIN(10,DC$173)))*(1+V_dPrecio))</f>
        <v>0</v>
      </c>
      <c r="DD221" s="48">
        <f>IF(DD$8=1,IF(Reales!$C$57="PYG",IF(DD$10&gt;0,N(Reales!DD57)/DD$10,0),N(Reales!DD57)),DD$196*IF(AND(AND(103&gt;Corte,103&lt;=Corte+n_Ventana),ISNUMBER(Detalle_24m!DD$61)),Detalle_24m!DD$61,INDEX(Precio_V,20)*INDEX(IdxPrecio_V,1,MIN(10,DD$173)))*(1+V_dPrecio))</f>
        <v>0</v>
      </c>
      <c r="DE221" s="48">
        <f>IF(DE$8=1,IF(Reales!$C$57="PYG",IF(DE$10&gt;0,N(Reales!DE57)/DE$10,0),N(Reales!DE57)),DE$196*IF(AND(AND(104&gt;Corte,104&lt;=Corte+n_Ventana),ISNUMBER(Detalle_24m!DE$61)),Detalle_24m!DE$61,INDEX(Precio_V,20)*INDEX(IdxPrecio_V,1,MIN(10,DE$173)))*(1+V_dPrecio))</f>
        <v>0</v>
      </c>
      <c r="DF221" s="48">
        <f>IF(DF$8=1,IF(Reales!$C$57="PYG",IF(DF$10&gt;0,N(Reales!DF57)/DF$10,0),N(Reales!DF57)),DF$196*IF(AND(AND(105&gt;Corte,105&lt;=Corte+n_Ventana),ISNUMBER(Detalle_24m!DF$61)),Detalle_24m!DF$61,INDEX(Precio_V,20)*INDEX(IdxPrecio_V,1,MIN(10,DF$173)))*(1+V_dPrecio))</f>
        <v>0</v>
      </c>
      <c r="DG221" s="48">
        <f>IF(DG$8=1,IF(Reales!$C$57="PYG",IF(DG$10&gt;0,N(Reales!DG57)/DG$10,0),N(Reales!DG57)),DG$196*IF(AND(AND(106&gt;Corte,106&lt;=Corte+n_Ventana),ISNUMBER(Detalle_24m!DG$61)),Detalle_24m!DG$61,INDEX(Precio_V,20)*INDEX(IdxPrecio_V,1,MIN(10,DG$173)))*(1+V_dPrecio))</f>
        <v>0</v>
      </c>
      <c r="DH221" s="48">
        <f>IF(DH$8=1,IF(Reales!$C$57="PYG",IF(DH$10&gt;0,N(Reales!DH57)/DH$10,0),N(Reales!DH57)),DH$196*IF(AND(AND(107&gt;Corte,107&lt;=Corte+n_Ventana),ISNUMBER(Detalle_24m!DH$61)),Detalle_24m!DH$61,INDEX(Precio_V,20)*INDEX(IdxPrecio_V,1,MIN(10,DH$173)))*(1+V_dPrecio))</f>
        <v>0</v>
      </c>
      <c r="DI221" s="48">
        <f>IF(DI$8=1,IF(Reales!$C$57="PYG",IF(DI$10&gt;0,N(Reales!DI57)/DI$10,0),N(Reales!DI57)),DI$196*IF(AND(AND(108&gt;Corte,108&lt;=Corte+n_Ventana),ISNUMBER(Detalle_24m!DI$61)),Detalle_24m!DI$61,INDEX(Precio_V,20)*INDEX(IdxPrecio_V,1,MIN(10,DI$173)))*(1+V_dPrecio))</f>
        <v>0</v>
      </c>
      <c r="DJ221" s="48">
        <f>IF(DJ$8=1,IF(Reales!$C$57="PYG",IF(DJ$10&gt;0,N(Reales!DJ57)/DJ$10,0),N(Reales!DJ57)),DJ$196*IF(AND(AND(109&gt;Corte,109&lt;=Corte+n_Ventana),ISNUMBER(Detalle_24m!DJ$61)),Detalle_24m!DJ$61,INDEX(Precio_V,20)*INDEX(IdxPrecio_V,1,MIN(10,DJ$173)))*(1+V_dPrecio))</f>
        <v>0</v>
      </c>
      <c r="DK221" s="48">
        <f>IF(DK$8=1,IF(Reales!$C$57="PYG",IF(DK$10&gt;0,N(Reales!DK57)/DK$10,0),N(Reales!DK57)),DK$196*IF(AND(AND(110&gt;Corte,110&lt;=Corte+n_Ventana),ISNUMBER(Detalle_24m!DK$61)),Detalle_24m!DK$61,INDEX(Precio_V,20)*INDEX(IdxPrecio_V,1,MIN(10,DK$173)))*(1+V_dPrecio))</f>
        <v>0</v>
      </c>
      <c r="DL221" s="48">
        <f>IF(DL$8=1,IF(Reales!$C$57="PYG",IF(DL$10&gt;0,N(Reales!DL57)/DL$10,0),N(Reales!DL57)),DL$196*IF(AND(AND(111&gt;Corte,111&lt;=Corte+n_Ventana),ISNUMBER(Detalle_24m!DL$61)),Detalle_24m!DL$61,INDEX(Precio_V,20)*INDEX(IdxPrecio_V,1,MIN(10,DL$173)))*(1+V_dPrecio))</f>
        <v>0</v>
      </c>
      <c r="DM221" s="48">
        <f>IF(DM$8=1,IF(Reales!$C$57="PYG",IF(DM$10&gt;0,N(Reales!DM57)/DM$10,0),N(Reales!DM57)),DM$196*IF(AND(AND(112&gt;Corte,112&lt;=Corte+n_Ventana),ISNUMBER(Detalle_24m!DM$61)),Detalle_24m!DM$61,INDEX(Precio_V,20)*INDEX(IdxPrecio_V,1,MIN(10,DM$173)))*(1+V_dPrecio))</f>
        <v>0</v>
      </c>
      <c r="DN221" s="48">
        <f>IF(DN$8=1,IF(Reales!$C$57="PYG",IF(DN$10&gt;0,N(Reales!DN57)/DN$10,0),N(Reales!DN57)),DN$196*IF(AND(AND(113&gt;Corte,113&lt;=Corte+n_Ventana),ISNUMBER(Detalle_24m!DN$61)),Detalle_24m!DN$61,INDEX(Precio_V,20)*INDEX(IdxPrecio_V,1,MIN(10,DN$173)))*(1+V_dPrecio))</f>
        <v>0</v>
      </c>
      <c r="DO221" s="48">
        <f>IF(DO$8=1,IF(Reales!$C$57="PYG",IF(DO$10&gt;0,N(Reales!DO57)/DO$10,0),N(Reales!DO57)),DO$196*IF(AND(AND(114&gt;Corte,114&lt;=Corte+n_Ventana),ISNUMBER(Detalle_24m!DO$61)),Detalle_24m!DO$61,INDEX(Precio_V,20)*INDEX(IdxPrecio_V,1,MIN(10,DO$173)))*(1+V_dPrecio))</f>
        <v>0</v>
      </c>
      <c r="DP221" s="48">
        <f>IF(DP$8=1,IF(Reales!$C$57="PYG",IF(DP$10&gt;0,N(Reales!DP57)/DP$10,0),N(Reales!DP57)),DP$196*IF(AND(AND(115&gt;Corte,115&lt;=Corte+n_Ventana),ISNUMBER(Detalle_24m!DP$61)),Detalle_24m!DP$61,INDEX(Precio_V,20)*INDEX(IdxPrecio_V,1,MIN(10,DP$173)))*(1+V_dPrecio))</f>
        <v>0</v>
      </c>
      <c r="DQ221" s="48">
        <f>IF(DQ$8=1,IF(Reales!$C$57="PYG",IF(DQ$10&gt;0,N(Reales!DQ57)/DQ$10,0),N(Reales!DQ57)),DQ$196*IF(AND(AND(116&gt;Corte,116&lt;=Corte+n_Ventana),ISNUMBER(Detalle_24m!DQ$61)),Detalle_24m!DQ$61,INDEX(Precio_V,20)*INDEX(IdxPrecio_V,1,MIN(10,DQ$173)))*(1+V_dPrecio))</f>
        <v>0</v>
      </c>
      <c r="DR221" s="48">
        <f>IF(DR$8=1,IF(Reales!$C$57="PYG",IF(DR$10&gt;0,N(Reales!DR57)/DR$10,0),N(Reales!DR57)),DR$196*IF(AND(AND(117&gt;Corte,117&lt;=Corte+n_Ventana),ISNUMBER(Detalle_24m!DR$61)),Detalle_24m!DR$61,INDEX(Precio_V,20)*INDEX(IdxPrecio_V,1,MIN(10,DR$173)))*(1+V_dPrecio))</f>
        <v>0</v>
      </c>
      <c r="DS221" s="48">
        <f>IF(DS$8=1,IF(Reales!$C$57="PYG",IF(DS$10&gt;0,N(Reales!DS57)/DS$10,0),N(Reales!DS57)),DS$196*IF(AND(AND(118&gt;Corte,118&lt;=Corte+n_Ventana),ISNUMBER(Detalle_24m!DS$61)),Detalle_24m!DS$61,INDEX(Precio_V,20)*INDEX(IdxPrecio_V,1,MIN(10,DS$173)))*(1+V_dPrecio))</f>
        <v>0</v>
      </c>
      <c r="DT221" s="48">
        <f>IF(DT$8=1,IF(Reales!$C$57="PYG",IF(DT$10&gt;0,N(Reales!DT57)/DT$10,0),N(Reales!DT57)),DT$196*IF(AND(AND(119&gt;Corte,119&lt;=Corte+n_Ventana),ISNUMBER(Detalle_24m!DT$61)),Detalle_24m!DT$61,INDEX(Precio_V,20)*INDEX(IdxPrecio_V,1,MIN(10,DT$173)))*(1+V_dPrecio))</f>
        <v>0</v>
      </c>
      <c r="DU221" s="48">
        <f>IF(DU$8=1,IF(Reales!$C$57="PYG",IF(DU$10&gt;0,N(Reales!DU57)/DU$10,0),N(Reales!DU57)),DU$196*IF(AND(AND(120&gt;Corte,120&lt;=Corte+n_Ventana),ISNUMBER(Detalle_24m!DU$61)),Detalle_24m!DU$61,INDEX(Precio_V,20)*INDEX(IdxPrecio_V,1,MIN(10,DU$173)))*(1+V_dPrecio))</f>
        <v>0</v>
      </c>
      <c r="DV221" s="48">
        <f>IF(DV$8=1,IF(Reales!$C$57="PYG",IF(DV$10&gt;0,N(Reales!DV57)/DV$10,0),N(Reales!DV57)),DV$196*IF(AND(AND(121&gt;Corte,121&lt;=Corte+n_Ventana),ISNUMBER(Detalle_24m!DV$61)),Detalle_24m!DV$61,INDEX(Precio_V,20)*INDEX(IdxPrecio_V,1,MIN(10,DV$173)))*(1+V_dPrecio))</f>
        <v>0</v>
      </c>
      <c r="DW221" s="48">
        <f>IF(DW$8=1,IF(Reales!$C$57="PYG",IF(DW$10&gt;0,N(Reales!DW57)/DW$10,0),N(Reales!DW57)),DW$196*IF(AND(AND(122&gt;Corte,122&lt;=Corte+n_Ventana),ISNUMBER(Detalle_24m!DW$61)),Detalle_24m!DW$61,INDEX(Precio_V,20)*INDEX(IdxPrecio_V,1,MIN(10,DW$173)))*(1+V_dPrecio))</f>
        <v>0</v>
      </c>
      <c r="DX221" s="48">
        <f>IF(DX$8=1,IF(Reales!$C$57="PYG",IF(DX$10&gt;0,N(Reales!DX57)/DX$10,0),N(Reales!DX57)),DX$196*IF(AND(AND(123&gt;Corte,123&lt;=Corte+n_Ventana),ISNUMBER(Detalle_24m!DX$61)),Detalle_24m!DX$61,INDEX(Precio_V,20)*INDEX(IdxPrecio_V,1,MIN(10,DX$173)))*(1+V_dPrecio))</f>
        <v>0</v>
      </c>
      <c r="DY221" s="48">
        <f>IF(DY$8=1,IF(Reales!$C$57="PYG",IF(DY$10&gt;0,N(Reales!DY57)/DY$10,0),N(Reales!DY57)),DY$196*IF(AND(AND(124&gt;Corte,124&lt;=Corte+n_Ventana),ISNUMBER(Detalle_24m!DY$61)),Detalle_24m!DY$61,INDEX(Precio_V,20)*INDEX(IdxPrecio_V,1,MIN(10,DY$173)))*(1+V_dPrecio))</f>
        <v>0</v>
      </c>
      <c r="DZ221" s="48">
        <f>IF(DZ$8=1,IF(Reales!$C$57="PYG",IF(DZ$10&gt;0,N(Reales!DZ57)/DZ$10,0),N(Reales!DZ57)),DZ$196*IF(AND(AND(125&gt;Corte,125&lt;=Corte+n_Ventana),ISNUMBER(Detalle_24m!DZ$61)),Detalle_24m!DZ$61,INDEX(Precio_V,20)*INDEX(IdxPrecio_V,1,MIN(10,DZ$173)))*(1+V_dPrecio))</f>
        <v>0</v>
      </c>
      <c r="EA221" s="48">
        <f>IF(EA$8=1,IF(Reales!$C$57="PYG",IF(EA$10&gt;0,N(Reales!EA57)/EA$10,0),N(Reales!EA57)),EA$196*IF(AND(AND(126&gt;Corte,126&lt;=Corte+n_Ventana),ISNUMBER(Detalle_24m!EA$61)),Detalle_24m!EA$61,INDEX(Precio_V,20)*INDEX(IdxPrecio_V,1,MIN(10,EA$173)))*(1+V_dPrecio))</f>
        <v>0</v>
      </c>
      <c r="EB221" s="48">
        <f>IF(EB$8=1,IF(Reales!$C$57="PYG",IF(EB$10&gt;0,N(Reales!EB57)/EB$10,0),N(Reales!EB57)),EB$196*IF(AND(AND(127&gt;Corte,127&lt;=Corte+n_Ventana),ISNUMBER(Detalle_24m!EB$61)),Detalle_24m!EB$61,INDEX(Precio_V,20)*INDEX(IdxPrecio_V,1,MIN(10,EB$173)))*(1+V_dPrecio))</f>
        <v>0</v>
      </c>
      <c r="EC221" s="48">
        <f>IF(EC$8=1,IF(Reales!$C$57="PYG",IF(EC$10&gt;0,N(Reales!EC57)/EC$10,0),N(Reales!EC57)),EC$196*IF(AND(AND(128&gt;Corte,128&lt;=Corte+n_Ventana),ISNUMBER(Detalle_24m!EC$61)),Detalle_24m!EC$61,INDEX(Precio_V,20)*INDEX(IdxPrecio_V,1,MIN(10,EC$173)))*(1+V_dPrecio))</f>
        <v>0</v>
      </c>
      <c r="ED221" s="48">
        <f>IF(ED$8=1,IF(Reales!$C$57="PYG",IF(ED$10&gt;0,N(Reales!ED57)/ED$10,0),N(Reales!ED57)),ED$196*IF(AND(AND(129&gt;Corte,129&lt;=Corte+n_Ventana),ISNUMBER(Detalle_24m!ED$61)),Detalle_24m!ED$61,INDEX(Precio_V,20)*INDEX(IdxPrecio_V,1,MIN(10,ED$173)))*(1+V_dPrecio))</f>
        <v>0</v>
      </c>
      <c r="EE221" s="48">
        <f>IF(EE$8=1,IF(Reales!$C$57="PYG",IF(EE$10&gt;0,N(Reales!EE57)/EE$10,0),N(Reales!EE57)),EE$196*IF(AND(AND(130&gt;Corte,130&lt;=Corte+n_Ventana),ISNUMBER(Detalle_24m!EE$61)),Detalle_24m!EE$61,INDEX(Precio_V,20)*INDEX(IdxPrecio_V,1,MIN(10,EE$173)))*(1+V_dPrecio))</f>
        <v>0</v>
      </c>
      <c r="EF221" s="48">
        <f>IF(EF$8=1,IF(Reales!$C$57="PYG",IF(EF$10&gt;0,N(Reales!EF57)/EF$10,0),N(Reales!EF57)),EF$196*IF(AND(AND(131&gt;Corte,131&lt;=Corte+n_Ventana),ISNUMBER(Detalle_24m!EF$61)),Detalle_24m!EF$61,INDEX(Precio_V,20)*INDEX(IdxPrecio_V,1,MIN(10,EF$173)))*(1+V_dPrecio))</f>
        <v>0</v>
      </c>
      <c r="EG221" s="48">
        <f>IF(EG$8=1,IF(Reales!$C$57="PYG",IF(EG$10&gt;0,N(Reales!EG57)/EG$10,0),N(Reales!EG57)),EG$196*IF(AND(AND(132&gt;Corte,132&lt;=Corte+n_Ventana),ISNUMBER(Detalle_24m!EG$61)),Detalle_24m!EG$61,INDEX(Precio_V,20)*INDEX(IdxPrecio_V,1,MIN(10,EG$173)))*(1+V_dPrecio))</f>
        <v>0</v>
      </c>
      <c r="EH221" s="48">
        <f>IF(EH$8=1,IF(Reales!$C$57="PYG",IF(EH$10&gt;0,N(Reales!EH57)/EH$10,0),N(Reales!EH57)),EH$196*IF(AND(AND(133&gt;Corte,133&lt;=Corte+n_Ventana),ISNUMBER(Detalle_24m!EH$61)),Detalle_24m!EH$61,INDEX(Precio_V,20)*INDEX(IdxPrecio_V,1,MIN(10,EH$173)))*(1+V_dPrecio))</f>
        <v>0</v>
      </c>
      <c r="EI221" s="48">
        <f>IF(EI$8=1,IF(Reales!$C$57="PYG",IF(EI$10&gt;0,N(Reales!EI57)/EI$10,0),N(Reales!EI57)),EI$196*IF(AND(AND(134&gt;Corte,134&lt;=Corte+n_Ventana),ISNUMBER(Detalle_24m!EI$61)),Detalle_24m!EI$61,INDEX(Precio_V,20)*INDEX(IdxPrecio_V,1,MIN(10,EI$173)))*(1+V_dPrecio))</f>
        <v>0</v>
      </c>
      <c r="EJ221" s="48">
        <f>IF(EJ$8=1,IF(Reales!$C$57="PYG",IF(EJ$10&gt;0,N(Reales!EJ57)/EJ$10,0),N(Reales!EJ57)),EJ$196*IF(AND(AND(135&gt;Corte,135&lt;=Corte+n_Ventana),ISNUMBER(Detalle_24m!EJ$61)),Detalle_24m!EJ$61,INDEX(Precio_V,20)*INDEX(IdxPrecio_V,1,MIN(10,EJ$173)))*(1+V_dPrecio))</f>
        <v>0</v>
      </c>
      <c r="EK221" s="48">
        <f>IF(EK$8=1,IF(Reales!$C$57="PYG",IF(EK$10&gt;0,N(Reales!EK57)/EK$10,0),N(Reales!EK57)),EK$196*IF(AND(AND(136&gt;Corte,136&lt;=Corte+n_Ventana),ISNUMBER(Detalle_24m!EK$61)),Detalle_24m!EK$61,INDEX(Precio_V,20)*INDEX(IdxPrecio_V,1,MIN(10,EK$173)))*(1+V_dPrecio))</f>
        <v>0</v>
      </c>
      <c r="EL221" s="48">
        <f>IF(EL$8=1,IF(Reales!$C$57="PYG",IF(EL$10&gt;0,N(Reales!EL57)/EL$10,0),N(Reales!EL57)),EL$196*IF(AND(AND(137&gt;Corte,137&lt;=Corte+n_Ventana),ISNUMBER(Detalle_24m!EL$61)),Detalle_24m!EL$61,INDEX(Precio_V,20)*INDEX(IdxPrecio_V,1,MIN(10,EL$173)))*(1+V_dPrecio))</f>
        <v>0</v>
      </c>
      <c r="EM221" s="48">
        <f>IF(EM$8=1,IF(Reales!$C$57="PYG",IF(EM$10&gt;0,N(Reales!EM57)/EM$10,0),N(Reales!EM57)),EM$196*IF(AND(AND(138&gt;Corte,138&lt;=Corte+n_Ventana),ISNUMBER(Detalle_24m!EM$61)),Detalle_24m!EM$61,INDEX(Precio_V,20)*INDEX(IdxPrecio_V,1,MIN(10,EM$173)))*(1+V_dPrecio))</f>
        <v>0</v>
      </c>
      <c r="EN221" s="48">
        <f>IF(EN$8=1,IF(Reales!$C$57="PYG",IF(EN$10&gt;0,N(Reales!EN57)/EN$10,0),N(Reales!EN57)),EN$196*IF(AND(AND(139&gt;Corte,139&lt;=Corte+n_Ventana),ISNUMBER(Detalle_24m!EN$61)),Detalle_24m!EN$61,INDEX(Precio_V,20)*INDEX(IdxPrecio_V,1,MIN(10,EN$173)))*(1+V_dPrecio))</f>
        <v>0</v>
      </c>
      <c r="EO221" s="48">
        <f>IF(EO$8=1,IF(Reales!$C$57="PYG",IF(EO$10&gt;0,N(Reales!EO57)/EO$10,0),N(Reales!EO57)),EO$196*IF(AND(AND(140&gt;Corte,140&lt;=Corte+n_Ventana),ISNUMBER(Detalle_24m!EO$61)),Detalle_24m!EO$61,INDEX(Precio_V,20)*INDEX(IdxPrecio_V,1,MIN(10,EO$173)))*(1+V_dPrecio))</f>
        <v>0</v>
      </c>
      <c r="EP221" s="48">
        <f>IF(EP$8=1,IF(Reales!$C$57="PYG",IF(EP$10&gt;0,N(Reales!EP57)/EP$10,0),N(Reales!EP57)),EP$196*IF(AND(AND(141&gt;Corte,141&lt;=Corte+n_Ventana),ISNUMBER(Detalle_24m!EP$61)),Detalle_24m!EP$61,INDEX(Precio_V,20)*INDEX(IdxPrecio_V,1,MIN(10,EP$173)))*(1+V_dPrecio))</f>
        <v>0</v>
      </c>
      <c r="EQ221" s="48">
        <f>IF(EQ$8=1,IF(Reales!$C$57="PYG",IF(EQ$10&gt;0,N(Reales!EQ57)/EQ$10,0),N(Reales!EQ57)),EQ$196*IF(AND(AND(142&gt;Corte,142&lt;=Corte+n_Ventana),ISNUMBER(Detalle_24m!EQ$61)),Detalle_24m!EQ$61,INDEX(Precio_V,20)*INDEX(IdxPrecio_V,1,MIN(10,EQ$173)))*(1+V_dPrecio))</f>
        <v>0</v>
      </c>
      <c r="ER221" s="48">
        <f>IF(ER$8=1,IF(Reales!$C$57="PYG",IF(ER$10&gt;0,N(Reales!ER57)/ER$10,0),N(Reales!ER57)),ER$196*IF(AND(AND(143&gt;Corte,143&lt;=Corte+n_Ventana),ISNUMBER(Detalle_24m!ER$61)),Detalle_24m!ER$61,INDEX(Precio_V,20)*INDEX(IdxPrecio_V,1,MIN(10,ER$173)))*(1+V_dPrecio))</f>
        <v>0</v>
      </c>
      <c r="ES221" s="48">
        <f>IF(ES$8=1,IF(Reales!$C$57="PYG",IF(ES$10&gt;0,N(Reales!ES57)/ES$10,0),N(Reales!ES57)),ES$196*IF(AND(AND(144&gt;Corte,144&lt;=Corte+n_Ventana),ISNUMBER(Detalle_24m!ES$61)),Detalle_24m!ES$61,INDEX(Precio_V,20)*INDEX(IdxPrecio_V,1,MIN(10,ES$173)))*(1+V_dPrecio))</f>
        <v>0</v>
      </c>
    </row>
    <row r="222" spans="1:149" x14ac:dyDescent="0.3">
      <c r="A222" s="14" t="s">
        <v>1277</v>
      </c>
      <c r="B222" s="53" t="str">
        <f>IF(INDEX(Prod_Nombre,21)="","Producto 21",INDEX(Prod_Nombre,21))&amp;" — ventas USD"</f>
        <v>Producto 21 — ventas USD</v>
      </c>
      <c r="C222" s="18" t="s">
        <v>439</v>
      </c>
      <c r="E222" s="54">
        <f t="shared" si="605"/>
        <v>0</v>
      </c>
      <c r="F222" s="48">
        <f>IF(F$8=1,IF(Reales!$C$58="PYG",IF(F$10&gt;0,N(Reales!F58)/F$10,0),N(Reales!F58)),F$197*IF(AND(AND(1&gt;Corte,1&lt;=Corte+n_Ventana),ISNUMBER(Detalle_24m!F$62)),Detalle_24m!F$62,INDEX(Precio_V,21)*INDEX(IdxPrecio_V,1,MIN(10,F$173)))*(1+V_dPrecio))</f>
        <v>0</v>
      </c>
      <c r="G222" s="48">
        <f>IF(G$8=1,IF(Reales!$C$58="PYG",IF(G$10&gt;0,N(Reales!G58)/G$10,0),N(Reales!G58)),G$197*IF(AND(AND(2&gt;Corte,2&lt;=Corte+n_Ventana),ISNUMBER(Detalle_24m!G$62)),Detalle_24m!G$62,INDEX(Precio_V,21)*INDEX(IdxPrecio_V,1,MIN(10,G$173)))*(1+V_dPrecio))</f>
        <v>0</v>
      </c>
      <c r="H222" s="48">
        <f>IF(H$8=1,IF(Reales!$C$58="PYG",IF(H$10&gt;0,N(Reales!H58)/H$10,0),N(Reales!H58)),H$197*IF(AND(AND(3&gt;Corte,3&lt;=Corte+n_Ventana),ISNUMBER(Detalle_24m!H$62)),Detalle_24m!H$62,INDEX(Precio_V,21)*INDEX(IdxPrecio_V,1,MIN(10,H$173)))*(1+V_dPrecio))</f>
        <v>0</v>
      </c>
      <c r="I222" s="48">
        <f>IF(I$8=1,IF(Reales!$C$58="PYG",IF(I$10&gt;0,N(Reales!I58)/I$10,0),N(Reales!I58)),I$197*IF(AND(AND(4&gt;Corte,4&lt;=Corte+n_Ventana),ISNUMBER(Detalle_24m!I$62)),Detalle_24m!I$62,INDEX(Precio_V,21)*INDEX(IdxPrecio_V,1,MIN(10,I$173)))*(1+V_dPrecio))</f>
        <v>0</v>
      </c>
      <c r="J222" s="48">
        <f>IF(J$8=1,IF(Reales!$C$58="PYG",IF(J$10&gt;0,N(Reales!J58)/J$10,0),N(Reales!J58)),J$197*IF(AND(AND(5&gt;Corte,5&lt;=Corte+n_Ventana),ISNUMBER(Detalle_24m!J$62)),Detalle_24m!J$62,INDEX(Precio_V,21)*INDEX(IdxPrecio_V,1,MIN(10,J$173)))*(1+V_dPrecio))</f>
        <v>0</v>
      </c>
      <c r="K222" s="48">
        <f>IF(K$8=1,IF(Reales!$C$58="PYG",IF(K$10&gt;0,N(Reales!K58)/K$10,0),N(Reales!K58)),K$197*IF(AND(AND(6&gt;Corte,6&lt;=Corte+n_Ventana),ISNUMBER(Detalle_24m!K$62)),Detalle_24m!K$62,INDEX(Precio_V,21)*INDEX(IdxPrecio_V,1,MIN(10,K$173)))*(1+V_dPrecio))</f>
        <v>0</v>
      </c>
      <c r="L222" s="48">
        <f>IF(L$8=1,IF(Reales!$C$58="PYG",IF(L$10&gt;0,N(Reales!L58)/L$10,0),N(Reales!L58)),L$197*IF(AND(AND(7&gt;Corte,7&lt;=Corte+n_Ventana),ISNUMBER(Detalle_24m!L$62)),Detalle_24m!L$62,INDEX(Precio_V,21)*INDEX(IdxPrecio_V,1,MIN(10,L$173)))*(1+V_dPrecio))</f>
        <v>0</v>
      </c>
      <c r="M222" s="48">
        <f>IF(M$8=1,IF(Reales!$C$58="PYG",IF(M$10&gt;0,N(Reales!M58)/M$10,0),N(Reales!M58)),M$197*IF(AND(AND(8&gt;Corte,8&lt;=Corte+n_Ventana),ISNUMBER(Detalle_24m!M$62)),Detalle_24m!M$62,INDEX(Precio_V,21)*INDEX(IdxPrecio_V,1,MIN(10,M$173)))*(1+V_dPrecio))</f>
        <v>0</v>
      </c>
      <c r="N222" s="48">
        <f>IF(N$8=1,IF(Reales!$C$58="PYG",IF(N$10&gt;0,N(Reales!N58)/N$10,0),N(Reales!N58)),N$197*IF(AND(AND(9&gt;Corte,9&lt;=Corte+n_Ventana),ISNUMBER(Detalle_24m!N$62)),Detalle_24m!N$62,INDEX(Precio_V,21)*INDEX(IdxPrecio_V,1,MIN(10,N$173)))*(1+V_dPrecio))</f>
        <v>0</v>
      </c>
      <c r="O222" s="48">
        <f>IF(O$8=1,IF(Reales!$C$58="PYG",IF(O$10&gt;0,N(Reales!O58)/O$10,0),N(Reales!O58)),O$197*IF(AND(AND(10&gt;Corte,10&lt;=Corte+n_Ventana),ISNUMBER(Detalle_24m!O$62)),Detalle_24m!O$62,INDEX(Precio_V,21)*INDEX(IdxPrecio_V,1,MIN(10,O$173)))*(1+V_dPrecio))</f>
        <v>0</v>
      </c>
      <c r="P222" s="48">
        <f>IF(P$8=1,IF(Reales!$C$58="PYG",IF(P$10&gt;0,N(Reales!P58)/P$10,0),N(Reales!P58)),P$197*IF(AND(AND(11&gt;Corte,11&lt;=Corte+n_Ventana),ISNUMBER(Detalle_24m!P$62)),Detalle_24m!P$62,INDEX(Precio_V,21)*INDEX(IdxPrecio_V,1,MIN(10,P$173)))*(1+V_dPrecio))</f>
        <v>0</v>
      </c>
      <c r="Q222" s="48">
        <f>IF(Q$8=1,IF(Reales!$C$58="PYG",IF(Q$10&gt;0,N(Reales!Q58)/Q$10,0),N(Reales!Q58)),Q$197*IF(AND(AND(12&gt;Corte,12&lt;=Corte+n_Ventana),ISNUMBER(Detalle_24m!Q$62)),Detalle_24m!Q$62,INDEX(Precio_V,21)*INDEX(IdxPrecio_V,1,MIN(10,Q$173)))*(1+V_dPrecio))</f>
        <v>0</v>
      </c>
      <c r="R222" s="48">
        <f>IF(R$8=1,IF(Reales!$C$58="PYG",IF(R$10&gt;0,N(Reales!R58)/R$10,0),N(Reales!R58)),R$197*IF(AND(AND(13&gt;Corte,13&lt;=Corte+n_Ventana),ISNUMBER(Detalle_24m!R$62)),Detalle_24m!R$62,INDEX(Precio_V,21)*INDEX(IdxPrecio_V,1,MIN(10,R$173)))*(1+V_dPrecio))</f>
        <v>0</v>
      </c>
      <c r="S222" s="48">
        <f>IF(S$8=1,IF(Reales!$C$58="PYG",IF(S$10&gt;0,N(Reales!S58)/S$10,0),N(Reales!S58)),S$197*IF(AND(AND(14&gt;Corte,14&lt;=Corte+n_Ventana),ISNUMBER(Detalle_24m!S$62)),Detalle_24m!S$62,INDEX(Precio_V,21)*INDEX(IdxPrecio_V,1,MIN(10,S$173)))*(1+V_dPrecio))</f>
        <v>0</v>
      </c>
      <c r="T222" s="48">
        <f>IF(T$8=1,IF(Reales!$C$58="PYG",IF(T$10&gt;0,N(Reales!T58)/T$10,0),N(Reales!T58)),T$197*IF(AND(AND(15&gt;Corte,15&lt;=Corte+n_Ventana),ISNUMBER(Detalle_24m!T$62)),Detalle_24m!T$62,INDEX(Precio_V,21)*INDEX(IdxPrecio_V,1,MIN(10,T$173)))*(1+V_dPrecio))</f>
        <v>0</v>
      </c>
      <c r="U222" s="48">
        <f>IF(U$8=1,IF(Reales!$C$58="PYG",IF(U$10&gt;0,N(Reales!U58)/U$10,0),N(Reales!U58)),U$197*IF(AND(AND(16&gt;Corte,16&lt;=Corte+n_Ventana),ISNUMBER(Detalle_24m!U$62)),Detalle_24m!U$62,INDEX(Precio_V,21)*INDEX(IdxPrecio_V,1,MIN(10,U$173)))*(1+V_dPrecio))</f>
        <v>0</v>
      </c>
      <c r="V222" s="48">
        <f>IF(V$8=1,IF(Reales!$C$58="PYG",IF(V$10&gt;0,N(Reales!V58)/V$10,0),N(Reales!V58)),V$197*IF(AND(AND(17&gt;Corte,17&lt;=Corte+n_Ventana),ISNUMBER(Detalle_24m!V$62)),Detalle_24m!V$62,INDEX(Precio_V,21)*INDEX(IdxPrecio_V,1,MIN(10,V$173)))*(1+V_dPrecio))</f>
        <v>0</v>
      </c>
      <c r="W222" s="48">
        <f>IF(W$8=1,IF(Reales!$C$58="PYG",IF(W$10&gt;0,N(Reales!W58)/W$10,0),N(Reales!W58)),W$197*IF(AND(AND(18&gt;Corte,18&lt;=Corte+n_Ventana),ISNUMBER(Detalle_24m!W$62)),Detalle_24m!W$62,INDEX(Precio_V,21)*INDEX(IdxPrecio_V,1,MIN(10,W$173)))*(1+V_dPrecio))</f>
        <v>0</v>
      </c>
      <c r="X222" s="48">
        <f>IF(X$8=1,IF(Reales!$C$58="PYG",IF(X$10&gt;0,N(Reales!X58)/X$10,0),N(Reales!X58)),X$197*IF(AND(AND(19&gt;Corte,19&lt;=Corte+n_Ventana),ISNUMBER(Detalle_24m!X$62)),Detalle_24m!X$62,INDEX(Precio_V,21)*INDEX(IdxPrecio_V,1,MIN(10,X$173)))*(1+V_dPrecio))</f>
        <v>0</v>
      </c>
      <c r="Y222" s="48">
        <f>IF(Y$8=1,IF(Reales!$C$58="PYG",IF(Y$10&gt;0,N(Reales!Y58)/Y$10,0),N(Reales!Y58)),Y$197*IF(AND(AND(20&gt;Corte,20&lt;=Corte+n_Ventana),ISNUMBER(Detalle_24m!Y$62)),Detalle_24m!Y$62,INDEX(Precio_V,21)*INDEX(IdxPrecio_V,1,MIN(10,Y$173)))*(1+V_dPrecio))</f>
        <v>0</v>
      </c>
      <c r="Z222" s="48">
        <f>IF(Z$8=1,IF(Reales!$C$58="PYG",IF(Z$10&gt;0,N(Reales!Z58)/Z$10,0),N(Reales!Z58)),Z$197*IF(AND(AND(21&gt;Corte,21&lt;=Corte+n_Ventana),ISNUMBER(Detalle_24m!Z$62)),Detalle_24m!Z$62,INDEX(Precio_V,21)*INDEX(IdxPrecio_V,1,MIN(10,Z$173)))*(1+V_dPrecio))</f>
        <v>0</v>
      </c>
      <c r="AA222" s="48">
        <f>IF(AA$8=1,IF(Reales!$C$58="PYG",IF(AA$10&gt;0,N(Reales!AA58)/AA$10,0),N(Reales!AA58)),AA$197*IF(AND(AND(22&gt;Corte,22&lt;=Corte+n_Ventana),ISNUMBER(Detalle_24m!AA$62)),Detalle_24m!AA$62,INDEX(Precio_V,21)*INDEX(IdxPrecio_V,1,MIN(10,AA$173)))*(1+V_dPrecio))</f>
        <v>0</v>
      </c>
      <c r="AB222" s="48">
        <f>IF(AB$8=1,IF(Reales!$C$58="PYG",IF(AB$10&gt;0,N(Reales!AB58)/AB$10,0),N(Reales!AB58)),AB$197*IF(AND(AND(23&gt;Corte,23&lt;=Corte+n_Ventana),ISNUMBER(Detalle_24m!AB$62)),Detalle_24m!AB$62,INDEX(Precio_V,21)*INDEX(IdxPrecio_V,1,MIN(10,AB$173)))*(1+V_dPrecio))</f>
        <v>0</v>
      </c>
      <c r="AC222" s="48">
        <f>IF(AC$8=1,IF(Reales!$C$58="PYG",IF(AC$10&gt;0,N(Reales!AC58)/AC$10,0),N(Reales!AC58)),AC$197*IF(AND(AND(24&gt;Corte,24&lt;=Corte+n_Ventana),ISNUMBER(Detalle_24m!AC$62)),Detalle_24m!AC$62,INDEX(Precio_V,21)*INDEX(IdxPrecio_V,1,MIN(10,AC$173)))*(1+V_dPrecio))</f>
        <v>0</v>
      </c>
      <c r="AD222" s="48">
        <f>IF(AD$8=1,IF(Reales!$C$58="PYG",IF(AD$10&gt;0,N(Reales!AD58)/AD$10,0),N(Reales!AD58)),AD$197*IF(AND(AND(25&gt;Corte,25&lt;=Corte+n_Ventana),ISNUMBER(Detalle_24m!AD$62)),Detalle_24m!AD$62,INDEX(Precio_V,21)*INDEX(IdxPrecio_V,1,MIN(10,AD$173)))*(1+V_dPrecio))</f>
        <v>0</v>
      </c>
      <c r="AE222" s="48">
        <f>IF(AE$8=1,IF(Reales!$C$58="PYG",IF(AE$10&gt;0,N(Reales!AE58)/AE$10,0),N(Reales!AE58)),AE$197*IF(AND(AND(26&gt;Corte,26&lt;=Corte+n_Ventana),ISNUMBER(Detalle_24m!AE$62)),Detalle_24m!AE$62,INDEX(Precio_V,21)*INDEX(IdxPrecio_V,1,MIN(10,AE$173)))*(1+V_dPrecio))</f>
        <v>0</v>
      </c>
      <c r="AF222" s="48">
        <f>IF(AF$8=1,IF(Reales!$C$58="PYG",IF(AF$10&gt;0,N(Reales!AF58)/AF$10,0),N(Reales!AF58)),AF$197*IF(AND(AND(27&gt;Corte,27&lt;=Corte+n_Ventana),ISNUMBER(Detalle_24m!AF$62)),Detalle_24m!AF$62,INDEX(Precio_V,21)*INDEX(IdxPrecio_V,1,MIN(10,AF$173)))*(1+V_dPrecio))</f>
        <v>0</v>
      </c>
      <c r="AG222" s="48">
        <f>IF(AG$8=1,IF(Reales!$C$58="PYG",IF(AG$10&gt;0,N(Reales!AG58)/AG$10,0),N(Reales!AG58)),AG$197*IF(AND(AND(28&gt;Corte,28&lt;=Corte+n_Ventana),ISNUMBER(Detalle_24m!AG$62)),Detalle_24m!AG$62,INDEX(Precio_V,21)*INDEX(IdxPrecio_V,1,MIN(10,AG$173)))*(1+V_dPrecio))</f>
        <v>0</v>
      </c>
      <c r="AH222" s="48">
        <f>IF(AH$8=1,IF(Reales!$C$58="PYG",IF(AH$10&gt;0,N(Reales!AH58)/AH$10,0),N(Reales!AH58)),AH$197*IF(AND(AND(29&gt;Corte,29&lt;=Corte+n_Ventana),ISNUMBER(Detalle_24m!AH$62)),Detalle_24m!AH$62,INDEX(Precio_V,21)*INDEX(IdxPrecio_V,1,MIN(10,AH$173)))*(1+V_dPrecio))</f>
        <v>0</v>
      </c>
      <c r="AI222" s="48">
        <f>IF(AI$8=1,IF(Reales!$C$58="PYG",IF(AI$10&gt;0,N(Reales!AI58)/AI$10,0),N(Reales!AI58)),AI$197*IF(AND(AND(30&gt;Corte,30&lt;=Corte+n_Ventana),ISNUMBER(Detalle_24m!AI$62)),Detalle_24m!AI$62,INDEX(Precio_V,21)*INDEX(IdxPrecio_V,1,MIN(10,AI$173)))*(1+V_dPrecio))</f>
        <v>0</v>
      </c>
      <c r="AJ222" s="48">
        <f>IF(AJ$8=1,IF(Reales!$C$58="PYG",IF(AJ$10&gt;0,N(Reales!AJ58)/AJ$10,0),N(Reales!AJ58)),AJ$197*IF(AND(AND(31&gt;Corte,31&lt;=Corte+n_Ventana),ISNUMBER(Detalle_24m!AJ$62)),Detalle_24m!AJ$62,INDEX(Precio_V,21)*INDEX(IdxPrecio_V,1,MIN(10,AJ$173)))*(1+V_dPrecio))</f>
        <v>0</v>
      </c>
      <c r="AK222" s="48">
        <f>IF(AK$8=1,IF(Reales!$C$58="PYG",IF(AK$10&gt;0,N(Reales!AK58)/AK$10,0),N(Reales!AK58)),AK$197*IF(AND(AND(32&gt;Corte,32&lt;=Corte+n_Ventana),ISNUMBER(Detalle_24m!AK$62)),Detalle_24m!AK$62,INDEX(Precio_V,21)*INDEX(IdxPrecio_V,1,MIN(10,AK$173)))*(1+V_dPrecio))</f>
        <v>0</v>
      </c>
      <c r="AL222" s="48">
        <f>IF(AL$8=1,IF(Reales!$C$58="PYG",IF(AL$10&gt;0,N(Reales!AL58)/AL$10,0),N(Reales!AL58)),AL$197*IF(AND(AND(33&gt;Corte,33&lt;=Corte+n_Ventana),ISNUMBER(Detalle_24m!AL$62)),Detalle_24m!AL$62,INDEX(Precio_V,21)*INDEX(IdxPrecio_V,1,MIN(10,AL$173)))*(1+V_dPrecio))</f>
        <v>0</v>
      </c>
      <c r="AM222" s="48">
        <f>IF(AM$8=1,IF(Reales!$C$58="PYG",IF(AM$10&gt;0,N(Reales!AM58)/AM$10,0),N(Reales!AM58)),AM$197*IF(AND(AND(34&gt;Corte,34&lt;=Corte+n_Ventana),ISNUMBER(Detalle_24m!AM$62)),Detalle_24m!AM$62,INDEX(Precio_V,21)*INDEX(IdxPrecio_V,1,MIN(10,AM$173)))*(1+V_dPrecio))</f>
        <v>0</v>
      </c>
      <c r="AN222" s="48">
        <f>IF(AN$8=1,IF(Reales!$C$58="PYG",IF(AN$10&gt;0,N(Reales!AN58)/AN$10,0),N(Reales!AN58)),AN$197*IF(AND(AND(35&gt;Corte,35&lt;=Corte+n_Ventana),ISNUMBER(Detalle_24m!AN$62)),Detalle_24m!AN$62,INDEX(Precio_V,21)*INDEX(IdxPrecio_V,1,MIN(10,AN$173)))*(1+V_dPrecio))</f>
        <v>0</v>
      </c>
      <c r="AO222" s="48">
        <f>IF(AO$8=1,IF(Reales!$C$58="PYG",IF(AO$10&gt;0,N(Reales!AO58)/AO$10,0),N(Reales!AO58)),AO$197*IF(AND(AND(36&gt;Corte,36&lt;=Corte+n_Ventana),ISNUMBER(Detalle_24m!AO$62)),Detalle_24m!AO$62,INDEX(Precio_V,21)*INDEX(IdxPrecio_V,1,MIN(10,AO$173)))*(1+V_dPrecio))</f>
        <v>0</v>
      </c>
      <c r="AP222" s="48">
        <f>IF(AP$8=1,IF(Reales!$C$58="PYG",IF(AP$10&gt;0,N(Reales!AP58)/AP$10,0),N(Reales!AP58)),AP$197*IF(AND(AND(37&gt;Corte,37&lt;=Corte+n_Ventana),ISNUMBER(Detalle_24m!AP$62)),Detalle_24m!AP$62,INDEX(Precio_V,21)*INDEX(IdxPrecio_V,1,MIN(10,AP$173)))*(1+V_dPrecio))</f>
        <v>0</v>
      </c>
      <c r="AQ222" s="48">
        <f>IF(AQ$8=1,IF(Reales!$C$58="PYG",IF(AQ$10&gt;0,N(Reales!AQ58)/AQ$10,0),N(Reales!AQ58)),AQ$197*IF(AND(AND(38&gt;Corte,38&lt;=Corte+n_Ventana),ISNUMBER(Detalle_24m!AQ$62)),Detalle_24m!AQ$62,INDEX(Precio_V,21)*INDEX(IdxPrecio_V,1,MIN(10,AQ$173)))*(1+V_dPrecio))</f>
        <v>0</v>
      </c>
      <c r="AR222" s="48">
        <f>IF(AR$8=1,IF(Reales!$C$58="PYG",IF(AR$10&gt;0,N(Reales!AR58)/AR$10,0),N(Reales!AR58)),AR$197*IF(AND(AND(39&gt;Corte,39&lt;=Corte+n_Ventana),ISNUMBER(Detalle_24m!AR$62)),Detalle_24m!AR$62,INDEX(Precio_V,21)*INDEX(IdxPrecio_V,1,MIN(10,AR$173)))*(1+V_dPrecio))</f>
        <v>0</v>
      </c>
      <c r="AS222" s="48">
        <f>IF(AS$8=1,IF(Reales!$C$58="PYG",IF(AS$10&gt;0,N(Reales!AS58)/AS$10,0),N(Reales!AS58)),AS$197*IF(AND(AND(40&gt;Corte,40&lt;=Corte+n_Ventana),ISNUMBER(Detalle_24m!AS$62)),Detalle_24m!AS$62,INDEX(Precio_V,21)*INDEX(IdxPrecio_V,1,MIN(10,AS$173)))*(1+V_dPrecio))</f>
        <v>0</v>
      </c>
      <c r="AT222" s="48">
        <f>IF(AT$8=1,IF(Reales!$C$58="PYG",IF(AT$10&gt;0,N(Reales!AT58)/AT$10,0),N(Reales!AT58)),AT$197*IF(AND(AND(41&gt;Corte,41&lt;=Corte+n_Ventana),ISNUMBER(Detalle_24m!AT$62)),Detalle_24m!AT$62,INDEX(Precio_V,21)*INDEX(IdxPrecio_V,1,MIN(10,AT$173)))*(1+V_dPrecio))</f>
        <v>0</v>
      </c>
      <c r="AU222" s="48">
        <f>IF(AU$8=1,IF(Reales!$C$58="PYG",IF(AU$10&gt;0,N(Reales!AU58)/AU$10,0),N(Reales!AU58)),AU$197*IF(AND(AND(42&gt;Corte,42&lt;=Corte+n_Ventana),ISNUMBER(Detalle_24m!AU$62)),Detalle_24m!AU$62,INDEX(Precio_V,21)*INDEX(IdxPrecio_V,1,MIN(10,AU$173)))*(1+V_dPrecio))</f>
        <v>0</v>
      </c>
      <c r="AV222" s="48">
        <f>IF(AV$8=1,IF(Reales!$C$58="PYG",IF(AV$10&gt;0,N(Reales!AV58)/AV$10,0),N(Reales!AV58)),AV$197*IF(AND(AND(43&gt;Corte,43&lt;=Corte+n_Ventana),ISNUMBER(Detalle_24m!AV$62)),Detalle_24m!AV$62,INDEX(Precio_V,21)*INDEX(IdxPrecio_V,1,MIN(10,AV$173)))*(1+V_dPrecio))</f>
        <v>0</v>
      </c>
      <c r="AW222" s="48">
        <f>IF(AW$8=1,IF(Reales!$C$58="PYG",IF(AW$10&gt;0,N(Reales!AW58)/AW$10,0),N(Reales!AW58)),AW$197*IF(AND(AND(44&gt;Corte,44&lt;=Corte+n_Ventana),ISNUMBER(Detalle_24m!AW$62)),Detalle_24m!AW$62,INDEX(Precio_V,21)*INDEX(IdxPrecio_V,1,MIN(10,AW$173)))*(1+V_dPrecio))</f>
        <v>0</v>
      </c>
      <c r="AX222" s="48">
        <f>IF(AX$8=1,IF(Reales!$C$58="PYG",IF(AX$10&gt;0,N(Reales!AX58)/AX$10,0),N(Reales!AX58)),AX$197*IF(AND(AND(45&gt;Corte,45&lt;=Corte+n_Ventana),ISNUMBER(Detalle_24m!AX$62)),Detalle_24m!AX$62,INDEX(Precio_V,21)*INDEX(IdxPrecio_V,1,MIN(10,AX$173)))*(1+V_dPrecio))</f>
        <v>0</v>
      </c>
      <c r="AY222" s="48">
        <f>IF(AY$8=1,IF(Reales!$C$58="PYG",IF(AY$10&gt;0,N(Reales!AY58)/AY$10,0),N(Reales!AY58)),AY$197*IF(AND(AND(46&gt;Corte,46&lt;=Corte+n_Ventana),ISNUMBER(Detalle_24m!AY$62)),Detalle_24m!AY$62,INDEX(Precio_V,21)*INDEX(IdxPrecio_V,1,MIN(10,AY$173)))*(1+V_dPrecio))</f>
        <v>0</v>
      </c>
      <c r="AZ222" s="48">
        <f>IF(AZ$8=1,IF(Reales!$C$58="PYG",IF(AZ$10&gt;0,N(Reales!AZ58)/AZ$10,0),N(Reales!AZ58)),AZ$197*IF(AND(AND(47&gt;Corte,47&lt;=Corte+n_Ventana),ISNUMBER(Detalle_24m!AZ$62)),Detalle_24m!AZ$62,INDEX(Precio_V,21)*INDEX(IdxPrecio_V,1,MIN(10,AZ$173)))*(1+V_dPrecio))</f>
        <v>0</v>
      </c>
      <c r="BA222" s="48">
        <f>IF(BA$8=1,IF(Reales!$C$58="PYG",IF(BA$10&gt;0,N(Reales!BA58)/BA$10,0),N(Reales!BA58)),BA$197*IF(AND(AND(48&gt;Corte,48&lt;=Corte+n_Ventana),ISNUMBER(Detalle_24m!BA$62)),Detalle_24m!BA$62,INDEX(Precio_V,21)*INDEX(IdxPrecio_V,1,MIN(10,BA$173)))*(1+V_dPrecio))</f>
        <v>0</v>
      </c>
      <c r="BB222" s="48">
        <f>IF(BB$8=1,IF(Reales!$C$58="PYG",IF(BB$10&gt;0,N(Reales!BB58)/BB$10,0),N(Reales!BB58)),BB$197*IF(AND(AND(49&gt;Corte,49&lt;=Corte+n_Ventana),ISNUMBER(Detalle_24m!BB$62)),Detalle_24m!BB$62,INDEX(Precio_V,21)*INDEX(IdxPrecio_V,1,MIN(10,BB$173)))*(1+V_dPrecio))</f>
        <v>0</v>
      </c>
      <c r="BC222" s="48">
        <f>IF(BC$8=1,IF(Reales!$C$58="PYG",IF(BC$10&gt;0,N(Reales!BC58)/BC$10,0),N(Reales!BC58)),BC$197*IF(AND(AND(50&gt;Corte,50&lt;=Corte+n_Ventana),ISNUMBER(Detalle_24m!BC$62)),Detalle_24m!BC$62,INDEX(Precio_V,21)*INDEX(IdxPrecio_V,1,MIN(10,BC$173)))*(1+V_dPrecio))</f>
        <v>0</v>
      </c>
      <c r="BD222" s="48">
        <f>IF(BD$8=1,IF(Reales!$C$58="PYG",IF(BD$10&gt;0,N(Reales!BD58)/BD$10,0),N(Reales!BD58)),BD$197*IF(AND(AND(51&gt;Corte,51&lt;=Corte+n_Ventana),ISNUMBER(Detalle_24m!BD$62)),Detalle_24m!BD$62,INDEX(Precio_V,21)*INDEX(IdxPrecio_V,1,MIN(10,BD$173)))*(1+V_dPrecio))</f>
        <v>0</v>
      </c>
      <c r="BE222" s="48">
        <f>IF(BE$8=1,IF(Reales!$C$58="PYG",IF(BE$10&gt;0,N(Reales!BE58)/BE$10,0),N(Reales!BE58)),BE$197*IF(AND(AND(52&gt;Corte,52&lt;=Corte+n_Ventana),ISNUMBER(Detalle_24m!BE$62)),Detalle_24m!BE$62,INDEX(Precio_V,21)*INDEX(IdxPrecio_V,1,MIN(10,BE$173)))*(1+V_dPrecio))</f>
        <v>0</v>
      </c>
      <c r="BF222" s="48">
        <f>IF(BF$8=1,IF(Reales!$C$58="PYG",IF(BF$10&gt;0,N(Reales!BF58)/BF$10,0),N(Reales!BF58)),BF$197*IF(AND(AND(53&gt;Corte,53&lt;=Corte+n_Ventana),ISNUMBER(Detalle_24m!BF$62)),Detalle_24m!BF$62,INDEX(Precio_V,21)*INDEX(IdxPrecio_V,1,MIN(10,BF$173)))*(1+V_dPrecio))</f>
        <v>0</v>
      </c>
      <c r="BG222" s="48">
        <f>IF(BG$8=1,IF(Reales!$C$58="PYG",IF(BG$10&gt;0,N(Reales!BG58)/BG$10,0),N(Reales!BG58)),BG$197*IF(AND(AND(54&gt;Corte,54&lt;=Corte+n_Ventana),ISNUMBER(Detalle_24m!BG$62)),Detalle_24m!BG$62,INDEX(Precio_V,21)*INDEX(IdxPrecio_V,1,MIN(10,BG$173)))*(1+V_dPrecio))</f>
        <v>0</v>
      </c>
      <c r="BH222" s="48">
        <f>IF(BH$8=1,IF(Reales!$C$58="PYG",IF(BH$10&gt;0,N(Reales!BH58)/BH$10,0),N(Reales!BH58)),BH$197*IF(AND(AND(55&gt;Corte,55&lt;=Corte+n_Ventana),ISNUMBER(Detalle_24m!BH$62)),Detalle_24m!BH$62,INDEX(Precio_V,21)*INDEX(IdxPrecio_V,1,MIN(10,BH$173)))*(1+V_dPrecio))</f>
        <v>0</v>
      </c>
      <c r="BI222" s="48">
        <f>IF(BI$8=1,IF(Reales!$C$58="PYG",IF(BI$10&gt;0,N(Reales!BI58)/BI$10,0),N(Reales!BI58)),BI$197*IF(AND(AND(56&gt;Corte,56&lt;=Corte+n_Ventana),ISNUMBER(Detalle_24m!BI$62)),Detalle_24m!BI$62,INDEX(Precio_V,21)*INDEX(IdxPrecio_V,1,MIN(10,BI$173)))*(1+V_dPrecio))</f>
        <v>0</v>
      </c>
      <c r="BJ222" s="48">
        <f>IF(BJ$8=1,IF(Reales!$C$58="PYG",IF(BJ$10&gt;0,N(Reales!BJ58)/BJ$10,0),N(Reales!BJ58)),BJ$197*IF(AND(AND(57&gt;Corte,57&lt;=Corte+n_Ventana),ISNUMBER(Detalle_24m!BJ$62)),Detalle_24m!BJ$62,INDEX(Precio_V,21)*INDEX(IdxPrecio_V,1,MIN(10,BJ$173)))*(1+V_dPrecio))</f>
        <v>0</v>
      </c>
      <c r="BK222" s="48">
        <f>IF(BK$8=1,IF(Reales!$C$58="PYG",IF(BK$10&gt;0,N(Reales!BK58)/BK$10,0),N(Reales!BK58)),BK$197*IF(AND(AND(58&gt;Corte,58&lt;=Corte+n_Ventana),ISNUMBER(Detalle_24m!BK$62)),Detalle_24m!BK$62,INDEX(Precio_V,21)*INDEX(IdxPrecio_V,1,MIN(10,BK$173)))*(1+V_dPrecio))</f>
        <v>0</v>
      </c>
      <c r="BL222" s="48">
        <f>IF(BL$8=1,IF(Reales!$C$58="PYG",IF(BL$10&gt;0,N(Reales!BL58)/BL$10,0),N(Reales!BL58)),BL$197*IF(AND(AND(59&gt;Corte,59&lt;=Corte+n_Ventana),ISNUMBER(Detalle_24m!BL$62)),Detalle_24m!BL$62,INDEX(Precio_V,21)*INDEX(IdxPrecio_V,1,MIN(10,BL$173)))*(1+V_dPrecio))</f>
        <v>0</v>
      </c>
      <c r="BM222" s="48">
        <f>IF(BM$8=1,IF(Reales!$C$58="PYG",IF(BM$10&gt;0,N(Reales!BM58)/BM$10,0),N(Reales!BM58)),BM$197*IF(AND(AND(60&gt;Corte,60&lt;=Corte+n_Ventana),ISNUMBER(Detalle_24m!BM$62)),Detalle_24m!BM$62,INDEX(Precio_V,21)*INDEX(IdxPrecio_V,1,MIN(10,BM$173)))*(1+V_dPrecio))</f>
        <v>0</v>
      </c>
      <c r="BN222" s="48">
        <f>IF(BN$8=1,IF(Reales!$C$58="PYG",IF(BN$10&gt;0,N(Reales!BN58)/BN$10,0),N(Reales!BN58)),BN$197*IF(AND(AND(61&gt;Corte,61&lt;=Corte+n_Ventana),ISNUMBER(Detalle_24m!BN$62)),Detalle_24m!BN$62,INDEX(Precio_V,21)*INDEX(IdxPrecio_V,1,MIN(10,BN$173)))*(1+V_dPrecio))</f>
        <v>0</v>
      </c>
      <c r="BO222" s="48">
        <f>IF(BO$8=1,IF(Reales!$C$58="PYG",IF(BO$10&gt;0,N(Reales!BO58)/BO$10,0),N(Reales!BO58)),BO$197*IF(AND(AND(62&gt;Corte,62&lt;=Corte+n_Ventana),ISNUMBER(Detalle_24m!BO$62)),Detalle_24m!BO$62,INDEX(Precio_V,21)*INDEX(IdxPrecio_V,1,MIN(10,BO$173)))*(1+V_dPrecio))</f>
        <v>0</v>
      </c>
      <c r="BP222" s="48">
        <f>IF(BP$8=1,IF(Reales!$C$58="PYG",IF(BP$10&gt;0,N(Reales!BP58)/BP$10,0),N(Reales!BP58)),BP$197*IF(AND(AND(63&gt;Corte,63&lt;=Corte+n_Ventana),ISNUMBER(Detalle_24m!BP$62)),Detalle_24m!BP$62,INDEX(Precio_V,21)*INDEX(IdxPrecio_V,1,MIN(10,BP$173)))*(1+V_dPrecio))</f>
        <v>0</v>
      </c>
      <c r="BQ222" s="48">
        <f>IF(BQ$8=1,IF(Reales!$C$58="PYG",IF(BQ$10&gt;0,N(Reales!BQ58)/BQ$10,0),N(Reales!BQ58)),BQ$197*IF(AND(AND(64&gt;Corte,64&lt;=Corte+n_Ventana),ISNUMBER(Detalle_24m!BQ$62)),Detalle_24m!BQ$62,INDEX(Precio_V,21)*INDEX(IdxPrecio_V,1,MIN(10,BQ$173)))*(1+V_dPrecio))</f>
        <v>0</v>
      </c>
      <c r="BR222" s="48">
        <f>IF(BR$8=1,IF(Reales!$C$58="PYG",IF(BR$10&gt;0,N(Reales!BR58)/BR$10,0),N(Reales!BR58)),BR$197*IF(AND(AND(65&gt;Corte,65&lt;=Corte+n_Ventana),ISNUMBER(Detalle_24m!BR$62)),Detalle_24m!BR$62,INDEX(Precio_V,21)*INDEX(IdxPrecio_V,1,MIN(10,BR$173)))*(1+V_dPrecio))</f>
        <v>0</v>
      </c>
      <c r="BS222" s="48">
        <f>IF(BS$8=1,IF(Reales!$C$58="PYG",IF(BS$10&gt;0,N(Reales!BS58)/BS$10,0),N(Reales!BS58)),BS$197*IF(AND(AND(66&gt;Corte,66&lt;=Corte+n_Ventana),ISNUMBER(Detalle_24m!BS$62)),Detalle_24m!BS$62,INDEX(Precio_V,21)*INDEX(IdxPrecio_V,1,MIN(10,BS$173)))*(1+V_dPrecio))</f>
        <v>0</v>
      </c>
      <c r="BT222" s="48">
        <f>IF(BT$8=1,IF(Reales!$C$58="PYG",IF(BT$10&gt;0,N(Reales!BT58)/BT$10,0),N(Reales!BT58)),BT$197*IF(AND(AND(67&gt;Corte,67&lt;=Corte+n_Ventana),ISNUMBER(Detalle_24m!BT$62)),Detalle_24m!BT$62,INDEX(Precio_V,21)*INDEX(IdxPrecio_V,1,MIN(10,BT$173)))*(1+V_dPrecio))</f>
        <v>0</v>
      </c>
      <c r="BU222" s="48">
        <f>IF(BU$8=1,IF(Reales!$C$58="PYG",IF(BU$10&gt;0,N(Reales!BU58)/BU$10,0),N(Reales!BU58)),BU$197*IF(AND(AND(68&gt;Corte,68&lt;=Corte+n_Ventana),ISNUMBER(Detalle_24m!BU$62)),Detalle_24m!BU$62,INDEX(Precio_V,21)*INDEX(IdxPrecio_V,1,MIN(10,BU$173)))*(1+V_dPrecio))</f>
        <v>0</v>
      </c>
      <c r="BV222" s="48">
        <f>IF(BV$8=1,IF(Reales!$C$58="PYG",IF(BV$10&gt;0,N(Reales!BV58)/BV$10,0),N(Reales!BV58)),BV$197*IF(AND(AND(69&gt;Corte,69&lt;=Corte+n_Ventana),ISNUMBER(Detalle_24m!BV$62)),Detalle_24m!BV$62,INDEX(Precio_V,21)*INDEX(IdxPrecio_V,1,MIN(10,BV$173)))*(1+V_dPrecio))</f>
        <v>0</v>
      </c>
      <c r="BW222" s="48">
        <f>IF(BW$8=1,IF(Reales!$C$58="PYG",IF(BW$10&gt;0,N(Reales!BW58)/BW$10,0),N(Reales!BW58)),BW$197*IF(AND(AND(70&gt;Corte,70&lt;=Corte+n_Ventana),ISNUMBER(Detalle_24m!BW$62)),Detalle_24m!BW$62,INDEX(Precio_V,21)*INDEX(IdxPrecio_V,1,MIN(10,BW$173)))*(1+V_dPrecio))</f>
        <v>0</v>
      </c>
      <c r="BX222" s="48">
        <f>IF(BX$8=1,IF(Reales!$C$58="PYG",IF(BX$10&gt;0,N(Reales!BX58)/BX$10,0),N(Reales!BX58)),BX$197*IF(AND(AND(71&gt;Corte,71&lt;=Corte+n_Ventana),ISNUMBER(Detalle_24m!BX$62)),Detalle_24m!BX$62,INDEX(Precio_V,21)*INDEX(IdxPrecio_V,1,MIN(10,BX$173)))*(1+V_dPrecio))</f>
        <v>0</v>
      </c>
      <c r="BY222" s="48">
        <f>IF(BY$8=1,IF(Reales!$C$58="PYG",IF(BY$10&gt;0,N(Reales!BY58)/BY$10,0),N(Reales!BY58)),BY$197*IF(AND(AND(72&gt;Corte,72&lt;=Corte+n_Ventana),ISNUMBER(Detalle_24m!BY$62)),Detalle_24m!BY$62,INDEX(Precio_V,21)*INDEX(IdxPrecio_V,1,MIN(10,BY$173)))*(1+V_dPrecio))</f>
        <v>0</v>
      </c>
      <c r="BZ222" s="48">
        <f>IF(BZ$8=1,IF(Reales!$C$58="PYG",IF(BZ$10&gt;0,N(Reales!BZ58)/BZ$10,0),N(Reales!BZ58)),BZ$197*IF(AND(AND(73&gt;Corte,73&lt;=Corte+n_Ventana),ISNUMBER(Detalle_24m!BZ$62)),Detalle_24m!BZ$62,INDEX(Precio_V,21)*INDEX(IdxPrecio_V,1,MIN(10,BZ$173)))*(1+V_dPrecio))</f>
        <v>0</v>
      </c>
      <c r="CA222" s="48">
        <f>IF(CA$8=1,IF(Reales!$C$58="PYG",IF(CA$10&gt;0,N(Reales!CA58)/CA$10,0),N(Reales!CA58)),CA$197*IF(AND(AND(74&gt;Corte,74&lt;=Corte+n_Ventana),ISNUMBER(Detalle_24m!CA$62)),Detalle_24m!CA$62,INDEX(Precio_V,21)*INDEX(IdxPrecio_V,1,MIN(10,CA$173)))*(1+V_dPrecio))</f>
        <v>0</v>
      </c>
      <c r="CB222" s="48">
        <f>IF(CB$8=1,IF(Reales!$C$58="PYG",IF(CB$10&gt;0,N(Reales!CB58)/CB$10,0),N(Reales!CB58)),CB$197*IF(AND(AND(75&gt;Corte,75&lt;=Corte+n_Ventana),ISNUMBER(Detalle_24m!CB$62)),Detalle_24m!CB$62,INDEX(Precio_V,21)*INDEX(IdxPrecio_V,1,MIN(10,CB$173)))*(1+V_dPrecio))</f>
        <v>0</v>
      </c>
      <c r="CC222" s="48">
        <f>IF(CC$8=1,IF(Reales!$C$58="PYG",IF(CC$10&gt;0,N(Reales!CC58)/CC$10,0),N(Reales!CC58)),CC$197*IF(AND(AND(76&gt;Corte,76&lt;=Corte+n_Ventana),ISNUMBER(Detalle_24m!CC$62)),Detalle_24m!CC$62,INDEX(Precio_V,21)*INDEX(IdxPrecio_V,1,MIN(10,CC$173)))*(1+V_dPrecio))</f>
        <v>0</v>
      </c>
      <c r="CD222" s="48">
        <f>IF(CD$8=1,IF(Reales!$C$58="PYG",IF(CD$10&gt;0,N(Reales!CD58)/CD$10,0),N(Reales!CD58)),CD$197*IF(AND(AND(77&gt;Corte,77&lt;=Corte+n_Ventana),ISNUMBER(Detalle_24m!CD$62)),Detalle_24m!CD$62,INDEX(Precio_V,21)*INDEX(IdxPrecio_V,1,MIN(10,CD$173)))*(1+V_dPrecio))</f>
        <v>0</v>
      </c>
      <c r="CE222" s="48">
        <f>IF(CE$8=1,IF(Reales!$C$58="PYG",IF(CE$10&gt;0,N(Reales!CE58)/CE$10,0),N(Reales!CE58)),CE$197*IF(AND(AND(78&gt;Corte,78&lt;=Corte+n_Ventana),ISNUMBER(Detalle_24m!CE$62)),Detalle_24m!CE$62,INDEX(Precio_V,21)*INDEX(IdxPrecio_V,1,MIN(10,CE$173)))*(1+V_dPrecio))</f>
        <v>0</v>
      </c>
      <c r="CF222" s="48">
        <f>IF(CF$8=1,IF(Reales!$C$58="PYG",IF(CF$10&gt;0,N(Reales!CF58)/CF$10,0),N(Reales!CF58)),CF$197*IF(AND(AND(79&gt;Corte,79&lt;=Corte+n_Ventana),ISNUMBER(Detalle_24m!CF$62)),Detalle_24m!CF$62,INDEX(Precio_V,21)*INDEX(IdxPrecio_V,1,MIN(10,CF$173)))*(1+V_dPrecio))</f>
        <v>0</v>
      </c>
      <c r="CG222" s="48">
        <f>IF(CG$8=1,IF(Reales!$C$58="PYG",IF(CG$10&gt;0,N(Reales!CG58)/CG$10,0),N(Reales!CG58)),CG$197*IF(AND(AND(80&gt;Corte,80&lt;=Corte+n_Ventana),ISNUMBER(Detalle_24m!CG$62)),Detalle_24m!CG$62,INDEX(Precio_V,21)*INDEX(IdxPrecio_V,1,MIN(10,CG$173)))*(1+V_dPrecio))</f>
        <v>0</v>
      </c>
      <c r="CH222" s="48">
        <f>IF(CH$8=1,IF(Reales!$C$58="PYG",IF(CH$10&gt;0,N(Reales!CH58)/CH$10,0),N(Reales!CH58)),CH$197*IF(AND(AND(81&gt;Corte,81&lt;=Corte+n_Ventana),ISNUMBER(Detalle_24m!CH$62)),Detalle_24m!CH$62,INDEX(Precio_V,21)*INDEX(IdxPrecio_V,1,MIN(10,CH$173)))*(1+V_dPrecio))</f>
        <v>0</v>
      </c>
      <c r="CI222" s="48">
        <f>IF(CI$8=1,IF(Reales!$C$58="PYG",IF(CI$10&gt;0,N(Reales!CI58)/CI$10,0),N(Reales!CI58)),CI$197*IF(AND(AND(82&gt;Corte,82&lt;=Corte+n_Ventana),ISNUMBER(Detalle_24m!CI$62)),Detalle_24m!CI$62,INDEX(Precio_V,21)*INDEX(IdxPrecio_V,1,MIN(10,CI$173)))*(1+V_dPrecio))</f>
        <v>0</v>
      </c>
      <c r="CJ222" s="48">
        <f>IF(CJ$8=1,IF(Reales!$C$58="PYG",IF(CJ$10&gt;0,N(Reales!CJ58)/CJ$10,0),N(Reales!CJ58)),CJ$197*IF(AND(AND(83&gt;Corte,83&lt;=Corte+n_Ventana),ISNUMBER(Detalle_24m!CJ$62)),Detalle_24m!CJ$62,INDEX(Precio_V,21)*INDEX(IdxPrecio_V,1,MIN(10,CJ$173)))*(1+V_dPrecio))</f>
        <v>0</v>
      </c>
      <c r="CK222" s="48">
        <f>IF(CK$8=1,IF(Reales!$C$58="PYG",IF(CK$10&gt;0,N(Reales!CK58)/CK$10,0),N(Reales!CK58)),CK$197*IF(AND(AND(84&gt;Corte,84&lt;=Corte+n_Ventana),ISNUMBER(Detalle_24m!CK$62)),Detalle_24m!CK$62,INDEX(Precio_V,21)*INDEX(IdxPrecio_V,1,MIN(10,CK$173)))*(1+V_dPrecio))</f>
        <v>0</v>
      </c>
      <c r="CL222" s="48">
        <f>IF(CL$8=1,IF(Reales!$C$58="PYG",IF(CL$10&gt;0,N(Reales!CL58)/CL$10,0),N(Reales!CL58)),CL$197*IF(AND(AND(85&gt;Corte,85&lt;=Corte+n_Ventana),ISNUMBER(Detalle_24m!CL$62)),Detalle_24m!CL$62,INDEX(Precio_V,21)*INDEX(IdxPrecio_V,1,MIN(10,CL$173)))*(1+V_dPrecio))</f>
        <v>0</v>
      </c>
      <c r="CM222" s="48">
        <f>IF(CM$8=1,IF(Reales!$C$58="PYG",IF(CM$10&gt;0,N(Reales!CM58)/CM$10,0),N(Reales!CM58)),CM$197*IF(AND(AND(86&gt;Corte,86&lt;=Corte+n_Ventana),ISNUMBER(Detalle_24m!CM$62)),Detalle_24m!CM$62,INDEX(Precio_V,21)*INDEX(IdxPrecio_V,1,MIN(10,CM$173)))*(1+V_dPrecio))</f>
        <v>0</v>
      </c>
      <c r="CN222" s="48">
        <f>IF(CN$8=1,IF(Reales!$C$58="PYG",IF(CN$10&gt;0,N(Reales!CN58)/CN$10,0),N(Reales!CN58)),CN$197*IF(AND(AND(87&gt;Corte,87&lt;=Corte+n_Ventana),ISNUMBER(Detalle_24m!CN$62)),Detalle_24m!CN$62,INDEX(Precio_V,21)*INDEX(IdxPrecio_V,1,MIN(10,CN$173)))*(1+V_dPrecio))</f>
        <v>0</v>
      </c>
      <c r="CO222" s="48">
        <f>IF(CO$8=1,IF(Reales!$C$58="PYG",IF(CO$10&gt;0,N(Reales!CO58)/CO$10,0),N(Reales!CO58)),CO$197*IF(AND(AND(88&gt;Corte,88&lt;=Corte+n_Ventana),ISNUMBER(Detalle_24m!CO$62)),Detalle_24m!CO$62,INDEX(Precio_V,21)*INDEX(IdxPrecio_V,1,MIN(10,CO$173)))*(1+V_dPrecio))</f>
        <v>0</v>
      </c>
      <c r="CP222" s="48">
        <f>IF(CP$8=1,IF(Reales!$C$58="PYG",IF(CP$10&gt;0,N(Reales!CP58)/CP$10,0),N(Reales!CP58)),CP$197*IF(AND(AND(89&gt;Corte,89&lt;=Corte+n_Ventana),ISNUMBER(Detalle_24m!CP$62)),Detalle_24m!CP$62,INDEX(Precio_V,21)*INDEX(IdxPrecio_V,1,MIN(10,CP$173)))*(1+V_dPrecio))</f>
        <v>0</v>
      </c>
      <c r="CQ222" s="48">
        <f>IF(CQ$8=1,IF(Reales!$C$58="PYG",IF(CQ$10&gt;0,N(Reales!CQ58)/CQ$10,0),N(Reales!CQ58)),CQ$197*IF(AND(AND(90&gt;Corte,90&lt;=Corte+n_Ventana),ISNUMBER(Detalle_24m!CQ$62)),Detalle_24m!CQ$62,INDEX(Precio_V,21)*INDEX(IdxPrecio_V,1,MIN(10,CQ$173)))*(1+V_dPrecio))</f>
        <v>0</v>
      </c>
      <c r="CR222" s="48">
        <f>IF(CR$8=1,IF(Reales!$C$58="PYG",IF(CR$10&gt;0,N(Reales!CR58)/CR$10,0),N(Reales!CR58)),CR$197*IF(AND(AND(91&gt;Corte,91&lt;=Corte+n_Ventana),ISNUMBER(Detalle_24m!CR$62)),Detalle_24m!CR$62,INDEX(Precio_V,21)*INDEX(IdxPrecio_V,1,MIN(10,CR$173)))*(1+V_dPrecio))</f>
        <v>0</v>
      </c>
      <c r="CS222" s="48">
        <f>IF(CS$8=1,IF(Reales!$C$58="PYG",IF(CS$10&gt;0,N(Reales!CS58)/CS$10,0),N(Reales!CS58)),CS$197*IF(AND(AND(92&gt;Corte,92&lt;=Corte+n_Ventana),ISNUMBER(Detalle_24m!CS$62)),Detalle_24m!CS$62,INDEX(Precio_V,21)*INDEX(IdxPrecio_V,1,MIN(10,CS$173)))*(1+V_dPrecio))</f>
        <v>0</v>
      </c>
      <c r="CT222" s="48">
        <f>IF(CT$8=1,IF(Reales!$C$58="PYG",IF(CT$10&gt;0,N(Reales!CT58)/CT$10,0),N(Reales!CT58)),CT$197*IF(AND(AND(93&gt;Corte,93&lt;=Corte+n_Ventana),ISNUMBER(Detalle_24m!CT$62)),Detalle_24m!CT$62,INDEX(Precio_V,21)*INDEX(IdxPrecio_V,1,MIN(10,CT$173)))*(1+V_dPrecio))</f>
        <v>0</v>
      </c>
      <c r="CU222" s="48">
        <f>IF(CU$8=1,IF(Reales!$C$58="PYG",IF(CU$10&gt;0,N(Reales!CU58)/CU$10,0),N(Reales!CU58)),CU$197*IF(AND(AND(94&gt;Corte,94&lt;=Corte+n_Ventana),ISNUMBER(Detalle_24m!CU$62)),Detalle_24m!CU$62,INDEX(Precio_V,21)*INDEX(IdxPrecio_V,1,MIN(10,CU$173)))*(1+V_dPrecio))</f>
        <v>0</v>
      </c>
      <c r="CV222" s="48">
        <f>IF(CV$8=1,IF(Reales!$C$58="PYG",IF(CV$10&gt;0,N(Reales!CV58)/CV$10,0),N(Reales!CV58)),CV$197*IF(AND(AND(95&gt;Corte,95&lt;=Corte+n_Ventana),ISNUMBER(Detalle_24m!CV$62)),Detalle_24m!CV$62,INDEX(Precio_V,21)*INDEX(IdxPrecio_V,1,MIN(10,CV$173)))*(1+V_dPrecio))</f>
        <v>0</v>
      </c>
      <c r="CW222" s="48">
        <f>IF(CW$8=1,IF(Reales!$C$58="PYG",IF(CW$10&gt;0,N(Reales!CW58)/CW$10,0),N(Reales!CW58)),CW$197*IF(AND(AND(96&gt;Corte,96&lt;=Corte+n_Ventana),ISNUMBER(Detalle_24m!CW$62)),Detalle_24m!CW$62,INDEX(Precio_V,21)*INDEX(IdxPrecio_V,1,MIN(10,CW$173)))*(1+V_dPrecio))</f>
        <v>0</v>
      </c>
      <c r="CX222" s="48">
        <f>IF(CX$8=1,IF(Reales!$C$58="PYG",IF(CX$10&gt;0,N(Reales!CX58)/CX$10,0),N(Reales!CX58)),CX$197*IF(AND(AND(97&gt;Corte,97&lt;=Corte+n_Ventana),ISNUMBER(Detalle_24m!CX$62)),Detalle_24m!CX$62,INDEX(Precio_V,21)*INDEX(IdxPrecio_V,1,MIN(10,CX$173)))*(1+V_dPrecio))</f>
        <v>0</v>
      </c>
      <c r="CY222" s="48">
        <f>IF(CY$8=1,IF(Reales!$C$58="PYG",IF(CY$10&gt;0,N(Reales!CY58)/CY$10,0),N(Reales!CY58)),CY$197*IF(AND(AND(98&gt;Corte,98&lt;=Corte+n_Ventana),ISNUMBER(Detalle_24m!CY$62)),Detalle_24m!CY$62,INDEX(Precio_V,21)*INDEX(IdxPrecio_V,1,MIN(10,CY$173)))*(1+V_dPrecio))</f>
        <v>0</v>
      </c>
      <c r="CZ222" s="48">
        <f>IF(CZ$8=1,IF(Reales!$C$58="PYG",IF(CZ$10&gt;0,N(Reales!CZ58)/CZ$10,0),N(Reales!CZ58)),CZ$197*IF(AND(AND(99&gt;Corte,99&lt;=Corte+n_Ventana),ISNUMBER(Detalle_24m!CZ$62)),Detalle_24m!CZ$62,INDEX(Precio_V,21)*INDEX(IdxPrecio_V,1,MIN(10,CZ$173)))*(1+V_dPrecio))</f>
        <v>0</v>
      </c>
      <c r="DA222" s="48">
        <f>IF(DA$8=1,IF(Reales!$C$58="PYG",IF(DA$10&gt;0,N(Reales!DA58)/DA$10,0),N(Reales!DA58)),DA$197*IF(AND(AND(100&gt;Corte,100&lt;=Corte+n_Ventana),ISNUMBER(Detalle_24m!DA$62)),Detalle_24m!DA$62,INDEX(Precio_V,21)*INDEX(IdxPrecio_V,1,MIN(10,DA$173)))*(1+V_dPrecio))</f>
        <v>0</v>
      </c>
      <c r="DB222" s="48">
        <f>IF(DB$8=1,IF(Reales!$C$58="PYG",IF(DB$10&gt;0,N(Reales!DB58)/DB$10,0),N(Reales!DB58)),DB$197*IF(AND(AND(101&gt;Corte,101&lt;=Corte+n_Ventana),ISNUMBER(Detalle_24m!DB$62)),Detalle_24m!DB$62,INDEX(Precio_V,21)*INDEX(IdxPrecio_V,1,MIN(10,DB$173)))*(1+V_dPrecio))</f>
        <v>0</v>
      </c>
      <c r="DC222" s="48">
        <f>IF(DC$8=1,IF(Reales!$C$58="PYG",IF(DC$10&gt;0,N(Reales!DC58)/DC$10,0),N(Reales!DC58)),DC$197*IF(AND(AND(102&gt;Corte,102&lt;=Corte+n_Ventana),ISNUMBER(Detalle_24m!DC$62)),Detalle_24m!DC$62,INDEX(Precio_V,21)*INDEX(IdxPrecio_V,1,MIN(10,DC$173)))*(1+V_dPrecio))</f>
        <v>0</v>
      </c>
      <c r="DD222" s="48">
        <f>IF(DD$8=1,IF(Reales!$C$58="PYG",IF(DD$10&gt;0,N(Reales!DD58)/DD$10,0),N(Reales!DD58)),DD$197*IF(AND(AND(103&gt;Corte,103&lt;=Corte+n_Ventana),ISNUMBER(Detalle_24m!DD$62)),Detalle_24m!DD$62,INDEX(Precio_V,21)*INDEX(IdxPrecio_V,1,MIN(10,DD$173)))*(1+V_dPrecio))</f>
        <v>0</v>
      </c>
      <c r="DE222" s="48">
        <f>IF(DE$8=1,IF(Reales!$C$58="PYG",IF(DE$10&gt;0,N(Reales!DE58)/DE$10,0),N(Reales!DE58)),DE$197*IF(AND(AND(104&gt;Corte,104&lt;=Corte+n_Ventana),ISNUMBER(Detalle_24m!DE$62)),Detalle_24m!DE$62,INDEX(Precio_V,21)*INDEX(IdxPrecio_V,1,MIN(10,DE$173)))*(1+V_dPrecio))</f>
        <v>0</v>
      </c>
      <c r="DF222" s="48">
        <f>IF(DF$8=1,IF(Reales!$C$58="PYG",IF(DF$10&gt;0,N(Reales!DF58)/DF$10,0),N(Reales!DF58)),DF$197*IF(AND(AND(105&gt;Corte,105&lt;=Corte+n_Ventana),ISNUMBER(Detalle_24m!DF$62)),Detalle_24m!DF$62,INDEX(Precio_V,21)*INDEX(IdxPrecio_V,1,MIN(10,DF$173)))*(1+V_dPrecio))</f>
        <v>0</v>
      </c>
      <c r="DG222" s="48">
        <f>IF(DG$8=1,IF(Reales!$C$58="PYG",IF(DG$10&gt;0,N(Reales!DG58)/DG$10,0),N(Reales!DG58)),DG$197*IF(AND(AND(106&gt;Corte,106&lt;=Corte+n_Ventana),ISNUMBER(Detalle_24m!DG$62)),Detalle_24m!DG$62,INDEX(Precio_V,21)*INDEX(IdxPrecio_V,1,MIN(10,DG$173)))*(1+V_dPrecio))</f>
        <v>0</v>
      </c>
      <c r="DH222" s="48">
        <f>IF(DH$8=1,IF(Reales!$C$58="PYG",IF(DH$10&gt;0,N(Reales!DH58)/DH$10,0),N(Reales!DH58)),DH$197*IF(AND(AND(107&gt;Corte,107&lt;=Corte+n_Ventana),ISNUMBER(Detalle_24m!DH$62)),Detalle_24m!DH$62,INDEX(Precio_V,21)*INDEX(IdxPrecio_V,1,MIN(10,DH$173)))*(1+V_dPrecio))</f>
        <v>0</v>
      </c>
      <c r="DI222" s="48">
        <f>IF(DI$8=1,IF(Reales!$C$58="PYG",IF(DI$10&gt;0,N(Reales!DI58)/DI$10,0),N(Reales!DI58)),DI$197*IF(AND(AND(108&gt;Corte,108&lt;=Corte+n_Ventana),ISNUMBER(Detalle_24m!DI$62)),Detalle_24m!DI$62,INDEX(Precio_V,21)*INDEX(IdxPrecio_V,1,MIN(10,DI$173)))*(1+V_dPrecio))</f>
        <v>0</v>
      </c>
      <c r="DJ222" s="48">
        <f>IF(DJ$8=1,IF(Reales!$C$58="PYG",IF(DJ$10&gt;0,N(Reales!DJ58)/DJ$10,0),N(Reales!DJ58)),DJ$197*IF(AND(AND(109&gt;Corte,109&lt;=Corte+n_Ventana),ISNUMBER(Detalle_24m!DJ$62)),Detalle_24m!DJ$62,INDEX(Precio_V,21)*INDEX(IdxPrecio_V,1,MIN(10,DJ$173)))*(1+V_dPrecio))</f>
        <v>0</v>
      </c>
      <c r="DK222" s="48">
        <f>IF(DK$8=1,IF(Reales!$C$58="PYG",IF(DK$10&gt;0,N(Reales!DK58)/DK$10,0),N(Reales!DK58)),DK$197*IF(AND(AND(110&gt;Corte,110&lt;=Corte+n_Ventana),ISNUMBER(Detalle_24m!DK$62)),Detalle_24m!DK$62,INDEX(Precio_V,21)*INDEX(IdxPrecio_V,1,MIN(10,DK$173)))*(1+V_dPrecio))</f>
        <v>0</v>
      </c>
      <c r="DL222" s="48">
        <f>IF(DL$8=1,IF(Reales!$C$58="PYG",IF(DL$10&gt;0,N(Reales!DL58)/DL$10,0),N(Reales!DL58)),DL$197*IF(AND(AND(111&gt;Corte,111&lt;=Corte+n_Ventana),ISNUMBER(Detalle_24m!DL$62)),Detalle_24m!DL$62,INDEX(Precio_V,21)*INDEX(IdxPrecio_V,1,MIN(10,DL$173)))*(1+V_dPrecio))</f>
        <v>0</v>
      </c>
      <c r="DM222" s="48">
        <f>IF(DM$8=1,IF(Reales!$C$58="PYG",IF(DM$10&gt;0,N(Reales!DM58)/DM$10,0),N(Reales!DM58)),DM$197*IF(AND(AND(112&gt;Corte,112&lt;=Corte+n_Ventana),ISNUMBER(Detalle_24m!DM$62)),Detalle_24m!DM$62,INDEX(Precio_V,21)*INDEX(IdxPrecio_V,1,MIN(10,DM$173)))*(1+V_dPrecio))</f>
        <v>0</v>
      </c>
      <c r="DN222" s="48">
        <f>IF(DN$8=1,IF(Reales!$C$58="PYG",IF(DN$10&gt;0,N(Reales!DN58)/DN$10,0),N(Reales!DN58)),DN$197*IF(AND(AND(113&gt;Corte,113&lt;=Corte+n_Ventana),ISNUMBER(Detalle_24m!DN$62)),Detalle_24m!DN$62,INDEX(Precio_V,21)*INDEX(IdxPrecio_V,1,MIN(10,DN$173)))*(1+V_dPrecio))</f>
        <v>0</v>
      </c>
      <c r="DO222" s="48">
        <f>IF(DO$8=1,IF(Reales!$C$58="PYG",IF(DO$10&gt;0,N(Reales!DO58)/DO$10,0),N(Reales!DO58)),DO$197*IF(AND(AND(114&gt;Corte,114&lt;=Corte+n_Ventana),ISNUMBER(Detalle_24m!DO$62)),Detalle_24m!DO$62,INDEX(Precio_V,21)*INDEX(IdxPrecio_V,1,MIN(10,DO$173)))*(1+V_dPrecio))</f>
        <v>0</v>
      </c>
      <c r="DP222" s="48">
        <f>IF(DP$8=1,IF(Reales!$C$58="PYG",IF(DP$10&gt;0,N(Reales!DP58)/DP$10,0),N(Reales!DP58)),DP$197*IF(AND(AND(115&gt;Corte,115&lt;=Corte+n_Ventana),ISNUMBER(Detalle_24m!DP$62)),Detalle_24m!DP$62,INDEX(Precio_V,21)*INDEX(IdxPrecio_V,1,MIN(10,DP$173)))*(1+V_dPrecio))</f>
        <v>0</v>
      </c>
      <c r="DQ222" s="48">
        <f>IF(DQ$8=1,IF(Reales!$C$58="PYG",IF(DQ$10&gt;0,N(Reales!DQ58)/DQ$10,0),N(Reales!DQ58)),DQ$197*IF(AND(AND(116&gt;Corte,116&lt;=Corte+n_Ventana),ISNUMBER(Detalle_24m!DQ$62)),Detalle_24m!DQ$62,INDEX(Precio_V,21)*INDEX(IdxPrecio_V,1,MIN(10,DQ$173)))*(1+V_dPrecio))</f>
        <v>0</v>
      </c>
      <c r="DR222" s="48">
        <f>IF(DR$8=1,IF(Reales!$C$58="PYG",IF(DR$10&gt;0,N(Reales!DR58)/DR$10,0),N(Reales!DR58)),DR$197*IF(AND(AND(117&gt;Corte,117&lt;=Corte+n_Ventana),ISNUMBER(Detalle_24m!DR$62)),Detalle_24m!DR$62,INDEX(Precio_V,21)*INDEX(IdxPrecio_V,1,MIN(10,DR$173)))*(1+V_dPrecio))</f>
        <v>0</v>
      </c>
      <c r="DS222" s="48">
        <f>IF(DS$8=1,IF(Reales!$C$58="PYG",IF(DS$10&gt;0,N(Reales!DS58)/DS$10,0),N(Reales!DS58)),DS$197*IF(AND(AND(118&gt;Corte,118&lt;=Corte+n_Ventana),ISNUMBER(Detalle_24m!DS$62)),Detalle_24m!DS$62,INDEX(Precio_V,21)*INDEX(IdxPrecio_V,1,MIN(10,DS$173)))*(1+V_dPrecio))</f>
        <v>0</v>
      </c>
      <c r="DT222" s="48">
        <f>IF(DT$8=1,IF(Reales!$C$58="PYG",IF(DT$10&gt;0,N(Reales!DT58)/DT$10,0),N(Reales!DT58)),DT$197*IF(AND(AND(119&gt;Corte,119&lt;=Corte+n_Ventana),ISNUMBER(Detalle_24m!DT$62)),Detalle_24m!DT$62,INDEX(Precio_V,21)*INDEX(IdxPrecio_V,1,MIN(10,DT$173)))*(1+V_dPrecio))</f>
        <v>0</v>
      </c>
      <c r="DU222" s="48">
        <f>IF(DU$8=1,IF(Reales!$C$58="PYG",IF(DU$10&gt;0,N(Reales!DU58)/DU$10,0),N(Reales!DU58)),DU$197*IF(AND(AND(120&gt;Corte,120&lt;=Corte+n_Ventana),ISNUMBER(Detalle_24m!DU$62)),Detalle_24m!DU$62,INDEX(Precio_V,21)*INDEX(IdxPrecio_V,1,MIN(10,DU$173)))*(1+V_dPrecio))</f>
        <v>0</v>
      </c>
      <c r="DV222" s="48">
        <f>IF(DV$8=1,IF(Reales!$C$58="PYG",IF(DV$10&gt;0,N(Reales!DV58)/DV$10,0),N(Reales!DV58)),DV$197*IF(AND(AND(121&gt;Corte,121&lt;=Corte+n_Ventana),ISNUMBER(Detalle_24m!DV$62)),Detalle_24m!DV$62,INDEX(Precio_V,21)*INDEX(IdxPrecio_V,1,MIN(10,DV$173)))*(1+V_dPrecio))</f>
        <v>0</v>
      </c>
      <c r="DW222" s="48">
        <f>IF(DW$8=1,IF(Reales!$C$58="PYG",IF(DW$10&gt;0,N(Reales!DW58)/DW$10,0),N(Reales!DW58)),DW$197*IF(AND(AND(122&gt;Corte,122&lt;=Corte+n_Ventana),ISNUMBER(Detalle_24m!DW$62)),Detalle_24m!DW$62,INDEX(Precio_V,21)*INDEX(IdxPrecio_V,1,MIN(10,DW$173)))*(1+V_dPrecio))</f>
        <v>0</v>
      </c>
      <c r="DX222" s="48">
        <f>IF(DX$8=1,IF(Reales!$C$58="PYG",IF(DX$10&gt;0,N(Reales!DX58)/DX$10,0),N(Reales!DX58)),DX$197*IF(AND(AND(123&gt;Corte,123&lt;=Corte+n_Ventana),ISNUMBER(Detalle_24m!DX$62)),Detalle_24m!DX$62,INDEX(Precio_V,21)*INDEX(IdxPrecio_V,1,MIN(10,DX$173)))*(1+V_dPrecio))</f>
        <v>0</v>
      </c>
      <c r="DY222" s="48">
        <f>IF(DY$8=1,IF(Reales!$C$58="PYG",IF(DY$10&gt;0,N(Reales!DY58)/DY$10,0),N(Reales!DY58)),DY$197*IF(AND(AND(124&gt;Corte,124&lt;=Corte+n_Ventana),ISNUMBER(Detalle_24m!DY$62)),Detalle_24m!DY$62,INDEX(Precio_V,21)*INDEX(IdxPrecio_V,1,MIN(10,DY$173)))*(1+V_dPrecio))</f>
        <v>0</v>
      </c>
      <c r="DZ222" s="48">
        <f>IF(DZ$8=1,IF(Reales!$C$58="PYG",IF(DZ$10&gt;0,N(Reales!DZ58)/DZ$10,0),N(Reales!DZ58)),DZ$197*IF(AND(AND(125&gt;Corte,125&lt;=Corte+n_Ventana),ISNUMBER(Detalle_24m!DZ$62)),Detalle_24m!DZ$62,INDEX(Precio_V,21)*INDEX(IdxPrecio_V,1,MIN(10,DZ$173)))*(1+V_dPrecio))</f>
        <v>0</v>
      </c>
      <c r="EA222" s="48">
        <f>IF(EA$8=1,IF(Reales!$C$58="PYG",IF(EA$10&gt;0,N(Reales!EA58)/EA$10,0),N(Reales!EA58)),EA$197*IF(AND(AND(126&gt;Corte,126&lt;=Corte+n_Ventana),ISNUMBER(Detalle_24m!EA$62)),Detalle_24m!EA$62,INDEX(Precio_V,21)*INDEX(IdxPrecio_V,1,MIN(10,EA$173)))*(1+V_dPrecio))</f>
        <v>0</v>
      </c>
      <c r="EB222" s="48">
        <f>IF(EB$8=1,IF(Reales!$C$58="PYG",IF(EB$10&gt;0,N(Reales!EB58)/EB$10,0),N(Reales!EB58)),EB$197*IF(AND(AND(127&gt;Corte,127&lt;=Corte+n_Ventana),ISNUMBER(Detalle_24m!EB$62)),Detalle_24m!EB$62,INDEX(Precio_V,21)*INDEX(IdxPrecio_V,1,MIN(10,EB$173)))*(1+V_dPrecio))</f>
        <v>0</v>
      </c>
      <c r="EC222" s="48">
        <f>IF(EC$8=1,IF(Reales!$C$58="PYG",IF(EC$10&gt;0,N(Reales!EC58)/EC$10,0),N(Reales!EC58)),EC$197*IF(AND(AND(128&gt;Corte,128&lt;=Corte+n_Ventana),ISNUMBER(Detalle_24m!EC$62)),Detalle_24m!EC$62,INDEX(Precio_V,21)*INDEX(IdxPrecio_V,1,MIN(10,EC$173)))*(1+V_dPrecio))</f>
        <v>0</v>
      </c>
      <c r="ED222" s="48">
        <f>IF(ED$8=1,IF(Reales!$C$58="PYG",IF(ED$10&gt;0,N(Reales!ED58)/ED$10,0),N(Reales!ED58)),ED$197*IF(AND(AND(129&gt;Corte,129&lt;=Corte+n_Ventana),ISNUMBER(Detalle_24m!ED$62)),Detalle_24m!ED$62,INDEX(Precio_V,21)*INDEX(IdxPrecio_V,1,MIN(10,ED$173)))*(1+V_dPrecio))</f>
        <v>0</v>
      </c>
      <c r="EE222" s="48">
        <f>IF(EE$8=1,IF(Reales!$C$58="PYG",IF(EE$10&gt;0,N(Reales!EE58)/EE$10,0),N(Reales!EE58)),EE$197*IF(AND(AND(130&gt;Corte,130&lt;=Corte+n_Ventana),ISNUMBER(Detalle_24m!EE$62)),Detalle_24m!EE$62,INDEX(Precio_V,21)*INDEX(IdxPrecio_V,1,MIN(10,EE$173)))*(1+V_dPrecio))</f>
        <v>0</v>
      </c>
      <c r="EF222" s="48">
        <f>IF(EF$8=1,IF(Reales!$C$58="PYG",IF(EF$10&gt;0,N(Reales!EF58)/EF$10,0),N(Reales!EF58)),EF$197*IF(AND(AND(131&gt;Corte,131&lt;=Corte+n_Ventana),ISNUMBER(Detalle_24m!EF$62)),Detalle_24m!EF$62,INDEX(Precio_V,21)*INDEX(IdxPrecio_V,1,MIN(10,EF$173)))*(1+V_dPrecio))</f>
        <v>0</v>
      </c>
      <c r="EG222" s="48">
        <f>IF(EG$8=1,IF(Reales!$C$58="PYG",IF(EG$10&gt;0,N(Reales!EG58)/EG$10,0),N(Reales!EG58)),EG$197*IF(AND(AND(132&gt;Corte,132&lt;=Corte+n_Ventana),ISNUMBER(Detalle_24m!EG$62)),Detalle_24m!EG$62,INDEX(Precio_V,21)*INDEX(IdxPrecio_V,1,MIN(10,EG$173)))*(1+V_dPrecio))</f>
        <v>0</v>
      </c>
      <c r="EH222" s="48">
        <f>IF(EH$8=1,IF(Reales!$C$58="PYG",IF(EH$10&gt;0,N(Reales!EH58)/EH$10,0),N(Reales!EH58)),EH$197*IF(AND(AND(133&gt;Corte,133&lt;=Corte+n_Ventana),ISNUMBER(Detalle_24m!EH$62)),Detalle_24m!EH$62,INDEX(Precio_V,21)*INDEX(IdxPrecio_V,1,MIN(10,EH$173)))*(1+V_dPrecio))</f>
        <v>0</v>
      </c>
      <c r="EI222" s="48">
        <f>IF(EI$8=1,IF(Reales!$C$58="PYG",IF(EI$10&gt;0,N(Reales!EI58)/EI$10,0),N(Reales!EI58)),EI$197*IF(AND(AND(134&gt;Corte,134&lt;=Corte+n_Ventana),ISNUMBER(Detalle_24m!EI$62)),Detalle_24m!EI$62,INDEX(Precio_V,21)*INDEX(IdxPrecio_V,1,MIN(10,EI$173)))*(1+V_dPrecio))</f>
        <v>0</v>
      </c>
      <c r="EJ222" s="48">
        <f>IF(EJ$8=1,IF(Reales!$C$58="PYG",IF(EJ$10&gt;0,N(Reales!EJ58)/EJ$10,0),N(Reales!EJ58)),EJ$197*IF(AND(AND(135&gt;Corte,135&lt;=Corte+n_Ventana),ISNUMBER(Detalle_24m!EJ$62)),Detalle_24m!EJ$62,INDEX(Precio_V,21)*INDEX(IdxPrecio_V,1,MIN(10,EJ$173)))*(1+V_dPrecio))</f>
        <v>0</v>
      </c>
      <c r="EK222" s="48">
        <f>IF(EK$8=1,IF(Reales!$C$58="PYG",IF(EK$10&gt;0,N(Reales!EK58)/EK$10,0),N(Reales!EK58)),EK$197*IF(AND(AND(136&gt;Corte,136&lt;=Corte+n_Ventana),ISNUMBER(Detalle_24m!EK$62)),Detalle_24m!EK$62,INDEX(Precio_V,21)*INDEX(IdxPrecio_V,1,MIN(10,EK$173)))*(1+V_dPrecio))</f>
        <v>0</v>
      </c>
      <c r="EL222" s="48">
        <f>IF(EL$8=1,IF(Reales!$C$58="PYG",IF(EL$10&gt;0,N(Reales!EL58)/EL$10,0),N(Reales!EL58)),EL$197*IF(AND(AND(137&gt;Corte,137&lt;=Corte+n_Ventana),ISNUMBER(Detalle_24m!EL$62)),Detalle_24m!EL$62,INDEX(Precio_V,21)*INDEX(IdxPrecio_V,1,MIN(10,EL$173)))*(1+V_dPrecio))</f>
        <v>0</v>
      </c>
      <c r="EM222" s="48">
        <f>IF(EM$8=1,IF(Reales!$C$58="PYG",IF(EM$10&gt;0,N(Reales!EM58)/EM$10,0),N(Reales!EM58)),EM$197*IF(AND(AND(138&gt;Corte,138&lt;=Corte+n_Ventana),ISNUMBER(Detalle_24m!EM$62)),Detalle_24m!EM$62,INDEX(Precio_V,21)*INDEX(IdxPrecio_V,1,MIN(10,EM$173)))*(1+V_dPrecio))</f>
        <v>0</v>
      </c>
      <c r="EN222" s="48">
        <f>IF(EN$8=1,IF(Reales!$C$58="PYG",IF(EN$10&gt;0,N(Reales!EN58)/EN$10,0),N(Reales!EN58)),EN$197*IF(AND(AND(139&gt;Corte,139&lt;=Corte+n_Ventana),ISNUMBER(Detalle_24m!EN$62)),Detalle_24m!EN$62,INDEX(Precio_V,21)*INDEX(IdxPrecio_V,1,MIN(10,EN$173)))*(1+V_dPrecio))</f>
        <v>0</v>
      </c>
      <c r="EO222" s="48">
        <f>IF(EO$8=1,IF(Reales!$C$58="PYG",IF(EO$10&gt;0,N(Reales!EO58)/EO$10,0),N(Reales!EO58)),EO$197*IF(AND(AND(140&gt;Corte,140&lt;=Corte+n_Ventana),ISNUMBER(Detalle_24m!EO$62)),Detalle_24m!EO$62,INDEX(Precio_V,21)*INDEX(IdxPrecio_V,1,MIN(10,EO$173)))*(1+V_dPrecio))</f>
        <v>0</v>
      </c>
      <c r="EP222" s="48">
        <f>IF(EP$8=1,IF(Reales!$C$58="PYG",IF(EP$10&gt;0,N(Reales!EP58)/EP$10,0),N(Reales!EP58)),EP$197*IF(AND(AND(141&gt;Corte,141&lt;=Corte+n_Ventana),ISNUMBER(Detalle_24m!EP$62)),Detalle_24m!EP$62,INDEX(Precio_V,21)*INDEX(IdxPrecio_V,1,MIN(10,EP$173)))*(1+V_dPrecio))</f>
        <v>0</v>
      </c>
      <c r="EQ222" s="48">
        <f>IF(EQ$8=1,IF(Reales!$C$58="PYG",IF(EQ$10&gt;0,N(Reales!EQ58)/EQ$10,0),N(Reales!EQ58)),EQ$197*IF(AND(AND(142&gt;Corte,142&lt;=Corte+n_Ventana),ISNUMBER(Detalle_24m!EQ$62)),Detalle_24m!EQ$62,INDEX(Precio_V,21)*INDEX(IdxPrecio_V,1,MIN(10,EQ$173)))*(1+V_dPrecio))</f>
        <v>0</v>
      </c>
      <c r="ER222" s="48">
        <f>IF(ER$8=1,IF(Reales!$C$58="PYG",IF(ER$10&gt;0,N(Reales!ER58)/ER$10,0),N(Reales!ER58)),ER$197*IF(AND(AND(143&gt;Corte,143&lt;=Corte+n_Ventana),ISNUMBER(Detalle_24m!ER$62)),Detalle_24m!ER$62,INDEX(Precio_V,21)*INDEX(IdxPrecio_V,1,MIN(10,ER$173)))*(1+V_dPrecio))</f>
        <v>0</v>
      </c>
      <c r="ES222" s="48">
        <f>IF(ES$8=1,IF(Reales!$C$58="PYG",IF(ES$10&gt;0,N(Reales!ES58)/ES$10,0),N(Reales!ES58)),ES$197*IF(AND(AND(144&gt;Corte,144&lt;=Corte+n_Ventana),ISNUMBER(Detalle_24m!ES$62)),Detalle_24m!ES$62,INDEX(Precio_V,21)*INDEX(IdxPrecio_V,1,MIN(10,ES$173)))*(1+V_dPrecio))</f>
        <v>0</v>
      </c>
    </row>
    <row r="223" spans="1:149" x14ac:dyDescent="0.3">
      <c r="A223" s="14" t="s">
        <v>1278</v>
      </c>
      <c r="B223" s="53" t="str">
        <f>IF(INDEX(Prod_Nombre,22)="","Producto 22",INDEX(Prod_Nombre,22))&amp;" — ventas USD"</f>
        <v>Producto 22 — ventas USD</v>
      </c>
      <c r="C223" s="18" t="s">
        <v>439</v>
      </c>
      <c r="E223" s="54">
        <f t="shared" si="605"/>
        <v>0</v>
      </c>
      <c r="F223" s="48">
        <f>IF(F$8=1,IF(Reales!$C$59="PYG",IF(F$10&gt;0,N(Reales!F59)/F$10,0),N(Reales!F59)),F$198*IF(AND(AND(1&gt;Corte,1&lt;=Corte+n_Ventana),ISNUMBER(Detalle_24m!F$63)),Detalle_24m!F$63,INDEX(Precio_V,22)*INDEX(IdxPrecio_V,1,MIN(10,F$173)))*(1+V_dPrecio))</f>
        <v>0</v>
      </c>
      <c r="G223" s="48">
        <f>IF(G$8=1,IF(Reales!$C$59="PYG",IF(G$10&gt;0,N(Reales!G59)/G$10,0),N(Reales!G59)),G$198*IF(AND(AND(2&gt;Corte,2&lt;=Corte+n_Ventana),ISNUMBER(Detalle_24m!G$63)),Detalle_24m!G$63,INDEX(Precio_V,22)*INDEX(IdxPrecio_V,1,MIN(10,G$173)))*(1+V_dPrecio))</f>
        <v>0</v>
      </c>
      <c r="H223" s="48">
        <f>IF(H$8=1,IF(Reales!$C$59="PYG",IF(H$10&gt;0,N(Reales!H59)/H$10,0),N(Reales!H59)),H$198*IF(AND(AND(3&gt;Corte,3&lt;=Corte+n_Ventana),ISNUMBER(Detalle_24m!H$63)),Detalle_24m!H$63,INDEX(Precio_V,22)*INDEX(IdxPrecio_V,1,MIN(10,H$173)))*(1+V_dPrecio))</f>
        <v>0</v>
      </c>
      <c r="I223" s="48">
        <f>IF(I$8=1,IF(Reales!$C$59="PYG",IF(I$10&gt;0,N(Reales!I59)/I$10,0),N(Reales!I59)),I$198*IF(AND(AND(4&gt;Corte,4&lt;=Corte+n_Ventana),ISNUMBER(Detalle_24m!I$63)),Detalle_24m!I$63,INDEX(Precio_V,22)*INDEX(IdxPrecio_V,1,MIN(10,I$173)))*(1+V_dPrecio))</f>
        <v>0</v>
      </c>
      <c r="J223" s="48">
        <f>IF(J$8=1,IF(Reales!$C$59="PYG",IF(J$10&gt;0,N(Reales!J59)/J$10,0),N(Reales!J59)),J$198*IF(AND(AND(5&gt;Corte,5&lt;=Corte+n_Ventana),ISNUMBER(Detalle_24m!J$63)),Detalle_24m!J$63,INDEX(Precio_V,22)*INDEX(IdxPrecio_V,1,MIN(10,J$173)))*(1+V_dPrecio))</f>
        <v>0</v>
      </c>
      <c r="K223" s="48">
        <f>IF(K$8=1,IF(Reales!$C$59="PYG",IF(K$10&gt;0,N(Reales!K59)/K$10,0),N(Reales!K59)),K$198*IF(AND(AND(6&gt;Corte,6&lt;=Corte+n_Ventana),ISNUMBER(Detalle_24m!K$63)),Detalle_24m!K$63,INDEX(Precio_V,22)*INDEX(IdxPrecio_V,1,MIN(10,K$173)))*(1+V_dPrecio))</f>
        <v>0</v>
      </c>
      <c r="L223" s="48">
        <f>IF(L$8=1,IF(Reales!$C$59="PYG",IF(L$10&gt;0,N(Reales!L59)/L$10,0),N(Reales!L59)),L$198*IF(AND(AND(7&gt;Corte,7&lt;=Corte+n_Ventana),ISNUMBER(Detalle_24m!L$63)),Detalle_24m!L$63,INDEX(Precio_V,22)*INDEX(IdxPrecio_V,1,MIN(10,L$173)))*(1+V_dPrecio))</f>
        <v>0</v>
      </c>
      <c r="M223" s="48">
        <f>IF(M$8=1,IF(Reales!$C$59="PYG",IF(M$10&gt;0,N(Reales!M59)/M$10,0),N(Reales!M59)),M$198*IF(AND(AND(8&gt;Corte,8&lt;=Corte+n_Ventana),ISNUMBER(Detalle_24m!M$63)),Detalle_24m!M$63,INDEX(Precio_V,22)*INDEX(IdxPrecio_V,1,MIN(10,M$173)))*(1+V_dPrecio))</f>
        <v>0</v>
      </c>
      <c r="N223" s="48">
        <f>IF(N$8=1,IF(Reales!$C$59="PYG",IF(N$10&gt;0,N(Reales!N59)/N$10,0),N(Reales!N59)),N$198*IF(AND(AND(9&gt;Corte,9&lt;=Corte+n_Ventana),ISNUMBER(Detalle_24m!N$63)),Detalle_24m!N$63,INDEX(Precio_V,22)*INDEX(IdxPrecio_V,1,MIN(10,N$173)))*(1+V_dPrecio))</f>
        <v>0</v>
      </c>
      <c r="O223" s="48">
        <f>IF(O$8=1,IF(Reales!$C$59="PYG",IF(O$10&gt;0,N(Reales!O59)/O$10,0),N(Reales!O59)),O$198*IF(AND(AND(10&gt;Corte,10&lt;=Corte+n_Ventana),ISNUMBER(Detalle_24m!O$63)),Detalle_24m!O$63,INDEX(Precio_V,22)*INDEX(IdxPrecio_V,1,MIN(10,O$173)))*(1+V_dPrecio))</f>
        <v>0</v>
      </c>
      <c r="P223" s="48">
        <f>IF(P$8=1,IF(Reales!$C$59="PYG",IF(P$10&gt;0,N(Reales!P59)/P$10,0),N(Reales!P59)),P$198*IF(AND(AND(11&gt;Corte,11&lt;=Corte+n_Ventana),ISNUMBER(Detalle_24m!P$63)),Detalle_24m!P$63,INDEX(Precio_V,22)*INDEX(IdxPrecio_V,1,MIN(10,P$173)))*(1+V_dPrecio))</f>
        <v>0</v>
      </c>
      <c r="Q223" s="48">
        <f>IF(Q$8=1,IF(Reales!$C$59="PYG",IF(Q$10&gt;0,N(Reales!Q59)/Q$10,0),N(Reales!Q59)),Q$198*IF(AND(AND(12&gt;Corte,12&lt;=Corte+n_Ventana),ISNUMBER(Detalle_24m!Q$63)),Detalle_24m!Q$63,INDEX(Precio_V,22)*INDEX(IdxPrecio_V,1,MIN(10,Q$173)))*(1+V_dPrecio))</f>
        <v>0</v>
      </c>
      <c r="R223" s="48">
        <f>IF(R$8=1,IF(Reales!$C$59="PYG",IF(R$10&gt;0,N(Reales!R59)/R$10,0),N(Reales!R59)),R$198*IF(AND(AND(13&gt;Corte,13&lt;=Corte+n_Ventana),ISNUMBER(Detalle_24m!R$63)),Detalle_24m!R$63,INDEX(Precio_V,22)*INDEX(IdxPrecio_V,1,MIN(10,R$173)))*(1+V_dPrecio))</f>
        <v>0</v>
      </c>
      <c r="S223" s="48">
        <f>IF(S$8=1,IF(Reales!$C$59="PYG",IF(S$10&gt;0,N(Reales!S59)/S$10,0),N(Reales!S59)),S$198*IF(AND(AND(14&gt;Corte,14&lt;=Corte+n_Ventana),ISNUMBER(Detalle_24m!S$63)),Detalle_24m!S$63,INDEX(Precio_V,22)*INDEX(IdxPrecio_V,1,MIN(10,S$173)))*(1+V_dPrecio))</f>
        <v>0</v>
      </c>
      <c r="T223" s="48">
        <f>IF(T$8=1,IF(Reales!$C$59="PYG",IF(T$10&gt;0,N(Reales!T59)/T$10,0),N(Reales!T59)),T$198*IF(AND(AND(15&gt;Corte,15&lt;=Corte+n_Ventana),ISNUMBER(Detalle_24m!T$63)),Detalle_24m!T$63,INDEX(Precio_V,22)*INDEX(IdxPrecio_V,1,MIN(10,T$173)))*(1+V_dPrecio))</f>
        <v>0</v>
      </c>
      <c r="U223" s="48">
        <f>IF(U$8=1,IF(Reales!$C$59="PYG",IF(U$10&gt;0,N(Reales!U59)/U$10,0),N(Reales!U59)),U$198*IF(AND(AND(16&gt;Corte,16&lt;=Corte+n_Ventana),ISNUMBER(Detalle_24m!U$63)),Detalle_24m!U$63,INDEX(Precio_V,22)*INDEX(IdxPrecio_V,1,MIN(10,U$173)))*(1+V_dPrecio))</f>
        <v>0</v>
      </c>
      <c r="V223" s="48">
        <f>IF(V$8=1,IF(Reales!$C$59="PYG",IF(V$10&gt;0,N(Reales!V59)/V$10,0),N(Reales!V59)),V$198*IF(AND(AND(17&gt;Corte,17&lt;=Corte+n_Ventana),ISNUMBER(Detalle_24m!V$63)),Detalle_24m!V$63,INDEX(Precio_V,22)*INDEX(IdxPrecio_V,1,MIN(10,V$173)))*(1+V_dPrecio))</f>
        <v>0</v>
      </c>
      <c r="W223" s="48">
        <f>IF(W$8=1,IF(Reales!$C$59="PYG",IF(W$10&gt;0,N(Reales!W59)/W$10,0),N(Reales!W59)),W$198*IF(AND(AND(18&gt;Corte,18&lt;=Corte+n_Ventana),ISNUMBER(Detalle_24m!W$63)),Detalle_24m!W$63,INDEX(Precio_V,22)*INDEX(IdxPrecio_V,1,MIN(10,W$173)))*(1+V_dPrecio))</f>
        <v>0</v>
      </c>
      <c r="X223" s="48">
        <f>IF(X$8=1,IF(Reales!$C$59="PYG",IF(X$10&gt;0,N(Reales!X59)/X$10,0),N(Reales!X59)),X$198*IF(AND(AND(19&gt;Corte,19&lt;=Corte+n_Ventana),ISNUMBER(Detalle_24m!X$63)),Detalle_24m!X$63,INDEX(Precio_V,22)*INDEX(IdxPrecio_V,1,MIN(10,X$173)))*(1+V_dPrecio))</f>
        <v>0</v>
      </c>
      <c r="Y223" s="48">
        <f>IF(Y$8=1,IF(Reales!$C$59="PYG",IF(Y$10&gt;0,N(Reales!Y59)/Y$10,0),N(Reales!Y59)),Y$198*IF(AND(AND(20&gt;Corte,20&lt;=Corte+n_Ventana),ISNUMBER(Detalle_24m!Y$63)),Detalle_24m!Y$63,INDEX(Precio_V,22)*INDEX(IdxPrecio_V,1,MIN(10,Y$173)))*(1+V_dPrecio))</f>
        <v>0</v>
      </c>
      <c r="Z223" s="48">
        <f>IF(Z$8=1,IF(Reales!$C$59="PYG",IF(Z$10&gt;0,N(Reales!Z59)/Z$10,0),N(Reales!Z59)),Z$198*IF(AND(AND(21&gt;Corte,21&lt;=Corte+n_Ventana),ISNUMBER(Detalle_24m!Z$63)),Detalle_24m!Z$63,INDEX(Precio_V,22)*INDEX(IdxPrecio_V,1,MIN(10,Z$173)))*(1+V_dPrecio))</f>
        <v>0</v>
      </c>
      <c r="AA223" s="48">
        <f>IF(AA$8=1,IF(Reales!$C$59="PYG",IF(AA$10&gt;0,N(Reales!AA59)/AA$10,0),N(Reales!AA59)),AA$198*IF(AND(AND(22&gt;Corte,22&lt;=Corte+n_Ventana),ISNUMBER(Detalle_24m!AA$63)),Detalle_24m!AA$63,INDEX(Precio_V,22)*INDEX(IdxPrecio_V,1,MIN(10,AA$173)))*(1+V_dPrecio))</f>
        <v>0</v>
      </c>
      <c r="AB223" s="48">
        <f>IF(AB$8=1,IF(Reales!$C$59="PYG",IF(AB$10&gt;0,N(Reales!AB59)/AB$10,0),N(Reales!AB59)),AB$198*IF(AND(AND(23&gt;Corte,23&lt;=Corte+n_Ventana),ISNUMBER(Detalle_24m!AB$63)),Detalle_24m!AB$63,INDEX(Precio_V,22)*INDEX(IdxPrecio_V,1,MIN(10,AB$173)))*(1+V_dPrecio))</f>
        <v>0</v>
      </c>
      <c r="AC223" s="48">
        <f>IF(AC$8=1,IF(Reales!$C$59="PYG",IF(AC$10&gt;0,N(Reales!AC59)/AC$10,0),N(Reales!AC59)),AC$198*IF(AND(AND(24&gt;Corte,24&lt;=Corte+n_Ventana),ISNUMBER(Detalle_24m!AC$63)),Detalle_24m!AC$63,INDEX(Precio_V,22)*INDEX(IdxPrecio_V,1,MIN(10,AC$173)))*(1+V_dPrecio))</f>
        <v>0</v>
      </c>
      <c r="AD223" s="48">
        <f>IF(AD$8=1,IF(Reales!$C$59="PYG",IF(AD$10&gt;0,N(Reales!AD59)/AD$10,0),N(Reales!AD59)),AD$198*IF(AND(AND(25&gt;Corte,25&lt;=Corte+n_Ventana),ISNUMBER(Detalle_24m!AD$63)),Detalle_24m!AD$63,INDEX(Precio_V,22)*INDEX(IdxPrecio_V,1,MIN(10,AD$173)))*(1+V_dPrecio))</f>
        <v>0</v>
      </c>
      <c r="AE223" s="48">
        <f>IF(AE$8=1,IF(Reales!$C$59="PYG",IF(AE$10&gt;0,N(Reales!AE59)/AE$10,0),N(Reales!AE59)),AE$198*IF(AND(AND(26&gt;Corte,26&lt;=Corte+n_Ventana),ISNUMBER(Detalle_24m!AE$63)),Detalle_24m!AE$63,INDEX(Precio_V,22)*INDEX(IdxPrecio_V,1,MIN(10,AE$173)))*(1+V_dPrecio))</f>
        <v>0</v>
      </c>
      <c r="AF223" s="48">
        <f>IF(AF$8=1,IF(Reales!$C$59="PYG",IF(AF$10&gt;0,N(Reales!AF59)/AF$10,0),N(Reales!AF59)),AF$198*IF(AND(AND(27&gt;Corte,27&lt;=Corte+n_Ventana),ISNUMBER(Detalle_24m!AF$63)),Detalle_24m!AF$63,INDEX(Precio_V,22)*INDEX(IdxPrecio_V,1,MIN(10,AF$173)))*(1+V_dPrecio))</f>
        <v>0</v>
      </c>
      <c r="AG223" s="48">
        <f>IF(AG$8=1,IF(Reales!$C$59="PYG",IF(AG$10&gt;0,N(Reales!AG59)/AG$10,0),N(Reales!AG59)),AG$198*IF(AND(AND(28&gt;Corte,28&lt;=Corte+n_Ventana),ISNUMBER(Detalle_24m!AG$63)),Detalle_24m!AG$63,INDEX(Precio_V,22)*INDEX(IdxPrecio_V,1,MIN(10,AG$173)))*(1+V_dPrecio))</f>
        <v>0</v>
      </c>
      <c r="AH223" s="48">
        <f>IF(AH$8=1,IF(Reales!$C$59="PYG",IF(AH$10&gt;0,N(Reales!AH59)/AH$10,0),N(Reales!AH59)),AH$198*IF(AND(AND(29&gt;Corte,29&lt;=Corte+n_Ventana),ISNUMBER(Detalle_24m!AH$63)),Detalle_24m!AH$63,INDEX(Precio_V,22)*INDEX(IdxPrecio_V,1,MIN(10,AH$173)))*(1+V_dPrecio))</f>
        <v>0</v>
      </c>
      <c r="AI223" s="48">
        <f>IF(AI$8=1,IF(Reales!$C$59="PYG",IF(AI$10&gt;0,N(Reales!AI59)/AI$10,0),N(Reales!AI59)),AI$198*IF(AND(AND(30&gt;Corte,30&lt;=Corte+n_Ventana),ISNUMBER(Detalle_24m!AI$63)),Detalle_24m!AI$63,INDEX(Precio_V,22)*INDEX(IdxPrecio_V,1,MIN(10,AI$173)))*(1+V_dPrecio))</f>
        <v>0</v>
      </c>
      <c r="AJ223" s="48">
        <f>IF(AJ$8=1,IF(Reales!$C$59="PYG",IF(AJ$10&gt;0,N(Reales!AJ59)/AJ$10,0),N(Reales!AJ59)),AJ$198*IF(AND(AND(31&gt;Corte,31&lt;=Corte+n_Ventana),ISNUMBER(Detalle_24m!AJ$63)),Detalle_24m!AJ$63,INDEX(Precio_V,22)*INDEX(IdxPrecio_V,1,MIN(10,AJ$173)))*(1+V_dPrecio))</f>
        <v>0</v>
      </c>
      <c r="AK223" s="48">
        <f>IF(AK$8=1,IF(Reales!$C$59="PYG",IF(AK$10&gt;0,N(Reales!AK59)/AK$10,0),N(Reales!AK59)),AK$198*IF(AND(AND(32&gt;Corte,32&lt;=Corte+n_Ventana),ISNUMBER(Detalle_24m!AK$63)),Detalle_24m!AK$63,INDEX(Precio_V,22)*INDEX(IdxPrecio_V,1,MIN(10,AK$173)))*(1+V_dPrecio))</f>
        <v>0</v>
      </c>
      <c r="AL223" s="48">
        <f>IF(AL$8=1,IF(Reales!$C$59="PYG",IF(AL$10&gt;0,N(Reales!AL59)/AL$10,0),N(Reales!AL59)),AL$198*IF(AND(AND(33&gt;Corte,33&lt;=Corte+n_Ventana),ISNUMBER(Detalle_24m!AL$63)),Detalle_24m!AL$63,INDEX(Precio_V,22)*INDEX(IdxPrecio_V,1,MIN(10,AL$173)))*(1+V_dPrecio))</f>
        <v>0</v>
      </c>
      <c r="AM223" s="48">
        <f>IF(AM$8=1,IF(Reales!$C$59="PYG",IF(AM$10&gt;0,N(Reales!AM59)/AM$10,0),N(Reales!AM59)),AM$198*IF(AND(AND(34&gt;Corte,34&lt;=Corte+n_Ventana),ISNUMBER(Detalle_24m!AM$63)),Detalle_24m!AM$63,INDEX(Precio_V,22)*INDEX(IdxPrecio_V,1,MIN(10,AM$173)))*(1+V_dPrecio))</f>
        <v>0</v>
      </c>
      <c r="AN223" s="48">
        <f>IF(AN$8=1,IF(Reales!$C$59="PYG",IF(AN$10&gt;0,N(Reales!AN59)/AN$10,0),N(Reales!AN59)),AN$198*IF(AND(AND(35&gt;Corte,35&lt;=Corte+n_Ventana),ISNUMBER(Detalle_24m!AN$63)),Detalle_24m!AN$63,INDEX(Precio_V,22)*INDEX(IdxPrecio_V,1,MIN(10,AN$173)))*(1+V_dPrecio))</f>
        <v>0</v>
      </c>
      <c r="AO223" s="48">
        <f>IF(AO$8=1,IF(Reales!$C$59="PYG",IF(AO$10&gt;0,N(Reales!AO59)/AO$10,0),N(Reales!AO59)),AO$198*IF(AND(AND(36&gt;Corte,36&lt;=Corte+n_Ventana),ISNUMBER(Detalle_24m!AO$63)),Detalle_24m!AO$63,INDEX(Precio_V,22)*INDEX(IdxPrecio_V,1,MIN(10,AO$173)))*(1+V_dPrecio))</f>
        <v>0</v>
      </c>
      <c r="AP223" s="48">
        <f>IF(AP$8=1,IF(Reales!$C$59="PYG",IF(AP$10&gt;0,N(Reales!AP59)/AP$10,0),N(Reales!AP59)),AP$198*IF(AND(AND(37&gt;Corte,37&lt;=Corte+n_Ventana),ISNUMBER(Detalle_24m!AP$63)),Detalle_24m!AP$63,INDEX(Precio_V,22)*INDEX(IdxPrecio_V,1,MIN(10,AP$173)))*(1+V_dPrecio))</f>
        <v>0</v>
      </c>
      <c r="AQ223" s="48">
        <f>IF(AQ$8=1,IF(Reales!$C$59="PYG",IF(AQ$10&gt;0,N(Reales!AQ59)/AQ$10,0),N(Reales!AQ59)),AQ$198*IF(AND(AND(38&gt;Corte,38&lt;=Corte+n_Ventana),ISNUMBER(Detalle_24m!AQ$63)),Detalle_24m!AQ$63,INDEX(Precio_V,22)*INDEX(IdxPrecio_V,1,MIN(10,AQ$173)))*(1+V_dPrecio))</f>
        <v>0</v>
      </c>
      <c r="AR223" s="48">
        <f>IF(AR$8=1,IF(Reales!$C$59="PYG",IF(AR$10&gt;0,N(Reales!AR59)/AR$10,0),N(Reales!AR59)),AR$198*IF(AND(AND(39&gt;Corte,39&lt;=Corte+n_Ventana),ISNUMBER(Detalle_24m!AR$63)),Detalle_24m!AR$63,INDEX(Precio_V,22)*INDEX(IdxPrecio_V,1,MIN(10,AR$173)))*(1+V_dPrecio))</f>
        <v>0</v>
      </c>
      <c r="AS223" s="48">
        <f>IF(AS$8=1,IF(Reales!$C$59="PYG",IF(AS$10&gt;0,N(Reales!AS59)/AS$10,0),N(Reales!AS59)),AS$198*IF(AND(AND(40&gt;Corte,40&lt;=Corte+n_Ventana),ISNUMBER(Detalle_24m!AS$63)),Detalle_24m!AS$63,INDEX(Precio_V,22)*INDEX(IdxPrecio_V,1,MIN(10,AS$173)))*(1+V_dPrecio))</f>
        <v>0</v>
      </c>
      <c r="AT223" s="48">
        <f>IF(AT$8=1,IF(Reales!$C$59="PYG",IF(AT$10&gt;0,N(Reales!AT59)/AT$10,0),N(Reales!AT59)),AT$198*IF(AND(AND(41&gt;Corte,41&lt;=Corte+n_Ventana),ISNUMBER(Detalle_24m!AT$63)),Detalle_24m!AT$63,INDEX(Precio_V,22)*INDEX(IdxPrecio_V,1,MIN(10,AT$173)))*(1+V_dPrecio))</f>
        <v>0</v>
      </c>
      <c r="AU223" s="48">
        <f>IF(AU$8=1,IF(Reales!$C$59="PYG",IF(AU$10&gt;0,N(Reales!AU59)/AU$10,0),N(Reales!AU59)),AU$198*IF(AND(AND(42&gt;Corte,42&lt;=Corte+n_Ventana),ISNUMBER(Detalle_24m!AU$63)),Detalle_24m!AU$63,INDEX(Precio_V,22)*INDEX(IdxPrecio_V,1,MIN(10,AU$173)))*(1+V_dPrecio))</f>
        <v>0</v>
      </c>
      <c r="AV223" s="48">
        <f>IF(AV$8=1,IF(Reales!$C$59="PYG",IF(AV$10&gt;0,N(Reales!AV59)/AV$10,0),N(Reales!AV59)),AV$198*IF(AND(AND(43&gt;Corte,43&lt;=Corte+n_Ventana),ISNUMBER(Detalle_24m!AV$63)),Detalle_24m!AV$63,INDEX(Precio_V,22)*INDEX(IdxPrecio_V,1,MIN(10,AV$173)))*(1+V_dPrecio))</f>
        <v>0</v>
      </c>
      <c r="AW223" s="48">
        <f>IF(AW$8=1,IF(Reales!$C$59="PYG",IF(AW$10&gt;0,N(Reales!AW59)/AW$10,0),N(Reales!AW59)),AW$198*IF(AND(AND(44&gt;Corte,44&lt;=Corte+n_Ventana),ISNUMBER(Detalle_24m!AW$63)),Detalle_24m!AW$63,INDEX(Precio_V,22)*INDEX(IdxPrecio_V,1,MIN(10,AW$173)))*(1+V_dPrecio))</f>
        <v>0</v>
      </c>
      <c r="AX223" s="48">
        <f>IF(AX$8=1,IF(Reales!$C$59="PYG",IF(AX$10&gt;0,N(Reales!AX59)/AX$10,0),N(Reales!AX59)),AX$198*IF(AND(AND(45&gt;Corte,45&lt;=Corte+n_Ventana),ISNUMBER(Detalle_24m!AX$63)),Detalle_24m!AX$63,INDEX(Precio_V,22)*INDEX(IdxPrecio_V,1,MIN(10,AX$173)))*(1+V_dPrecio))</f>
        <v>0</v>
      </c>
      <c r="AY223" s="48">
        <f>IF(AY$8=1,IF(Reales!$C$59="PYG",IF(AY$10&gt;0,N(Reales!AY59)/AY$10,0),N(Reales!AY59)),AY$198*IF(AND(AND(46&gt;Corte,46&lt;=Corte+n_Ventana),ISNUMBER(Detalle_24m!AY$63)),Detalle_24m!AY$63,INDEX(Precio_V,22)*INDEX(IdxPrecio_V,1,MIN(10,AY$173)))*(1+V_dPrecio))</f>
        <v>0</v>
      </c>
      <c r="AZ223" s="48">
        <f>IF(AZ$8=1,IF(Reales!$C$59="PYG",IF(AZ$10&gt;0,N(Reales!AZ59)/AZ$10,0),N(Reales!AZ59)),AZ$198*IF(AND(AND(47&gt;Corte,47&lt;=Corte+n_Ventana),ISNUMBER(Detalle_24m!AZ$63)),Detalle_24m!AZ$63,INDEX(Precio_V,22)*INDEX(IdxPrecio_V,1,MIN(10,AZ$173)))*(1+V_dPrecio))</f>
        <v>0</v>
      </c>
      <c r="BA223" s="48">
        <f>IF(BA$8=1,IF(Reales!$C$59="PYG",IF(BA$10&gt;0,N(Reales!BA59)/BA$10,0),N(Reales!BA59)),BA$198*IF(AND(AND(48&gt;Corte,48&lt;=Corte+n_Ventana),ISNUMBER(Detalle_24m!BA$63)),Detalle_24m!BA$63,INDEX(Precio_V,22)*INDEX(IdxPrecio_V,1,MIN(10,BA$173)))*(1+V_dPrecio))</f>
        <v>0</v>
      </c>
      <c r="BB223" s="48">
        <f>IF(BB$8=1,IF(Reales!$C$59="PYG",IF(BB$10&gt;0,N(Reales!BB59)/BB$10,0),N(Reales!BB59)),BB$198*IF(AND(AND(49&gt;Corte,49&lt;=Corte+n_Ventana),ISNUMBER(Detalle_24m!BB$63)),Detalle_24m!BB$63,INDEX(Precio_V,22)*INDEX(IdxPrecio_V,1,MIN(10,BB$173)))*(1+V_dPrecio))</f>
        <v>0</v>
      </c>
      <c r="BC223" s="48">
        <f>IF(BC$8=1,IF(Reales!$C$59="PYG",IF(BC$10&gt;0,N(Reales!BC59)/BC$10,0),N(Reales!BC59)),BC$198*IF(AND(AND(50&gt;Corte,50&lt;=Corte+n_Ventana),ISNUMBER(Detalle_24m!BC$63)),Detalle_24m!BC$63,INDEX(Precio_V,22)*INDEX(IdxPrecio_V,1,MIN(10,BC$173)))*(1+V_dPrecio))</f>
        <v>0</v>
      </c>
      <c r="BD223" s="48">
        <f>IF(BD$8=1,IF(Reales!$C$59="PYG",IF(BD$10&gt;0,N(Reales!BD59)/BD$10,0),N(Reales!BD59)),BD$198*IF(AND(AND(51&gt;Corte,51&lt;=Corte+n_Ventana),ISNUMBER(Detalle_24m!BD$63)),Detalle_24m!BD$63,INDEX(Precio_V,22)*INDEX(IdxPrecio_V,1,MIN(10,BD$173)))*(1+V_dPrecio))</f>
        <v>0</v>
      </c>
      <c r="BE223" s="48">
        <f>IF(BE$8=1,IF(Reales!$C$59="PYG",IF(BE$10&gt;0,N(Reales!BE59)/BE$10,0),N(Reales!BE59)),BE$198*IF(AND(AND(52&gt;Corte,52&lt;=Corte+n_Ventana),ISNUMBER(Detalle_24m!BE$63)),Detalle_24m!BE$63,INDEX(Precio_V,22)*INDEX(IdxPrecio_V,1,MIN(10,BE$173)))*(1+V_dPrecio))</f>
        <v>0</v>
      </c>
      <c r="BF223" s="48">
        <f>IF(BF$8=1,IF(Reales!$C$59="PYG",IF(BF$10&gt;0,N(Reales!BF59)/BF$10,0),N(Reales!BF59)),BF$198*IF(AND(AND(53&gt;Corte,53&lt;=Corte+n_Ventana),ISNUMBER(Detalle_24m!BF$63)),Detalle_24m!BF$63,INDEX(Precio_V,22)*INDEX(IdxPrecio_V,1,MIN(10,BF$173)))*(1+V_dPrecio))</f>
        <v>0</v>
      </c>
      <c r="BG223" s="48">
        <f>IF(BG$8=1,IF(Reales!$C$59="PYG",IF(BG$10&gt;0,N(Reales!BG59)/BG$10,0),N(Reales!BG59)),BG$198*IF(AND(AND(54&gt;Corte,54&lt;=Corte+n_Ventana),ISNUMBER(Detalle_24m!BG$63)),Detalle_24m!BG$63,INDEX(Precio_V,22)*INDEX(IdxPrecio_V,1,MIN(10,BG$173)))*(1+V_dPrecio))</f>
        <v>0</v>
      </c>
      <c r="BH223" s="48">
        <f>IF(BH$8=1,IF(Reales!$C$59="PYG",IF(BH$10&gt;0,N(Reales!BH59)/BH$10,0),N(Reales!BH59)),BH$198*IF(AND(AND(55&gt;Corte,55&lt;=Corte+n_Ventana),ISNUMBER(Detalle_24m!BH$63)),Detalle_24m!BH$63,INDEX(Precio_V,22)*INDEX(IdxPrecio_V,1,MIN(10,BH$173)))*(1+V_dPrecio))</f>
        <v>0</v>
      </c>
      <c r="BI223" s="48">
        <f>IF(BI$8=1,IF(Reales!$C$59="PYG",IF(BI$10&gt;0,N(Reales!BI59)/BI$10,0),N(Reales!BI59)),BI$198*IF(AND(AND(56&gt;Corte,56&lt;=Corte+n_Ventana),ISNUMBER(Detalle_24m!BI$63)),Detalle_24m!BI$63,INDEX(Precio_V,22)*INDEX(IdxPrecio_V,1,MIN(10,BI$173)))*(1+V_dPrecio))</f>
        <v>0</v>
      </c>
      <c r="BJ223" s="48">
        <f>IF(BJ$8=1,IF(Reales!$C$59="PYG",IF(BJ$10&gt;0,N(Reales!BJ59)/BJ$10,0),N(Reales!BJ59)),BJ$198*IF(AND(AND(57&gt;Corte,57&lt;=Corte+n_Ventana),ISNUMBER(Detalle_24m!BJ$63)),Detalle_24m!BJ$63,INDEX(Precio_V,22)*INDEX(IdxPrecio_V,1,MIN(10,BJ$173)))*(1+V_dPrecio))</f>
        <v>0</v>
      </c>
      <c r="BK223" s="48">
        <f>IF(BK$8=1,IF(Reales!$C$59="PYG",IF(BK$10&gt;0,N(Reales!BK59)/BK$10,0),N(Reales!BK59)),BK$198*IF(AND(AND(58&gt;Corte,58&lt;=Corte+n_Ventana),ISNUMBER(Detalle_24m!BK$63)),Detalle_24m!BK$63,INDEX(Precio_V,22)*INDEX(IdxPrecio_V,1,MIN(10,BK$173)))*(1+V_dPrecio))</f>
        <v>0</v>
      </c>
      <c r="BL223" s="48">
        <f>IF(BL$8=1,IF(Reales!$C$59="PYG",IF(BL$10&gt;0,N(Reales!BL59)/BL$10,0),N(Reales!BL59)),BL$198*IF(AND(AND(59&gt;Corte,59&lt;=Corte+n_Ventana),ISNUMBER(Detalle_24m!BL$63)),Detalle_24m!BL$63,INDEX(Precio_V,22)*INDEX(IdxPrecio_V,1,MIN(10,BL$173)))*(1+V_dPrecio))</f>
        <v>0</v>
      </c>
      <c r="BM223" s="48">
        <f>IF(BM$8=1,IF(Reales!$C$59="PYG",IF(BM$10&gt;0,N(Reales!BM59)/BM$10,0),N(Reales!BM59)),BM$198*IF(AND(AND(60&gt;Corte,60&lt;=Corte+n_Ventana),ISNUMBER(Detalle_24m!BM$63)),Detalle_24m!BM$63,INDEX(Precio_V,22)*INDEX(IdxPrecio_V,1,MIN(10,BM$173)))*(1+V_dPrecio))</f>
        <v>0</v>
      </c>
      <c r="BN223" s="48">
        <f>IF(BN$8=1,IF(Reales!$C$59="PYG",IF(BN$10&gt;0,N(Reales!BN59)/BN$10,0),N(Reales!BN59)),BN$198*IF(AND(AND(61&gt;Corte,61&lt;=Corte+n_Ventana),ISNUMBER(Detalle_24m!BN$63)),Detalle_24m!BN$63,INDEX(Precio_V,22)*INDEX(IdxPrecio_V,1,MIN(10,BN$173)))*(1+V_dPrecio))</f>
        <v>0</v>
      </c>
      <c r="BO223" s="48">
        <f>IF(BO$8=1,IF(Reales!$C$59="PYG",IF(BO$10&gt;0,N(Reales!BO59)/BO$10,0),N(Reales!BO59)),BO$198*IF(AND(AND(62&gt;Corte,62&lt;=Corte+n_Ventana),ISNUMBER(Detalle_24m!BO$63)),Detalle_24m!BO$63,INDEX(Precio_V,22)*INDEX(IdxPrecio_V,1,MIN(10,BO$173)))*(1+V_dPrecio))</f>
        <v>0</v>
      </c>
      <c r="BP223" s="48">
        <f>IF(BP$8=1,IF(Reales!$C$59="PYG",IF(BP$10&gt;0,N(Reales!BP59)/BP$10,0),N(Reales!BP59)),BP$198*IF(AND(AND(63&gt;Corte,63&lt;=Corte+n_Ventana),ISNUMBER(Detalle_24m!BP$63)),Detalle_24m!BP$63,INDEX(Precio_V,22)*INDEX(IdxPrecio_V,1,MIN(10,BP$173)))*(1+V_dPrecio))</f>
        <v>0</v>
      </c>
      <c r="BQ223" s="48">
        <f>IF(BQ$8=1,IF(Reales!$C$59="PYG",IF(BQ$10&gt;0,N(Reales!BQ59)/BQ$10,0),N(Reales!BQ59)),BQ$198*IF(AND(AND(64&gt;Corte,64&lt;=Corte+n_Ventana),ISNUMBER(Detalle_24m!BQ$63)),Detalle_24m!BQ$63,INDEX(Precio_V,22)*INDEX(IdxPrecio_V,1,MIN(10,BQ$173)))*(1+V_dPrecio))</f>
        <v>0</v>
      </c>
      <c r="BR223" s="48">
        <f>IF(BR$8=1,IF(Reales!$C$59="PYG",IF(BR$10&gt;0,N(Reales!BR59)/BR$10,0),N(Reales!BR59)),BR$198*IF(AND(AND(65&gt;Corte,65&lt;=Corte+n_Ventana),ISNUMBER(Detalle_24m!BR$63)),Detalle_24m!BR$63,INDEX(Precio_V,22)*INDEX(IdxPrecio_V,1,MIN(10,BR$173)))*(1+V_dPrecio))</f>
        <v>0</v>
      </c>
      <c r="BS223" s="48">
        <f>IF(BS$8=1,IF(Reales!$C$59="PYG",IF(BS$10&gt;0,N(Reales!BS59)/BS$10,0),N(Reales!BS59)),BS$198*IF(AND(AND(66&gt;Corte,66&lt;=Corte+n_Ventana),ISNUMBER(Detalle_24m!BS$63)),Detalle_24m!BS$63,INDEX(Precio_V,22)*INDEX(IdxPrecio_V,1,MIN(10,BS$173)))*(1+V_dPrecio))</f>
        <v>0</v>
      </c>
      <c r="BT223" s="48">
        <f>IF(BT$8=1,IF(Reales!$C$59="PYG",IF(BT$10&gt;0,N(Reales!BT59)/BT$10,0),N(Reales!BT59)),BT$198*IF(AND(AND(67&gt;Corte,67&lt;=Corte+n_Ventana),ISNUMBER(Detalle_24m!BT$63)),Detalle_24m!BT$63,INDEX(Precio_V,22)*INDEX(IdxPrecio_V,1,MIN(10,BT$173)))*(1+V_dPrecio))</f>
        <v>0</v>
      </c>
      <c r="BU223" s="48">
        <f>IF(BU$8=1,IF(Reales!$C$59="PYG",IF(BU$10&gt;0,N(Reales!BU59)/BU$10,0),N(Reales!BU59)),BU$198*IF(AND(AND(68&gt;Corte,68&lt;=Corte+n_Ventana),ISNUMBER(Detalle_24m!BU$63)),Detalle_24m!BU$63,INDEX(Precio_V,22)*INDEX(IdxPrecio_V,1,MIN(10,BU$173)))*(1+V_dPrecio))</f>
        <v>0</v>
      </c>
      <c r="BV223" s="48">
        <f>IF(BV$8=1,IF(Reales!$C$59="PYG",IF(BV$10&gt;0,N(Reales!BV59)/BV$10,0),N(Reales!BV59)),BV$198*IF(AND(AND(69&gt;Corte,69&lt;=Corte+n_Ventana),ISNUMBER(Detalle_24m!BV$63)),Detalle_24m!BV$63,INDEX(Precio_V,22)*INDEX(IdxPrecio_V,1,MIN(10,BV$173)))*(1+V_dPrecio))</f>
        <v>0</v>
      </c>
      <c r="BW223" s="48">
        <f>IF(BW$8=1,IF(Reales!$C$59="PYG",IF(BW$10&gt;0,N(Reales!BW59)/BW$10,0),N(Reales!BW59)),BW$198*IF(AND(AND(70&gt;Corte,70&lt;=Corte+n_Ventana),ISNUMBER(Detalle_24m!BW$63)),Detalle_24m!BW$63,INDEX(Precio_V,22)*INDEX(IdxPrecio_V,1,MIN(10,BW$173)))*(1+V_dPrecio))</f>
        <v>0</v>
      </c>
      <c r="BX223" s="48">
        <f>IF(BX$8=1,IF(Reales!$C$59="PYG",IF(BX$10&gt;0,N(Reales!BX59)/BX$10,0),N(Reales!BX59)),BX$198*IF(AND(AND(71&gt;Corte,71&lt;=Corte+n_Ventana),ISNUMBER(Detalle_24m!BX$63)),Detalle_24m!BX$63,INDEX(Precio_V,22)*INDEX(IdxPrecio_V,1,MIN(10,BX$173)))*(1+V_dPrecio))</f>
        <v>0</v>
      </c>
      <c r="BY223" s="48">
        <f>IF(BY$8=1,IF(Reales!$C$59="PYG",IF(BY$10&gt;0,N(Reales!BY59)/BY$10,0),N(Reales!BY59)),BY$198*IF(AND(AND(72&gt;Corte,72&lt;=Corte+n_Ventana),ISNUMBER(Detalle_24m!BY$63)),Detalle_24m!BY$63,INDEX(Precio_V,22)*INDEX(IdxPrecio_V,1,MIN(10,BY$173)))*(1+V_dPrecio))</f>
        <v>0</v>
      </c>
      <c r="BZ223" s="48">
        <f>IF(BZ$8=1,IF(Reales!$C$59="PYG",IF(BZ$10&gt;0,N(Reales!BZ59)/BZ$10,0),N(Reales!BZ59)),BZ$198*IF(AND(AND(73&gt;Corte,73&lt;=Corte+n_Ventana),ISNUMBER(Detalle_24m!BZ$63)),Detalle_24m!BZ$63,INDEX(Precio_V,22)*INDEX(IdxPrecio_V,1,MIN(10,BZ$173)))*(1+V_dPrecio))</f>
        <v>0</v>
      </c>
      <c r="CA223" s="48">
        <f>IF(CA$8=1,IF(Reales!$C$59="PYG",IF(CA$10&gt;0,N(Reales!CA59)/CA$10,0),N(Reales!CA59)),CA$198*IF(AND(AND(74&gt;Corte,74&lt;=Corte+n_Ventana),ISNUMBER(Detalle_24m!CA$63)),Detalle_24m!CA$63,INDEX(Precio_V,22)*INDEX(IdxPrecio_V,1,MIN(10,CA$173)))*(1+V_dPrecio))</f>
        <v>0</v>
      </c>
      <c r="CB223" s="48">
        <f>IF(CB$8=1,IF(Reales!$C$59="PYG",IF(CB$10&gt;0,N(Reales!CB59)/CB$10,0),N(Reales!CB59)),CB$198*IF(AND(AND(75&gt;Corte,75&lt;=Corte+n_Ventana),ISNUMBER(Detalle_24m!CB$63)),Detalle_24m!CB$63,INDEX(Precio_V,22)*INDEX(IdxPrecio_V,1,MIN(10,CB$173)))*(1+V_dPrecio))</f>
        <v>0</v>
      </c>
      <c r="CC223" s="48">
        <f>IF(CC$8=1,IF(Reales!$C$59="PYG",IF(CC$10&gt;0,N(Reales!CC59)/CC$10,0),N(Reales!CC59)),CC$198*IF(AND(AND(76&gt;Corte,76&lt;=Corte+n_Ventana),ISNUMBER(Detalle_24m!CC$63)),Detalle_24m!CC$63,INDEX(Precio_V,22)*INDEX(IdxPrecio_V,1,MIN(10,CC$173)))*(1+V_dPrecio))</f>
        <v>0</v>
      </c>
      <c r="CD223" s="48">
        <f>IF(CD$8=1,IF(Reales!$C$59="PYG",IF(CD$10&gt;0,N(Reales!CD59)/CD$10,0),N(Reales!CD59)),CD$198*IF(AND(AND(77&gt;Corte,77&lt;=Corte+n_Ventana),ISNUMBER(Detalle_24m!CD$63)),Detalle_24m!CD$63,INDEX(Precio_V,22)*INDEX(IdxPrecio_V,1,MIN(10,CD$173)))*(1+V_dPrecio))</f>
        <v>0</v>
      </c>
      <c r="CE223" s="48">
        <f>IF(CE$8=1,IF(Reales!$C$59="PYG",IF(CE$10&gt;0,N(Reales!CE59)/CE$10,0),N(Reales!CE59)),CE$198*IF(AND(AND(78&gt;Corte,78&lt;=Corte+n_Ventana),ISNUMBER(Detalle_24m!CE$63)),Detalle_24m!CE$63,INDEX(Precio_V,22)*INDEX(IdxPrecio_V,1,MIN(10,CE$173)))*(1+V_dPrecio))</f>
        <v>0</v>
      </c>
      <c r="CF223" s="48">
        <f>IF(CF$8=1,IF(Reales!$C$59="PYG",IF(CF$10&gt;0,N(Reales!CF59)/CF$10,0),N(Reales!CF59)),CF$198*IF(AND(AND(79&gt;Corte,79&lt;=Corte+n_Ventana),ISNUMBER(Detalle_24m!CF$63)),Detalle_24m!CF$63,INDEX(Precio_V,22)*INDEX(IdxPrecio_V,1,MIN(10,CF$173)))*(1+V_dPrecio))</f>
        <v>0</v>
      </c>
      <c r="CG223" s="48">
        <f>IF(CG$8=1,IF(Reales!$C$59="PYG",IF(CG$10&gt;0,N(Reales!CG59)/CG$10,0),N(Reales!CG59)),CG$198*IF(AND(AND(80&gt;Corte,80&lt;=Corte+n_Ventana),ISNUMBER(Detalle_24m!CG$63)),Detalle_24m!CG$63,INDEX(Precio_V,22)*INDEX(IdxPrecio_V,1,MIN(10,CG$173)))*(1+V_dPrecio))</f>
        <v>0</v>
      </c>
      <c r="CH223" s="48">
        <f>IF(CH$8=1,IF(Reales!$C$59="PYG",IF(CH$10&gt;0,N(Reales!CH59)/CH$10,0),N(Reales!CH59)),CH$198*IF(AND(AND(81&gt;Corte,81&lt;=Corte+n_Ventana),ISNUMBER(Detalle_24m!CH$63)),Detalle_24m!CH$63,INDEX(Precio_V,22)*INDEX(IdxPrecio_V,1,MIN(10,CH$173)))*(1+V_dPrecio))</f>
        <v>0</v>
      </c>
      <c r="CI223" s="48">
        <f>IF(CI$8=1,IF(Reales!$C$59="PYG",IF(CI$10&gt;0,N(Reales!CI59)/CI$10,0),N(Reales!CI59)),CI$198*IF(AND(AND(82&gt;Corte,82&lt;=Corte+n_Ventana),ISNUMBER(Detalle_24m!CI$63)),Detalle_24m!CI$63,INDEX(Precio_V,22)*INDEX(IdxPrecio_V,1,MIN(10,CI$173)))*(1+V_dPrecio))</f>
        <v>0</v>
      </c>
      <c r="CJ223" s="48">
        <f>IF(CJ$8=1,IF(Reales!$C$59="PYG",IF(CJ$10&gt;0,N(Reales!CJ59)/CJ$10,0),N(Reales!CJ59)),CJ$198*IF(AND(AND(83&gt;Corte,83&lt;=Corte+n_Ventana),ISNUMBER(Detalle_24m!CJ$63)),Detalle_24m!CJ$63,INDEX(Precio_V,22)*INDEX(IdxPrecio_V,1,MIN(10,CJ$173)))*(1+V_dPrecio))</f>
        <v>0</v>
      </c>
      <c r="CK223" s="48">
        <f>IF(CK$8=1,IF(Reales!$C$59="PYG",IF(CK$10&gt;0,N(Reales!CK59)/CK$10,0),N(Reales!CK59)),CK$198*IF(AND(AND(84&gt;Corte,84&lt;=Corte+n_Ventana),ISNUMBER(Detalle_24m!CK$63)),Detalle_24m!CK$63,INDEX(Precio_V,22)*INDEX(IdxPrecio_V,1,MIN(10,CK$173)))*(1+V_dPrecio))</f>
        <v>0</v>
      </c>
      <c r="CL223" s="48">
        <f>IF(CL$8=1,IF(Reales!$C$59="PYG",IF(CL$10&gt;0,N(Reales!CL59)/CL$10,0),N(Reales!CL59)),CL$198*IF(AND(AND(85&gt;Corte,85&lt;=Corte+n_Ventana),ISNUMBER(Detalle_24m!CL$63)),Detalle_24m!CL$63,INDEX(Precio_V,22)*INDEX(IdxPrecio_V,1,MIN(10,CL$173)))*(1+V_dPrecio))</f>
        <v>0</v>
      </c>
      <c r="CM223" s="48">
        <f>IF(CM$8=1,IF(Reales!$C$59="PYG",IF(CM$10&gt;0,N(Reales!CM59)/CM$10,0),N(Reales!CM59)),CM$198*IF(AND(AND(86&gt;Corte,86&lt;=Corte+n_Ventana),ISNUMBER(Detalle_24m!CM$63)),Detalle_24m!CM$63,INDEX(Precio_V,22)*INDEX(IdxPrecio_V,1,MIN(10,CM$173)))*(1+V_dPrecio))</f>
        <v>0</v>
      </c>
      <c r="CN223" s="48">
        <f>IF(CN$8=1,IF(Reales!$C$59="PYG",IF(CN$10&gt;0,N(Reales!CN59)/CN$10,0),N(Reales!CN59)),CN$198*IF(AND(AND(87&gt;Corte,87&lt;=Corte+n_Ventana),ISNUMBER(Detalle_24m!CN$63)),Detalle_24m!CN$63,INDEX(Precio_V,22)*INDEX(IdxPrecio_V,1,MIN(10,CN$173)))*(1+V_dPrecio))</f>
        <v>0</v>
      </c>
      <c r="CO223" s="48">
        <f>IF(CO$8=1,IF(Reales!$C$59="PYG",IF(CO$10&gt;0,N(Reales!CO59)/CO$10,0),N(Reales!CO59)),CO$198*IF(AND(AND(88&gt;Corte,88&lt;=Corte+n_Ventana),ISNUMBER(Detalle_24m!CO$63)),Detalle_24m!CO$63,INDEX(Precio_V,22)*INDEX(IdxPrecio_V,1,MIN(10,CO$173)))*(1+V_dPrecio))</f>
        <v>0</v>
      </c>
      <c r="CP223" s="48">
        <f>IF(CP$8=1,IF(Reales!$C$59="PYG",IF(CP$10&gt;0,N(Reales!CP59)/CP$10,0),N(Reales!CP59)),CP$198*IF(AND(AND(89&gt;Corte,89&lt;=Corte+n_Ventana),ISNUMBER(Detalle_24m!CP$63)),Detalle_24m!CP$63,INDEX(Precio_V,22)*INDEX(IdxPrecio_V,1,MIN(10,CP$173)))*(1+V_dPrecio))</f>
        <v>0</v>
      </c>
      <c r="CQ223" s="48">
        <f>IF(CQ$8=1,IF(Reales!$C$59="PYG",IF(CQ$10&gt;0,N(Reales!CQ59)/CQ$10,0),N(Reales!CQ59)),CQ$198*IF(AND(AND(90&gt;Corte,90&lt;=Corte+n_Ventana),ISNUMBER(Detalle_24m!CQ$63)),Detalle_24m!CQ$63,INDEX(Precio_V,22)*INDEX(IdxPrecio_V,1,MIN(10,CQ$173)))*(1+V_dPrecio))</f>
        <v>0</v>
      </c>
      <c r="CR223" s="48">
        <f>IF(CR$8=1,IF(Reales!$C$59="PYG",IF(CR$10&gt;0,N(Reales!CR59)/CR$10,0),N(Reales!CR59)),CR$198*IF(AND(AND(91&gt;Corte,91&lt;=Corte+n_Ventana),ISNUMBER(Detalle_24m!CR$63)),Detalle_24m!CR$63,INDEX(Precio_V,22)*INDEX(IdxPrecio_V,1,MIN(10,CR$173)))*(1+V_dPrecio))</f>
        <v>0</v>
      </c>
      <c r="CS223" s="48">
        <f>IF(CS$8=1,IF(Reales!$C$59="PYG",IF(CS$10&gt;0,N(Reales!CS59)/CS$10,0),N(Reales!CS59)),CS$198*IF(AND(AND(92&gt;Corte,92&lt;=Corte+n_Ventana),ISNUMBER(Detalle_24m!CS$63)),Detalle_24m!CS$63,INDEX(Precio_V,22)*INDEX(IdxPrecio_V,1,MIN(10,CS$173)))*(1+V_dPrecio))</f>
        <v>0</v>
      </c>
      <c r="CT223" s="48">
        <f>IF(CT$8=1,IF(Reales!$C$59="PYG",IF(CT$10&gt;0,N(Reales!CT59)/CT$10,0),N(Reales!CT59)),CT$198*IF(AND(AND(93&gt;Corte,93&lt;=Corte+n_Ventana),ISNUMBER(Detalle_24m!CT$63)),Detalle_24m!CT$63,INDEX(Precio_V,22)*INDEX(IdxPrecio_V,1,MIN(10,CT$173)))*(1+V_dPrecio))</f>
        <v>0</v>
      </c>
      <c r="CU223" s="48">
        <f>IF(CU$8=1,IF(Reales!$C$59="PYG",IF(CU$10&gt;0,N(Reales!CU59)/CU$10,0),N(Reales!CU59)),CU$198*IF(AND(AND(94&gt;Corte,94&lt;=Corte+n_Ventana),ISNUMBER(Detalle_24m!CU$63)),Detalle_24m!CU$63,INDEX(Precio_V,22)*INDEX(IdxPrecio_V,1,MIN(10,CU$173)))*(1+V_dPrecio))</f>
        <v>0</v>
      </c>
      <c r="CV223" s="48">
        <f>IF(CV$8=1,IF(Reales!$C$59="PYG",IF(CV$10&gt;0,N(Reales!CV59)/CV$10,0),N(Reales!CV59)),CV$198*IF(AND(AND(95&gt;Corte,95&lt;=Corte+n_Ventana),ISNUMBER(Detalle_24m!CV$63)),Detalle_24m!CV$63,INDEX(Precio_V,22)*INDEX(IdxPrecio_V,1,MIN(10,CV$173)))*(1+V_dPrecio))</f>
        <v>0</v>
      </c>
      <c r="CW223" s="48">
        <f>IF(CW$8=1,IF(Reales!$C$59="PYG",IF(CW$10&gt;0,N(Reales!CW59)/CW$10,0),N(Reales!CW59)),CW$198*IF(AND(AND(96&gt;Corte,96&lt;=Corte+n_Ventana),ISNUMBER(Detalle_24m!CW$63)),Detalle_24m!CW$63,INDEX(Precio_V,22)*INDEX(IdxPrecio_V,1,MIN(10,CW$173)))*(1+V_dPrecio))</f>
        <v>0</v>
      </c>
      <c r="CX223" s="48">
        <f>IF(CX$8=1,IF(Reales!$C$59="PYG",IF(CX$10&gt;0,N(Reales!CX59)/CX$10,0),N(Reales!CX59)),CX$198*IF(AND(AND(97&gt;Corte,97&lt;=Corte+n_Ventana),ISNUMBER(Detalle_24m!CX$63)),Detalle_24m!CX$63,INDEX(Precio_V,22)*INDEX(IdxPrecio_V,1,MIN(10,CX$173)))*(1+V_dPrecio))</f>
        <v>0</v>
      </c>
      <c r="CY223" s="48">
        <f>IF(CY$8=1,IF(Reales!$C$59="PYG",IF(CY$10&gt;0,N(Reales!CY59)/CY$10,0),N(Reales!CY59)),CY$198*IF(AND(AND(98&gt;Corte,98&lt;=Corte+n_Ventana),ISNUMBER(Detalle_24m!CY$63)),Detalle_24m!CY$63,INDEX(Precio_V,22)*INDEX(IdxPrecio_V,1,MIN(10,CY$173)))*(1+V_dPrecio))</f>
        <v>0</v>
      </c>
      <c r="CZ223" s="48">
        <f>IF(CZ$8=1,IF(Reales!$C$59="PYG",IF(CZ$10&gt;0,N(Reales!CZ59)/CZ$10,0),N(Reales!CZ59)),CZ$198*IF(AND(AND(99&gt;Corte,99&lt;=Corte+n_Ventana),ISNUMBER(Detalle_24m!CZ$63)),Detalle_24m!CZ$63,INDEX(Precio_V,22)*INDEX(IdxPrecio_V,1,MIN(10,CZ$173)))*(1+V_dPrecio))</f>
        <v>0</v>
      </c>
      <c r="DA223" s="48">
        <f>IF(DA$8=1,IF(Reales!$C$59="PYG",IF(DA$10&gt;0,N(Reales!DA59)/DA$10,0),N(Reales!DA59)),DA$198*IF(AND(AND(100&gt;Corte,100&lt;=Corte+n_Ventana),ISNUMBER(Detalle_24m!DA$63)),Detalle_24m!DA$63,INDEX(Precio_V,22)*INDEX(IdxPrecio_V,1,MIN(10,DA$173)))*(1+V_dPrecio))</f>
        <v>0</v>
      </c>
      <c r="DB223" s="48">
        <f>IF(DB$8=1,IF(Reales!$C$59="PYG",IF(DB$10&gt;0,N(Reales!DB59)/DB$10,0),N(Reales!DB59)),DB$198*IF(AND(AND(101&gt;Corte,101&lt;=Corte+n_Ventana),ISNUMBER(Detalle_24m!DB$63)),Detalle_24m!DB$63,INDEX(Precio_V,22)*INDEX(IdxPrecio_V,1,MIN(10,DB$173)))*(1+V_dPrecio))</f>
        <v>0</v>
      </c>
      <c r="DC223" s="48">
        <f>IF(DC$8=1,IF(Reales!$C$59="PYG",IF(DC$10&gt;0,N(Reales!DC59)/DC$10,0),N(Reales!DC59)),DC$198*IF(AND(AND(102&gt;Corte,102&lt;=Corte+n_Ventana),ISNUMBER(Detalle_24m!DC$63)),Detalle_24m!DC$63,INDEX(Precio_V,22)*INDEX(IdxPrecio_V,1,MIN(10,DC$173)))*(1+V_dPrecio))</f>
        <v>0</v>
      </c>
      <c r="DD223" s="48">
        <f>IF(DD$8=1,IF(Reales!$C$59="PYG",IF(DD$10&gt;0,N(Reales!DD59)/DD$10,0),N(Reales!DD59)),DD$198*IF(AND(AND(103&gt;Corte,103&lt;=Corte+n_Ventana),ISNUMBER(Detalle_24m!DD$63)),Detalle_24m!DD$63,INDEX(Precio_V,22)*INDEX(IdxPrecio_V,1,MIN(10,DD$173)))*(1+V_dPrecio))</f>
        <v>0</v>
      </c>
      <c r="DE223" s="48">
        <f>IF(DE$8=1,IF(Reales!$C$59="PYG",IF(DE$10&gt;0,N(Reales!DE59)/DE$10,0),N(Reales!DE59)),DE$198*IF(AND(AND(104&gt;Corte,104&lt;=Corte+n_Ventana),ISNUMBER(Detalle_24m!DE$63)),Detalle_24m!DE$63,INDEX(Precio_V,22)*INDEX(IdxPrecio_V,1,MIN(10,DE$173)))*(1+V_dPrecio))</f>
        <v>0</v>
      </c>
      <c r="DF223" s="48">
        <f>IF(DF$8=1,IF(Reales!$C$59="PYG",IF(DF$10&gt;0,N(Reales!DF59)/DF$10,0),N(Reales!DF59)),DF$198*IF(AND(AND(105&gt;Corte,105&lt;=Corte+n_Ventana),ISNUMBER(Detalle_24m!DF$63)),Detalle_24m!DF$63,INDEX(Precio_V,22)*INDEX(IdxPrecio_V,1,MIN(10,DF$173)))*(1+V_dPrecio))</f>
        <v>0</v>
      </c>
      <c r="DG223" s="48">
        <f>IF(DG$8=1,IF(Reales!$C$59="PYG",IF(DG$10&gt;0,N(Reales!DG59)/DG$10,0),N(Reales!DG59)),DG$198*IF(AND(AND(106&gt;Corte,106&lt;=Corte+n_Ventana),ISNUMBER(Detalle_24m!DG$63)),Detalle_24m!DG$63,INDEX(Precio_V,22)*INDEX(IdxPrecio_V,1,MIN(10,DG$173)))*(1+V_dPrecio))</f>
        <v>0</v>
      </c>
      <c r="DH223" s="48">
        <f>IF(DH$8=1,IF(Reales!$C$59="PYG",IF(DH$10&gt;0,N(Reales!DH59)/DH$10,0),N(Reales!DH59)),DH$198*IF(AND(AND(107&gt;Corte,107&lt;=Corte+n_Ventana),ISNUMBER(Detalle_24m!DH$63)),Detalle_24m!DH$63,INDEX(Precio_V,22)*INDEX(IdxPrecio_V,1,MIN(10,DH$173)))*(1+V_dPrecio))</f>
        <v>0</v>
      </c>
      <c r="DI223" s="48">
        <f>IF(DI$8=1,IF(Reales!$C$59="PYG",IF(DI$10&gt;0,N(Reales!DI59)/DI$10,0),N(Reales!DI59)),DI$198*IF(AND(AND(108&gt;Corte,108&lt;=Corte+n_Ventana),ISNUMBER(Detalle_24m!DI$63)),Detalle_24m!DI$63,INDEX(Precio_V,22)*INDEX(IdxPrecio_V,1,MIN(10,DI$173)))*(1+V_dPrecio))</f>
        <v>0</v>
      </c>
      <c r="DJ223" s="48">
        <f>IF(DJ$8=1,IF(Reales!$C$59="PYG",IF(DJ$10&gt;0,N(Reales!DJ59)/DJ$10,0),N(Reales!DJ59)),DJ$198*IF(AND(AND(109&gt;Corte,109&lt;=Corte+n_Ventana),ISNUMBER(Detalle_24m!DJ$63)),Detalle_24m!DJ$63,INDEX(Precio_V,22)*INDEX(IdxPrecio_V,1,MIN(10,DJ$173)))*(1+V_dPrecio))</f>
        <v>0</v>
      </c>
      <c r="DK223" s="48">
        <f>IF(DK$8=1,IF(Reales!$C$59="PYG",IF(DK$10&gt;0,N(Reales!DK59)/DK$10,0),N(Reales!DK59)),DK$198*IF(AND(AND(110&gt;Corte,110&lt;=Corte+n_Ventana),ISNUMBER(Detalle_24m!DK$63)),Detalle_24m!DK$63,INDEX(Precio_V,22)*INDEX(IdxPrecio_V,1,MIN(10,DK$173)))*(1+V_dPrecio))</f>
        <v>0</v>
      </c>
      <c r="DL223" s="48">
        <f>IF(DL$8=1,IF(Reales!$C$59="PYG",IF(DL$10&gt;0,N(Reales!DL59)/DL$10,0),N(Reales!DL59)),DL$198*IF(AND(AND(111&gt;Corte,111&lt;=Corte+n_Ventana),ISNUMBER(Detalle_24m!DL$63)),Detalle_24m!DL$63,INDEX(Precio_V,22)*INDEX(IdxPrecio_V,1,MIN(10,DL$173)))*(1+V_dPrecio))</f>
        <v>0</v>
      </c>
      <c r="DM223" s="48">
        <f>IF(DM$8=1,IF(Reales!$C$59="PYG",IF(DM$10&gt;0,N(Reales!DM59)/DM$10,0),N(Reales!DM59)),DM$198*IF(AND(AND(112&gt;Corte,112&lt;=Corte+n_Ventana),ISNUMBER(Detalle_24m!DM$63)),Detalle_24m!DM$63,INDEX(Precio_V,22)*INDEX(IdxPrecio_V,1,MIN(10,DM$173)))*(1+V_dPrecio))</f>
        <v>0</v>
      </c>
      <c r="DN223" s="48">
        <f>IF(DN$8=1,IF(Reales!$C$59="PYG",IF(DN$10&gt;0,N(Reales!DN59)/DN$10,0),N(Reales!DN59)),DN$198*IF(AND(AND(113&gt;Corte,113&lt;=Corte+n_Ventana),ISNUMBER(Detalle_24m!DN$63)),Detalle_24m!DN$63,INDEX(Precio_V,22)*INDEX(IdxPrecio_V,1,MIN(10,DN$173)))*(1+V_dPrecio))</f>
        <v>0</v>
      </c>
      <c r="DO223" s="48">
        <f>IF(DO$8=1,IF(Reales!$C$59="PYG",IF(DO$10&gt;0,N(Reales!DO59)/DO$10,0),N(Reales!DO59)),DO$198*IF(AND(AND(114&gt;Corte,114&lt;=Corte+n_Ventana),ISNUMBER(Detalle_24m!DO$63)),Detalle_24m!DO$63,INDEX(Precio_V,22)*INDEX(IdxPrecio_V,1,MIN(10,DO$173)))*(1+V_dPrecio))</f>
        <v>0</v>
      </c>
      <c r="DP223" s="48">
        <f>IF(DP$8=1,IF(Reales!$C$59="PYG",IF(DP$10&gt;0,N(Reales!DP59)/DP$10,0),N(Reales!DP59)),DP$198*IF(AND(AND(115&gt;Corte,115&lt;=Corte+n_Ventana),ISNUMBER(Detalle_24m!DP$63)),Detalle_24m!DP$63,INDEX(Precio_V,22)*INDEX(IdxPrecio_V,1,MIN(10,DP$173)))*(1+V_dPrecio))</f>
        <v>0</v>
      </c>
      <c r="DQ223" s="48">
        <f>IF(DQ$8=1,IF(Reales!$C$59="PYG",IF(DQ$10&gt;0,N(Reales!DQ59)/DQ$10,0),N(Reales!DQ59)),DQ$198*IF(AND(AND(116&gt;Corte,116&lt;=Corte+n_Ventana),ISNUMBER(Detalle_24m!DQ$63)),Detalle_24m!DQ$63,INDEX(Precio_V,22)*INDEX(IdxPrecio_V,1,MIN(10,DQ$173)))*(1+V_dPrecio))</f>
        <v>0</v>
      </c>
      <c r="DR223" s="48">
        <f>IF(DR$8=1,IF(Reales!$C$59="PYG",IF(DR$10&gt;0,N(Reales!DR59)/DR$10,0),N(Reales!DR59)),DR$198*IF(AND(AND(117&gt;Corte,117&lt;=Corte+n_Ventana),ISNUMBER(Detalle_24m!DR$63)),Detalle_24m!DR$63,INDEX(Precio_V,22)*INDEX(IdxPrecio_V,1,MIN(10,DR$173)))*(1+V_dPrecio))</f>
        <v>0</v>
      </c>
      <c r="DS223" s="48">
        <f>IF(DS$8=1,IF(Reales!$C$59="PYG",IF(DS$10&gt;0,N(Reales!DS59)/DS$10,0),N(Reales!DS59)),DS$198*IF(AND(AND(118&gt;Corte,118&lt;=Corte+n_Ventana),ISNUMBER(Detalle_24m!DS$63)),Detalle_24m!DS$63,INDEX(Precio_V,22)*INDEX(IdxPrecio_V,1,MIN(10,DS$173)))*(1+V_dPrecio))</f>
        <v>0</v>
      </c>
      <c r="DT223" s="48">
        <f>IF(DT$8=1,IF(Reales!$C$59="PYG",IF(DT$10&gt;0,N(Reales!DT59)/DT$10,0),N(Reales!DT59)),DT$198*IF(AND(AND(119&gt;Corte,119&lt;=Corte+n_Ventana),ISNUMBER(Detalle_24m!DT$63)),Detalle_24m!DT$63,INDEX(Precio_V,22)*INDEX(IdxPrecio_V,1,MIN(10,DT$173)))*(1+V_dPrecio))</f>
        <v>0</v>
      </c>
      <c r="DU223" s="48">
        <f>IF(DU$8=1,IF(Reales!$C$59="PYG",IF(DU$10&gt;0,N(Reales!DU59)/DU$10,0),N(Reales!DU59)),DU$198*IF(AND(AND(120&gt;Corte,120&lt;=Corte+n_Ventana),ISNUMBER(Detalle_24m!DU$63)),Detalle_24m!DU$63,INDEX(Precio_V,22)*INDEX(IdxPrecio_V,1,MIN(10,DU$173)))*(1+V_dPrecio))</f>
        <v>0</v>
      </c>
      <c r="DV223" s="48">
        <f>IF(DV$8=1,IF(Reales!$C$59="PYG",IF(DV$10&gt;0,N(Reales!DV59)/DV$10,0),N(Reales!DV59)),DV$198*IF(AND(AND(121&gt;Corte,121&lt;=Corte+n_Ventana),ISNUMBER(Detalle_24m!DV$63)),Detalle_24m!DV$63,INDEX(Precio_V,22)*INDEX(IdxPrecio_V,1,MIN(10,DV$173)))*(1+V_dPrecio))</f>
        <v>0</v>
      </c>
      <c r="DW223" s="48">
        <f>IF(DW$8=1,IF(Reales!$C$59="PYG",IF(DW$10&gt;0,N(Reales!DW59)/DW$10,0),N(Reales!DW59)),DW$198*IF(AND(AND(122&gt;Corte,122&lt;=Corte+n_Ventana),ISNUMBER(Detalle_24m!DW$63)),Detalle_24m!DW$63,INDEX(Precio_V,22)*INDEX(IdxPrecio_V,1,MIN(10,DW$173)))*(1+V_dPrecio))</f>
        <v>0</v>
      </c>
      <c r="DX223" s="48">
        <f>IF(DX$8=1,IF(Reales!$C$59="PYG",IF(DX$10&gt;0,N(Reales!DX59)/DX$10,0),N(Reales!DX59)),DX$198*IF(AND(AND(123&gt;Corte,123&lt;=Corte+n_Ventana),ISNUMBER(Detalle_24m!DX$63)),Detalle_24m!DX$63,INDEX(Precio_V,22)*INDEX(IdxPrecio_V,1,MIN(10,DX$173)))*(1+V_dPrecio))</f>
        <v>0</v>
      </c>
      <c r="DY223" s="48">
        <f>IF(DY$8=1,IF(Reales!$C$59="PYG",IF(DY$10&gt;0,N(Reales!DY59)/DY$10,0),N(Reales!DY59)),DY$198*IF(AND(AND(124&gt;Corte,124&lt;=Corte+n_Ventana),ISNUMBER(Detalle_24m!DY$63)),Detalle_24m!DY$63,INDEX(Precio_V,22)*INDEX(IdxPrecio_V,1,MIN(10,DY$173)))*(1+V_dPrecio))</f>
        <v>0</v>
      </c>
      <c r="DZ223" s="48">
        <f>IF(DZ$8=1,IF(Reales!$C$59="PYG",IF(DZ$10&gt;0,N(Reales!DZ59)/DZ$10,0),N(Reales!DZ59)),DZ$198*IF(AND(AND(125&gt;Corte,125&lt;=Corte+n_Ventana),ISNUMBER(Detalle_24m!DZ$63)),Detalle_24m!DZ$63,INDEX(Precio_V,22)*INDEX(IdxPrecio_V,1,MIN(10,DZ$173)))*(1+V_dPrecio))</f>
        <v>0</v>
      </c>
      <c r="EA223" s="48">
        <f>IF(EA$8=1,IF(Reales!$C$59="PYG",IF(EA$10&gt;0,N(Reales!EA59)/EA$10,0),N(Reales!EA59)),EA$198*IF(AND(AND(126&gt;Corte,126&lt;=Corte+n_Ventana),ISNUMBER(Detalle_24m!EA$63)),Detalle_24m!EA$63,INDEX(Precio_V,22)*INDEX(IdxPrecio_V,1,MIN(10,EA$173)))*(1+V_dPrecio))</f>
        <v>0</v>
      </c>
      <c r="EB223" s="48">
        <f>IF(EB$8=1,IF(Reales!$C$59="PYG",IF(EB$10&gt;0,N(Reales!EB59)/EB$10,0),N(Reales!EB59)),EB$198*IF(AND(AND(127&gt;Corte,127&lt;=Corte+n_Ventana),ISNUMBER(Detalle_24m!EB$63)),Detalle_24m!EB$63,INDEX(Precio_V,22)*INDEX(IdxPrecio_V,1,MIN(10,EB$173)))*(1+V_dPrecio))</f>
        <v>0</v>
      </c>
      <c r="EC223" s="48">
        <f>IF(EC$8=1,IF(Reales!$C$59="PYG",IF(EC$10&gt;0,N(Reales!EC59)/EC$10,0),N(Reales!EC59)),EC$198*IF(AND(AND(128&gt;Corte,128&lt;=Corte+n_Ventana),ISNUMBER(Detalle_24m!EC$63)),Detalle_24m!EC$63,INDEX(Precio_V,22)*INDEX(IdxPrecio_V,1,MIN(10,EC$173)))*(1+V_dPrecio))</f>
        <v>0</v>
      </c>
      <c r="ED223" s="48">
        <f>IF(ED$8=1,IF(Reales!$C$59="PYG",IF(ED$10&gt;0,N(Reales!ED59)/ED$10,0),N(Reales!ED59)),ED$198*IF(AND(AND(129&gt;Corte,129&lt;=Corte+n_Ventana),ISNUMBER(Detalle_24m!ED$63)),Detalle_24m!ED$63,INDEX(Precio_V,22)*INDEX(IdxPrecio_V,1,MIN(10,ED$173)))*(1+V_dPrecio))</f>
        <v>0</v>
      </c>
      <c r="EE223" s="48">
        <f>IF(EE$8=1,IF(Reales!$C$59="PYG",IF(EE$10&gt;0,N(Reales!EE59)/EE$10,0),N(Reales!EE59)),EE$198*IF(AND(AND(130&gt;Corte,130&lt;=Corte+n_Ventana),ISNUMBER(Detalle_24m!EE$63)),Detalle_24m!EE$63,INDEX(Precio_V,22)*INDEX(IdxPrecio_V,1,MIN(10,EE$173)))*(1+V_dPrecio))</f>
        <v>0</v>
      </c>
      <c r="EF223" s="48">
        <f>IF(EF$8=1,IF(Reales!$C$59="PYG",IF(EF$10&gt;0,N(Reales!EF59)/EF$10,0),N(Reales!EF59)),EF$198*IF(AND(AND(131&gt;Corte,131&lt;=Corte+n_Ventana),ISNUMBER(Detalle_24m!EF$63)),Detalle_24m!EF$63,INDEX(Precio_V,22)*INDEX(IdxPrecio_V,1,MIN(10,EF$173)))*(1+V_dPrecio))</f>
        <v>0</v>
      </c>
      <c r="EG223" s="48">
        <f>IF(EG$8=1,IF(Reales!$C$59="PYG",IF(EG$10&gt;0,N(Reales!EG59)/EG$10,0),N(Reales!EG59)),EG$198*IF(AND(AND(132&gt;Corte,132&lt;=Corte+n_Ventana),ISNUMBER(Detalle_24m!EG$63)),Detalle_24m!EG$63,INDEX(Precio_V,22)*INDEX(IdxPrecio_V,1,MIN(10,EG$173)))*(1+V_dPrecio))</f>
        <v>0</v>
      </c>
      <c r="EH223" s="48">
        <f>IF(EH$8=1,IF(Reales!$C$59="PYG",IF(EH$10&gt;0,N(Reales!EH59)/EH$10,0),N(Reales!EH59)),EH$198*IF(AND(AND(133&gt;Corte,133&lt;=Corte+n_Ventana),ISNUMBER(Detalle_24m!EH$63)),Detalle_24m!EH$63,INDEX(Precio_V,22)*INDEX(IdxPrecio_V,1,MIN(10,EH$173)))*(1+V_dPrecio))</f>
        <v>0</v>
      </c>
      <c r="EI223" s="48">
        <f>IF(EI$8=1,IF(Reales!$C$59="PYG",IF(EI$10&gt;0,N(Reales!EI59)/EI$10,0),N(Reales!EI59)),EI$198*IF(AND(AND(134&gt;Corte,134&lt;=Corte+n_Ventana),ISNUMBER(Detalle_24m!EI$63)),Detalle_24m!EI$63,INDEX(Precio_V,22)*INDEX(IdxPrecio_V,1,MIN(10,EI$173)))*(1+V_dPrecio))</f>
        <v>0</v>
      </c>
      <c r="EJ223" s="48">
        <f>IF(EJ$8=1,IF(Reales!$C$59="PYG",IF(EJ$10&gt;0,N(Reales!EJ59)/EJ$10,0),N(Reales!EJ59)),EJ$198*IF(AND(AND(135&gt;Corte,135&lt;=Corte+n_Ventana),ISNUMBER(Detalle_24m!EJ$63)),Detalle_24m!EJ$63,INDEX(Precio_V,22)*INDEX(IdxPrecio_V,1,MIN(10,EJ$173)))*(1+V_dPrecio))</f>
        <v>0</v>
      </c>
      <c r="EK223" s="48">
        <f>IF(EK$8=1,IF(Reales!$C$59="PYG",IF(EK$10&gt;0,N(Reales!EK59)/EK$10,0),N(Reales!EK59)),EK$198*IF(AND(AND(136&gt;Corte,136&lt;=Corte+n_Ventana),ISNUMBER(Detalle_24m!EK$63)),Detalle_24m!EK$63,INDEX(Precio_V,22)*INDEX(IdxPrecio_V,1,MIN(10,EK$173)))*(1+V_dPrecio))</f>
        <v>0</v>
      </c>
      <c r="EL223" s="48">
        <f>IF(EL$8=1,IF(Reales!$C$59="PYG",IF(EL$10&gt;0,N(Reales!EL59)/EL$10,0),N(Reales!EL59)),EL$198*IF(AND(AND(137&gt;Corte,137&lt;=Corte+n_Ventana),ISNUMBER(Detalle_24m!EL$63)),Detalle_24m!EL$63,INDEX(Precio_V,22)*INDEX(IdxPrecio_V,1,MIN(10,EL$173)))*(1+V_dPrecio))</f>
        <v>0</v>
      </c>
      <c r="EM223" s="48">
        <f>IF(EM$8=1,IF(Reales!$C$59="PYG",IF(EM$10&gt;0,N(Reales!EM59)/EM$10,0),N(Reales!EM59)),EM$198*IF(AND(AND(138&gt;Corte,138&lt;=Corte+n_Ventana),ISNUMBER(Detalle_24m!EM$63)),Detalle_24m!EM$63,INDEX(Precio_V,22)*INDEX(IdxPrecio_V,1,MIN(10,EM$173)))*(1+V_dPrecio))</f>
        <v>0</v>
      </c>
      <c r="EN223" s="48">
        <f>IF(EN$8=1,IF(Reales!$C$59="PYG",IF(EN$10&gt;0,N(Reales!EN59)/EN$10,0),N(Reales!EN59)),EN$198*IF(AND(AND(139&gt;Corte,139&lt;=Corte+n_Ventana),ISNUMBER(Detalle_24m!EN$63)),Detalle_24m!EN$63,INDEX(Precio_V,22)*INDEX(IdxPrecio_V,1,MIN(10,EN$173)))*(1+V_dPrecio))</f>
        <v>0</v>
      </c>
      <c r="EO223" s="48">
        <f>IF(EO$8=1,IF(Reales!$C$59="PYG",IF(EO$10&gt;0,N(Reales!EO59)/EO$10,0),N(Reales!EO59)),EO$198*IF(AND(AND(140&gt;Corte,140&lt;=Corte+n_Ventana),ISNUMBER(Detalle_24m!EO$63)),Detalle_24m!EO$63,INDEX(Precio_V,22)*INDEX(IdxPrecio_V,1,MIN(10,EO$173)))*(1+V_dPrecio))</f>
        <v>0</v>
      </c>
      <c r="EP223" s="48">
        <f>IF(EP$8=1,IF(Reales!$C$59="PYG",IF(EP$10&gt;0,N(Reales!EP59)/EP$10,0),N(Reales!EP59)),EP$198*IF(AND(AND(141&gt;Corte,141&lt;=Corte+n_Ventana),ISNUMBER(Detalle_24m!EP$63)),Detalle_24m!EP$63,INDEX(Precio_V,22)*INDEX(IdxPrecio_V,1,MIN(10,EP$173)))*(1+V_dPrecio))</f>
        <v>0</v>
      </c>
      <c r="EQ223" s="48">
        <f>IF(EQ$8=1,IF(Reales!$C$59="PYG",IF(EQ$10&gt;0,N(Reales!EQ59)/EQ$10,0),N(Reales!EQ59)),EQ$198*IF(AND(AND(142&gt;Corte,142&lt;=Corte+n_Ventana),ISNUMBER(Detalle_24m!EQ$63)),Detalle_24m!EQ$63,INDEX(Precio_V,22)*INDEX(IdxPrecio_V,1,MIN(10,EQ$173)))*(1+V_dPrecio))</f>
        <v>0</v>
      </c>
      <c r="ER223" s="48">
        <f>IF(ER$8=1,IF(Reales!$C$59="PYG",IF(ER$10&gt;0,N(Reales!ER59)/ER$10,0),N(Reales!ER59)),ER$198*IF(AND(AND(143&gt;Corte,143&lt;=Corte+n_Ventana),ISNUMBER(Detalle_24m!ER$63)),Detalle_24m!ER$63,INDEX(Precio_V,22)*INDEX(IdxPrecio_V,1,MIN(10,ER$173)))*(1+V_dPrecio))</f>
        <v>0</v>
      </c>
      <c r="ES223" s="48">
        <f>IF(ES$8=1,IF(Reales!$C$59="PYG",IF(ES$10&gt;0,N(Reales!ES59)/ES$10,0),N(Reales!ES59)),ES$198*IF(AND(AND(144&gt;Corte,144&lt;=Corte+n_Ventana),ISNUMBER(Detalle_24m!ES$63)),Detalle_24m!ES$63,INDEX(Precio_V,22)*INDEX(IdxPrecio_V,1,MIN(10,ES$173)))*(1+V_dPrecio))</f>
        <v>0</v>
      </c>
    </row>
    <row r="224" spans="1:149" x14ac:dyDescent="0.3">
      <c r="A224" s="14" t="s">
        <v>1279</v>
      </c>
      <c r="B224" s="53" t="str">
        <f>IF(INDEX(Prod_Nombre,23)="","Producto 23",INDEX(Prod_Nombre,23))&amp;" — ventas USD"</f>
        <v>Producto 23 — ventas USD</v>
      </c>
      <c r="C224" s="18" t="s">
        <v>439</v>
      </c>
      <c r="E224" s="54">
        <f t="shared" si="605"/>
        <v>0</v>
      </c>
      <c r="F224" s="48">
        <f>IF(F$8=1,IF(Reales!$C$60="PYG",IF(F$10&gt;0,N(Reales!F60)/F$10,0),N(Reales!F60)),F$199*IF(AND(AND(1&gt;Corte,1&lt;=Corte+n_Ventana),ISNUMBER(Detalle_24m!F$64)),Detalle_24m!F$64,INDEX(Precio_V,23)*INDEX(IdxPrecio_V,1,MIN(10,F$173)))*(1+V_dPrecio))</f>
        <v>0</v>
      </c>
      <c r="G224" s="48">
        <f>IF(G$8=1,IF(Reales!$C$60="PYG",IF(G$10&gt;0,N(Reales!G60)/G$10,0),N(Reales!G60)),G$199*IF(AND(AND(2&gt;Corte,2&lt;=Corte+n_Ventana),ISNUMBER(Detalle_24m!G$64)),Detalle_24m!G$64,INDEX(Precio_V,23)*INDEX(IdxPrecio_V,1,MIN(10,G$173)))*(1+V_dPrecio))</f>
        <v>0</v>
      </c>
      <c r="H224" s="48">
        <f>IF(H$8=1,IF(Reales!$C$60="PYG",IF(H$10&gt;0,N(Reales!H60)/H$10,0),N(Reales!H60)),H$199*IF(AND(AND(3&gt;Corte,3&lt;=Corte+n_Ventana),ISNUMBER(Detalle_24m!H$64)),Detalle_24m!H$64,INDEX(Precio_V,23)*INDEX(IdxPrecio_V,1,MIN(10,H$173)))*(1+V_dPrecio))</f>
        <v>0</v>
      </c>
      <c r="I224" s="48">
        <f>IF(I$8=1,IF(Reales!$C$60="PYG",IF(I$10&gt;0,N(Reales!I60)/I$10,0),N(Reales!I60)),I$199*IF(AND(AND(4&gt;Corte,4&lt;=Corte+n_Ventana),ISNUMBER(Detalle_24m!I$64)),Detalle_24m!I$64,INDEX(Precio_V,23)*INDEX(IdxPrecio_V,1,MIN(10,I$173)))*(1+V_dPrecio))</f>
        <v>0</v>
      </c>
      <c r="J224" s="48">
        <f>IF(J$8=1,IF(Reales!$C$60="PYG",IF(J$10&gt;0,N(Reales!J60)/J$10,0),N(Reales!J60)),J$199*IF(AND(AND(5&gt;Corte,5&lt;=Corte+n_Ventana),ISNUMBER(Detalle_24m!J$64)),Detalle_24m!J$64,INDEX(Precio_V,23)*INDEX(IdxPrecio_V,1,MIN(10,J$173)))*(1+V_dPrecio))</f>
        <v>0</v>
      </c>
      <c r="K224" s="48">
        <f>IF(K$8=1,IF(Reales!$C$60="PYG",IF(K$10&gt;0,N(Reales!K60)/K$10,0),N(Reales!K60)),K$199*IF(AND(AND(6&gt;Corte,6&lt;=Corte+n_Ventana),ISNUMBER(Detalle_24m!K$64)),Detalle_24m!K$64,INDEX(Precio_V,23)*INDEX(IdxPrecio_V,1,MIN(10,K$173)))*(1+V_dPrecio))</f>
        <v>0</v>
      </c>
      <c r="L224" s="48">
        <f>IF(L$8=1,IF(Reales!$C$60="PYG",IF(L$10&gt;0,N(Reales!L60)/L$10,0),N(Reales!L60)),L$199*IF(AND(AND(7&gt;Corte,7&lt;=Corte+n_Ventana),ISNUMBER(Detalle_24m!L$64)),Detalle_24m!L$64,INDEX(Precio_V,23)*INDEX(IdxPrecio_V,1,MIN(10,L$173)))*(1+V_dPrecio))</f>
        <v>0</v>
      </c>
      <c r="M224" s="48">
        <f>IF(M$8=1,IF(Reales!$C$60="PYG",IF(M$10&gt;0,N(Reales!M60)/M$10,0),N(Reales!M60)),M$199*IF(AND(AND(8&gt;Corte,8&lt;=Corte+n_Ventana),ISNUMBER(Detalle_24m!M$64)),Detalle_24m!M$64,INDEX(Precio_V,23)*INDEX(IdxPrecio_V,1,MIN(10,M$173)))*(1+V_dPrecio))</f>
        <v>0</v>
      </c>
      <c r="N224" s="48">
        <f>IF(N$8=1,IF(Reales!$C$60="PYG",IF(N$10&gt;0,N(Reales!N60)/N$10,0),N(Reales!N60)),N$199*IF(AND(AND(9&gt;Corte,9&lt;=Corte+n_Ventana),ISNUMBER(Detalle_24m!N$64)),Detalle_24m!N$64,INDEX(Precio_V,23)*INDEX(IdxPrecio_V,1,MIN(10,N$173)))*(1+V_dPrecio))</f>
        <v>0</v>
      </c>
      <c r="O224" s="48">
        <f>IF(O$8=1,IF(Reales!$C$60="PYG",IF(O$10&gt;0,N(Reales!O60)/O$10,0),N(Reales!O60)),O$199*IF(AND(AND(10&gt;Corte,10&lt;=Corte+n_Ventana),ISNUMBER(Detalle_24m!O$64)),Detalle_24m!O$64,INDEX(Precio_V,23)*INDEX(IdxPrecio_V,1,MIN(10,O$173)))*(1+V_dPrecio))</f>
        <v>0</v>
      </c>
      <c r="P224" s="48">
        <f>IF(P$8=1,IF(Reales!$C$60="PYG",IF(P$10&gt;0,N(Reales!P60)/P$10,0),N(Reales!P60)),P$199*IF(AND(AND(11&gt;Corte,11&lt;=Corte+n_Ventana),ISNUMBER(Detalle_24m!P$64)),Detalle_24m!P$64,INDEX(Precio_V,23)*INDEX(IdxPrecio_V,1,MIN(10,P$173)))*(1+V_dPrecio))</f>
        <v>0</v>
      </c>
      <c r="Q224" s="48">
        <f>IF(Q$8=1,IF(Reales!$C$60="PYG",IF(Q$10&gt;0,N(Reales!Q60)/Q$10,0),N(Reales!Q60)),Q$199*IF(AND(AND(12&gt;Corte,12&lt;=Corte+n_Ventana),ISNUMBER(Detalle_24m!Q$64)),Detalle_24m!Q$64,INDEX(Precio_V,23)*INDEX(IdxPrecio_V,1,MIN(10,Q$173)))*(1+V_dPrecio))</f>
        <v>0</v>
      </c>
      <c r="R224" s="48">
        <f>IF(R$8=1,IF(Reales!$C$60="PYG",IF(R$10&gt;0,N(Reales!R60)/R$10,0),N(Reales!R60)),R$199*IF(AND(AND(13&gt;Corte,13&lt;=Corte+n_Ventana),ISNUMBER(Detalle_24m!R$64)),Detalle_24m!R$64,INDEX(Precio_V,23)*INDEX(IdxPrecio_V,1,MIN(10,R$173)))*(1+V_dPrecio))</f>
        <v>0</v>
      </c>
      <c r="S224" s="48">
        <f>IF(S$8=1,IF(Reales!$C$60="PYG",IF(S$10&gt;0,N(Reales!S60)/S$10,0),N(Reales!S60)),S$199*IF(AND(AND(14&gt;Corte,14&lt;=Corte+n_Ventana),ISNUMBER(Detalle_24m!S$64)),Detalle_24m!S$64,INDEX(Precio_V,23)*INDEX(IdxPrecio_V,1,MIN(10,S$173)))*(1+V_dPrecio))</f>
        <v>0</v>
      </c>
      <c r="T224" s="48">
        <f>IF(T$8=1,IF(Reales!$C$60="PYG",IF(T$10&gt;0,N(Reales!T60)/T$10,0),N(Reales!T60)),T$199*IF(AND(AND(15&gt;Corte,15&lt;=Corte+n_Ventana),ISNUMBER(Detalle_24m!T$64)),Detalle_24m!T$64,INDEX(Precio_V,23)*INDEX(IdxPrecio_V,1,MIN(10,T$173)))*(1+V_dPrecio))</f>
        <v>0</v>
      </c>
      <c r="U224" s="48">
        <f>IF(U$8=1,IF(Reales!$C$60="PYG",IF(U$10&gt;0,N(Reales!U60)/U$10,0),N(Reales!U60)),U$199*IF(AND(AND(16&gt;Corte,16&lt;=Corte+n_Ventana),ISNUMBER(Detalle_24m!U$64)),Detalle_24m!U$64,INDEX(Precio_V,23)*INDEX(IdxPrecio_V,1,MIN(10,U$173)))*(1+V_dPrecio))</f>
        <v>0</v>
      </c>
      <c r="V224" s="48">
        <f>IF(V$8=1,IF(Reales!$C$60="PYG",IF(V$10&gt;0,N(Reales!V60)/V$10,0),N(Reales!V60)),V$199*IF(AND(AND(17&gt;Corte,17&lt;=Corte+n_Ventana),ISNUMBER(Detalle_24m!V$64)),Detalle_24m!V$64,INDEX(Precio_V,23)*INDEX(IdxPrecio_V,1,MIN(10,V$173)))*(1+V_dPrecio))</f>
        <v>0</v>
      </c>
      <c r="W224" s="48">
        <f>IF(W$8=1,IF(Reales!$C$60="PYG",IF(W$10&gt;0,N(Reales!W60)/W$10,0),N(Reales!W60)),W$199*IF(AND(AND(18&gt;Corte,18&lt;=Corte+n_Ventana),ISNUMBER(Detalle_24m!W$64)),Detalle_24m!W$64,INDEX(Precio_V,23)*INDEX(IdxPrecio_V,1,MIN(10,W$173)))*(1+V_dPrecio))</f>
        <v>0</v>
      </c>
      <c r="X224" s="48">
        <f>IF(X$8=1,IF(Reales!$C$60="PYG",IF(X$10&gt;0,N(Reales!X60)/X$10,0),N(Reales!X60)),X$199*IF(AND(AND(19&gt;Corte,19&lt;=Corte+n_Ventana),ISNUMBER(Detalle_24m!X$64)),Detalle_24m!X$64,INDEX(Precio_V,23)*INDEX(IdxPrecio_V,1,MIN(10,X$173)))*(1+V_dPrecio))</f>
        <v>0</v>
      </c>
      <c r="Y224" s="48">
        <f>IF(Y$8=1,IF(Reales!$C$60="PYG",IF(Y$10&gt;0,N(Reales!Y60)/Y$10,0),N(Reales!Y60)),Y$199*IF(AND(AND(20&gt;Corte,20&lt;=Corte+n_Ventana),ISNUMBER(Detalle_24m!Y$64)),Detalle_24m!Y$64,INDEX(Precio_V,23)*INDEX(IdxPrecio_V,1,MIN(10,Y$173)))*(1+V_dPrecio))</f>
        <v>0</v>
      </c>
      <c r="Z224" s="48">
        <f>IF(Z$8=1,IF(Reales!$C$60="PYG",IF(Z$10&gt;0,N(Reales!Z60)/Z$10,0),N(Reales!Z60)),Z$199*IF(AND(AND(21&gt;Corte,21&lt;=Corte+n_Ventana),ISNUMBER(Detalle_24m!Z$64)),Detalle_24m!Z$64,INDEX(Precio_V,23)*INDEX(IdxPrecio_V,1,MIN(10,Z$173)))*(1+V_dPrecio))</f>
        <v>0</v>
      </c>
      <c r="AA224" s="48">
        <f>IF(AA$8=1,IF(Reales!$C$60="PYG",IF(AA$10&gt;0,N(Reales!AA60)/AA$10,0),N(Reales!AA60)),AA$199*IF(AND(AND(22&gt;Corte,22&lt;=Corte+n_Ventana),ISNUMBER(Detalle_24m!AA$64)),Detalle_24m!AA$64,INDEX(Precio_V,23)*INDEX(IdxPrecio_V,1,MIN(10,AA$173)))*(1+V_dPrecio))</f>
        <v>0</v>
      </c>
      <c r="AB224" s="48">
        <f>IF(AB$8=1,IF(Reales!$C$60="PYG",IF(AB$10&gt;0,N(Reales!AB60)/AB$10,0),N(Reales!AB60)),AB$199*IF(AND(AND(23&gt;Corte,23&lt;=Corte+n_Ventana),ISNUMBER(Detalle_24m!AB$64)),Detalle_24m!AB$64,INDEX(Precio_V,23)*INDEX(IdxPrecio_V,1,MIN(10,AB$173)))*(1+V_dPrecio))</f>
        <v>0</v>
      </c>
      <c r="AC224" s="48">
        <f>IF(AC$8=1,IF(Reales!$C$60="PYG",IF(AC$10&gt;0,N(Reales!AC60)/AC$10,0),N(Reales!AC60)),AC$199*IF(AND(AND(24&gt;Corte,24&lt;=Corte+n_Ventana),ISNUMBER(Detalle_24m!AC$64)),Detalle_24m!AC$64,INDEX(Precio_V,23)*INDEX(IdxPrecio_V,1,MIN(10,AC$173)))*(1+V_dPrecio))</f>
        <v>0</v>
      </c>
      <c r="AD224" s="48">
        <f>IF(AD$8=1,IF(Reales!$C$60="PYG",IF(AD$10&gt;0,N(Reales!AD60)/AD$10,0),N(Reales!AD60)),AD$199*IF(AND(AND(25&gt;Corte,25&lt;=Corte+n_Ventana),ISNUMBER(Detalle_24m!AD$64)),Detalle_24m!AD$64,INDEX(Precio_V,23)*INDEX(IdxPrecio_V,1,MIN(10,AD$173)))*(1+V_dPrecio))</f>
        <v>0</v>
      </c>
      <c r="AE224" s="48">
        <f>IF(AE$8=1,IF(Reales!$C$60="PYG",IF(AE$10&gt;0,N(Reales!AE60)/AE$10,0),N(Reales!AE60)),AE$199*IF(AND(AND(26&gt;Corte,26&lt;=Corte+n_Ventana),ISNUMBER(Detalle_24m!AE$64)),Detalle_24m!AE$64,INDEX(Precio_V,23)*INDEX(IdxPrecio_V,1,MIN(10,AE$173)))*(1+V_dPrecio))</f>
        <v>0</v>
      </c>
      <c r="AF224" s="48">
        <f>IF(AF$8=1,IF(Reales!$C$60="PYG",IF(AF$10&gt;0,N(Reales!AF60)/AF$10,0),N(Reales!AF60)),AF$199*IF(AND(AND(27&gt;Corte,27&lt;=Corte+n_Ventana),ISNUMBER(Detalle_24m!AF$64)),Detalle_24m!AF$64,INDEX(Precio_V,23)*INDEX(IdxPrecio_V,1,MIN(10,AF$173)))*(1+V_dPrecio))</f>
        <v>0</v>
      </c>
      <c r="AG224" s="48">
        <f>IF(AG$8=1,IF(Reales!$C$60="PYG",IF(AG$10&gt;0,N(Reales!AG60)/AG$10,0),N(Reales!AG60)),AG$199*IF(AND(AND(28&gt;Corte,28&lt;=Corte+n_Ventana),ISNUMBER(Detalle_24m!AG$64)),Detalle_24m!AG$64,INDEX(Precio_V,23)*INDEX(IdxPrecio_V,1,MIN(10,AG$173)))*(1+V_dPrecio))</f>
        <v>0</v>
      </c>
      <c r="AH224" s="48">
        <f>IF(AH$8=1,IF(Reales!$C$60="PYG",IF(AH$10&gt;0,N(Reales!AH60)/AH$10,0),N(Reales!AH60)),AH$199*IF(AND(AND(29&gt;Corte,29&lt;=Corte+n_Ventana),ISNUMBER(Detalle_24m!AH$64)),Detalle_24m!AH$64,INDEX(Precio_V,23)*INDEX(IdxPrecio_V,1,MIN(10,AH$173)))*(1+V_dPrecio))</f>
        <v>0</v>
      </c>
      <c r="AI224" s="48">
        <f>IF(AI$8=1,IF(Reales!$C$60="PYG",IF(AI$10&gt;0,N(Reales!AI60)/AI$10,0),N(Reales!AI60)),AI$199*IF(AND(AND(30&gt;Corte,30&lt;=Corte+n_Ventana),ISNUMBER(Detalle_24m!AI$64)),Detalle_24m!AI$64,INDEX(Precio_V,23)*INDEX(IdxPrecio_V,1,MIN(10,AI$173)))*(1+V_dPrecio))</f>
        <v>0</v>
      </c>
      <c r="AJ224" s="48">
        <f>IF(AJ$8=1,IF(Reales!$C$60="PYG",IF(AJ$10&gt;0,N(Reales!AJ60)/AJ$10,0),N(Reales!AJ60)),AJ$199*IF(AND(AND(31&gt;Corte,31&lt;=Corte+n_Ventana),ISNUMBER(Detalle_24m!AJ$64)),Detalle_24m!AJ$64,INDEX(Precio_V,23)*INDEX(IdxPrecio_V,1,MIN(10,AJ$173)))*(1+V_dPrecio))</f>
        <v>0</v>
      </c>
      <c r="AK224" s="48">
        <f>IF(AK$8=1,IF(Reales!$C$60="PYG",IF(AK$10&gt;0,N(Reales!AK60)/AK$10,0),N(Reales!AK60)),AK$199*IF(AND(AND(32&gt;Corte,32&lt;=Corte+n_Ventana),ISNUMBER(Detalle_24m!AK$64)),Detalle_24m!AK$64,INDEX(Precio_V,23)*INDEX(IdxPrecio_V,1,MIN(10,AK$173)))*(1+V_dPrecio))</f>
        <v>0</v>
      </c>
      <c r="AL224" s="48">
        <f>IF(AL$8=1,IF(Reales!$C$60="PYG",IF(AL$10&gt;0,N(Reales!AL60)/AL$10,0),N(Reales!AL60)),AL$199*IF(AND(AND(33&gt;Corte,33&lt;=Corte+n_Ventana),ISNUMBER(Detalle_24m!AL$64)),Detalle_24m!AL$64,INDEX(Precio_V,23)*INDEX(IdxPrecio_V,1,MIN(10,AL$173)))*(1+V_dPrecio))</f>
        <v>0</v>
      </c>
      <c r="AM224" s="48">
        <f>IF(AM$8=1,IF(Reales!$C$60="PYG",IF(AM$10&gt;0,N(Reales!AM60)/AM$10,0),N(Reales!AM60)),AM$199*IF(AND(AND(34&gt;Corte,34&lt;=Corte+n_Ventana),ISNUMBER(Detalle_24m!AM$64)),Detalle_24m!AM$64,INDEX(Precio_V,23)*INDEX(IdxPrecio_V,1,MIN(10,AM$173)))*(1+V_dPrecio))</f>
        <v>0</v>
      </c>
      <c r="AN224" s="48">
        <f>IF(AN$8=1,IF(Reales!$C$60="PYG",IF(AN$10&gt;0,N(Reales!AN60)/AN$10,0),N(Reales!AN60)),AN$199*IF(AND(AND(35&gt;Corte,35&lt;=Corte+n_Ventana),ISNUMBER(Detalle_24m!AN$64)),Detalle_24m!AN$64,INDEX(Precio_V,23)*INDEX(IdxPrecio_V,1,MIN(10,AN$173)))*(1+V_dPrecio))</f>
        <v>0</v>
      </c>
      <c r="AO224" s="48">
        <f>IF(AO$8=1,IF(Reales!$C$60="PYG",IF(AO$10&gt;0,N(Reales!AO60)/AO$10,0),N(Reales!AO60)),AO$199*IF(AND(AND(36&gt;Corte,36&lt;=Corte+n_Ventana),ISNUMBER(Detalle_24m!AO$64)),Detalle_24m!AO$64,INDEX(Precio_V,23)*INDEX(IdxPrecio_V,1,MIN(10,AO$173)))*(1+V_dPrecio))</f>
        <v>0</v>
      </c>
      <c r="AP224" s="48">
        <f>IF(AP$8=1,IF(Reales!$C$60="PYG",IF(AP$10&gt;0,N(Reales!AP60)/AP$10,0),N(Reales!AP60)),AP$199*IF(AND(AND(37&gt;Corte,37&lt;=Corte+n_Ventana),ISNUMBER(Detalle_24m!AP$64)),Detalle_24m!AP$64,INDEX(Precio_V,23)*INDEX(IdxPrecio_V,1,MIN(10,AP$173)))*(1+V_dPrecio))</f>
        <v>0</v>
      </c>
      <c r="AQ224" s="48">
        <f>IF(AQ$8=1,IF(Reales!$C$60="PYG",IF(AQ$10&gt;0,N(Reales!AQ60)/AQ$10,0),N(Reales!AQ60)),AQ$199*IF(AND(AND(38&gt;Corte,38&lt;=Corte+n_Ventana),ISNUMBER(Detalle_24m!AQ$64)),Detalle_24m!AQ$64,INDEX(Precio_V,23)*INDEX(IdxPrecio_V,1,MIN(10,AQ$173)))*(1+V_dPrecio))</f>
        <v>0</v>
      </c>
      <c r="AR224" s="48">
        <f>IF(AR$8=1,IF(Reales!$C$60="PYG",IF(AR$10&gt;0,N(Reales!AR60)/AR$10,0),N(Reales!AR60)),AR$199*IF(AND(AND(39&gt;Corte,39&lt;=Corte+n_Ventana),ISNUMBER(Detalle_24m!AR$64)),Detalle_24m!AR$64,INDEX(Precio_V,23)*INDEX(IdxPrecio_V,1,MIN(10,AR$173)))*(1+V_dPrecio))</f>
        <v>0</v>
      </c>
      <c r="AS224" s="48">
        <f>IF(AS$8=1,IF(Reales!$C$60="PYG",IF(AS$10&gt;0,N(Reales!AS60)/AS$10,0),N(Reales!AS60)),AS$199*IF(AND(AND(40&gt;Corte,40&lt;=Corte+n_Ventana),ISNUMBER(Detalle_24m!AS$64)),Detalle_24m!AS$64,INDEX(Precio_V,23)*INDEX(IdxPrecio_V,1,MIN(10,AS$173)))*(1+V_dPrecio))</f>
        <v>0</v>
      </c>
      <c r="AT224" s="48">
        <f>IF(AT$8=1,IF(Reales!$C$60="PYG",IF(AT$10&gt;0,N(Reales!AT60)/AT$10,0),N(Reales!AT60)),AT$199*IF(AND(AND(41&gt;Corte,41&lt;=Corte+n_Ventana),ISNUMBER(Detalle_24m!AT$64)),Detalle_24m!AT$64,INDEX(Precio_V,23)*INDEX(IdxPrecio_V,1,MIN(10,AT$173)))*(1+V_dPrecio))</f>
        <v>0</v>
      </c>
      <c r="AU224" s="48">
        <f>IF(AU$8=1,IF(Reales!$C$60="PYG",IF(AU$10&gt;0,N(Reales!AU60)/AU$10,0),N(Reales!AU60)),AU$199*IF(AND(AND(42&gt;Corte,42&lt;=Corte+n_Ventana),ISNUMBER(Detalle_24m!AU$64)),Detalle_24m!AU$64,INDEX(Precio_V,23)*INDEX(IdxPrecio_V,1,MIN(10,AU$173)))*(1+V_dPrecio))</f>
        <v>0</v>
      </c>
      <c r="AV224" s="48">
        <f>IF(AV$8=1,IF(Reales!$C$60="PYG",IF(AV$10&gt;0,N(Reales!AV60)/AV$10,0),N(Reales!AV60)),AV$199*IF(AND(AND(43&gt;Corte,43&lt;=Corte+n_Ventana),ISNUMBER(Detalle_24m!AV$64)),Detalle_24m!AV$64,INDEX(Precio_V,23)*INDEX(IdxPrecio_V,1,MIN(10,AV$173)))*(1+V_dPrecio))</f>
        <v>0</v>
      </c>
      <c r="AW224" s="48">
        <f>IF(AW$8=1,IF(Reales!$C$60="PYG",IF(AW$10&gt;0,N(Reales!AW60)/AW$10,0),N(Reales!AW60)),AW$199*IF(AND(AND(44&gt;Corte,44&lt;=Corte+n_Ventana),ISNUMBER(Detalle_24m!AW$64)),Detalle_24m!AW$64,INDEX(Precio_V,23)*INDEX(IdxPrecio_V,1,MIN(10,AW$173)))*(1+V_dPrecio))</f>
        <v>0</v>
      </c>
      <c r="AX224" s="48">
        <f>IF(AX$8=1,IF(Reales!$C$60="PYG",IF(AX$10&gt;0,N(Reales!AX60)/AX$10,0),N(Reales!AX60)),AX$199*IF(AND(AND(45&gt;Corte,45&lt;=Corte+n_Ventana),ISNUMBER(Detalle_24m!AX$64)),Detalle_24m!AX$64,INDEX(Precio_V,23)*INDEX(IdxPrecio_V,1,MIN(10,AX$173)))*(1+V_dPrecio))</f>
        <v>0</v>
      </c>
      <c r="AY224" s="48">
        <f>IF(AY$8=1,IF(Reales!$C$60="PYG",IF(AY$10&gt;0,N(Reales!AY60)/AY$10,0),N(Reales!AY60)),AY$199*IF(AND(AND(46&gt;Corte,46&lt;=Corte+n_Ventana),ISNUMBER(Detalle_24m!AY$64)),Detalle_24m!AY$64,INDEX(Precio_V,23)*INDEX(IdxPrecio_V,1,MIN(10,AY$173)))*(1+V_dPrecio))</f>
        <v>0</v>
      </c>
      <c r="AZ224" s="48">
        <f>IF(AZ$8=1,IF(Reales!$C$60="PYG",IF(AZ$10&gt;0,N(Reales!AZ60)/AZ$10,0),N(Reales!AZ60)),AZ$199*IF(AND(AND(47&gt;Corte,47&lt;=Corte+n_Ventana),ISNUMBER(Detalle_24m!AZ$64)),Detalle_24m!AZ$64,INDEX(Precio_V,23)*INDEX(IdxPrecio_V,1,MIN(10,AZ$173)))*(1+V_dPrecio))</f>
        <v>0</v>
      </c>
      <c r="BA224" s="48">
        <f>IF(BA$8=1,IF(Reales!$C$60="PYG",IF(BA$10&gt;0,N(Reales!BA60)/BA$10,0),N(Reales!BA60)),BA$199*IF(AND(AND(48&gt;Corte,48&lt;=Corte+n_Ventana),ISNUMBER(Detalle_24m!BA$64)),Detalle_24m!BA$64,INDEX(Precio_V,23)*INDEX(IdxPrecio_V,1,MIN(10,BA$173)))*(1+V_dPrecio))</f>
        <v>0</v>
      </c>
      <c r="BB224" s="48">
        <f>IF(BB$8=1,IF(Reales!$C$60="PYG",IF(BB$10&gt;0,N(Reales!BB60)/BB$10,0),N(Reales!BB60)),BB$199*IF(AND(AND(49&gt;Corte,49&lt;=Corte+n_Ventana),ISNUMBER(Detalle_24m!BB$64)),Detalle_24m!BB$64,INDEX(Precio_V,23)*INDEX(IdxPrecio_V,1,MIN(10,BB$173)))*(1+V_dPrecio))</f>
        <v>0</v>
      </c>
      <c r="BC224" s="48">
        <f>IF(BC$8=1,IF(Reales!$C$60="PYG",IF(BC$10&gt;0,N(Reales!BC60)/BC$10,0),N(Reales!BC60)),BC$199*IF(AND(AND(50&gt;Corte,50&lt;=Corte+n_Ventana),ISNUMBER(Detalle_24m!BC$64)),Detalle_24m!BC$64,INDEX(Precio_V,23)*INDEX(IdxPrecio_V,1,MIN(10,BC$173)))*(1+V_dPrecio))</f>
        <v>0</v>
      </c>
      <c r="BD224" s="48">
        <f>IF(BD$8=1,IF(Reales!$C$60="PYG",IF(BD$10&gt;0,N(Reales!BD60)/BD$10,0),N(Reales!BD60)),BD$199*IF(AND(AND(51&gt;Corte,51&lt;=Corte+n_Ventana),ISNUMBER(Detalle_24m!BD$64)),Detalle_24m!BD$64,INDEX(Precio_V,23)*INDEX(IdxPrecio_V,1,MIN(10,BD$173)))*(1+V_dPrecio))</f>
        <v>0</v>
      </c>
      <c r="BE224" s="48">
        <f>IF(BE$8=1,IF(Reales!$C$60="PYG",IF(BE$10&gt;0,N(Reales!BE60)/BE$10,0),N(Reales!BE60)),BE$199*IF(AND(AND(52&gt;Corte,52&lt;=Corte+n_Ventana),ISNUMBER(Detalle_24m!BE$64)),Detalle_24m!BE$64,INDEX(Precio_V,23)*INDEX(IdxPrecio_V,1,MIN(10,BE$173)))*(1+V_dPrecio))</f>
        <v>0</v>
      </c>
      <c r="BF224" s="48">
        <f>IF(BF$8=1,IF(Reales!$C$60="PYG",IF(BF$10&gt;0,N(Reales!BF60)/BF$10,0),N(Reales!BF60)),BF$199*IF(AND(AND(53&gt;Corte,53&lt;=Corte+n_Ventana),ISNUMBER(Detalle_24m!BF$64)),Detalle_24m!BF$64,INDEX(Precio_V,23)*INDEX(IdxPrecio_V,1,MIN(10,BF$173)))*(1+V_dPrecio))</f>
        <v>0</v>
      </c>
      <c r="BG224" s="48">
        <f>IF(BG$8=1,IF(Reales!$C$60="PYG",IF(BG$10&gt;0,N(Reales!BG60)/BG$10,0),N(Reales!BG60)),BG$199*IF(AND(AND(54&gt;Corte,54&lt;=Corte+n_Ventana),ISNUMBER(Detalle_24m!BG$64)),Detalle_24m!BG$64,INDEX(Precio_V,23)*INDEX(IdxPrecio_V,1,MIN(10,BG$173)))*(1+V_dPrecio))</f>
        <v>0</v>
      </c>
      <c r="BH224" s="48">
        <f>IF(BH$8=1,IF(Reales!$C$60="PYG",IF(BH$10&gt;0,N(Reales!BH60)/BH$10,0),N(Reales!BH60)),BH$199*IF(AND(AND(55&gt;Corte,55&lt;=Corte+n_Ventana),ISNUMBER(Detalle_24m!BH$64)),Detalle_24m!BH$64,INDEX(Precio_V,23)*INDEX(IdxPrecio_V,1,MIN(10,BH$173)))*(1+V_dPrecio))</f>
        <v>0</v>
      </c>
      <c r="BI224" s="48">
        <f>IF(BI$8=1,IF(Reales!$C$60="PYG",IF(BI$10&gt;0,N(Reales!BI60)/BI$10,0),N(Reales!BI60)),BI$199*IF(AND(AND(56&gt;Corte,56&lt;=Corte+n_Ventana),ISNUMBER(Detalle_24m!BI$64)),Detalle_24m!BI$64,INDEX(Precio_V,23)*INDEX(IdxPrecio_V,1,MIN(10,BI$173)))*(1+V_dPrecio))</f>
        <v>0</v>
      </c>
      <c r="BJ224" s="48">
        <f>IF(BJ$8=1,IF(Reales!$C$60="PYG",IF(BJ$10&gt;0,N(Reales!BJ60)/BJ$10,0),N(Reales!BJ60)),BJ$199*IF(AND(AND(57&gt;Corte,57&lt;=Corte+n_Ventana),ISNUMBER(Detalle_24m!BJ$64)),Detalle_24m!BJ$64,INDEX(Precio_V,23)*INDEX(IdxPrecio_V,1,MIN(10,BJ$173)))*(1+V_dPrecio))</f>
        <v>0</v>
      </c>
      <c r="BK224" s="48">
        <f>IF(BK$8=1,IF(Reales!$C$60="PYG",IF(BK$10&gt;0,N(Reales!BK60)/BK$10,0),N(Reales!BK60)),BK$199*IF(AND(AND(58&gt;Corte,58&lt;=Corte+n_Ventana),ISNUMBER(Detalle_24m!BK$64)),Detalle_24m!BK$64,INDEX(Precio_V,23)*INDEX(IdxPrecio_V,1,MIN(10,BK$173)))*(1+V_dPrecio))</f>
        <v>0</v>
      </c>
      <c r="BL224" s="48">
        <f>IF(BL$8=1,IF(Reales!$C$60="PYG",IF(BL$10&gt;0,N(Reales!BL60)/BL$10,0),N(Reales!BL60)),BL$199*IF(AND(AND(59&gt;Corte,59&lt;=Corte+n_Ventana),ISNUMBER(Detalle_24m!BL$64)),Detalle_24m!BL$64,INDEX(Precio_V,23)*INDEX(IdxPrecio_V,1,MIN(10,BL$173)))*(1+V_dPrecio))</f>
        <v>0</v>
      </c>
      <c r="BM224" s="48">
        <f>IF(BM$8=1,IF(Reales!$C$60="PYG",IF(BM$10&gt;0,N(Reales!BM60)/BM$10,0),N(Reales!BM60)),BM$199*IF(AND(AND(60&gt;Corte,60&lt;=Corte+n_Ventana),ISNUMBER(Detalle_24m!BM$64)),Detalle_24m!BM$64,INDEX(Precio_V,23)*INDEX(IdxPrecio_V,1,MIN(10,BM$173)))*(1+V_dPrecio))</f>
        <v>0</v>
      </c>
      <c r="BN224" s="48">
        <f>IF(BN$8=1,IF(Reales!$C$60="PYG",IF(BN$10&gt;0,N(Reales!BN60)/BN$10,0),N(Reales!BN60)),BN$199*IF(AND(AND(61&gt;Corte,61&lt;=Corte+n_Ventana),ISNUMBER(Detalle_24m!BN$64)),Detalle_24m!BN$64,INDEX(Precio_V,23)*INDEX(IdxPrecio_V,1,MIN(10,BN$173)))*(1+V_dPrecio))</f>
        <v>0</v>
      </c>
      <c r="BO224" s="48">
        <f>IF(BO$8=1,IF(Reales!$C$60="PYG",IF(BO$10&gt;0,N(Reales!BO60)/BO$10,0),N(Reales!BO60)),BO$199*IF(AND(AND(62&gt;Corte,62&lt;=Corte+n_Ventana),ISNUMBER(Detalle_24m!BO$64)),Detalle_24m!BO$64,INDEX(Precio_V,23)*INDEX(IdxPrecio_V,1,MIN(10,BO$173)))*(1+V_dPrecio))</f>
        <v>0</v>
      </c>
      <c r="BP224" s="48">
        <f>IF(BP$8=1,IF(Reales!$C$60="PYG",IF(BP$10&gt;0,N(Reales!BP60)/BP$10,0),N(Reales!BP60)),BP$199*IF(AND(AND(63&gt;Corte,63&lt;=Corte+n_Ventana),ISNUMBER(Detalle_24m!BP$64)),Detalle_24m!BP$64,INDEX(Precio_V,23)*INDEX(IdxPrecio_V,1,MIN(10,BP$173)))*(1+V_dPrecio))</f>
        <v>0</v>
      </c>
      <c r="BQ224" s="48">
        <f>IF(BQ$8=1,IF(Reales!$C$60="PYG",IF(BQ$10&gt;0,N(Reales!BQ60)/BQ$10,0),N(Reales!BQ60)),BQ$199*IF(AND(AND(64&gt;Corte,64&lt;=Corte+n_Ventana),ISNUMBER(Detalle_24m!BQ$64)),Detalle_24m!BQ$64,INDEX(Precio_V,23)*INDEX(IdxPrecio_V,1,MIN(10,BQ$173)))*(1+V_dPrecio))</f>
        <v>0</v>
      </c>
      <c r="BR224" s="48">
        <f>IF(BR$8=1,IF(Reales!$C$60="PYG",IF(BR$10&gt;0,N(Reales!BR60)/BR$10,0),N(Reales!BR60)),BR$199*IF(AND(AND(65&gt;Corte,65&lt;=Corte+n_Ventana),ISNUMBER(Detalle_24m!BR$64)),Detalle_24m!BR$64,INDEX(Precio_V,23)*INDEX(IdxPrecio_V,1,MIN(10,BR$173)))*(1+V_dPrecio))</f>
        <v>0</v>
      </c>
      <c r="BS224" s="48">
        <f>IF(BS$8=1,IF(Reales!$C$60="PYG",IF(BS$10&gt;0,N(Reales!BS60)/BS$10,0),N(Reales!BS60)),BS$199*IF(AND(AND(66&gt;Corte,66&lt;=Corte+n_Ventana),ISNUMBER(Detalle_24m!BS$64)),Detalle_24m!BS$64,INDEX(Precio_V,23)*INDEX(IdxPrecio_V,1,MIN(10,BS$173)))*(1+V_dPrecio))</f>
        <v>0</v>
      </c>
      <c r="BT224" s="48">
        <f>IF(BT$8=1,IF(Reales!$C$60="PYG",IF(BT$10&gt;0,N(Reales!BT60)/BT$10,0),N(Reales!BT60)),BT$199*IF(AND(AND(67&gt;Corte,67&lt;=Corte+n_Ventana),ISNUMBER(Detalle_24m!BT$64)),Detalle_24m!BT$64,INDEX(Precio_V,23)*INDEX(IdxPrecio_V,1,MIN(10,BT$173)))*(1+V_dPrecio))</f>
        <v>0</v>
      </c>
      <c r="BU224" s="48">
        <f>IF(BU$8=1,IF(Reales!$C$60="PYG",IF(BU$10&gt;0,N(Reales!BU60)/BU$10,0),N(Reales!BU60)),BU$199*IF(AND(AND(68&gt;Corte,68&lt;=Corte+n_Ventana),ISNUMBER(Detalle_24m!BU$64)),Detalle_24m!BU$64,INDEX(Precio_V,23)*INDEX(IdxPrecio_V,1,MIN(10,BU$173)))*(1+V_dPrecio))</f>
        <v>0</v>
      </c>
      <c r="BV224" s="48">
        <f>IF(BV$8=1,IF(Reales!$C$60="PYG",IF(BV$10&gt;0,N(Reales!BV60)/BV$10,0),N(Reales!BV60)),BV$199*IF(AND(AND(69&gt;Corte,69&lt;=Corte+n_Ventana),ISNUMBER(Detalle_24m!BV$64)),Detalle_24m!BV$64,INDEX(Precio_V,23)*INDEX(IdxPrecio_V,1,MIN(10,BV$173)))*(1+V_dPrecio))</f>
        <v>0</v>
      </c>
      <c r="BW224" s="48">
        <f>IF(BW$8=1,IF(Reales!$C$60="PYG",IF(BW$10&gt;0,N(Reales!BW60)/BW$10,0),N(Reales!BW60)),BW$199*IF(AND(AND(70&gt;Corte,70&lt;=Corte+n_Ventana),ISNUMBER(Detalle_24m!BW$64)),Detalle_24m!BW$64,INDEX(Precio_V,23)*INDEX(IdxPrecio_V,1,MIN(10,BW$173)))*(1+V_dPrecio))</f>
        <v>0</v>
      </c>
      <c r="BX224" s="48">
        <f>IF(BX$8=1,IF(Reales!$C$60="PYG",IF(BX$10&gt;0,N(Reales!BX60)/BX$10,0),N(Reales!BX60)),BX$199*IF(AND(AND(71&gt;Corte,71&lt;=Corte+n_Ventana),ISNUMBER(Detalle_24m!BX$64)),Detalle_24m!BX$64,INDEX(Precio_V,23)*INDEX(IdxPrecio_V,1,MIN(10,BX$173)))*(1+V_dPrecio))</f>
        <v>0</v>
      </c>
      <c r="BY224" s="48">
        <f>IF(BY$8=1,IF(Reales!$C$60="PYG",IF(BY$10&gt;0,N(Reales!BY60)/BY$10,0),N(Reales!BY60)),BY$199*IF(AND(AND(72&gt;Corte,72&lt;=Corte+n_Ventana),ISNUMBER(Detalle_24m!BY$64)),Detalle_24m!BY$64,INDEX(Precio_V,23)*INDEX(IdxPrecio_V,1,MIN(10,BY$173)))*(1+V_dPrecio))</f>
        <v>0</v>
      </c>
      <c r="BZ224" s="48">
        <f>IF(BZ$8=1,IF(Reales!$C$60="PYG",IF(BZ$10&gt;0,N(Reales!BZ60)/BZ$10,0),N(Reales!BZ60)),BZ$199*IF(AND(AND(73&gt;Corte,73&lt;=Corte+n_Ventana),ISNUMBER(Detalle_24m!BZ$64)),Detalle_24m!BZ$64,INDEX(Precio_V,23)*INDEX(IdxPrecio_V,1,MIN(10,BZ$173)))*(1+V_dPrecio))</f>
        <v>0</v>
      </c>
      <c r="CA224" s="48">
        <f>IF(CA$8=1,IF(Reales!$C$60="PYG",IF(CA$10&gt;0,N(Reales!CA60)/CA$10,0),N(Reales!CA60)),CA$199*IF(AND(AND(74&gt;Corte,74&lt;=Corte+n_Ventana),ISNUMBER(Detalle_24m!CA$64)),Detalle_24m!CA$64,INDEX(Precio_V,23)*INDEX(IdxPrecio_V,1,MIN(10,CA$173)))*(1+V_dPrecio))</f>
        <v>0</v>
      </c>
      <c r="CB224" s="48">
        <f>IF(CB$8=1,IF(Reales!$C$60="PYG",IF(CB$10&gt;0,N(Reales!CB60)/CB$10,0),N(Reales!CB60)),CB$199*IF(AND(AND(75&gt;Corte,75&lt;=Corte+n_Ventana),ISNUMBER(Detalle_24m!CB$64)),Detalle_24m!CB$64,INDEX(Precio_V,23)*INDEX(IdxPrecio_V,1,MIN(10,CB$173)))*(1+V_dPrecio))</f>
        <v>0</v>
      </c>
      <c r="CC224" s="48">
        <f>IF(CC$8=1,IF(Reales!$C$60="PYG",IF(CC$10&gt;0,N(Reales!CC60)/CC$10,0),N(Reales!CC60)),CC$199*IF(AND(AND(76&gt;Corte,76&lt;=Corte+n_Ventana),ISNUMBER(Detalle_24m!CC$64)),Detalle_24m!CC$64,INDEX(Precio_V,23)*INDEX(IdxPrecio_V,1,MIN(10,CC$173)))*(1+V_dPrecio))</f>
        <v>0</v>
      </c>
      <c r="CD224" s="48">
        <f>IF(CD$8=1,IF(Reales!$C$60="PYG",IF(CD$10&gt;0,N(Reales!CD60)/CD$10,0),N(Reales!CD60)),CD$199*IF(AND(AND(77&gt;Corte,77&lt;=Corte+n_Ventana),ISNUMBER(Detalle_24m!CD$64)),Detalle_24m!CD$64,INDEX(Precio_V,23)*INDEX(IdxPrecio_V,1,MIN(10,CD$173)))*(1+V_dPrecio))</f>
        <v>0</v>
      </c>
      <c r="CE224" s="48">
        <f>IF(CE$8=1,IF(Reales!$C$60="PYG",IF(CE$10&gt;0,N(Reales!CE60)/CE$10,0),N(Reales!CE60)),CE$199*IF(AND(AND(78&gt;Corte,78&lt;=Corte+n_Ventana),ISNUMBER(Detalle_24m!CE$64)),Detalle_24m!CE$64,INDEX(Precio_V,23)*INDEX(IdxPrecio_V,1,MIN(10,CE$173)))*(1+V_dPrecio))</f>
        <v>0</v>
      </c>
      <c r="CF224" s="48">
        <f>IF(CF$8=1,IF(Reales!$C$60="PYG",IF(CF$10&gt;0,N(Reales!CF60)/CF$10,0),N(Reales!CF60)),CF$199*IF(AND(AND(79&gt;Corte,79&lt;=Corte+n_Ventana),ISNUMBER(Detalle_24m!CF$64)),Detalle_24m!CF$64,INDEX(Precio_V,23)*INDEX(IdxPrecio_V,1,MIN(10,CF$173)))*(1+V_dPrecio))</f>
        <v>0</v>
      </c>
      <c r="CG224" s="48">
        <f>IF(CG$8=1,IF(Reales!$C$60="PYG",IF(CG$10&gt;0,N(Reales!CG60)/CG$10,0),N(Reales!CG60)),CG$199*IF(AND(AND(80&gt;Corte,80&lt;=Corte+n_Ventana),ISNUMBER(Detalle_24m!CG$64)),Detalle_24m!CG$64,INDEX(Precio_V,23)*INDEX(IdxPrecio_V,1,MIN(10,CG$173)))*(1+V_dPrecio))</f>
        <v>0</v>
      </c>
      <c r="CH224" s="48">
        <f>IF(CH$8=1,IF(Reales!$C$60="PYG",IF(CH$10&gt;0,N(Reales!CH60)/CH$10,0),N(Reales!CH60)),CH$199*IF(AND(AND(81&gt;Corte,81&lt;=Corte+n_Ventana),ISNUMBER(Detalle_24m!CH$64)),Detalle_24m!CH$64,INDEX(Precio_V,23)*INDEX(IdxPrecio_V,1,MIN(10,CH$173)))*(1+V_dPrecio))</f>
        <v>0</v>
      </c>
      <c r="CI224" s="48">
        <f>IF(CI$8=1,IF(Reales!$C$60="PYG",IF(CI$10&gt;0,N(Reales!CI60)/CI$10,0),N(Reales!CI60)),CI$199*IF(AND(AND(82&gt;Corte,82&lt;=Corte+n_Ventana),ISNUMBER(Detalle_24m!CI$64)),Detalle_24m!CI$64,INDEX(Precio_V,23)*INDEX(IdxPrecio_V,1,MIN(10,CI$173)))*(1+V_dPrecio))</f>
        <v>0</v>
      </c>
      <c r="CJ224" s="48">
        <f>IF(CJ$8=1,IF(Reales!$C$60="PYG",IF(CJ$10&gt;0,N(Reales!CJ60)/CJ$10,0),N(Reales!CJ60)),CJ$199*IF(AND(AND(83&gt;Corte,83&lt;=Corte+n_Ventana),ISNUMBER(Detalle_24m!CJ$64)),Detalle_24m!CJ$64,INDEX(Precio_V,23)*INDEX(IdxPrecio_V,1,MIN(10,CJ$173)))*(1+V_dPrecio))</f>
        <v>0</v>
      </c>
      <c r="CK224" s="48">
        <f>IF(CK$8=1,IF(Reales!$C$60="PYG",IF(CK$10&gt;0,N(Reales!CK60)/CK$10,0),N(Reales!CK60)),CK$199*IF(AND(AND(84&gt;Corte,84&lt;=Corte+n_Ventana),ISNUMBER(Detalle_24m!CK$64)),Detalle_24m!CK$64,INDEX(Precio_V,23)*INDEX(IdxPrecio_V,1,MIN(10,CK$173)))*(1+V_dPrecio))</f>
        <v>0</v>
      </c>
      <c r="CL224" s="48">
        <f>IF(CL$8=1,IF(Reales!$C$60="PYG",IF(CL$10&gt;0,N(Reales!CL60)/CL$10,0),N(Reales!CL60)),CL$199*IF(AND(AND(85&gt;Corte,85&lt;=Corte+n_Ventana),ISNUMBER(Detalle_24m!CL$64)),Detalle_24m!CL$64,INDEX(Precio_V,23)*INDEX(IdxPrecio_V,1,MIN(10,CL$173)))*(1+V_dPrecio))</f>
        <v>0</v>
      </c>
      <c r="CM224" s="48">
        <f>IF(CM$8=1,IF(Reales!$C$60="PYG",IF(CM$10&gt;0,N(Reales!CM60)/CM$10,0),N(Reales!CM60)),CM$199*IF(AND(AND(86&gt;Corte,86&lt;=Corte+n_Ventana),ISNUMBER(Detalle_24m!CM$64)),Detalle_24m!CM$64,INDEX(Precio_V,23)*INDEX(IdxPrecio_V,1,MIN(10,CM$173)))*(1+V_dPrecio))</f>
        <v>0</v>
      </c>
      <c r="CN224" s="48">
        <f>IF(CN$8=1,IF(Reales!$C$60="PYG",IF(CN$10&gt;0,N(Reales!CN60)/CN$10,0),N(Reales!CN60)),CN$199*IF(AND(AND(87&gt;Corte,87&lt;=Corte+n_Ventana),ISNUMBER(Detalle_24m!CN$64)),Detalle_24m!CN$64,INDEX(Precio_V,23)*INDEX(IdxPrecio_V,1,MIN(10,CN$173)))*(1+V_dPrecio))</f>
        <v>0</v>
      </c>
      <c r="CO224" s="48">
        <f>IF(CO$8=1,IF(Reales!$C$60="PYG",IF(CO$10&gt;0,N(Reales!CO60)/CO$10,0),N(Reales!CO60)),CO$199*IF(AND(AND(88&gt;Corte,88&lt;=Corte+n_Ventana),ISNUMBER(Detalle_24m!CO$64)),Detalle_24m!CO$64,INDEX(Precio_V,23)*INDEX(IdxPrecio_V,1,MIN(10,CO$173)))*(1+V_dPrecio))</f>
        <v>0</v>
      </c>
      <c r="CP224" s="48">
        <f>IF(CP$8=1,IF(Reales!$C$60="PYG",IF(CP$10&gt;0,N(Reales!CP60)/CP$10,0),N(Reales!CP60)),CP$199*IF(AND(AND(89&gt;Corte,89&lt;=Corte+n_Ventana),ISNUMBER(Detalle_24m!CP$64)),Detalle_24m!CP$64,INDEX(Precio_V,23)*INDEX(IdxPrecio_V,1,MIN(10,CP$173)))*(1+V_dPrecio))</f>
        <v>0</v>
      </c>
      <c r="CQ224" s="48">
        <f>IF(CQ$8=1,IF(Reales!$C$60="PYG",IF(CQ$10&gt;0,N(Reales!CQ60)/CQ$10,0),N(Reales!CQ60)),CQ$199*IF(AND(AND(90&gt;Corte,90&lt;=Corte+n_Ventana),ISNUMBER(Detalle_24m!CQ$64)),Detalle_24m!CQ$64,INDEX(Precio_V,23)*INDEX(IdxPrecio_V,1,MIN(10,CQ$173)))*(1+V_dPrecio))</f>
        <v>0</v>
      </c>
      <c r="CR224" s="48">
        <f>IF(CR$8=1,IF(Reales!$C$60="PYG",IF(CR$10&gt;0,N(Reales!CR60)/CR$10,0),N(Reales!CR60)),CR$199*IF(AND(AND(91&gt;Corte,91&lt;=Corte+n_Ventana),ISNUMBER(Detalle_24m!CR$64)),Detalle_24m!CR$64,INDEX(Precio_V,23)*INDEX(IdxPrecio_V,1,MIN(10,CR$173)))*(1+V_dPrecio))</f>
        <v>0</v>
      </c>
      <c r="CS224" s="48">
        <f>IF(CS$8=1,IF(Reales!$C$60="PYG",IF(CS$10&gt;0,N(Reales!CS60)/CS$10,0),N(Reales!CS60)),CS$199*IF(AND(AND(92&gt;Corte,92&lt;=Corte+n_Ventana),ISNUMBER(Detalle_24m!CS$64)),Detalle_24m!CS$64,INDEX(Precio_V,23)*INDEX(IdxPrecio_V,1,MIN(10,CS$173)))*(1+V_dPrecio))</f>
        <v>0</v>
      </c>
      <c r="CT224" s="48">
        <f>IF(CT$8=1,IF(Reales!$C$60="PYG",IF(CT$10&gt;0,N(Reales!CT60)/CT$10,0),N(Reales!CT60)),CT$199*IF(AND(AND(93&gt;Corte,93&lt;=Corte+n_Ventana),ISNUMBER(Detalle_24m!CT$64)),Detalle_24m!CT$64,INDEX(Precio_V,23)*INDEX(IdxPrecio_V,1,MIN(10,CT$173)))*(1+V_dPrecio))</f>
        <v>0</v>
      </c>
      <c r="CU224" s="48">
        <f>IF(CU$8=1,IF(Reales!$C$60="PYG",IF(CU$10&gt;0,N(Reales!CU60)/CU$10,0),N(Reales!CU60)),CU$199*IF(AND(AND(94&gt;Corte,94&lt;=Corte+n_Ventana),ISNUMBER(Detalle_24m!CU$64)),Detalle_24m!CU$64,INDEX(Precio_V,23)*INDEX(IdxPrecio_V,1,MIN(10,CU$173)))*(1+V_dPrecio))</f>
        <v>0</v>
      </c>
      <c r="CV224" s="48">
        <f>IF(CV$8=1,IF(Reales!$C$60="PYG",IF(CV$10&gt;0,N(Reales!CV60)/CV$10,0),N(Reales!CV60)),CV$199*IF(AND(AND(95&gt;Corte,95&lt;=Corte+n_Ventana),ISNUMBER(Detalle_24m!CV$64)),Detalle_24m!CV$64,INDEX(Precio_V,23)*INDEX(IdxPrecio_V,1,MIN(10,CV$173)))*(1+V_dPrecio))</f>
        <v>0</v>
      </c>
      <c r="CW224" s="48">
        <f>IF(CW$8=1,IF(Reales!$C$60="PYG",IF(CW$10&gt;0,N(Reales!CW60)/CW$10,0),N(Reales!CW60)),CW$199*IF(AND(AND(96&gt;Corte,96&lt;=Corte+n_Ventana),ISNUMBER(Detalle_24m!CW$64)),Detalle_24m!CW$64,INDEX(Precio_V,23)*INDEX(IdxPrecio_V,1,MIN(10,CW$173)))*(1+V_dPrecio))</f>
        <v>0</v>
      </c>
      <c r="CX224" s="48">
        <f>IF(CX$8=1,IF(Reales!$C$60="PYG",IF(CX$10&gt;0,N(Reales!CX60)/CX$10,0),N(Reales!CX60)),CX$199*IF(AND(AND(97&gt;Corte,97&lt;=Corte+n_Ventana),ISNUMBER(Detalle_24m!CX$64)),Detalle_24m!CX$64,INDEX(Precio_V,23)*INDEX(IdxPrecio_V,1,MIN(10,CX$173)))*(1+V_dPrecio))</f>
        <v>0</v>
      </c>
      <c r="CY224" s="48">
        <f>IF(CY$8=1,IF(Reales!$C$60="PYG",IF(CY$10&gt;0,N(Reales!CY60)/CY$10,0),N(Reales!CY60)),CY$199*IF(AND(AND(98&gt;Corte,98&lt;=Corte+n_Ventana),ISNUMBER(Detalle_24m!CY$64)),Detalle_24m!CY$64,INDEX(Precio_V,23)*INDEX(IdxPrecio_V,1,MIN(10,CY$173)))*(1+V_dPrecio))</f>
        <v>0</v>
      </c>
      <c r="CZ224" s="48">
        <f>IF(CZ$8=1,IF(Reales!$C$60="PYG",IF(CZ$10&gt;0,N(Reales!CZ60)/CZ$10,0),N(Reales!CZ60)),CZ$199*IF(AND(AND(99&gt;Corte,99&lt;=Corte+n_Ventana),ISNUMBER(Detalle_24m!CZ$64)),Detalle_24m!CZ$64,INDEX(Precio_V,23)*INDEX(IdxPrecio_V,1,MIN(10,CZ$173)))*(1+V_dPrecio))</f>
        <v>0</v>
      </c>
      <c r="DA224" s="48">
        <f>IF(DA$8=1,IF(Reales!$C$60="PYG",IF(DA$10&gt;0,N(Reales!DA60)/DA$10,0),N(Reales!DA60)),DA$199*IF(AND(AND(100&gt;Corte,100&lt;=Corte+n_Ventana),ISNUMBER(Detalle_24m!DA$64)),Detalle_24m!DA$64,INDEX(Precio_V,23)*INDEX(IdxPrecio_V,1,MIN(10,DA$173)))*(1+V_dPrecio))</f>
        <v>0</v>
      </c>
      <c r="DB224" s="48">
        <f>IF(DB$8=1,IF(Reales!$C$60="PYG",IF(DB$10&gt;0,N(Reales!DB60)/DB$10,0),N(Reales!DB60)),DB$199*IF(AND(AND(101&gt;Corte,101&lt;=Corte+n_Ventana),ISNUMBER(Detalle_24m!DB$64)),Detalle_24m!DB$64,INDEX(Precio_V,23)*INDEX(IdxPrecio_V,1,MIN(10,DB$173)))*(1+V_dPrecio))</f>
        <v>0</v>
      </c>
      <c r="DC224" s="48">
        <f>IF(DC$8=1,IF(Reales!$C$60="PYG",IF(DC$10&gt;0,N(Reales!DC60)/DC$10,0),N(Reales!DC60)),DC$199*IF(AND(AND(102&gt;Corte,102&lt;=Corte+n_Ventana),ISNUMBER(Detalle_24m!DC$64)),Detalle_24m!DC$64,INDEX(Precio_V,23)*INDEX(IdxPrecio_V,1,MIN(10,DC$173)))*(1+V_dPrecio))</f>
        <v>0</v>
      </c>
      <c r="DD224" s="48">
        <f>IF(DD$8=1,IF(Reales!$C$60="PYG",IF(DD$10&gt;0,N(Reales!DD60)/DD$10,0),N(Reales!DD60)),DD$199*IF(AND(AND(103&gt;Corte,103&lt;=Corte+n_Ventana),ISNUMBER(Detalle_24m!DD$64)),Detalle_24m!DD$64,INDEX(Precio_V,23)*INDEX(IdxPrecio_V,1,MIN(10,DD$173)))*(1+V_dPrecio))</f>
        <v>0</v>
      </c>
      <c r="DE224" s="48">
        <f>IF(DE$8=1,IF(Reales!$C$60="PYG",IF(DE$10&gt;0,N(Reales!DE60)/DE$10,0),N(Reales!DE60)),DE$199*IF(AND(AND(104&gt;Corte,104&lt;=Corte+n_Ventana),ISNUMBER(Detalle_24m!DE$64)),Detalle_24m!DE$64,INDEX(Precio_V,23)*INDEX(IdxPrecio_V,1,MIN(10,DE$173)))*(1+V_dPrecio))</f>
        <v>0</v>
      </c>
      <c r="DF224" s="48">
        <f>IF(DF$8=1,IF(Reales!$C$60="PYG",IF(DF$10&gt;0,N(Reales!DF60)/DF$10,0),N(Reales!DF60)),DF$199*IF(AND(AND(105&gt;Corte,105&lt;=Corte+n_Ventana),ISNUMBER(Detalle_24m!DF$64)),Detalle_24m!DF$64,INDEX(Precio_V,23)*INDEX(IdxPrecio_V,1,MIN(10,DF$173)))*(1+V_dPrecio))</f>
        <v>0</v>
      </c>
      <c r="DG224" s="48">
        <f>IF(DG$8=1,IF(Reales!$C$60="PYG",IF(DG$10&gt;0,N(Reales!DG60)/DG$10,0),N(Reales!DG60)),DG$199*IF(AND(AND(106&gt;Corte,106&lt;=Corte+n_Ventana),ISNUMBER(Detalle_24m!DG$64)),Detalle_24m!DG$64,INDEX(Precio_V,23)*INDEX(IdxPrecio_V,1,MIN(10,DG$173)))*(1+V_dPrecio))</f>
        <v>0</v>
      </c>
      <c r="DH224" s="48">
        <f>IF(DH$8=1,IF(Reales!$C$60="PYG",IF(DH$10&gt;0,N(Reales!DH60)/DH$10,0),N(Reales!DH60)),DH$199*IF(AND(AND(107&gt;Corte,107&lt;=Corte+n_Ventana),ISNUMBER(Detalle_24m!DH$64)),Detalle_24m!DH$64,INDEX(Precio_V,23)*INDEX(IdxPrecio_V,1,MIN(10,DH$173)))*(1+V_dPrecio))</f>
        <v>0</v>
      </c>
      <c r="DI224" s="48">
        <f>IF(DI$8=1,IF(Reales!$C$60="PYG",IF(DI$10&gt;0,N(Reales!DI60)/DI$10,0),N(Reales!DI60)),DI$199*IF(AND(AND(108&gt;Corte,108&lt;=Corte+n_Ventana),ISNUMBER(Detalle_24m!DI$64)),Detalle_24m!DI$64,INDEX(Precio_V,23)*INDEX(IdxPrecio_V,1,MIN(10,DI$173)))*(1+V_dPrecio))</f>
        <v>0</v>
      </c>
      <c r="DJ224" s="48">
        <f>IF(DJ$8=1,IF(Reales!$C$60="PYG",IF(DJ$10&gt;0,N(Reales!DJ60)/DJ$10,0),N(Reales!DJ60)),DJ$199*IF(AND(AND(109&gt;Corte,109&lt;=Corte+n_Ventana),ISNUMBER(Detalle_24m!DJ$64)),Detalle_24m!DJ$64,INDEX(Precio_V,23)*INDEX(IdxPrecio_V,1,MIN(10,DJ$173)))*(1+V_dPrecio))</f>
        <v>0</v>
      </c>
      <c r="DK224" s="48">
        <f>IF(DK$8=1,IF(Reales!$C$60="PYG",IF(DK$10&gt;0,N(Reales!DK60)/DK$10,0),N(Reales!DK60)),DK$199*IF(AND(AND(110&gt;Corte,110&lt;=Corte+n_Ventana),ISNUMBER(Detalle_24m!DK$64)),Detalle_24m!DK$64,INDEX(Precio_V,23)*INDEX(IdxPrecio_V,1,MIN(10,DK$173)))*(1+V_dPrecio))</f>
        <v>0</v>
      </c>
      <c r="DL224" s="48">
        <f>IF(DL$8=1,IF(Reales!$C$60="PYG",IF(DL$10&gt;0,N(Reales!DL60)/DL$10,0),N(Reales!DL60)),DL$199*IF(AND(AND(111&gt;Corte,111&lt;=Corte+n_Ventana),ISNUMBER(Detalle_24m!DL$64)),Detalle_24m!DL$64,INDEX(Precio_V,23)*INDEX(IdxPrecio_V,1,MIN(10,DL$173)))*(1+V_dPrecio))</f>
        <v>0</v>
      </c>
      <c r="DM224" s="48">
        <f>IF(DM$8=1,IF(Reales!$C$60="PYG",IF(DM$10&gt;0,N(Reales!DM60)/DM$10,0),N(Reales!DM60)),DM$199*IF(AND(AND(112&gt;Corte,112&lt;=Corte+n_Ventana),ISNUMBER(Detalle_24m!DM$64)),Detalle_24m!DM$64,INDEX(Precio_V,23)*INDEX(IdxPrecio_V,1,MIN(10,DM$173)))*(1+V_dPrecio))</f>
        <v>0</v>
      </c>
      <c r="DN224" s="48">
        <f>IF(DN$8=1,IF(Reales!$C$60="PYG",IF(DN$10&gt;0,N(Reales!DN60)/DN$10,0),N(Reales!DN60)),DN$199*IF(AND(AND(113&gt;Corte,113&lt;=Corte+n_Ventana),ISNUMBER(Detalle_24m!DN$64)),Detalle_24m!DN$64,INDEX(Precio_V,23)*INDEX(IdxPrecio_V,1,MIN(10,DN$173)))*(1+V_dPrecio))</f>
        <v>0</v>
      </c>
      <c r="DO224" s="48">
        <f>IF(DO$8=1,IF(Reales!$C$60="PYG",IF(DO$10&gt;0,N(Reales!DO60)/DO$10,0),N(Reales!DO60)),DO$199*IF(AND(AND(114&gt;Corte,114&lt;=Corte+n_Ventana),ISNUMBER(Detalle_24m!DO$64)),Detalle_24m!DO$64,INDEX(Precio_V,23)*INDEX(IdxPrecio_V,1,MIN(10,DO$173)))*(1+V_dPrecio))</f>
        <v>0</v>
      </c>
      <c r="DP224" s="48">
        <f>IF(DP$8=1,IF(Reales!$C$60="PYG",IF(DP$10&gt;0,N(Reales!DP60)/DP$10,0),N(Reales!DP60)),DP$199*IF(AND(AND(115&gt;Corte,115&lt;=Corte+n_Ventana),ISNUMBER(Detalle_24m!DP$64)),Detalle_24m!DP$64,INDEX(Precio_V,23)*INDEX(IdxPrecio_V,1,MIN(10,DP$173)))*(1+V_dPrecio))</f>
        <v>0</v>
      </c>
      <c r="DQ224" s="48">
        <f>IF(DQ$8=1,IF(Reales!$C$60="PYG",IF(DQ$10&gt;0,N(Reales!DQ60)/DQ$10,0),N(Reales!DQ60)),DQ$199*IF(AND(AND(116&gt;Corte,116&lt;=Corte+n_Ventana),ISNUMBER(Detalle_24m!DQ$64)),Detalle_24m!DQ$64,INDEX(Precio_V,23)*INDEX(IdxPrecio_V,1,MIN(10,DQ$173)))*(1+V_dPrecio))</f>
        <v>0</v>
      </c>
      <c r="DR224" s="48">
        <f>IF(DR$8=1,IF(Reales!$C$60="PYG",IF(DR$10&gt;0,N(Reales!DR60)/DR$10,0),N(Reales!DR60)),DR$199*IF(AND(AND(117&gt;Corte,117&lt;=Corte+n_Ventana),ISNUMBER(Detalle_24m!DR$64)),Detalle_24m!DR$64,INDEX(Precio_V,23)*INDEX(IdxPrecio_V,1,MIN(10,DR$173)))*(1+V_dPrecio))</f>
        <v>0</v>
      </c>
      <c r="DS224" s="48">
        <f>IF(DS$8=1,IF(Reales!$C$60="PYG",IF(DS$10&gt;0,N(Reales!DS60)/DS$10,0),N(Reales!DS60)),DS$199*IF(AND(AND(118&gt;Corte,118&lt;=Corte+n_Ventana),ISNUMBER(Detalle_24m!DS$64)),Detalle_24m!DS$64,INDEX(Precio_V,23)*INDEX(IdxPrecio_V,1,MIN(10,DS$173)))*(1+V_dPrecio))</f>
        <v>0</v>
      </c>
      <c r="DT224" s="48">
        <f>IF(DT$8=1,IF(Reales!$C$60="PYG",IF(DT$10&gt;0,N(Reales!DT60)/DT$10,0),N(Reales!DT60)),DT$199*IF(AND(AND(119&gt;Corte,119&lt;=Corte+n_Ventana),ISNUMBER(Detalle_24m!DT$64)),Detalle_24m!DT$64,INDEX(Precio_V,23)*INDEX(IdxPrecio_V,1,MIN(10,DT$173)))*(1+V_dPrecio))</f>
        <v>0</v>
      </c>
      <c r="DU224" s="48">
        <f>IF(DU$8=1,IF(Reales!$C$60="PYG",IF(DU$10&gt;0,N(Reales!DU60)/DU$10,0),N(Reales!DU60)),DU$199*IF(AND(AND(120&gt;Corte,120&lt;=Corte+n_Ventana),ISNUMBER(Detalle_24m!DU$64)),Detalle_24m!DU$64,INDEX(Precio_V,23)*INDEX(IdxPrecio_V,1,MIN(10,DU$173)))*(1+V_dPrecio))</f>
        <v>0</v>
      </c>
      <c r="DV224" s="48">
        <f>IF(DV$8=1,IF(Reales!$C$60="PYG",IF(DV$10&gt;0,N(Reales!DV60)/DV$10,0),N(Reales!DV60)),DV$199*IF(AND(AND(121&gt;Corte,121&lt;=Corte+n_Ventana),ISNUMBER(Detalle_24m!DV$64)),Detalle_24m!DV$64,INDEX(Precio_V,23)*INDEX(IdxPrecio_V,1,MIN(10,DV$173)))*(1+V_dPrecio))</f>
        <v>0</v>
      </c>
      <c r="DW224" s="48">
        <f>IF(DW$8=1,IF(Reales!$C$60="PYG",IF(DW$10&gt;0,N(Reales!DW60)/DW$10,0),N(Reales!DW60)),DW$199*IF(AND(AND(122&gt;Corte,122&lt;=Corte+n_Ventana),ISNUMBER(Detalle_24m!DW$64)),Detalle_24m!DW$64,INDEX(Precio_V,23)*INDEX(IdxPrecio_V,1,MIN(10,DW$173)))*(1+V_dPrecio))</f>
        <v>0</v>
      </c>
      <c r="DX224" s="48">
        <f>IF(DX$8=1,IF(Reales!$C$60="PYG",IF(DX$10&gt;0,N(Reales!DX60)/DX$10,0),N(Reales!DX60)),DX$199*IF(AND(AND(123&gt;Corte,123&lt;=Corte+n_Ventana),ISNUMBER(Detalle_24m!DX$64)),Detalle_24m!DX$64,INDEX(Precio_V,23)*INDEX(IdxPrecio_V,1,MIN(10,DX$173)))*(1+V_dPrecio))</f>
        <v>0</v>
      </c>
      <c r="DY224" s="48">
        <f>IF(DY$8=1,IF(Reales!$C$60="PYG",IF(DY$10&gt;0,N(Reales!DY60)/DY$10,0),N(Reales!DY60)),DY$199*IF(AND(AND(124&gt;Corte,124&lt;=Corte+n_Ventana),ISNUMBER(Detalle_24m!DY$64)),Detalle_24m!DY$64,INDEX(Precio_V,23)*INDEX(IdxPrecio_V,1,MIN(10,DY$173)))*(1+V_dPrecio))</f>
        <v>0</v>
      </c>
      <c r="DZ224" s="48">
        <f>IF(DZ$8=1,IF(Reales!$C$60="PYG",IF(DZ$10&gt;0,N(Reales!DZ60)/DZ$10,0),N(Reales!DZ60)),DZ$199*IF(AND(AND(125&gt;Corte,125&lt;=Corte+n_Ventana),ISNUMBER(Detalle_24m!DZ$64)),Detalle_24m!DZ$64,INDEX(Precio_V,23)*INDEX(IdxPrecio_V,1,MIN(10,DZ$173)))*(1+V_dPrecio))</f>
        <v>0</v>
      </c>
      <c r="EA224" s="48">
        <f>IF(EA$8=1,IF(Reales!$C$60="PYG",IF(EA$10&gt;0,N(Reales!EA60)/EA$10,0),N(Reales!EA60)),EA$199*IF(AND(AND(126&gt;Corte,126&lt;=Corte+n_Ventana),ISNUMBER(Detalle_24m!EA$64)),Detalle_24m!EA$64,INDEX(Precio_V,23)*INDEX(IdxPrecio_V,1,MIN(10,EA$173)))*(1+V_dPrecio))</f>
        <v>0</v>
      </c>
      <c r="EB224" s="48">
        <f>IF(EB$8=1,IF(Reales!$C$60="PYG",IF(EB$10&gt;0,N(Reales!EB60)/EB$10,0),N(Reales!EB60)),EB$199*IF(AND(AND(127&gt;Corte,127&lt;=Corte+n_Ventana),ISNUMBER(Detalle_24m!EB$64)),Detalle_24m!EB$64,INDEX(Precio_V,23)*INDEX(IdxPrecio_V,1,MIN(10,EB$173)))*(1+V_dPrecio))</f>
        <v>0</v>
      </c>
      <c r="EC224" s="48">
        <f>IF(EC$8=1,IF(Reales!$C$60="PYG",IF(EC$10&gt;0,N(Reales!EC60)/EC$10,0),N(Reales!EC60)),EC$199*IF(AND(AND(128&gt;Corte,128&lt;=Corte+n_Ventana),ISNUMBER(Detalle_24m!EC$64)),Detalle_24m!EC$64,INDEX(Precio_V,23)*INDEX(IdxPrecio_V,1,MIN(10,EC$173)))*(1+V_dPrecio))</f>
        <v>0</v>
      </c>
      <c r="ED224" s="48">
        <f>IF(ED$8=1,IF(Reales!$C$60="PYG",IF(ED$10&gt;0,N(Reales!ED60)/ED$10,0),N(Reales!ED60)),ED$199*IF(AND(AND(129&gt;Corte,129&lt;=Corte+n_Ventana),ISNUMBER(Detalle_24m!ED$64)),Detalle_24m!ED$64,INDEX(Precio_V,23)*INDEX(IdxPrecio_V,1,MIN(10,ED$173)))*(1+V_dPrecio))</f>
        <v>0</v>
      </c>
      <c r="EE224" s="48">
        <f>IF(EE$8=1,IF(Reales!$C$60="PYG",IF(EE$10&gt;0,N(Reales!EE60)/EE$10,0),N(Reales!EE60)),EE$199*IF(AND(AND(130&gt;Corte,130&lt;=Corte+n_Ventana),ISNUMBER(Detalle_24m!EE$64)),Detalle_24m!EE$64,INDEX(Precio_V,23)*INDEX(IdxPrecio_V,1,MIN(10,EE$173)))*(1+V_dPrecio))</f>
        <v>0</v>
      </c>
      <c r="EF224" s="48">
        <f>IF(EF$8=1,IF(Reales!$C$60="PYG",IF(EF$10&gt;0,N(Reales!EF60)/EF$10,0),N(Reales!EF60)),EF$199*IF(AND(AND(131&gt;Corte,131&lt;=Corte+n_Ventana),ISNUMBER(Detalle_24m!EF$64)),Detalle_24m!EF$64,INDEX(Precio_V,23)*INDEX(IdxPrecio_V,1,MIN(10,EF$173)))*(1+V_dPrecio))</f>
        <v>0</v>
      </c>
      <c r="EG224" s="48">
        <f>IF(EG$8=1,IF(Reales!$C$60="PYG",IF(EG$10&gt;0,N(Reales!EG60)/EG$10,0),N(Reales!EG60)),EG$199*IF(AND(AND(132&gt;Corte,132&lt;=Corte+n_Ventana),ISNUMBER(Detalle_24m!EG$64)),Detalle_24m!EG$64,INDEX(Precio_V,23)*INDEX(IdxPrecio_V,1,MIN(10,EG$173)))*(1+V_dPrecio))</f>
        <v>0</v>
      </c>
      <c r="EH224" s="48">
        <f>IF(EH$8=1,IF(Reales!$C$60="PYG",IF(EH$10&gt;0,N(Reales!EH60)/EH$10,0),N(Reales!EH60)),EH$199*IF(AND(AND(133&gt;Corte,133&lt;=Corte+n_Ventana),ISNUMBER(Detalle_24m!EH$64)),Detalle_24m!EH$64,INDEX(Precio_V,23)*INDEX(IdxPrecio_V,1,MIN(10,EH$173)))*(1+V_dPrecio))</f>
        <v>0</v>
      </c>
      <c r="EI224" s="48">
        <f>IF(EI$8=1,IF(Reales!$C$60="PYG",IF(EI$10&gt;0,N(Reales!EI60)/EI$10,0),N(Reales!EI60)),EI$199*IF(AND(AND(134&gt;Corte,134&lt;=Corte+n_Ventana),ISNUMBER(Detalle_24m!EI$64)),Detalle_24m!EI$64,INDEX(Precio_V,23)*INDEX(IdxPrecio_V,1,MIN(10,EI$173)))*(1+V_dPrecio))</f>
        <v>0</v>
      </c>
      <c r="EJ224" s="48">
        <f>IF(EJ$8=1,IF(Reales!$C$60="PYG",IF(EJ$10&gt;0,N(Reales!EJ60)/EJ$10,0),N(Reales!EJ60)),EJ$199*IF(AND(AND(135&gt;Corte,135&lt;=Corte+n_Ventana),ISNUMBER(Detalle_24m!EJ$64)),Detalle_24m!EJ$64,INDEX(Precio_V,23)*INDEX(IdxPrecio_V,1,MIN(10,EJ$173)))*(1+V_dPrecio))</f>
        <v>0</v>
      </c>
      <c r="EK224" s="48">
        <f>IF(EK$8=1,IF(Reales!$C$60="PYG",IF(EK$10&gt;0,N(Reales!EK60)/EK$10,0),N(Reales!EK60)),EK$199*IF(AND(AND(136&gt;Corte,136&lt;=Corte+n_Ventana),ISNUMBER(Detalle_24m!EK$64)),Detalle_24m!EK$64,INDEX(Precio_V,23)*INDEX(IdxPrecio_V,1,MIN(10,EK$173)))*(1+V_dPrecio))</f>
        <v>0</v>
      </c>
      <c r="EL224" s="48">
        <f>IF(EL$8=1,IF(Reales!$C$60="PYG",IF(EL$10&gt;0,N(Reales!EL60)/EL$10,0),N(Reales!EL60)),EL$199*IF(AND(AND(137&gt;Corte,137&lt;=Corte+n_Ventana),ISNUMBER(Detalle_24m!EL$64)),Detalle_24m!EL$64,INDEX(Precio_V,23)*INDEX(IdxPrecio_V,1,MIN(10,EL$173)))*(1+V_dPrecio))</f>
        <v>0</v>
      </c>
      <c r="EM224" s="48">
        <f>IF(EM$8=1,IF(Reales!$C$60="PYG",IF(EM$10&gt;0,N(Reales!EM60)/EM$10,0),N(Reales!EM60)),EM$199*IF(AND(AND(138&gt;Corte,138&lt;=Corte+n_Ventana),ISNUMBER(Detalle_24m!EM$64)),Detalle_24m!EM$64,INDEX(Precio_V,23)*INDEX(IdxPrecio_V,1,MIN(10,EM$173)))*(1+V_dPrecio))</f>
        <v>0</v>
      </c>
      <c r="EN224" s="48">
        <f>IF(EN$8=1,IF(Reales!$C$60="PYG",IF(EN$10&gt;0,N(Reales!EN60)/EN$10,0),N(Reales!EN60)),EN$199*IF(AND(AND(139&gt;Corte,139&lt;=Corte+n_Ventana),ISNUMBER(Detalle_24m!EN$64)),Detalle_24m!EN$64,INDEX(Precio_V,23)*INDEX(IdxPrecio_V,1,MIN(10,EN$173)))*(1+V_dPrecio))</f>
        <v>0</v>
      </c>
      <c r="EO224" s="48">
        <f>IF(EO$8=1,IF(Reales!$C$60="PYG",IF(EO$10&gt;0,N(Reales!EO60)/EO$10,0),N(Reales!EO60)),EO$199*IF(AND(AND(140&gt;Corte,140&lt;=Corte+n_Ventana),ISNUMBER(Detalle_24m!EO$64)),Detalle_24m!EO$64,INDEX(Precio_V,23)*INDEX(IdxPrecio_V,1,MIN(10,EO$173)))*(1+V_dPrecio))</f>
        <v>0</v>
      </c>
      <c r="EP224" s="48">
        <f>IF(EP$8=1,IF(Reales!$C$60="PYG",IF(EP$10&gt;0,N(Reales!EP60)/EP$10,0),N(Reales!EP60)),EP$199*IF(AND(AND(141&gt;Corte,141&lt;=Corte+n_Ventana),ISNUMBER(Detalle_24m!EP$64)),Detalle_24m!EP$64,INDEX(Precio_V,23)*INDEX(IdxPrecio_V,1,MIN(10,EP$173)))*(1+V_dPrecio))</f>
        <v>0</v>
      </c>
      <c r="EQ224" s="48">
        <f>IF(EQ$8=1,IF(Reales!$C$60="PYG",IF(EQ$10&gt;0,N(Reales!EQ60)/EQ$10,0),N(Reales!EQ60)),EQ$199*IF(AND(AND(142&gt;Corte,142&lt;=Corte+n_Ventana),ISNUMBER(Detalle_24m!EQ$64)),Detalle_24m!EQ$64,INDEX(Precio_V,23)*INDEX(IdxPrecio_V,1,MIN(10,EQ$173)))*(1+V_dPrecio))</f>
        <v>0</v>
      </c>
      <c r="ER224" s="48">
        <f>IF(ER$8=1,IF(Reales!$C$60="PYG",IF(ER$10&gt;0,N(Reales!ER60)/ER$10,0),N(Reales!ER60)),ER$199*IF(AND(AND(143&gt;Corte,143&lt;=Corte+n_Ventana),ISNUMBER(Detalle_24m!ER$64)),Detalle_24m!ER$64,INDEX(Precio_V,23)*INDEX(IdxPrecio_V,1,MIN(10,ER$173)))*(1+V_dPrecio))</f>
        <v>0</v>
      </c>
      <c r="ES224" s="48">
        <f>IF(ES$8=1,IF(Reales!$C$60="PYG",IF(ES$10&gt;0,N(Reales!ES60)/ES$10,0),N(Reales!ES60)),ES$199*IF(AND(AND(144&gt;Corte,144&lt;=Corte+n_Ventana),ISNUMBER(Detalle_24m!ES$64)),Detalle_24m!ES$64,INDEX(Precio_V,23)*INDEX(IdxPrecio_V,1,MIN(10,ES$173)))*(1+V_dPrecio))</f>
        <v>0</v>
      </c>
    </row>
    <row r="225" spans="1:149" x14ac:dyDescent="0.3">
      <c r="A225" s="14" t="s">
        <v>1280</v>
      </c>
      <c r="B225" s="53" t="str">
        <f>IF(INDEX(Prod_Nombre,24)="","Producto 24",INDEX(Prod_Nombre,24))&amp;" — ventas USD"</f>
        <v>Producto 24 — ventas USD</v>
      </c>
      <c r="C225" s="18" t="s">
        <v>439</v>
      </c>
      <c r="E225" s="54">
        <f t="shared" si="605"/>
        <v>0</v>
      </c>
      <c r="F225" s="48">
        <f>IF(F$8=1,IF(Reales!$C$61="PYG",IF(F$10&gt;0,N(Reales!F61)/F$10,0),N(Reales!F61)),F$200*IF(AND(AND(1&gt;Corte,1&lt;=Corte+n_Ventana),ISNUMBER(Detalle_24m!F$65)),Detalle_24m!F$65,INDEX(Precio_V,24)*INDEX(IdxPrecio_V,1,MIN(10,F$173)))*(1+V_dPrecio))</f>
        <v>0</v>
      </c>
      <c r="G225" s="48">
        <f>IF(G$8=1,IF(Reales!$C$61="PYG",IF(G$10&gt;0,N(Reales!G61)/G$10,0),N(Reales!G61)),G$200*IF(AND(AND(2&gt;Corte,2&lt;=Corte+n_Ventana),ISNUMBER(Detalle_24m!G$65)),Detalle_24m!G$65,INDEX(Precio_V,24)*INDEX(IdxPrecio_V,1,MIN(10,G$173)))*(1+V_dPrecio))</f>
        <v>0</v>
      </c>
      <c r="H225" s="48">
        <f>IF(H$8=1,IF(Reales!$C$61="PYG",IF(H$10&gt;0,N(Reales!H61)/H$10,0),N(Reales!H61)),H$200*IF(AND(AND(3&gt;Corte,3&lt;=Corte+n_Ventana),ISNUMBER(Detalle_24m!H$65)),Detalle_24m!H$65,INDEX(Precio_V,24)*INDEX(IdxPrecio_V,1,MIN(10,H$173)))*(1+V_dPrecio))</f>
        <v>0</v>
      </c>
      <c r="I225" s="48">
        <f>IF(I$8=1,IF(Reales!$C$61="PYG",IF(I$10&gt;0,N(Reales!I61)/I$10,0),N(Reales!I61)),I$200*IF(AND(AND(4&gt;Corte,4&lt;=Corte+n_Ventana),ISNUMBER(Detalle_24m!I$65)),Detalle_24m!I$65,INDEX(Precio_V,24)*INDEX(IdxPrecio_V,1,MIN(10,I$173)))*(1+V_dPrecio))</f>
        <v>0</v>
      </c>
      <c r="J225" s="48">
        <f>IF(J$8=1,IF(Reales!$C$61="PYG",IF(J$10&gt;0,N(Reales!J61)/J$10,0),N(Reales!J61)),J$200*IF(AND(AND(5&gt;Corte,5&lt;=Corte+n_Ventana),ISNUMBER(Detalle_24m!J$65)),Detalle_24m!J$65,INDEX(Precio_V,24)*INDEX(IdxPrecio_V,1,MIN(10,J$173)))*(1+V_dPrecio))</f>
        <v>0</v>
      </c>
      <c r="K225" s="48">
        <f>IF(K$8=1,IF(Reales!$C$61="PYG",IF(K$10&gt;0,N(Reales!K61)/K$10,0),N(Reales!K61)),K$200*IF(AND(AND(6&gt;Corte,6&lt;=Corte+n_Ventana),ISNUMBER(Detalle_24m!K$65)),Detalle_24m!K$65,INDEX(Precio_V,24)*INDEX(IdxPrecio_V,1,MIN(10,K$173)))*(1+V_dPrecio))</f>
        <v>0</v>
      </c>
      <c r="L225" s="48">
        <f>IF(L$8=1,IF(Reales!$C$61="PYG",IF(L$10&gt;0,N(Reales!L61)/L$10,0),N(Reales!L61)),L$200*IF(AND(AND(7&gt;Corte,7&lt;=Corte+n_Ventana),ISNUMBER(Detalle_24m!L$65)),Detalle_24m!L$65,INDEX(Precio_V,24)*INDEX(IdxPrecio_V,1,MIN(10,L$173)))*(1+V_dPrecio))</f>
        <v>0</v>
      </c>
      <c r="M225" s="48">
        <f>IF(M$8=1,IF(Reales!$C$61="PYG",IF(M$10&gt;0,N(Reales!M61)/M$10,0),N(Reales!M61)),M$200*IF(AND(AND(8&gt;Corte,8&lt;=Corte+n_Ventana),ISNUMBER(Detalle_24m!M$65)),Detalle_24m!M$65,INDEX(Precio_V,24)*INDEX(IdxPrecio_V,1,MIN(10,M$173)))*(1+V_dPrecio))</f>
        <v>0</v>
      </c>
      <c r="N225" s="48">
        <f>IF(N$8=1,IF(Reales!$C$61="PYG",IF(N$10&gt;0,N(Reales!N61)/N$10,0),N(Reales!N61)),N$200*IF(AND(AND(9&gt;Corte,9&lt;=Corte+n_Ventana),ISNUMBER(Detalle_24m!N$65)),Detalle_24m!N$65,INDEX(Precio_V,24)*INDEX(IdxPrecio_V,1,MIN(10,N$173)))*(1+V_dPrecio))</f>
        <v>0</v>
      </c>
      <c r="O225" s="48">
        <f>IF(O$8=1,IF(Reales!$C$61="PYG",IF(O$10&gt;0,N(Reales!O61)/O$10,0),N(Reales!O61)),O$200*IF(AND(AND(10&gt;Corte,10&lt;=Corte+n_Ventana),ISNUMBER(Detalle_24m!O$65)),Detalle_24m!O$65,INDEX(Precio_V,24)*INDEX(IdxPrecio_V,1,MIN(10,O$173)))*(1+V_dPrecio))</f>
        <v>0</v>
      </c>
      <c r="P225" s="48">
        <f>IF(P$8=1,IF(Reales!$C$61="PYG",IF(P$10&gt;0,N(Reales!P61)/P$10,0),N(Reales!P61)),P$200*IF(AND(AND(11&gt;Corte,11&lt;=Corte+n_Ventana),ISNUMBER(Detalle_24m!P$65)),Detalle_24m!P$65,INDEX(Precio_V,24)*INDEX(IdxPrecio_V,1,MIN(10,P$173)))*(1+V_dPrecio))</f>
        <v>0</v>
      </c>
      <c r="Q225" s="48">
        <f>IF(Q$8=1,IF(Reales!$C$61="PYG",IF(Q$10&gt;0,N(Reales!Q61)/Q$10,0),N(Reales!Q61)),Q$200*IF(AND(AND(12&gt;Corte,12&lt;=Corte+n_Ventana),ISNUMBER(Detalle_24m!Q$65)),Detalle_24m!Q$65,INDEX(Precio_V,24)*INDEX(IdxPrecio_V,1,MIN(10,Q$173)))*(1+V_dPrecio))</f>
        <v>0</v>
      </c>
      <c r="R225" s="48">
        <f>IF(R$8=1,IF(Reales!$C$61="PYG",IF(R$10&gt;0,N(Reales!R61)/R$10,0),N(Reales!R61)),R$200*IF(AND(AND(13&gt;Corte,13&lt;=Corte+n_Ventana),ISNUMBER(Detalle_24m!R$65)),Detalle_24m!R$65,INDEX(Precio_V,24)*INDEX(IdxPrecio_V,1,MIN(10,R$173)))*(1+V_dPrecio))</f>
        <v>0</v>
      </c>
      <c r="S225" s="48">
        <f>IF(S$8=1,IF(Reales!$C$61="PYG",IF(S$10&gt;0,N(Reales!S61)/S$10,0),N(Reales!S61)),S$200*IF(AND(AND(14&gt;Corte,14&lt;=Corte+n_Ventana),ISNUMBER(Detalle_24m!S$65)),Detalle_24m!S$65,INDEX(Precio_V,24)*INDEX(IdxPrecio_V,1,MIN(10,S$173)))*(1+V_dPrecio))</f>
        <v>0</v>
      </c>
      <c r="T225" s="48">
        <f>IF(T$8=1,IF(Reales!$C$61="PYG",IF(T$10&gt;0,N(Reales!T61)/T$10,0),N(Reales!T61)),T$200*IF(AND(AND(15&gt;Corte,15&lt;=Corte+n_Ventana),ISNUMBER(Detalle_24m!T$65)),Detalle_24m!T$65,INDEX(Precio_V,24)*INDEX(IdxPrecio_V,1,MIN(10,T$173)))*(1+V_dPrecio))</f>
        <v>0</v>
      </c>
      <c r="U225" s="48">
        <f>IF(U$8=1,IF(Reales!$C$61="PYG",IF(U$10&gt;0,N(Reales!U61)/U$10,0),N(Reales!U61)),U$200*IF(AND(AND(16&gt;Corte,16&lt;=Corte+n_Ventana),ISNUMBER(Detalle_24m!U$65)),Detalle_24m!U$65,INDEX(Precio_V,24)*INDEX(IdxPrecio_V,1,MIN(10,U$173)))*(1+V_dPrecio))</f>
        <v>0</v>
      </c>
      <c r="V225" s="48">
        <f>IF(V$8=1,IF(Reales!$C$61="PYG",IF(V$10&gt;0,N(Reales!V61)/V$10,0),N(Reales!V61)),V$200*IF(AND(AND(17&gt;Corte,17&lt;=Corte+n_Ventana),ISNUMBER(Detalle_24m!V$65)),Detalle_24m!V$65,INDEX(Precio_V,24)*INDEX(IdxPrecio_V,1,MIN(10,V$173)))*(1+V_dPrecio))</f>
        <v>0</v>
      </c>
      <c r="W225" s="48">
        <f>IF(W$8=1,IF(Reales!$C$61="PYG",IF(W$10&gt;0,N(Reales!W61)/W$10,0),N(Reales!W61)),W$200*IF(AND(AND(18&gt;Corte,18&lt;=Corte+n_Ventana),ISNUMBER(Detalle_24m!W$65)),Detalle_24m!W$65,INDEX(Precio_V,24)*INDEX(IdxPrecio_V,1,MIN(10,W$173)))*(1+V_dPrecio))</f>
        <v>0</v>
      </c>
      <c r="X225" s="48">
        <f>IF(X$8=1,IF(Reales!$C$61="PYG",IF(X$10&gt;0,N(Reales!X61)/X$10,0),N(Reales!X61)),X$200*IF(AND(AND(19&gt;Corte,19&lt;=Corte+n_Ventana),ISNUMBER(Detalle_24m!X$65)),Detalle_24m!X$65,INDEX(Precio_V,24)*INDEX(IdxPrecio_V,1,MIN(10,X$173)))*(1+V_dPrecio))</f>
        <v>0</v>
      </c>
      <c r="Y225" s="48">
        <f>IF(Y$8=1,IF(Reales!$C$61="PYG",IF(Y$10&gt;0,N(Reales!Y61)/Y$10,0),N(Reales!Y61)),Y$200*IF(AND(AND(20&gt;Corte,20&lt;=Corte+n_Ventana),ISNUMBER(Detalle_24m!Y$65)),Detalle_24m!Y$65,INDEX(Precio_V,24)*INDEX(IdxPrecio_V,1,MIN(10,Y$173)))*(1+V_dPrecio))</f>
        <v>0</v>
      </c>
      <c r="Z225" s="48">
        <f>IF(Z$8=1,IF(Reales!$C$61="PYG",IF(Z$10&gt;0,N(Reales!Z61)/Z$10,0),N(Reales!Z61)),Z$200*IF(AND(AND(21&gt;Corte,21&lt;=Corte+n_Ventana),ISNUMBER(Detalle_24m!Z$65)),Detalle_24m!Z$65,INDEX(Precio_V,24)*INDEX(IdxPrecio_V,1,MIN(10,Z$173)))*(1+V_dPrecio))</f>
        <v>0</v>
      </c>
      <c r="AA225" s="48">
        <f>IF(AA$8=1,IF(Reales!$C$61="PYG",IF(AA$10&gt;0,N(Reales!AA61)/AA$10,0),N(Reales!AA61)),AA$200*IF(AND(AND(22&gt;Corte,22&lt;=Corte+n_Ventana),ISNUMBER(Detalle_24m!AA$65)),Detalle_24m!AA$65,INDEX(Precio_V,24)*INDEX(IdxPrecio_V,1,MIN(10,AA$173)))*(1+V_dPrecio))</f>
        <v>0</v>
      </c>
      <c r="AB225" s="48">
        <f>IF(AB$8=1,IF(Reales!$C$61="PYG",IF(AB$10&gt;0,N(Reales!AB61)/AB$10,0),N(Reales!AB61)),AB$200*IF(AND(AND(23&gt;Corte,23&lt;=Corte+n_Ventana),ISNUMBER(Detalle_24m!AB$65)),Detalle_24m!AB$65,INDEX(Precio_V,24)*INDEX(IdxPrecio_V,1,MIN(10,AB$173)))*(1+V_dPrecio))</f>
        <v>0</v>
      </c>
      <c r="AC225" s="48">
        <f>IF(AC$8=1,IF(Reales!$C$61="PYG",IF(AC$10&gt;0,N(Reales!AC61)/AC$10,0),N(Reales!AC61)),AC$200*IF(AND(AND(24&gt;Corte,24&lt;=Corte+n_Ventana),ISNUMBER(Detalle_24m!AC$65)),Detalle_24m!AC$65,INDEX(Precio_V,24)*INDEX(IdxPrecio_V,1,MIN(10,AC$173)))*(1+V_dPrecio))</f>
        <v>0</v>
      </c>
      <c r="AD225" s="48">
        <f>IF(AD$8=1,IF(Reales!$C$61="PYG",IF(AD$10&gt;0,N(Reales!AD61)/AD$10,0),N(Reales!AD61)),AD$200*IF(AND(AND(25&gt;Corte,25&lt;=Corte+n_Ventana),ISNUMBER(Detalle_24m!AD$65)),Detalle_24m!AD$65,INDEX(Precio_V,24)*INDEX(IdxPrecio_V,1,MIN(10,AD$173)))*(1+V_dPrecio))</f>
        <v>0</v>
      </c>
      <c r="AE225" s="48">
        <f>IF(AE$8=1,IF(Reales!$C$61="PYG",IF(AE$10&gt;0,N(Reales!AE61)/AE$10,0),N(Reales!AE61)),AE$200*IF(AND(AND(26&gt;Corte,26&lt;=Corte+n_Ventana),ISNUMBER(Detalle_24m!AE$65)),Detalle_24m!AE$65,INDEX(Precio_V,24)*INDEX(IdxPrecio_V,1,MIN(10,AE$173)))*(1+V_dPrecio))</f>
        <v>0</v>
      </c>
      <c r="AF225" s="48">
        <f>IF(AF$8=1,IF(Reales!$C$61="PYG",IF(AF$10&gt;0,N(Reales!AF61)/AF$10,0),N(Reales!AF61)),AF$200*IF(AND(AND(27&gt;Corte,27&lt;=Corte+n_Ventana),ISNUMBER(Detalle_24m!AF$65)),Detalle_24m!AF$65,INDEX(Precio_V,24)*INDEX(IdxPrecio_V,1,MIN(10,AF$173)))*(1+V_dPrecio))</f>
        <v>0</v>
      </c>
      <c r="AG225" s="48">
        <f>IF(AG$8=1,IF(Reales!$C$61="PYG",IF(AG$10&gt;0,N(Reales!AG61)/AG$10,0),N(Reales!AG61)),AG$200*IF(AND(AND(28&gt;Corte,28&lt;=Corte+n_Ventana),ISNUMBER(Detalle_24m!AG$65)),Detalle_24m!AG$65,INDEX(Precio_V,24)*INDEX(IdxPrecio_V,1,MIN(10,AG$173)))*(1+V_dPrecio))</f>
        <v>0</v>
      </c>
      <c r="AH225" s="48">
        <f>IF(AH$8=1,IF(Reales!$C$61="PYG",IF(AH$10&gt;0,N(Reales!AH61)/AH$10,0),N(Reales!AH61)),AH$200*IF(AND(AND(29&gt;Corte,29&lt;=Corte+n_Ventana),ISNUMBER(Detalle_24m!AH$65)),Detalle_24m!AH$65,INDEX(Precio_V,24)*INDEX(IdxPrecio_V,1,MIN(10,AH$173)))*(1+V_dPrecio))</f>
        <v>0</v>
      </c>
      <c r="AI225" s="48">
        <f>IF(AI$8=1,IF(Reales!$C$61="PYG",IF(AI$10&gt;0,N(Reales!AI61)/AI$10,0),N(Reales!AI61)),AI$200*IF(AND(AND(30&gt;Corte,30&lt;=Corte+n_Ventana),ISNUMBER(Detalle_24m!AI$65)),Detalle_24m!AI$65,INDEX(Precio_V,24)*INDEX(IdxPrecio_V,1,MIN(10,AI$173)))*(1+V_dPrecio))</f>
        <v>0</v>
      </c>
      <c r="AJ225" s="48">
        <f>IF(AJ$8=1,IF(Reales!$C$61="PYG",IF(AJ$10&gt;0,N(Reales!AJ61)/AJ$10,0),N(Reales!AJ61)),AJ$200*IF(AND(AND(31&gt;Corte,31&lt;=Corte+n_Ventana),ISNUMBER(Detalle_24m!AJ$65)),Detalle_24m!AJ$65,INDEX(Precio_V,24)*INDEX(IdxPrecio_V,1,MIN(10,AJ$173)))*(1+V_dPrecio))</f>
        <v>0</v>
      </c>
      <c r="AK225" s="48">
        <f>IF(AK$8=1,IF(Reales!$C$61="PYG",IF(AK$10&gt;0,N(Reales!AK61)/AK$10,0),N(Reales!AK61)),AK$200*IF(AND(AND(32&gt;Corte,32&lt;=Corte+n_Ventana),ISNUMBER(Detalle_24m!AK$65)),Detalle_24m!AK$65,INDEX(Precio_V,24)*INDEX(IdxPrecio_V,1,MIN(10,AK$173)))*(1+V_dPrecio))</f>
        <v>0</v>
      </c>
      <c r="AL225" s="48">
        <f>IF(AL$8=1,IF(Reales!$C$61="PYG",IF(AL$10&gt;0,N(Reales!AL61)/AL$10,0),N(Reales!AL61)),AL$200*IF(AND(AND(33&gt;Corte,33&lt;=Corte+n_Ventana),ISNUMBER(Detalle_24m!AL$65)),Detalle_24m!AL$65,INDEX(Precio_V,24)*INDEX(IdxPrecio_V,1,MIN(10,AL$173)))*(1+V_dPrecio))</f>
        <v>0</v>
      </c>
      <c r="AM225" s="48">
        <f>IF(AM$8=1,IF(Reales!$C$61="PYG",IF(AM$10&gt;0,N(Reales!AM61)/AM$10,0),N(Reales!AM61)),AM$200*IF(AND(AND(34&gt;Corte,34&lt;=Corte+n_Ventana),ISNUMBER(Detalle_24m!AM$65)),Detalle_24m!AM$65,INDEX(Precio_V,24)*INDEX(IdxPrecio_V,1,MIN(10,AM$173)))*(1+V_dPrecio))</f>
        <v>0</v>
      </c>
      <c r="AN225" s="48">
        <f>IF(AN$8=1,IF(Reales!$C$61="PYG",IF(AN$10&gt;0,N(Reales!AN61)/AN$10,0),N(Reales!AN61)),AN$200*IF(AND(AND(35&gt;Corte,35&lt;=Corte+n_Ventana),ISNUMBER(Detalle_24m!AN$65)),Detalle_24m!AN$65,INDEX(Precio_V,24)*INDEX(IdxPrecio_V,1,MIN(10,AN$173)))*(1+V_dPrecio))</f>
        <v>0</v>
      </c>
      <c r="AO225" s="48">
        <f>IF(AO$8=1,IF(Reales!$C$61="PYG",IF(AO$10&gt;0,N(Reales!AO61)/AO$10,0),N(Reales!AO61)),AO$200*IF(AND(AND(36&gt;Corte,36&lt;=Corte+n_Ventana),ISNUMBER(Detalle_24m!AO$65)),Detalle_24m!AO$65,INDEX(Precio_V,24)*INDEX(IdxPrecio_V,1,MIN(10,AO$173)))*(1+V_dPrecio))</f>
        <v>0</v>
      </c>
      <c r="AP225" s="48">
        <f>IF(AP$8=1,IF(Reales!$C$61="PYG",IF(AP$10&gt;0,N(Reales!AP61)/AP$10,0),N(Reales!AP61)),AP$200*IF(AND(AND(37&gt;Corte,37&lt;=Corte+n_Ventana),ISNUMBER(Detalle_24m!AP$65)),Detalle_24m!AP$65,INDEX(Precio_V,24)*INDEX(IdxPrecio_V,1,MIN(10,AP$173)))*(1+V_dPrecio))</f>
        <v>0</v>
      </c>
      <c r="AQ225" s="48">
        <f>IF(AQ$8=1,IF(Reales!$C$61="PYG",IF(AQ$10&gt;0,N(Reales!AQ61)/AQ$10,0),N(Reales!AQ61)),AQ$200*IF(AND(AND(38&gt;Corte,38&lt;=Corte+n_Ventana),ISNUMBER(Detalle_24m!AQ$65)),Detalle_24m!AQ$65,INDEX(Precio_V,24)*INDEX(IdxPrecio_V,1,MIN(10,AQ$173)))*(1+V_dPrecio))</f>
        <v>0</v>
      </c>
      <c r="AR225" s="48">
        <f>IF(AR$8=1,IF(Reales!$C$61="PYG",IF(AR$10&gt;0,N(Reales!AR61)/AR$10,0),N(Reales!AR61)),AR$200*IF(AND(AND(39&gt;Corte,39&lt;=Corte+n_Ventana),ISNUMBER(Detalle_24m!AR$65)),Detalle_24m!AR$65,INDEX(Precio_V,24)*INDEX(IdxPrecio_V,1,MIN(10,AR$173)))*(1+V_dPrecio))</f>
        <v>0</v>
      </c>
      <c r="AS225" s="48">
        <f>IF(AS$8=1,IF(Reales!$C$61="PYG",IF(AS$10&gt;0,N(Reales!AS61)/AS$10,0),N(Reales!AS61)),AS$200*IF(AND(AND(40&gt;Corte,40&lt;=Corte+n_Ventana),ISNUMBER(Detalle_24m!AS$65)),Detalle_24m!AS$65,INDEX(Precio_V,24)*INDEX(IdxPrecio_V,1,MIN(10,AS$173)))*(1+V_dPrecio))</f>
        <v>0</v>
      </c>
      <c r="AT225" s="48">
        <f>IF(AT$8=1,IF(Reales!$C$61="PYG",IF(AT$10&gt;0,N(Reales!AT61)/AT$10,0),N(Reales!AT61)),AT$200*IF(AND(AND(41&gt;Corte,41&lt;=Corte+n_Ventana),ISNUMBER(Detalle_24m!AT$65)),Detalle_24m!AT$65,INDEX(Precio_V,24)*INDEX(IdxPrecio_V,1,MIN(10,AT$173)))*(1+V_dPrecio))</f>
        <v>0</v>
      </c>
      <c r="AU225" s="48">
        <f>IF(AU$8=1,IF(Reales!$C$61="PYG",IF(AU$10&gt;0,N(Reales!AU61)/AU$10,0),N(Reales!AU61)),AU$200*IF(AND(AND(42&gt;Corte,42&lt;=Corte+n_Ventana),ISNUMBER(Detalle_24m!AU$65)),Detalle_24m!AU$65,INDEX(Precio_V,24)*INDEX(IdxPrecio_V,1,MIN(10,AU$173)))*(1+V_dPrecio))</f>
        <v>0</v>
      </c>
      <c r="AV225" s="48">
        <f>IF(AV$8=1,IF(Reales!$C$61="PYG",IF(AV$10&gt;0,N(Reales!AV61)/AV$10,0),N(Reales!AV61)),AV$200*IF(AND(AND(43&gt;Corte,43&lt;=Corte+n_Ventana),ISNUMBER(Detalle_24m!AV$65)),Detalle_24m!AV$65,INDEX(Precio_V,24)*INDEX(IdxPrecio_V,1,MIN(10,AV$173)))*(1+V_dPrecio))</f>
        <v>0</v>
      </c>
      <c r="AW225" s="48">
        <f>IF(AW$8=1,IF(Reales!$C$61="PYG",IF(AW$10&gt;0,N(Reales!AW61)/AW$10,0),N(Reales!AW61)),AW$200*IF(AND(AND(44&gt;Corte,44&lt;=Corte+n_Ventana),ISNUMBER(Detalle_24m!AW$65)),Detalle_24m!AW$65,INDEX(Precio_V,24)*INDEX(IdxPrecio_V,1,MIN(10,AW$173)))*(1+V_dPrecio))</f>
        <v>0</v>
      </c>
      <c r="AX225" s="48">
        <f>IF(AX$8=1,IF(Reales!$C$61="PYG",IF(AX$10&gt;0,N(Reales!AX61)/AX$10,0),N(Reales!AX61)),AX$200*IF(AND(AND(45&gt;Corte,45&lt;=Corte+n_Ventana),ISNUMBER(Detalle_24m!AX$65)),Detalle_24m!AX$65,INDEX(Precio_V,24)*INDEX(IdxPrecio_V,1,MIN(10,AX$173)))*(1+V_dPrecio))</f>
        <v>0</v>
      </c>
      <c r="AY225" s="48">
        <f>IF(AY$8=1,IF(Reales!$C$61="PYG",IF(AY$10&gt;0,N(Reales!AY61)/AY$10,0),N(Reales!AY61)),AY$200*IF(AND(AND(46&gt;Corte,46&lt;=Corte+n_Ventana),ISNUMBER(Detalle_24m!AY$65)),Detalle_24m!AY$65,INDEX(Precio_V,24)*INDEX(IdxPrecio_V,1,MIN(10,AY$173)))*(1+V_dPrecio))</f>
        <v>0</v>
      </c>
      <c r="AZ225" s="48">
        <f>IF(AZ$8=1,IF(Reales!$C$61="PYG",IF(AZ$10&gt;0,N(Reales!AZ61)/AZ$10,0),N(Reales!AZ61)),AZ$200*IF(AND(AND(47&gt;Corte,47&lt;=Corte+n_Ventana),ISNUMBER(Detalle_24m!AZ$65)),Detalle_24m!AZ$65,INDEX(Precio_V,24)*INDEX(IdxPrecio_V,1,MIN(10,AZ$173)))*(1+V_dPrecio))</f>
        <v>0</v>
      </c>
      <c r="BA225" s="48">
        <f>IF(BA$8=1,IF(Reales!$C$61="PYG",IF(BA$10&gt;0,N(Reales!BA61)/BA$10,0),N(Reales!BA61)),BA$200*IF(AND(AND(48&gt;Corte,48&lt;=Corte+n_Ventana),ISNUMBER(Detalle_24m!BA$65)),Detalle_24m!BA$65,INDEX(Precio_V,24)*INDEX(IdxPrecio_V,1,MIN(10,BA$173)))*(1+V_dPrecio))</f>
        <v>0</v>
      </c>
      <c r="BB225" s="48">
        <f>IF(BB$8=1,IF(Reales!$C$61="PYG",IF(BB$10&gt;0,N(Reales!BB61)/BB$10,0),N(Reales!BB61)),BB$200*IF(AND(AND(49&gt;Corte,49&lt;=Corte+n_Ventana),ISNUMBER(Detalle_24m!BB$65)),Detalle_24m!BB$65,INDEX(Precio_V,24)*INDEX(IdxPrecio_V,1,MIN(10,BB$173)))*(1+V_dPrecio))</f>
        <v>0</v>
      </c>
      <c r="BC225" s="48">
        <f>IF(BC$8=1,IF(Reales!$C$61="PYG",IF(BC$10&gt;0,N(Reales!BC61)/BC$10,0),N(Reales!BC61)),BC$200*IF(AND(AND(50&gt;Corte,50&lt;=Corte+n_Ventana),ISNUMBER(Detalle_24m!BC$65)),Detalle_24m!BC$65,INDEX(Precio_V,24)*INDEX(IdxPrecio_V,1,MIN(10,BC$173)))*(1+V_dPrecio))</f>
        <v>0</v>
      </c>
      <c r="BD225" s="48">
        <f>IF(BD$8=1,IF(Reales!$C$61="PYG",IF(BD$10&gt;0,N(Reales!BD61)/BD$10,0),N(Reales!BD61)),BD$200*IF(AND(AND(51&gt;Corte,51&lt;=Corte+n_Ventana),ISNUMBER(Detalle_24m!BD$65)),Detalle_24m!BD$65,INDEX(Precio_V,24)*INDEX(IdxPrecio_V,1,MIN(10,BD$173)))*(1+V_dPrecio))</f>
        <v>0</v>
      </c>
      <c r="BE225" s="48">
        <f>IF(BE$8=1,IF(Reales!$C$61="PYG",IF(BE$10&gt;0,N(Reales!BE61)/BE$10,0),N(Reales!BE61)),BE$200*IF(AND(AND(52&gt;Corte,52&lt;=Corte+n_Ventana),ISNUMBER(Detalle_24m!BE$65)),Detalle_24m!BE$65,INDEX(Precio_V,24)*INDEX(IdxPrecio_V,1,MIN(10,BE$173)))*(1+V_dPrecio))</f>
        <v>0</v>
      </c>
      <c r="BF225" s="48">
        <f>IF(BF$8=1,IF(Reales!$C$61="PYG",IF(BF$10&gt;0,N(Reales!BF61)/BF$10,0),N(Reales!BF61)),BF$200*IF(AND(AND(53&gt;Corte,53&lt;=Corte+n_Ventana),ISNUMBER(Detalle_24m!BF$65)),Detalle_24m!BF$65,INDEX(Precio_V,24)*INDEX(IdxPrecio_V,1,MIN(10,BF$173)))*(1+V_dPrecio))</f>
        <v>0</v>
      </c>
      <c r="BG225" s="48">
        <f>IF(BG$8=1,IF(Reales!$C$61="PYG",IF(BG$10&gt;0,N(Reales!BG61)/BG$10,0),N(Reales!BG61)),BG$200*IF(AND(AND(54&gt;Corte,54&lt;=Corte+n_Ventana),ISNUMBER(Detalle_24m!BG$65)),Detalle_24m!BG$65,INDEX(Precio_V,24)*INDEX(IdxPrecio_V,1,MIN(10,BG$173)))*(1+V_dPrecio))</f>
        <v>0</v>
      </c>
      <c r="BH225" s="48">
        <f>IF(BH$8=1,IF(Reales!$C$61="PYG",IF(BH$10&gt;0,N(Reales!BH61)/BH$10,0),N(Reales!BH61)),BH$200*IF(AND(AND(55&gt;Corte,55&lt;=Corte+n_Ventana),ISNUMBER(Detalle_24m!BH$65)),Detalle_24m!BH$65,INDEX(Precio_V,24)*INDEX(IdxPrecio_V,1,MIN(10,BH$173)))*(1+V_dPrecio))</f>
        <v>0</v>
      </c>
      <c r="BI225" s="48">
        <f>IF(BI$8=1,IF(Reales!$C$61="PYG",IF(BI$10&gt;0,N(Reales!BI61)/BI$10,0),N(Reales!BI61)),BI$200*IF(AND(AND(56&gt;Corte,56&lt;=Corte+n_Ventana),ISNUMBER(Detalle_24m!BI$65)),Detalle_24m!BI$65,INDEX(Precio_V,24)*INDEX(IdxPrecio_V,1,MIN(10,BI$173)))*(1+V_dPrecio))</f>
        <v>0</v>
      </c>
      <c r="BJ225" s="48">
        <f>IF(BJ$8=1,IF(Reales!$C$61="PYG",IF(BJ$10&gt;0,N(Reales!BJ61)/BJ$10,0),N(Reales!BJ61)),BJ$200*IF(AND(AND(57&gt;Corte,57&lt;=Corte+n_Ventana),ISNUMBER(Detalle_24m!BJ$65)),Detalle_24m!BJ$65,INDEX(Precio_V,24)*INDEX(IdxPrecio_V,1,MIN(10,BJ$173)))*(1+V_dPrecio))</f>
        <v>0</v>
      </c>
      <c r="BK225" s="48">
        <f>IF(BK$8=1,IF(Reales!$C$61="PYG",IF(BK$10&gt;0,N(Reales!BK61)/BK$10,0),N(Reales!BK61)),BK$200*IF(AND(AND(58&gt;Corte,58&lt;=Corte+n_Ventana),ISNUMBER(Detalle_24m!BK$65)),Detalle_24m!BK$65,INDEX(Precio_V,24)*INDEX(IdxPrecio_V,1,MIN(10,BK$173)))*(1+V_dPrecio))</f>
        <v>0</v>
      </c>
      <c r="BL225" s="48">
        <f>IF(BL$8=1,IF(Reales!$C$61="PYG",IF(BL$10&gt;0,N(Reales!BL61)/BL$10,0),N(Reales!BL61)),BL$200*IF(AND(AND(59&gt;Corte,59&lt;=Corte+n_Ventana),ISNUMBER(Detalle_24m!BL$65)),Detalle_24m!BL$65,INDEX(Precio_V,24)*INDEX(IdxPrecio_V,1,MIN(10,BL$173)))*(1+V_dPrecio))</f>
        <v>0</v>
      </c>
      <c r="BM225" s="48">
        <f>IF(BM$8=1,IF(Reales!$C$61="PYG",IF(BM$10&gt;0,N(Reales!BM61)/BM$10,0),N(Reales!BM61)),BM$200*IF(AND(AND(60&gt;Corte,60&lt;=Corte+n_Ventana),ISNUMBER(Detalle_24m!BM$65)),Detalle_24m!BM$65,INDEX(Precio_V,24)*INDEX(IdxPrecio_V,1,MIN(10,BM$173)))*(1+V_dPrecio))</f>
        <v>0</v>
      </c>
      <c r="BN225" s="48">
        <f>IF(BN$8=1,IF(Reales!$C$61="PYG",IF(BN$10&gt;0,N(Reales!BN61)/BN$10,0),N(Reales!BN61)),BN$200*IF(AND(AND(61&gt;Corte,61&lt;=Corte+n_Ventana),ISNUMBER(Detalle_24m!BN$65)),Detalle_24m!BN$65,INDEX(Precio_V,24)*INDEX(IdxPrecio_V,1,MIN(10,BN$173)))*(1+V_dPrecio))</f>
        <v>0</v>
      </c>
      <c r="BO225" s="48">
        <f>IF(BO$8=1,IF(Reales!$C$61="PYG",IF(BO$10&gt;0,N(Reales!BO61)/BO$10,0),N(Reales!BO61)),BO$200*IF(AND(AND(62&gt;Corte,62&lt;=Corte+n_Ventana),ISNUMBER(Detalle_24m!BO$65)),Detalle_24m!BO$65,INDEX(Precio_V,24)*INDEX(IdxPrecio_V,1,MIN(10,BO$173)))*(1+V_dPrecio))</f>
        <v>0</v>
      </c>
      <c r="BP225" s="48">
        <f>IF(BP$8=1,IF(Reales!$C$61="PYG",IF(BP$10&gt;0,N(Reales!BP61)/BP$10,0),N(Reales!BP61)),BP$200*IF(AND(AND(63&gt;Corte,63&lt;=Corte+n_Ventana),ISNUMBER(Detalle_24m!BP$65)),Detalle_24m!BP$65,INDEX(Precio_V,24)*INDEX(IdxPrecio_V,1,MIN(10,BP$173)))*(1+V_dPrecio))</f>
        <v>0</v>
      </c>
      <c r="BQ225" s="48">
        <f>IF(BQ$8=1,IF(Reales!$C$61="PYG",IF(BQ$10&gt;0,N(Reales!BQ61)/BQ$10,0),N(Reales!BQ61)),BQ$200*IF(AND(AND(64&gt;Corte,64&lt;=Corte+n_Ventana),ISNUMBER(Detalle_24m!BQ$65)),Detalle_24m!BQ$65,INDEX(Precio_V,24)*INDEX(IdxPrecio_V,1,MIN(10,BQ$173)))*(1+V_dPrecio))</f>
        <v>0</v>
      </c>
      <c r="BR225" s="48">
        <f>IF(BR$8=1,IF(Reales!$C$61="PYG",IF(BR$10&gt;0,N(Reales!BR61)/BR$10,0),N(Reales!BR61)),BR$200*IF(AND(AND(65&gt;Corte,65&lt;=Corte+n_Ventana),ISNUMBER(Detalle_24m!BR$65)),Detalle_24m!BR$65,INDEX(Precio_V,24)*INDEX(IdxPrecio_V,1,MIN(10,BR$173)))*(1+V_dPrecio))</f>
        <v>0</v>
      </c>
      <c r="BS225" s="48">
        <f>IF(BS$8=1,IF(Reales!$C$61="PYG",IF(BS$10&gt;0,N(Reales!BS61)/BS$10,0),N(Reales!BS61)),BS$200*IF(AND(AND(66&gt;Corte,66&lt;=Corte+n_Ventana),ISNUMBER(Detalle_24m!BS$65)),Detalle_24m!BS$65,INDEX(Precio_V,24)*INDEX(IdxPrecio_V,1,MIN(10,BS$173)))*(1+V_dPrecio))</f>
        <v>0</v>
      </c>
      <c r="BT225" s="48">
        <f>IF(BT$8=1,IF(Reales!$C$61="PYG",IF(BT$10&gt;0,N(Reales!BT61)/BT$10,0),N(Reales!BT61)),BT$200*IF(AND(AND(67&gt;Corte,67&lt;=Corte+n_Ventana),ISNUMBER(Detalle_24m!BT$65)),Detalle_24m!BT$65,INDEX(Precio_V,24)*INDEX(IdxPrecio_V,1,MIN(10,BT$173)))*(1+V_dPrecio))</f>
        <v>0</v>
      </c>
      <c r="BU225" s="48">
        <f>IF(BU$8=1,IF(Reales!$C$61="PYG",IF(BU$10&gt;0,N(Reales!BU61)/BU$10,0),N(Reales!BU61)),BU$200*IF(AND(AND(68&gt;Corte,68&lt;=Corte+n_Ventana),ISNUMBER(Detalle_24m!BU$65)),Detalle_24m!BU$65,INDEX(Precio_V,24)*INDEX(IdxPrecio_V,1,MIN(10,BU$173)))*(1+V_dPrecio))</f>
        <v>0</v>
      </c>
      <c r="BV225" s="48">
        <f>IF(BV$8=1,IF(Reales!$C$61="PYG",IF(BV$10&gt;0,N(Reales!BV61)/BV$10,0),N(Reales!BV61)),BV$200*IF(AND(AND(69&gt;Corte,69&lt;=Corte+n_Ventana),ISNUMBER(Detalle_24m!BV$65)),Detalle_24m!BV$65,INDEX(Precio_V,24)*INDEX(IdxPrecio_V,1,MIN(10,BV$173)))*(1+V_dPrecio))</f>
        <v>0</v>
      </c>
      <c r="BW225" s="48">
        <f>IF(BW$8=1,IF(Reales!$C$61="PYG",IF(BW$10&gt;0,N(Reales!BW61)/BW$10,0),N(Reales!BW61)),BW$200*IF(AND(AND(70&gt;Corte,70&lt;=Corte+n_Ventana),ISNUMBER(Detalle_24m!BW$65)),Detalle_24m!BW$65,INDEX(Precio_V,24)*INDEX(IdxPrecio_V,1,MIN(10,BW$173)))*(1+V_dPrecio))</f>
        <v>0</v>
      </c>
      <c r="BX225" s="48">
        <f>IF(BX$8=1,IF(Reales!$C$61="PYG",IF(BX$10&gt;0,N(Reales!BX61)/BX$10,0),N(Reales!BX61)),BX$200*IF(AND(AND(71&gt;Corte,71&lt;=Corte+n_Ventana),ISNUMBER(Detalle_24m!BX$65)),Detalle_24m!BX$65,INDEX(Precio_V,24)*INDEX(IdxPrecio_V,1,MIN(10,BX$173)))*(1+V_dPrecio))</f>
        <v>0</v>
      </c>
      <c r="BY225" s="48">
        <f>IF(BY$8=1,IF(Reales!$C$61="PYG",IF(BY$10&gt;0,N(Reales!BY61)/BY$10,0),N(Reales!BY61)),BY$200*IF(AND(AND(72&gt;Corte,72&lt;=Corte+n_Ventana),ISNUMBER(Detalle_24m!BY$65)),Detalle_24m!BY$65,INDEX(Precio_V,24)*INDEX(IdxPrecio_V,1,MIN(10,BY$173)))*(1+V_dPrecio))</f>
        <v>0</v>
      </c>
      <c r="BZ225" s="48">
        <f>IF(BZ$8=1,IF(Reales!$C$61="PYG",IF(BZ$10&gt;0,N(Reales!BZ61)/BZ$10,0),N(Reales!BZ61)),BZ$200*IF(AND(AND(73&gt;Corte,73&lt;=Corte+n_Ventana),ISNUMBER(Detalle_24m!BZ$65)),Detalle_24m!BZ$65,INDEX(Precio_V,24)*INDEX(IdxPrecio_V,1,MIN(10,BZ$173)))*(1+V_dPrecio))</f>
        <v>0</v>
      </c>
      <c r="CA225" s="48">
        <f>IF(CA$8=1,IF(Reales!$C$61="PYG",IF(CA$10&gt;0,N(Reales!CA61)/CA$10,0),N(Reales!CA61)),CA$200*IF(AND(AND(74&gt;Corte,74&lt;=Corte+n_Ventana),ISNUMBER(Detalle_24m!CA$65)),Detalle_24m!CA$65,INDEX(Precio_V,24)*INDEX(IdxPrecio_V,1,MIN(10,CA$173)))*(1+V_dPrecio))</f>
        <v>0</v>
      </c>
      <c r="CB225" s="48">
        <f>IF(CB$8=1,IF(Reales!$C$61="PYG",IF(CB$10&gt;0,N(Reales!CB61)/CB$10,0),N(Reales!CB61)),CB$200*IF(AND(AND(75&gt;Corte,75&lt;=Corte+n_Ventana),ISNUMBER(Detalle_24m!CB$65)),Detalle_24m!CB$65,INDEX(Precio_V,24)*INDEX(IdxPrecio_V,1,MIN(10,CB$173)))*(1+V_dPrecio))</f>
        <v>0</v>
      </c>
      <c r="CC225" s="48">
        <f>IF(CC$8=1,IF(Reales!$C$61="PYG",IF(CC$10&gt;0,N(Reales!CC61)/CC$10,0),N(Reales!CC61)),CC$200*IF(AND(AND(76&gt;Corte,76&lt;=Corte+n_Ventana),ISNUMBER(Detalle_24m!CC$65)),Detalle_24m!CC$65,INDEX(Precio_V,24)*INDEX(IdxPrecio_V,1,MIN(10,CC$173)))*(1+V_dPrecio))</f>
        <v>0</v>
      </c>
      <c r="CD225" s="48">
        <f>IF(CD$8=1,IF(Reales!$C$61="PYG",IF(CD$10&gt;0,N(Reales!CD61)/CD$10,0),N(Reales!CD61)),CD$200*IF(AND(AND(77&gt;Corte,77&lt;=Corte+n_Ventana),ISNUMBER(Detalle_24m!CD$65)),Detalle_24m!CD$65,INDEX(Precio_V,24)*INDEX(IdxPrecio_V,1,MIN(10,CD$173)))*(1+V_dPrecio))</f>
        <v>0</v>
      </c>
      <c r="CE225" s="48">
        <f>IF(CE$8=1,IF(Reales!$C$61="PYG",IF(CE$10&gt;0,N(Reales!CE61)/CE$10,0),N(Reales!CE61)),CE$200*IF(AND(AND(78&gt;Corte,78&lt;=Corte+n_Ventana),ISNUMBER(Detalle_24m!CE$65)),Detalle_24m!CE$65,INDEX(Precio_V,24)*INDEX(IdxPrecio_V,1,MIN(10,CE$173)))*(1+V_dPrecio))</f>
        <v>0</v>
      </c>
      <c r="CF225" s="48">
        <f>IF(CF$8=1,IF(Reales!$C$61="PYG",IF(CF$10&gt;0,N(Reales!CF61)/CF$10,0),N(Reales!CF61)),CF$200*IF(AND(AND(79&gt;Corte,79&lt;=Corte+n_Ventana),ISNUMBER(Detalle_24m!CF$65)),Detalle_24m!CF$65,INDEX(Precio_V,24)*INDEX(IdxPrecio_V,1,MIN(10,CF$173)))*(1+V_dPrecio))</f>
        <v>0</v>
      </c>
      <c r="CG225" s="48">
        <f>IF(CG$8=1,IF(Reales!$C$61="PYG",IF(CG$10&gt;0,N(Reales!CG61)/CG$10,0),N(Reales!CG61)),CG$200*IF(AND(AND(80&gt;Corte,80&lt;=Corte+n_Ventana),ISNUMBER(Detalle_24m!CG$65)),Detalle_24m!CG$65,INDEX(Precio_V,24)*INDEX(IdxPrecio_V,1,MIN(10,CG$173)))*(1+V_dPrecio))</f>
        <v>0</v>
      </c>
      <c r="CH225" s="48">
        <f>IF(CH$8=1,IF(Reales!$C$61="PYG",IF(CH$10&gt;0,N(Reales!CH61)/CH$10,0),N(Reales!CH61)),CH$200*IF(AND(AND(81&gt;Corte,81&lt;=Corte+n_Ventana),ISNUMBER(Detalle_24m!CH$65)),Detalle_24m!CH$65,INDEX(Precio_V,24)*INDEX(IdxPrecio_V,1,MIN(10,CH$173)))*(1+V_dPrecio))</f>
        <v>0</v>
      </c>
      <c r="CI225" s="48">
        <f>IF(CI$8=1,IF(Reales!$C$61="PYG",IF(CI$10&gt;0,N(Reales!CI61)/CI$10,0),N(Reales!CI61)),CI$200*IF(AND(AND(82&gt;Corte,82&lt;=Corte+n_Ventana),ISNUMBER(Detalle_24m!CI$65)),Detalle_24m!CI$65,INDEX(Precio_V,24)*INDEX(IdxPrecio_V,1,MIN(10,CI$173)))*(1+V_dPrecio))</f>
        <v>0</v>
      </c>
      <c r="CJ225" s="48">
        <f>IF(CJ$8=1,IF(Reales!$C$61="PYG",IF(CJ$10&gt;0,N(Reales!CJ61)/CJ$10,0),N(Reales!CJ61)),CJ$200*IF(AND(AND(83&gt;Corte,83&lt;=Corte+n_Ventana),ISNUMBER(Detalle_24m!CJ$65)),Detalle_24m!CJ$65,INDEX(Precio_V,24)*INDEX(IdxPrecio_V,1,MIN(10,CJ$173)))*(1+V_dPrecio))</f>
        <v>0</v>
      </c>
      <c r="CK225" s="48">
        <f>IF(CK$8=1,IF(Reales!$C$61="PYG",IF(CK$10&gt;0,N(Reales!CK61)/CK$10,0),N(Reales!CK61)),CK$200*IF(AND(AND(84&gt;Corte,84&lt;=Corte+n_Ventana),ISNUMBER(Detalle_24m!CK$65)),Detalle_24m!CK$65,INDEX(Precio_V,24)*INDEX(IdxPrecio_V,1,MIN(10,CK$173)))*(1+V_dPrecio))</f>
        <v>0</v>
      </c>
      <c r="CL225" s="48">
        <f>IF(CL$8=1,IF(Reales!$C$61="PYG",IF(CL$10&gt;0,N(Reales!CL61)/CL$10,0),N(Reales!CL61)),CL$200*IF(AND(AND(85&gt;Corte,85&lt;=Corte+n_Ventana),ISNUMBER(Detalle_24m!CL$65)),Detalle_24m!CL$65,INDEX(Precio_V,24)*INDEX(IdxPrecio_V,1,MIN(10,CL$173)))*(1+V_dPrecio))</f>
        <v>0</v>
      </c>
      <c r="CM225" s="48">
        <f>IF(CM$8=1,IF(Reales!$C$61="PYG",IF(CM$10&gt;0,N(Reales!CM61)/CM$10,0),N(Reales!CM61)),CM$200*IF(AND(AND(86&gt;Corte,86&lt;=Corte+n_Ventana),ISNUMBER(Detalle_24m!CM$65)),Detalle_24m!CM$65,INDEX(Precio_V,24)*INDEX(IdxPrecio_V,1,MIN(10,CM$173)))*(1+V_dPrecio))</f>
        <v>0</v>
      </c>
      <c r="CN225" s="48">
        <f>IF(CN$8=1,IF(Reales!$C$61="PYG",IF(CN$10&gt;0,N(Reales!CN61)/CN$10,0),N(Reales!CN61)),CN$200*IF(AND(AND(87&gt;Corte,87&lt;=Corte+n_Ventana),ISNUMBER(Detalle_24m!CN$65)),Detalle_24m!CN$65,INDEX(Precio_V,24)*INDEX(IdxPrecio_V,1,MIN(10,CN$173)))*(1+V_dPrecio))</f>
        <v>0</v>
      </c>
      <c r="CO225" s="48">
        <f>IF(CO$8=1,IF(Reales!$C$61="PYG",IF(CO$10&gt;0,N(Reales!CO61)/CO$10,0),N(Reales!CO61)),CO$200*IF(AND(AND(88&gt;Corte,88&lt;=Corte+n_Ventana),ISNUMBER(Detalle_24m!CO$65)),Detalle_24m!CO$65,INDEX(Precio_V,24)*INDEX(IdxPrecio_V,1,MIN(10,CO$173)))*(1+V_dPrecio))</f>
        <v>0</v>
      </c>
      <c r="CP225" s="48">
        <f>IF(CP$8=1,IF(Reales!$C$61="PYG",IF(CP$10&gt;0,N(Reales!CP61)/CP$10,0),N(Reales!CP61)),CP$200*IF(AND(AND(89&gt;Corte,89&lt;=Corte+n_Ventana),ISNUMBER(Detalle_24m!CP$65)),Detalle_24m!CP$65,INDEX(Precio_V,24)*INDEX(IdxPrecio_V,1,MIN(10,CP$173)))*(1+V_dPrecio))</f>
        <v>0</v>
      </c>
      <c r="CQ225" s="48">
        <f>IF(CQ$8=1,IF(Reales!$C$61="PYG",IF(CQ$10&gt;0,N(Reales!CQ61)/CQ$10,0),N(Reales!CQ61)),CQ$200*IF(AND(AND(90&gt;Corte,90&lt;=Corte+n_Ventana),ISNUMBER(Detalle_24m!CQ$65)),Detalle_24m!CQ$65,INDEX(Precio_V,24)*INDEX(IdxPrecio_V,1,MIN(10,CQ$173)))*(1+V_dPrecio))</f>
        <v>0</v>
      </c>
      <c r="CR225" s="48">
        <f>IF(CR$8=1,IF(Reales!$C$61="PYG",IF(CR$10&gt;0,N(Reales!CR61)/CR$10,0),N(Reales!CR61)),CR$200*IF(AND(AND(91&gt;Corte,91&lt;=Corte+n_Ventana),ISNUMBER(Detalle_24m!CR$65)),Detalle_24m!CR$65,INDEX(Precio_V,24)*INDEX(IdxPrecio_V,1,MIN(10,CR$173)))*(1+V_dPrecio))</f>
        <v>0</v>
      </c>
      <c r="CS225" s="48">
        <f>IF(CS$8=1,IF(Reales!$C$61="PYG",IF(CS$10&gt;0,N(Reales!CS61)/CS$10,0),N(Reales!CS61)),CS$200*IF(AND(AND(92&gt;Corte,92&lt;=Corte+n_Ventana),ISNUMBER(Detalle_24m!CS$65)),Detalle_24m!CS$65,INDEX(Precio_V,24)*INDEX(IdxPrecio_V,1,MIN(10,CS$173)))*(1+V_dPrecio))</f>
        <v>0</v>
      </c>
      <c r="CT225" s="48">
        <f>IF(CT$8=1,IF(Reales!$C$61="PYG",IF(CT$10&gt;0,N(Reales!CT61)/CT$10,0),N(Reales!CT61)),CT$200*IF(AND(AND(93&gt;Corte,93&lt;=Corte+n_Ventana),ISNUMBER(Detalle_24m!CT$65)),Detalle_24m!CT$65,INDEX(Precio_V,24)*INDEX(IdxPrecio_V,1,MIN(10,CT$173)))*(1+V_dPrecio))</f>
        <v>0</v>
      </c>
      <c r="CU225" s="48">
        <f>IF(CU$8=1,IF(Reales!$C$61="PYG",IF(CU$10&gt;0,N(Reales!CU61)/CU$10,0),N(Reales!CU61)),CU$200*IF(AND(AND(94&gt;Corte,94&lt;=Corte+n_Ventana),ISNUMBER(Detalle_24m!CU$65)),Detalle_24m!CU$65,INDEX(Precio_V,24)*INDEX(IdxPrecio_V,1,MIN(10,CU$173)))*(1+V_dPrecio))</f>
        <v>0</v>
      </c>
      <c r="CV225" s="48">
        <f>IF(CV$8=1,IF(Reales!$C$61="PYG",IF(CV$10&gt;0,N(Reales!CV61)/CV$10,0),N(Reales!CV61)),CV$200*IF(AND(AND(95&gt;Corte,95&lt;=Corte+n_Ventana),ISNUMBER(Detalle_24m!CV$65)),Detalle_24m!CV$65,INDEX(Precio_V,24)*INDEX(IdxPrecio_V,1,MIN(10,CV$173)))*(1+V_dPrecio))</f>
        <v>0</v>
      </c>
      <c r="CW225" s="48">
        <f>IF(CW$8=1,IF(Reales!$C$61="PYG",IF(CW$10&gt;0,N(Reales!CW61)/CW$10,0),N(Reales!CW61)),CW$200*IF(AND(AND(96&gt;Corte,96&lt;=Corte+n_Ventana),ISNUMBER(Detalle_24m!CW$65)),Detalle_24m!CW$65,INDEX(Precio_V,24)*INDEX(IdxPrecio_V,1,MIN(10,CW$173)))*(1+V_dPrecio))</f>
        <v>0</v>
      </c>
      <c r="CX225" s="48">
        <f>IF(CX$8=1,IF(Reales!$C$61="PYG",IF(CX$10&gt;0,N(Reales!CX61)/CX$10,0),N(Reales!CX61)),CX$200*IF(AND(AND(97&gt;Corte,97&lt;=Corte+n_Ventana),ISNUMBER(Detalle_24m!CX$65)),Detalle_24m!CX$65,INDEX(Precio_V,24)*INDEX(IdxPrecio_V,1,MIN(10,CX$173)))*(1+V_dPrecio))</f>
        <v>0</v>
      </c>
      <c r="CY225" s="48">
        <f>IF(CY$8=1,IF(Reales!$C$61="PYG",IF(CY$10&gt;0,N(Reales!CY61)/CY$10,0),N(Reales!CY61)),CY$200*IF(AND(AND(98&gt;Corte,98&lt;=Corte+n_Ventana),ISNUMBER(Detalle_24m!CY$65)),Detalle_24m!CY$65,INDEX(Precio_V,24)*INDEX(IdxPrecio_V,1,MIN(10,CY$173)))*(1+V_dPrecio))</f>
        <v>0</v>
      </c>
      <c r="CZ225" s="48">
        <f>IF(CZ$8=1,IF(Reales!$C$61="PYG",IF(CZ$10&gt;0,N(Reales!CZ61)/CZ$10,0),N(Reales!CZ61)),CZ$200*IF(AND(AND(99&gt;Corte,99&lt;=Corte+n_Ventana),ISNUMBER(Detalle_24m!CZ$65)),Detalle_24m!CZ$65,INDEX(Precio_V,24)*INDEX(IdxPrecio_V,1,MIN(10,CZ$173)))*(1+V_dPrecio))</f>
        <v>0</v>
      </c>
      <c r="DA225" s="48">
        <f>IF(DA$8=1,IF(Reales!$C$61="PYG",IF(DA$10&gt;0,N(Reales!DA61)/DA$10,0),N(Reales!DA61)),DA$200*IF(AND(AND(100&gt;Corte,100&lt;=Corte+n_Ventana),ISNUMBER(Detalle_24m!DA$65)),Detalle_24m!DA$65,INDEX(Precio_V,24)*INDEX(IdxPrecio_V,1,MIN(10,DA$173)))*(1+V_dPrecio))</f>
        <v>0</v>
      </c>
      <c r="DB225" s="48">
        <f>IF(DB$8=1,IF(Reales!$C$61="PYG",IF(DB$10&gt;0,N(Reales!DB61)/DB$10,0),N(Reales!DB61)),DB$200*IF(AND(AND(101&gt;Corte,101&lt;=Corte+n_Ventana),ISNUMBER(Detalle_24m!DB$65)),Detalle_24m!DB$65,INDEX(Precio_V,24)*INDEX(IdxPrecio_V,1,MIN(10,DB$173)))*(1+V_dPrecio))</f>
        <v>0</v>
      </c>
      <c r="DC225" s="48">
        <f>IF(DC$8=1,IF(Reales!$C$61="PYG",IF(DC$10&gt;0,N(Reales!DC61)/DC$10,0),N(Reales!DC61)),DC$200*IF(AND(AND(102&gt;Corte,102&lt;=Corte+n_Ventana),ISNUMBER(Detalle_24m!DC$65)),Detalle_24m!DC$65,INDEX(Precio_V,24)*INDEX(IdxPrecio_V,1,MIN(10,DC$173)))*(1+V_dPrecio))</f>
        <v>0</v>
      </c>
      <c r="DD225" s="48">
        <f>IF(DD$8=1,IF(Reales!$C$61="PYG",IF(DD$10&gt;0,N(Reales!DD61)/DD$10,0),N(Reales!DD61)),DD$200*IF(AND(AND(103&gt;Corte,103&lt;=Corte+n_Ventana),ISNUMBER(Detalle_24m!DD$65)),Detalle_24m!DD$65,INDEX(Precio_V,24)*INDEX(IdxPrecio_V,1,MIN(10,DD$173)))*(1+V_dPrecio))</f>
        <v>0</v>
      </c>
      <c r="DE225" s="48">
        <f>IF(DE$8=1,IF(Reales!$C$61="PYG",IF(DE$10&gt;0,N(Reales!DE61)/DE$10,0),N(Reales!DE61)),DE$200*IF(AND(AND(104&gt;Corte,104&lt;=Corte+n_Ventana),ISNUMBER(Detalle_24m!DE$65)),Detalle_24m!DE$65,INDEX(Precio_V,24)*INDEX(IdxPrecio_V,1,MIN(10,DE$173)))*(1+V_dPrecio))</f>
        <v>0</v>
      </c>
      <c r="DF225" s="48">
        <f>IF(DF$8=1,IF(Reales!$C$61="PYG",IF(DF$10&gt;0,N(Reales!DF61)/DF$10,0),N(Reales!DF61)),DF$200*IF(AND(AND(105&gt;Corte,105&lt;=Corte+n_Ventana),ISNUMBER(Detalle_24m!DF$65)),Detalle_24m!DF$65,INDEX(Precio_V,24)*INDEX(IdxPrecio_V,1,MIN(10,DF$173)))*(1+V_dPrecio))</f>
        <v>0</v>
      </c>
      <c r="DG225" s="48">
        <f>IF(DG$8=1,IF(Reales!$C$61="PYG",IF(DG$10&gt;0,N(Reales!DG61)/DG$10,0),N(Reales!DG61)),DG$200*IF(AND(AND(106&gt;Corte,106&lt;=Corte+n_Ventana),ISNUMBER(Detalle_24m!DG$65)),Detalle_24m!DG$65,INDEX(Precio_V,24)*INDEX(IdxPrecio_V,1,MIN(10,DG$173)))*(1+V_dPrecio))</f>
        <v>0</v>
      </c>
      <c r="DH225" s="48">
        <f>IF(DH$8=1,IF(Reales!$C$61="PYG",IF(DH$10&gt;0,N(Reales!DH61)/DH$10,0),N(Reales!DH61)),DH$200*IF(AND(AND(107&gt;Corte,107&lt;=Corte+n_Ventana),ISNUMBER(Detalle_24m!DH$65)),Detalle_24m!DH$65,INDEX(Precio_V,24)*INDEX(IdxPrecio_V,1,MIN(10,DH$173)))*(1+V_dPrecio))</f>
        <v>0</v>
      </c>
      <c r="DI225" s="48">
        <f>IF(DI$8=1,IF(Reales!$C$61="PYG",IF(DI$10&gt;0,N(Reales!DI61)/DI$10,0),N(Reales!DI61)),DI$200*IF(AND(AND(108&gt;Corte,108&lt;=Corte+n_Ventana),ISNUMBER(Detalle_24m!DI$65)),Detalle_24m!DI$65,INDEX(Precio_V,24)*INDEX(IdxPrecio_V,1,MIN(10,DI$173)))*(1+V_dPrecio))</f>
        <v>0</v>
      </c>
      <c r="DJ225" s="48">
        <f>IF(DJ$8=1,IF(Reales!$C$61="PYG",IF(DJ$10&gt;0,N(Reales!DJ61)/DJ$10,0),N(Reales!DJ61)),DJ$200*IF(AND(AND(109&gt;Corte,109&lt;=Corte+n_Ventana),ISNUMBER(Detalle_24m!DJ$65)),Detalle_24m!DJ$65,INDEX(Precio_V,24)*INDEX(IdxPrecio_V,1,MIN(10,DJ$173)))*(1+V_dPrecio))</f>
        <v>0</v>
      </c>
      <c r="DK225" s="48">
        <f>IF(DK$8=1,IF(Reales!$C$61="PYG",IF(DK$10&gt;0,N(Reales!DK61)/DK$10,0),N(Reales!DK61)),DK$200*IF(AND(AND(110&gt;Corte,110&lt;=Corte+n_Ventana),ISNUMBER(Detalle_24m!DK$65)),Detalle_24m!DK$65,INDEX(Precio_V,24)*INDEX(IdxPrecio_V,1,MIN(10,DK$173)))*(1+V_dPrecio))</f>
        <v>0</v>
      </c>
      <c r="DL225" s="48">
        <f>IF(DL$8=1,IF(Reales!$C$61="PYG",IF(DL$10&gt;0,N(Reales!DL61)/DL$10,0),N(Reales!DL61)),DL$200*IF(AND(AND(111&gt;Corte,111&lt;=Corte+n_Ventana),ISNUMBER(Detalle_24m!DL$65)),Detalle_24m!DL$65,INDEX(Precio_V,24)*INDEX(IdxPrecio_V,1,MIN(10,DL$173)))*(1+V_dPrecio))</f>
        <v>0</v>
      </c>
      <c r="DM225" s="48">
        <f>IF(DM$8=1,IF(Reales!$C$61="PYG",IF(DM$10&gt;0,N(Reales!DM61)/DM$10,0),N(Reales!DM61)),DM$200*IF(AND(AND(112&gt;Corte,112&lt;=Corte+n_Ventana),ISNUMBER(Detalle_24m!DM$65)),Detalle_24m!DM$65,INDEX(Precio_V,24)*INDEX(IdxPrecio_V,1,MIN(10,DM$173)))*(1+V_dPrecio))</f>
        <v>0</v>
      </c>
      <c r="DN225" s="48">
        <f>IF(DN$8=1,IF(Reales!$C$61="PYG",IF(DN$10&gt;0,N(Reales!DN61)/DN$10,0),N(Reales!DN61)),DN$200*IF(AND(AND(113&gt;Corte,113&lt;=Corte+n_Ventana),ISNUMBER(Detalle_24m!DN$65)),Detalle_24m!DN$65,INDEX(Precio_V,24)*INDEX(IdxPrecio_V,1,MIN(10,DN$173)))*(1+V_dPrecio))</f>
        <v>0</v>
      </c>
      <c r="DO225" s="48">
        <f>IF(DO$8=1,IF(Reales!$C$61="PYG",IF(DO$10&gt;0,N(Reales!DO61)/DO$10,0),N(Reales!DO61)),DO$200*IF(AND(AND(114&gt;Corte,114&lt;=Corte+n_Ventana),ISNUMBER(Detalle_24m!DO$65)),Detalle_24m!DO$65,INDEX(Precio_V,24)*INDEX(IdxPrecio_V,1,MIN(10,DO$173)))*(1+V_dPrecio))</f>
        <v>0</v>
      </c>
      <c r="DP225" s="48">
        <f>IF(DP$8=1,IF(Reales!$C$61="PYG",IF(DP$10&gt;0,N(Reales!DP61)/DP$10,0),N(Reales!DP61)),DP$200*IF(AND(AND(115&gt;Corte,115&lt;=Corte+n_Ventana),ISNUMBER(Detalle_24m!DP$65)),Detalle_24m!DP$65,INDEX(Precio_V,24)*INDEX(IdxPrecio_V,1,MIN(10,DP$173)))*(1+V_dPrecio))</f>
        <v>0</v>
      </c>
      <c r="DQ225" s="48">
        <f>IF(DQ$8=1,IF(Reales!$C$61="PYG",IF(DQ$10&gt;0,N(Reales!DQ61)/DQ$10,0),N(Reales!DQ61)),DQ$200*IF(AND(AND(116&gt;Corte,116&lt;=Corte+n_Ventana),ISNUMBER(Detalle_24m!DQ$65)),Detalle_24m!DQ$65,INDEX(Precio_V,24)*INDEX(IdxPrecio_V,1,MIN(10,DQ$173)))*(1+V_dPrecio))</f>
        <v>0</v>
      </c>
      <c r="DR225" s="48">
        <f>IF(DR$8=1,IF(Reales!$C$61="PYG",IF(DR$10&gt;0,N(Reales!DR61)/DR$10,0),N(Reales!DR61)),DR$200*IF(AND(AND(117&gt;Corte,117&lt;=Corte+n_Ventana),ISNUMBER(Detalle_24m!DR$65)),Detalle_24m!DR$65,INDEX(Precio_V,24)*INDEX(IdxPrecio_V,1,MIN(10,DR$173)))*(1+V_dPrecio))</f>
        <v>0</v>
      </c>
      <c r="DS225" s="48">
        <f>IF(DS$8=1,IF(Reales!$C$61="PYG",IF(DS$10&gt;0,N(Reales!DS61)/DS$10,0),N(Reales!DS61)),DS$200*IF(AND(AND(118&gt;Corte,118&lt;=Corte+n_Ventana),ISNUMBER(Detalle_24m!DS$65)),Detalle_24m!DS$65,INDEX(Precio_V,24)*INDEX(IdxPrecio_V,1,MIN(10,DS$173)))*(1+V_dPrecio))</f>
        <v>0</v>
      </c>
      <c r="DT225" s="48">
        <f>IF(DT$8=1,IF(Reales!$C$61="PYG",IF(DT$10&gt;0,N(Reales!DT61)/DT$10,0),N(Reales!DT61)),DT$200*IF(AND(AND(119&gt;Corte,119&lt;=Corte+n_Ventana),ISNUMBER(Detalle_24m!DT$65)),Detalle_24m!DT$65,INDEX(Precio_V,24)*INDEX(IdxPrecio_V,1,MIN(10,DT$173)))*(1+V_dPrecio))</f>
        <v>0</v>
      </c>
      <c r="DU225" s="48">
        <f>IF(DU$8=1,IF(Reales!$C$61="PYG",IF(DU$10&gt;0,N(Reales!DU61)/DU$10,0),N(Reales!DU61)),DU$200*IF(AND(AND(120&gt;Corte,120&lt;=Corte+n_Ventana),ISNUMBER(Detalle_24m!DU$65)),Detalle_24m!DU$65,INDEX(Precio_V,24)*INDEX(IdxPrecio_V,1,MIN(10,DU$173)))*(1+V_dPrecio))</f>
        <v>0</v>
      </c>
      <c r="DV225" s="48">
        <f>IF(DV$8=1,IF(Reales!$C$61="PYG",IF(DV$10&gt;0,N(Reales!DV61)/DV$10,0),N(Reales!DV61)),DV$200*IF(AND(AND(121&gt;Corte,121&lt;=Corte+n_Ventana),ISNUMBER(Detalle_24m!DV$65)),Detalle_24m!DV$65,INDEX(Precio_V,24)*INDEX(IdxPrecio_V,1,MIN(10,DV$173)))*(1+V_dPrecio))</f>
        <v>0</v>
      </c>
      <c r="DW225" s="48">
        <f>IF(DW$8=1,IF(Reales!$C$61="PYG",IF(DW$10&gt;0,N(Reales!DW61)/DW$10,0),N(Reales!DW61)),DW$200*IF(AND(AND(122&gt;Corte,122&lt;=Corte+n_Ventana),ISNUMBER(Detalle_24m!DW$65)),Detalle_24m!DW$65,INDEX(Precio_V,24)*INDEX(IdxPrecio_V,1,MIN(10,DW$173)))*(1+V_dPrecio))</f>
        <v>0</v>
      </c>
      <c r="DX225" s="48">
        <f>IF(DX$8=1,IF(Reales!$C$61="PYG",IF(DX$10&gt;0,N(Reales!DX61)/DX$10,0),N(Reales!DX61)),DX$200*IF(AND(AND(123&gt;Corte,123&lt;=Corte+n_Ventana),ISNUMBER(Detalle_24m!DX$65)),Detalle_24m!DX$65,INDEX(Precio_V,24)*INDEX(IdxPrecio_V,1,MIN(10,DX$173)))*(1+V_dPrecio))</f>
        <v>0</v>
      </c>
      <c r="DY225" s="48">
        <f>IF(DY$8=1,IF(Reales!$C$61="PYG",IF(DY$10&gt;0,N(Reales!DY61)/DY$10,0),N(Reales!DY61)),DY$200*IF(AND(AND(124&gt;Corte,124&lt;=Corte+n_Ventana),ISNUMBER(Detalle_24m!DY$65)),Detalle_24m!DY$65,INDEX(Precio_V,24)*INDEX(IdxPrecio_V,1,MIN(10,DY$173)))*(1+V_dPrecio))</f>
        <v>0</v>
      </c>
      <c r="DZ225" s="48">
        <f>IF(DZ$8=1,IF(Reales!$C$61="PYG",IF(DZ$10&gt;0,N(Reales!DZ61)/DZ$10,0),N(Reales!DZ61)),DZ$200*IF(AND(AND(125&gt;Corte,125&lt;=Corte+n_Ventana),ISNUMBER(Detalle_24m!DZ$65)),Detalle_24m!DZ$65,INDEX(Precio_V,24)*INDEX(IdxPrecio_V,1,MIN(10,DZ$173)))*(1+V_dPrecio))</f>
        <v>0</v>
      </c>
      <c r="EA225" s="48">
        <f>IF(EA$8=1,IF(Reales!$C$61="PYG",IF(EA$10&gt;0,N(Reales!EA61)/EA$10,0),N(Reales!EA61)),EA$200*IF(AND(AND(126&gt;Corte,126&lt;=Corte+n_Ventana),ISNUMBER(Detalle_24m!EA$65)),Detalle_24m!EA$65,INDEX(Precio_V,24)*INDEX(IdxPrecio_V,1,MIN(10,EA$173)))*(1+V_dPrecio))</f>
        <v>0</v>
      </c>
      <c r="EB225" s="48">
        <f>IF(EB$8=1,IF(Reales!$C$61="PYG",IF(EB$10&gt;0,N(Reales!EB61)/EB$10,0),N(Reales!EB61)),EB$200*IF(AND(AND(127&gt;Corte,127&lt;=Corte+n_Ventana),ISNUMBER(Detalle_24m!EB$65)),Detalle_24m!EB$65,INDEX(Precio_V,24)*INDEX(IdxPrecio_V,1,MIN(10,EB$173)))*(1+V_dPrecio))</f>
        <v>0</v>
      </c>
      <c r="EC225" s="48">
        <f>IF(EC$8=1,IF(Reales!$C$61="PYG",IF(EC$10&gt;0,N(Reales!EC61)/EC$10,0),N(Reales!EC61)),EC$200*IF(AND(AND(128&gt;Corte,128&lt;=Corte+n_Ventana),ISNUMBER(Detalle_24m!EC$65)),Detalle_24m!EC$65,INDEX(Precio_V,24)*INDEX(IdxPrecio_V,1,MIN(10,EC$173)))*(1+V_dPrecio))</f>
        <v>0</v>
      </c>
      <c r="ED225" s="48">
        <f>IF(ED$8=1,IF(Reales!$C$61="PYG",IF(ED$10&gt;0,N(Reales!ED61)/ED$10,0),N(Reales!ED61)),ED$200*IF(AND(AND(129&gt;Corte,129&lt;=Corte+n_Ventana),ISNUMBER(Detalle_24m!ED$65)),Detalle_24m!ED$65,INDEX(Precio_V,24)*INDEX(IdxPrecio_V,1,MIN(10,ED$173)))*(1+V_dPrecio))</f>
        <v>0</v>
      </c>
      <c r="EE225" s="48">
        <f>IF(EE$8=1,IF(Reales!$C$61="PYG",IF(EE$10&gt;0,N(Reales!EE61)/EE$10,0),N(Reales!EE61)),EE$200*IF(AND(AND(130&gt;Corte,130&lt;=Corte+n_Ventana),ISNUMBER(Detalle_24m!EE$65)),Detalle_24m!EE$65,INDEX(Precio_V,24)*INDEX(IdxPrecio_V,1,MIN(10,EE$173)))*(1+V_dPrecio))</f>
        <v>0</v>
      </c>
      <c r="EF225" s="48">
        <f>IF(EF$8=1,IF(Reales!$C$61="PYG",IF(EF$10&gt;0,N(Reales!EF61)/EF$10,0),N(Reales!EF61)),EF$200*IF(AND(AND(131&gt;Corte,131&lt;=Corte+n_Ventana),ISNUMBER(Detalle_24m!EF$65)),Detalle_24m!EF$65,INDEX(Precio_V,24)*INDEX(IdxPrecio_V,1,MIN(10,EF$173)))*(1+V_dPrecio))</f>
        <v>0</v>
      </c>
      <c r="EG225" s="48">
        <f>IF(EG$8=1,IF(Reales!$C$61="PYG",IF(EG$10&gt;0,N(Reales!EG61)/EG$10,0),N(Reales!EG61)),EG$200*IF(AND(AND(132&gt;Corte,132&lt;=Corte+n_Ventana),ISNUMBER(Detalle_24m!EG$65)),Detalle_24m!EG$65,INDEX(Precio_V,24)*INDEX(IdxPrecio_V,1,MIN(10,EG$173)))*(1+V_dPrecio))</f>
        <v>0</v>
      </c>
      <c r="EH225" s="48">
        <f>IF(EH$8=1,IF(Reales!$C$61="PYG",IF(EH$10&gt;0,N(Reales!EH61)/EH$10,0),N(Reales!EH61)),EH$200*IF(AND(AND(133&gt;Corte,133&lt;=Corte+n_Ventana),ISNUMBER(Detalle_24m!EH$65)),Detalle_24m!EH$65,INDEX(Precio_V,24)*INDEX(IdxPrecio_V,1,MIN(10,EH$173)))*(1+V_dPrecio))</f>
        <v>0</v>
      </c>
      <c r="EI225" s="48">
        <f>IF(EI$8=1,IF(Reales!$C$61="PYG",IF(EI$10&gt;0,N(Reales!EI61)/EI$10,0),N(Reales!EI61)),EI$200*IF(AND(AND(134&gt;Corte,134&lt;=Corte+n_Ventana),ISNUMBER(Detalle_24m!EI$65)),Detalle_24m!EI$65,INDEX(Precio_V,24)*INDEX(IdxPrecio_V,1,MIN(10,EI$173)))*(1+V_dPrecio))</f>
        <v>0</v>
      </c>
      <c r="EJ225" s="48">
        <f>IF(EJ$8=1,IF(Reales!$C$61="PYG",IF(EJ$10&gt;0,N(Reales!EJ61)/EJ$10,0),N(Reales!EJ61)),EJ$200*IF(AND(AND(135&gt;Corte,135&lt;=Corte+n_Ventana),ISNUMBER(Detalle_24m!EJ$65)),Detalle_24m!EJ$65,INDEX(Precio_V,24)*INDEX(IdxPrecio_V,1,MIN(10,EJ$173)))*(1+V_dPrecio))</f>
        <v>0</v>
      </c>
      <c r="EK225" s="48">
        <f>IF(EK$8=1,IF(Reales!$C$61="PYG",IF(EK$10&gt;0,N(Reales!EK61)/EK$10,0),N(Reales!EK61)),EK$200*IF(AND(AND(136&gt;Corte,136&lt;=Corte+n_Ventana),ISNUMBER(Detalle_24m!EK$65)),Detalle_24m!EK$65,INDEX(Precio_V,24)*INDEX(IdxPrecio_V,1,MIN(10,EK$173)))*(1+V_dPrecio))</f>
        <v>0</v>
      </c>
      <c r="EL225" s="48">
        <f>IF(EL$8=1,IF(Reales!$C$61="PYG",IF(EL$10&gt;0,N(Reales!EL61)/EL$10,0),N(Reales!EL61)),EL$200*IF(AND(AND(137&gt;Corte,137&lt;=Corte+n_Ventana),ISNUMBER(Detalle_24m!EL$65)),Detalle_24m!EL$65,INDEX(Precio_V,24)*INDEX(IdxPrecio_V,1,MIN(10,EL$173)))*(1+V_dPrecio))</f>
        <v>0</v>
      </c>
      <c r="EM225" s="48">
        <f>IF(EM$8=1,IF(Reales!$C$61="PYG",IF(EM$10&gt;0,N(Reales!EM61)/EM$10,0),N(Reales!EM61)),EM$200*IF(AND(AND(138&gt;Corte,138&lt;=Corte+n_Ventana),ISNUMBER(Detalle_24m!EM$65)),Detalle_24m!EM$65,INDEX(Precio_V,24)*INDEX(IdxPrecio_V,1,MIN(10,EM$173)))*(1+V_dPrecio))</f>
        <v>0</v>
      </c>
      <c r="EN225" s="48">
        <f>IF(EN$8=1,IF(Reales!$C$61="PYG",IF(EN$10&gt;0,N(Reales!EN61)/EN$10,0),N(Reales!EN61)),EN$200*IF(AND(AND(139&gt;Corte,139&lt;=Corte+n_Ventana),ISNUMBER(Detalle_24m!EN$65)),Detalle_24m!EN$65,INDEX(Precio_V,24)*INDEX(IdxPrecio_V,1,MIN(10,EN$173)))*(1+V_dPrecio))</f>
        <v>0</v>
      </c>
      <c r="EO225" s="48">
        <f>IF(EO$8=1,IF(Reales!$C$61="PYG",IF(EO$10&gt;0,N(Reales!EO61)/EO$10,0),N(Reales!EO61)),EO$200*IF(AND(AND(140&gt;Corte,140&lt;=Corte+n_Ventana),ISNUMBER(Detalle_24m!EO$65)),Detalle_24m!EO$65,INDEX(Precio_V,24)*INDEX(IdxPrecio_V,1,MIN(10,EO$173)))*(1+V_dPrecio))</f>
        <v>0</v>
      </c>
      <c r="EP225" s="48">
        <f>IF(EP$8=1,IF(Reales!$C$61="PYG",IF(EP$10&gt;0,N(Reales!EP61)/EP$10,0),N(Reales!EP61)),EP$200*IF(AND(AND(141&gt;Corte,141&lt;=Corte+n_Ventana),ISNUMBER(Detalle_24m!EP$65)),Detalle_24m!EP$65,INDEX(Precio_V,24)*INDEX(IdxPrecio_V,1,MIN(10,EP$173)))*(1+V_dPrecio))</f>
        <v>0</v>
      </c>
      <c r="EQ225" s="48">
        <f>IF(EQ$8=1,IF(Reales!$C$61="PYG",IF(EQ$10&gt;0,N(Reales!EQ61)/EQ$10,0),N(Reales!EQ61)),EQ$200*IF(AND(AND(142&gt;Corte,142&lt;=Corte+n_Ventana),ISNUMBER(Detalle_24m!EQ$65)),Detalle_24m!EQ$65,INDEX(Precio_V,24)*INDEX(IdxPrecio_V,1,MIN(10,EQ$173)))*(1+V_dPrecio))</f>
        <v>0</v>
      </c>
      <c r="ER225" s="48">
        <f>IF(ER$8=1,IF(Reales!$C$61="PYG",IF(ER$10&gt;0,N(Reales!ER61)/ER$10,0),N(Reales!ER61)),ER$200*IF(AND(AND(143&gt;Corte,143&lt;=Corte+n_Ventana),ISNUMBER(Detalle_24m!ER$65)),Detalle_24m!ER$65,INDEX(Precio_V,24)*INDEX(IdxPrecio_V,1,MIN(10,ER$173)))*(1+V_dPrecio))</f>
        <v>0</v>
      </c>
      <c r="ES225" s="48">
        <f>IF(ES$8=1,IF(Reales!$C$61="PYG",IF(ES$10&gt;0,N(Reales!ES61)/ES$10,0),N(Reales!ES61)),ES$200*IF(AND(AND(144&gt;Corte,144&lt;=Corte+n_Ventana),ISNUMBER(Detalle_24m!ES$65)),Detalle_24m!ES$65,INDEX(Precio_V,24)*INDEX(IdxPrecio_V,1,MIN(10,ES$173)))*(1+V_dPrecio))</f>
        <v>0</v>
      </c>
    </row>
    <row r="226" spans="1:149" x14ac:dyDescent="0.3">
      <c r="A226" s="14" t="s">
        <v>1281</v>
      </c>
      <c r="B226" s="53" t="str">
        <f>IF(INDEX(Prod_Nombre,25)="","Producto 25",INDEX(Prod_Nombre,25))&amp;" — ventas USD"</f>
        <v>Producto 25 — ventas USD</v>
      </c>
      <c r="C226" s="18" t="s">
        <v>439</v>
      </c>
      <c r="E226" s="54">
        <f t="shared" si="605"/>
        <v>0</v>
      </c>
      <c r="F226" s="48">
        <f>IF(F$8=1,IF(Reales!$C$62="PYG",IF(F$10&gt;0,N(Reales!F62)/F$10,0),N(Reales!F62)),F$201*IF(AND(AND(1&gt;Corte,1&lt;=Corte+n_Ventana),ISNUMBER(Detalle_24m!F$66)),Detalle_24m!F$66,INDEX(Precio_V,25)*INDEX(IdxPrecio_V,1,MIN(10,F$173)))*(1+V_dPrecio))</f>
        <v>0</v>
      </c>
      <c r="G226" s="48">
        <f>IF(G$8=1,IF(Reales!$C$62="PYG",IF(G$10&gt;0,N(Reales!G62)/G$10,0),N(Reales!G62)),G$201*IF(AND(AND(2&gt;Corte,2&lt;=Corte+n_Ventana),ISNUMBER(Detalle_24m!G$66)),Detalle_24m!G$66,INDEX(Precio_V,25)*INDEX(IdxPrecio_V,1,MIN(10,G$173)))*(1+V_dPrecio))</f>
        <v>0</v>
      </c>
      <c r="H226" s="48">
        <f>IF(H$8=1,IF(Reales!$C$62="PYG",IF(H$10&gt;0,N(Reales!H62)/H$10,0),N(Reales!H62)),H$201*IF(AND(AND(3&gt;Corte,3&lt;=Corte+n_Ventana),ISNUMBER(Detalle_24m!H$66)),Detalle_24m!H$66,INDEX(Precio_V,25)*INDEX(IdxPrecio_V,1,MIN(10,H$173)))*(1+V_dPrecio))</f>
        <v>0</v>
      </c>
      <c r="I226" s="48">
        <f>IF(I$8=1,IF(Reales!$C$62="PYG",IF(I$10&gt;0,N(Reales!I62)/I$10,0),N(Reales!I62)),I$201*IF(AND(AND(4&gt;Corte,4&lt;=Corte+n_Ventana),ISNUMBER(Detalle_24m!I$66)),Detalle_24m!I$66,INDEX(Precio_V,25)*INDEX(IdxPrecio_V,1,MIN(10,I$173)))*(1+V_dPrecio))</f>
        <v>0</v>
      </c>
      <c r="J226" s="48">
        <f>IF(J$8=1,IF(Reales!$C$62="PYG",IF(J$10&gt;0,N(Reales!J62)/J$10,0),N(Reales!J62)),J$201*IF(AND(AND(5&gt;Corte,5&lt;=Corte+n_Ventana),ISNUMBER(Detalle_24m!J$66)),Detalle_24m!J$66,INDEX(Precio_V,25)*INDEX(IdxPrecio_V,1,MIN(10,J$173)))*(1+V_dPrecio))</f>
        <v>0</v>
      </c>
      <c r="K226" s="48">
        <f>IF(K$8=1,IF(Reales!$C$62="PYG",IF(K$10&gt;0,N(Reales!K62)/K$10,0),N(Reales!K62)),K$201*IF(AND(AND(6&gt;Corte,6&lt;=Corte+n_Ventana),ISNUMBER(Detalle_24m!K$66)),Detalle_24m!K$66,INDEX(Precio_V,25)*INDEX(IdxPrecio_V,1,MIN(10,K$173)))*(1+V_dPrecio))</f>
        <v>0</v>
      </c>
      <c r="L226" s="48">
        <f>IF(L$8=1,IF(Reales!$C$62="PYG",IF(L$10&gt;0,N(Reales!L62)/L$10,0),N(Reales!L62)),L$201*IF(AND(AND(7&gt;Corte,7&lt;=Corte+n_Ventana),ISNUMBER(Detalle_24m!L$66)),Detalle_24m!L$66,INDEX(Precio_V,25)*INDEX(IdxPrecio_V,1,MIN(10,L$173)))*(1+V_dPrecio))</f>
        <v>0</v>
      </c>
      <c r="M226" s="48">
        <f>IF(M$8=1,IF(Reales!$C$62="PYG",IF(M$10&gt;0,N(Reales!M62)/M$10,0),N(Reales!M62)),M$201*IF(AND(AND(8&gt;Corte,8&lt;=Corte+n_Ventana),ISNUMBER(Detalle_24m!M$66)),Detalle_24m!M$66,INDEX(Precio_V,25)*INDEX(IdxPrecio_V,1,MIN(10,M$173)))*(1+V_dPrecio))</f>
        <v>0</v>
      </c>
      <c r="N226" s="48">
        <f>IF(N$8=1,IF(Reales!$C$62="PYG",IF(N$10&gt;0,N(Reales!N62)/N$10,0),N(Reales!N62)),N$201*IF(AND(AND(9&gt;Corte,9&lt;=Corte+n_Ventana),ISNUMBER(Detalle_24m!N$66)),Detalle_24m!N$66,INDEX(Precio_V,25)*INDEX(IdxPrecio_V,1,MIN(10,N$173)))*(1+V_dPrecio))</f>
        <v>0</v>
      </c>
      <c r="O226" s="48">
        <f>IF(O$8=1,IF(Reales!$C$62="PYG",IF(O$10&gt;0,N(Reales!O62)/O$10,0),N(Reales!O62)),O$201*IF(AND(AND(10&gt;Corte,10&lt;=Corte+n_Ventana),ISNUMBER(Detalle_24m!O$66)),Detalle_24m!O$66,INDEX(Precio_V,25)*INDEX(IdxPrecio_V,1,MIN(10,O$173)))*(1+V_dPrecio))</f>
        <v>0</v>
      </c>
      <c r="P226" s="48">
        <f>IF(P$8=1,IF(Reales!$C$62="PYG",IF(P$10&gt;0,N(Reales!P62)/P$10,0),N(Reales!P62)),P$201*IF(AND(AND(11&gt;Corte,11&lt;=Corte+n_Ventana),ISNUMBER(Detalle_24m!P$66)),Detalle_24m!P$66,INDEX(Precio_V,25)*INDEX(IdxPrecio_V,1,MIN(10,P$173)))*(1+V_dPrecio))</f>
        <v>0</v>
      </c>
      <c r="Q226" s="48">
        <f>IF(Q$8=1,IF(Reales!$C$62="PYG",IF(Q$10&gt;0,N(Reales!Q62)/Q$10,0),N(Reales!Q62)),Q$201*IF(AND(AND(12&gt;Corte,12&lt;=Corte+n_Ventana),ISNUMBER(Detalle_24m!Q$66)),Detalle_24m!Q$66,INDEX(Precio_V,25)*INDEX(IdxPrecio_V,1,MIN(10,Q$173)))*(1+V_dPrecio))</f>
        <v>0</v>
      </c>
      <c r="R226" s="48">
        <f>IF(R$8=1,IF(Reales!$C$62="PYG",IF(R$10&gt;0,N(Reales!R62)/R$10,0),N(Reales!R62)),R$201*IF(AND(AND(13&gt;Corte,13&lt;=Corte+n_Ventana),ISNUMBER(Detalle_24m!R$66)),Detalle_24m!R$66,INDEX(Precio_V,25)*INDEX(IdxPrecio_V,1,MIN(10,R$173)))*(1+V_dPrecio))</f>
        <v>0</v>
      </c>
      <c r="S226" s="48">
        <f>IF(S$8=1,IF(Reales!$C$62="PYG",IF(S$10&gt;0,N(Reales!S62)/S$10,0),N(Reales!S62)),S$201*IF(AND(AND(14&gt;Corte,14&lt;=Corte+n_Ventana),ISNUMBER(Detalle_24m!S$66)),Detalle_24m!S$66,INDEX(Precio_V,25)*INDEX(IdxPrecio_V,1,MIN(10,S$173)))*(1+V_dPrecio))</f>
        <v>0</v>
      </c>
      <c r="T226" s="48">
        <f>IF(T$8=1,IF(Reales!$C$62="PYG",IF(T$10&gt;0,N(Reales!T62)/T$10,0),N(Reales!T62)),T$201*IF(AND(AND(15&gt;Corte,15&lt;=Corte+n_Ventana),ISNUMBER(Detalle_24m!T$66)),Detalle_24m!T$66,INDEX(Precio_V,25)*INDEX(IdxPrecio_V,1,MIN(10,T$173)))*(1+V_dPrecio))</f>
        <v>0</v>
      </c>
      <c r="U226" s="48">
        <f>IF(U$8=1,IF(Reales!$C$62="PYG",IF(U$10&gt;0,N(Reales!U62)/U$10,0),N(Reales!U62)),U$201*IF(AND(AND(16&gt;Corte,16&lt;=Corte+n_Ventana),ISNUMBER(Detalle_24m!U$66)),Detalle_24m!U$66,INDEX(Precio_V,25)*INDEX(IdxPrecio_V,1,MIN(10,U$173)))*(1+V_dPrecio))</f>
        <v>0</v>
      </c>
      <c r="V226" s="48">
        <f>IF(V$8=1,IF(Reales!$C$62="PYG",IF(V$10&gt;0,N(Reales!V62)/V$10,0),N(Reales!V62)),V$201*IF(AND(AND(17&gt;Corte,17&lt;=Corte+n_Ventana),ISNUMBER(Detalle_24m!V$66)),Detalle_24m!V$66,INDEX(Precio_V,25)*INDEX(IdxPrecio_V,1,MIN(10,V$173)))*(1+V_dPrecio))</f>
        <v>0</v>
      </c>
      <c r="W226" s="48">
        <f>IF(W$8=1,IF(Reales!$C$62="PYG",IF(W$10&gt;0,N(Reales!W62)/W$10,0),N(Reales!W62)),W$201*IF(AND(AND(18&gt;Corte,18&lt;=Corte+n_Ventana),ISNUMBER(Detalle_24m!W$66)),Detalle_24m!W$66,INDEX(Precio_V,25)*INDEX(IdxPrecio_V,1,MIN(10,W$173)))*(1+V_dPrecio))</f>
        <v>0</v>
      </c>
      <c r="X226" s="48">
        <f>IF(X$8=1,IF(Reales!$C$62="PYG",IF(X$10&gt;0,N(Reales!X62)/X$10,0),N(Reales!X62)),X$201*IF(AND(AND(19&gt;Corte,19&lt;=Corte+n_Ventana),ISNUMBER(Detalle_24m!X$66)),Detalle_24m!X$66,INDEX(Precio_V,25)*INDEX(IdxPrecio_V,1,MIN(10,X$173)))*(1+V_dPrecio))</f>
        <v>0</v>
      </c>
      <c r="Y226" s="48">
        <f>IF(Y$8=1,IF(Reales!$C$62="PYG",IF(Y$10&gt;0,N(Reales!Y62)/Y$10,0),N(Reales!Y62)),Y$201*IF(AND(AND(20&gt;Corte,20&lt;=Corte+n_Ventana),ISNUMBER(Detalle_24m!Y$66)),Detalle_24m!Y$66,INDEX(Precio_V,25)*INDEX(IdxPrecio_V,1,MIN(10,Y$173)))*(1+V_dPrecio))</f>
        <v>0</v>
      </c>
      <c r="Z226" s="48">
        <f>IF(Z$8=1,IF(Reales!$C$62="PYG",IF(Z$10&gt;0,N(Reales!Z62)/Z$10,0),N(Reales!Z62)),Z$201*IF(AND(AND(21&gt;Corte,21&lt;=Corte+n_Ventana),ISNUMBER(Detalle_24m!Z$66)),Detalle_24m!Z$66,INDEX(Precio_V,25)*INDEX(IdxPrecio_V,1,MIN(10,Z$173)))*(1+V_dPrecio))</f>
        <v>0</v>
      </c>
      <c r="AA226" s="48">
        <f>IF(AA$8=1,IF(Reales!$C$62="PYG",IF(AA$10&gt;0,N(Reales!AA62)/AA$10,0),N(Reales!AA62)),AA$201*IF(AND(AND(22&gt;Corte,22&lt;=Corte+n_Ventana),ISNUMBER(Detalle_24m!AA$66)),Detalle_24m!AA$66,INDEX(Precio_V,25)*INDEX(IdxPrecio_V,1,MIN(10,AA$173)))*(1+V_dPrecio))</f>
        <v>0</v>
      </c>
      <c r="AB226" s="48">
        <f>IF(AB$8=1,IF(Reales!$C$62="PYG",IF(AB$10&gt;0,N(Reales!AB62)/AB$10,0),N(Reales!AB62)),AB$201*IF(AND(AND(23&gt;Corte,23&lt;=Corte+n_Ventana),ISNUMBER(Detalle_24m!AB$66)),Detalle_24m!AB$66,INDEX(Precio_V,25)*INDEX(IdxPrecio_V,1,MIN(10,AB$173)))*(1+V_dPrecio))</f>
        <v>0</v>
      </c>
      <c r="AC226" s="48">
        <f>IF(AC$8=1,IF(Reales!$C$62="PYG",IF(AC$10&gt;0,N(Reales!AC62)/AC$10,0),N(Reales!AC62)),AC$201*IF(AND(AND(24&gt;Corte,24&lt;=Corte+n_Ventana),ISNUMBER(Detalle_24m!AC$66)),Detalle_24m!AC$66,INDEX(Precio_V,25)*INDEX(IdxPrecio_V,1,MIN(10,AC$173)))*(1+V_dPrecio))</f>
        <v>0</v>
      </c>
      <c r="AD226" s="48">
        <f>IF(AD$8=1,IF(Reales!$C$62="PYG",IF(AD$10&gt;0,N(Reales!AD62)/AD$10,0),N(Reales!AD62)),AD$201*IF(AND(AND(25&gt;Corte,25&lt;=Corte+n_Ventana),ISNUMBER(Detalle_24m!AD$66)),Detalle_24m!AD$66,INDEX(Precio_V,25)*INDEX(IdxPrecio_V,1,MIN(10,AD$173)))*(1+V_dPrecio))</f>
        <v>0</v>
      </c>
      <c r="AE226" s="48">
        <f>IF(AE$8=1,IF(Reales!$C$62="PYG",IF(AE$10&gt;0,N(Reales!AE62)/AE$10,0),N(Reales!AE62)),AE$201*IF(AND(AND(26&gt;Corte,26&lt;=Corte+n_Ventana),ISNUMBER(Detalle_24m!AE$66)),Detalle_24m!AE$66,INDEX(Precio_V,25)*INDEX(IdxPrecio_V,1,MIN(10,AE$173)))*(1+V_dPrecio))</f>
        <v>0</v>
      </c>
      <c r="AF226" s="48">
        <f>IF(AF$8=1,IF(Reales!$C$62="PYG",IF(AF$10&gt;0,N(Reales!AF62)/AF$10,0),N(Reales!AF62)),AF$201*IF(AND(AND(27&gt;Corte,27&lt;=Corte+n_Ventana),ISNUMBER(Detalle_24m!AF$66)),Detalle_24m!AF$66,INDEX(Precio_V,25)*INDEX(IdxPrecio_V,1,MIN(10,AF$173)))*(1+V_dPrecio))</f>
        <v>0</v>
      </c>
      <c r="AG226" s="48">
        <f>IF(AG$8=1,IF(Reales!$C$62="PYG",IF(AG$10&gt;0,N(Reales!AG62)/AG$10,0),N(Reales!AG62)),AG$201*IF(AND(AND(28&gt;Corte,28&lt;=Corte+n_Ventana),ISNUMBER(Detalle_24m!AG$66)),Detalle_24m!AG$66,INDEX(Precio_V,25)*INDEX(IdxPrecio_V,1,MIN(10,AG$173)))*(1+V_dPrecio))</f>
        <v>0</v>
      </c>
      <c r="AH226" s="48">
        <f>IF(AH$8=1,IF(Reales!$C$62="PYG",IF(AH$10&gt;0,N(Reales!AH62)/AH$10,0),N(Reales!AH62)),AH$201*IF(AND(AND(29&gt;Corte,29&lt;=Corte+n_Ventana),ISNUMBER(Detalle_24m!AH$66)),Detalle_24m!AH$66,INDEX(Precio_V,25)*INDEX(IdxPrecio_V,1,MIN(10,AH$173)))*(1+V_dPrecio))</f>
        <v>0</v>
      </c>
      <c r="AI226" s="48">
        <f>IF(AI$8=1,IF(Reales!$C$62="PYG",IF(AI$10&gt;0,N(Reales!AI62)/AI$10,0),N(Reales!AI62)),AI$201*IF(AND(AND(30&gt;Corte,30&lt;=Corte+n_Ventana),ISNUMBER(Detalle_24m!AI$66)),Detalle_24m!AI$66,INDEX(Precio_V,25)*INDEX(IdxPrecio_V,1,MIN(10,AI$173)))*(1+V_dPrecio))</f>
        <v>0</v>
      </c>
      <c r="AJ226" s="48">
        <f>IF(AJ$8=1,IF(Reales!$C$62="PYG",IF(AJ$10&gt;0,N(Reales!AJ62)/AJ$10,0),N(Reales!AJ62)),AJ$201*IF(AND(AND(31&gt;Corte,31&lt;=Corte+n_Ventana),ISNUMBER(Detalle_24m!AJ$66)),Detalle_24m!AJ$66,INDEX(Precio_V,25)*INDEX(IdxPrecio_V,1,MIN(10,AJ$173)))*(1+V_dPrecio))</f>
        <v>0</v>
      </c>
      <c r="AK226" s="48">
        <f>IF(AK$8=1,IF(Reales!$C$62="PYG",IF(AK$10&gt;0,N(Reales!AK62)/AK$10,0),N(Reales!AK62)),AK$201*IF(AND(AND(32&gt;Corte,32&lt;=Corte+n_Ventana),ISNUMBER(Detalle_24m!AK$66)),Detalle_24m!AK$66,INDEX(Precio_V,25)*INDEX(IdxPrecio_V,1,MIN(10,AK$173)))*(1+V_dPrecio))</f>
        <v>0</v>
      </c>
      <c r="AL226" s="48">
        <f>IF(AL$8=1,IF(Reales!$C$62="PYG",IF(AL$10&gt;0,N(Reales!AL62)/AL$10,0),N(Reales!AL62)),AL$201*IF(AND(AND(33&gt;Corte,33&lt;=Corte+n_Ventana),ISNUMBER(Detalle_24m!AL$66)),Detalle_24m!AL$66,INDEX(Precio_V,25)*INDEX(IdxPrecio_V,1,MIN(10,AL$173)))*(1+V_dPrecio))</f>
        <v>0</v>
      </c>
      <c r="AM226" s="48">
        <f>IF(AM$8=1,IF(Reales!$C$62="PYG",IF(AM$10&gt;0,N(Reales!AM62)/AM$10,0),N(Reales!AM62)),AM$201*IF(AND(AND(34&gt;Corte,34&lt;=Corte+n_Ventana),ISNUMBER(Detalle_24m!AM$66)),Detalle_24m!AM$66,INDEX(Precio_V,25)*INDEX(IdxPrecio_V,1,MIN(10,AM$173)))*(1+V_dPrecio))</f>
        <v>0</v>
      </c>
      <c r="AN226" s="48">
        <f>IF(AN$8=1,IF(Reales!$C$62="PYG",IF(AN$10&gt;0,N(Reales!AN62)/AN$10,0),N(Reales!AN62)),AN$201*IF(AND(AND(35&gt;Corte,35&lt;=Corte+n_Ventana),ISNUMBER(Detalle_24m!AN$66)),Detalle_24m!AN$66,INDEX(Precio_V,25)*INDEX(IdxPrecio_V,1,MIN(10,AN$173)))*(1+V_dPrecio))</f>
        <v>0</v>
      </c>
      <c r="AO226" s="48">
        <f>IF(AO$8=1,IF(Reales!$C$62="PYG",IF(AO$10&gt;0,N(Reales!AO62)/AO$10,0),N(Reales!AO62)),AO$201*IF(AND(AND(36&gt;Corte,36&lt;=Corte+n_Ventana),ISNUMBER(Detalle_24m!AO$66)),Detalle_24m!AO$66,INDEX(Precio_V,25)*INDEX(IdxPrecio_V,1,MIN(10,AO$173)))*(1+V_dPrecio))</f>
        <v>0</v>
      </c>
      <c r="AP226" s="48">
        <f>IF(AP$8=1,IF(Reales!$C$62="PYG",IF(AP$10&gt;0,N(Reales!AP62)/AP$10,0),N(Reales!AP62)),AP$201*IF(AND(AND(37&gt;Corte,37&lt;=Corte+n_Ventana),ISNUMBER(Detalle_24m!AP$66)),Detalle_24m!AP$66,INDEX(Precio_V,25)*INDEX(IdxPrecio_V,1,MIN(10,AP$173)))*(1+V_dPrecio))</f>
        <v>0</v>
      </c>
      <c r="AQ226" s="48">
        <f>IF(AQ$8=1,IF(Reales!$C$62="PYG",IF(AQ$10&gt;0,N(Reales!AQ62)/AQ$10,0),N(Reales!AQ62)),AQ$201*IF(AND(AND(38&gt;Corte,38&lt;=Corte+n_Ventana),ISNUMBER(Detalle_24m!AQ$66)),Detalle_24m!AQ$66,INDEX(Precio_V,25)*INDEX(IdxPrecio_V,1,MIN(10,AQ$173)))*(1+V_dPrecio))</f>
        <v>0</v>
      </c>
      <c r="AR226" s="48">
        <f>IF(AR$8=1,IF(Reales!$C$62="PYG",IF(AR$10&gt;0,N(Reales!AR62)/AR$10,0),N(Reales!AR62)),AR$201*IF(AND(AND(39&gt;Corte,39&lt;=Corte+n_Ventana),ISNUMBER(Detalle_24m!AR$66)),Detalle_24m!AR$66,INDEX(Precio_V,25)*INDEX(IdxPrecio_V,1,MIN(10,AR$173)))*(1+V_dPrecio))</f>
        <v>0</v>
      </c>
      <c r="AS226" s="48">
        <f>IF(AS$8=1,IF(Reales!$C$62="PYG",IF(AS$10&gt;0,N(Reales!AS62)/AS$10,0),N(Reales!AS62)),AS$201*IF(AND(AND(40&gt;Corte,40&lt;=Corte+n_Ventana),ISNUMBER(Detalle_24m!AS$66)),Detalle_24m!AS$66,INDEX(Precio_V,25)*INDEX(IdxPrecio_V,1,MIN(10,AS$173)))*(1+V_dPrecio))</f>
        <v>0</v>
      </c>
      <c r="AT226" s="48">
        <f>IF(AT$8=1,IF(Reales!$C$62="PYG",IF(AT$10&gt;0,N(Reales!AT62)/AT$10,0),N(Reales!AT62)),AT$201*IF(AND(AND(41&gt;Corte,41&lt;=Corte+n_Ventana),ISNUMBER(Detalle_24m!AT$66)),Detalle_24m!AT$66,INDEX(Precio_V,25)*INDEX(IdxPrecio_V,1,MIN(10,AT$173)))*(1+V_dPrecio))</f>
        <v>0</v>
      </c>
      <c r="AU226" s="48">
        <f>IF(AU$8=1,IF(Reales!$C$62="PYG",IF(AU$10&gt;0,N(Reales!AU62)/AU$10,0),N(Reales!AU62)),AU$201*IF(AND(AND(42&gt;Corte,42&lt;=Corte+n_Ventana),ISNUMBER(Detalle_24m!AU$66)),Detalle_24m!AU$66,INDEX(Precio_V,25)*INDEX(IdxPrecio_V,1,MIN(10,AU$173)))*(1+V_dPrecio))</f>
        <v>0</v>
      </c>
      <c r="AV226" s="48">
        <f>IF(AV$8=1,IF(Reales!$C$62="PYG",IF(AV$10&gt;0,N(Reales!AV62)/AV$10,0),N(Reales!AV62)),AV$201*IF(AND(AND(43&gt;Corte,43&lt;=Corte+n_Ventana),ISNUMBER(Detalle_24m!AV$66)),Detalle_24m!AV$66,INDEX(Precio_V,25)*INDEX(IdxPrecio_V,1,MIN(10,AV$173)))*(1+V_dPrecio))</f>
        <v>0</v>
      </c>
      <c r="AW226" s="48">
        <f>IF(AW$8=1,IF(Reales!$C$62="PYG",IF(AW$10&gt;0,N(Reales!AW62)/AW$10,0),N(Reales!AW62)),AW$201*IF(AND(AND(44&gt;Corte,44&lt;=Corte+n_Ventana),ISNUMBER(Detalle_24m!AW$66)),Detalle_24m!AW$66,INDEX(Precio_V,25)*INDEX(IdxPrecio_V,1,MIN(10,AW$173)))*(1+V_dPrecio))</f>
        <v>0</v>
      </c>
      <c r="AX226" s="48">
        <f>IF(AX$8=1,IF(Reales!$C$62="PYG",IF(AX$10&gt;0,N(Reales!AX62)/AX$10,0),N(Reales!AX62)),AX$201*IF(AND(AND(45&gt;Corte,45&lt;=Corte+n_Ventana),ISNUMBER(Detalle_24m!AX$66)),Detalle_24m!AX$66,INDEX(Precio_V,25)*INDEX(IdxPrecio_V,1,MIN(10,AX$173)))*(1+V_dPrecio))</f>
        <v>0</v>
      </c>
      <c r="AY226" s="48">
        <f>IF(AY$8=1,IF(Reales!$C$62="PYG",IF(AY$10&gt;0,N(Reales!AY62)/AY$10,0),N(Reales!AY62)),AY$201*IF(AND(AND(46&gt;Corte,46&lt;=Corte+n_Ventana),ISNUMBER(Detalle_24m!AY$66)),Detalle_24m!AY$66,INDEX(Precio_V,25)*INDEX(IdxPrecio_V,1,MIN(10,AY$173)))*(1+V_dPrecio))</f>
        <v>0</v>
      </c>
      <c r="AZ226" s="48">
        <f>IF(AZ$8=1,IF(Reales!$C$62="PYG",IF(AZ$10&gt;0,N(Reales!AZ62)/AZ$10,0),N(Reales!AZ62)),AZ$201*IF(AND(AND(47&gt;Corte,47&lt;=Corte+n_Ventana),ISNUMBER(Detalle_24m!AZ$66)),Detalle_24m!AZ$66,INDEX(Precio_V,25)*INDEX(IdxPrecio_V,1,MIN(10,AZ$173)))*(1+V_dPrecio))</f>
        <v>0</v>
      </c>
      <c r="BA226" s="48">
        <f>IF(BA$8=1,IF(Reales!$C$62="PYG",IF(BA$10&gt;0,N(Reales!BA62)/BA$10,0),N(Reales!BA62)),BA$201*IF(AND(AND(48&gt;Corte,48&lt;=Corte+n_Ventana),ISNUMBER(Detalle_24m!BA$66)),Detalle_24m!BA$66,INDEX(Precio_V,25)*INDEX(IdxPrecio_V,1,MIN(10,BA$173)))*(1+V_dPrecio))</f>
        <v>0</v>
      </c>
      <c r="BB226" s="48">
        <f>IF(BB$8=1,IF(Reales!$C$62="PYG",IF(BB$10&gt;0,N(Reales!BB62)/BB$10,0),N(Reales!BB62)),BB$201*IF(AND(AND(49&gt;Corte,49&lt;=Corte+n_Ventana),ISNUMBER(Detalle_24m!BB$66)),Detalle_24m!BB$66,INDEX(Precio_V,25)*INDEX(IdxPrecio_V,1,MIN(10,BB$173)))*(1+V_dPrecio))</f>
        <v>0</v>
      </c>
      <c r="BC226" s="48">
        <f>IF(BC$8=1,IF(Reales!$C$62="PYG",IF(BC$10&gt;0,N(Reales!BC62)/BC$10,0),N(Reales!BC62)),BC$201*IF(AND(AND(50&gt;Corte,50&lt;=Corte+n_Ventana),ISNUMBER(Detalle_24m!BC$66)),Detalle_24m!BC$66,INDEX(Precio_V,25)*INDEX(IdxPrecio_V,1,MIN(10,BC$173)))*(1+V_dPrecio))</f>
        <v>0</v>
      </c>
      <c r="BD226" s="48">
        <f>IF(BD$8=1,IF(Reales!$C$62="PYG",IF(BD$10&gt;0,N(Reales!BD62)/BD$10,0),N(Reales!BD62)),BD$201*IF(AND(AND(51&gt;Corte,51&lt;=Corte+n_Ventana),ISNUMBER(Detalle_24m!BD$66)),Detalle_24m!BD$66,INDEX(Precio_V,25)*INDEX(IdxPrecio_V,1,MIN(10,BD$173)))*(1+V_dPrecio))</f>
        <v>0</v>
      </c>
      <c r="BE226" s="48">
        <f>IF(BE$8=1,IF(Reales!$C$62="PYG",IF(BE$10&gt;0,N(Reales!BE62)/BE$10,0),N(Reales!BE62)),BE$201*IF(AND(AND(52&gt;Corte,52&lt;=Corte+n_Ventana),ISNUMBER(Detalle_24m!BE$66)),Detalle_24m!BE$66,INDEX(Precio_V,25)*INDEX(IdxPrecio_V,1,MIN(10,BE$173)))*(1+V_dPrecio))</f>
        <v>0</v>
      </c>
      <c r="BF226" s="48">
        <f>IF(BF$8=1,IF(Reales!$C$62="PYG",IF(BF$10&gt;0,N(Reales!BF62)/BF$10,0),N(Reales!BF62)),BF$201*IF(AND(AND(53&gt;Corte,53&lt;=Corte+n_Ventana),ISNUMBER(Detalle_24m!BF$66)),Detalle_24m!BF$66,INDEX(Precio_V,25)*INDEX(IdxPrecio_V,1,MIN(10,BF$173)))*(1+V_dPrecio))</f>
        <v>0</v>
      </c>
      <c r="BG226" s="48">
        <f>IF(BG$8=1,IF(Reales!$C$62="PYG",IF(BG$10&gt;0,N(Reales!BG62)/BG$10,0),N(Reales!BG62)),BG$201*IF(AND(AND(54&gt;Corte,54&lt;=Corte+n_Ventana),ISNUMBER(Detalle_24m!BG$66)),Detalle_24m!BG$66,INDEX(Precio_V,25)*INDEX(IdxPrecio_V,1,MIN(10,BG$173)))*(1+V_dPrecio))</f>
        <v>0</v>
      </c>
      <c r="BH226" s="48">
        <f>IF(BH$8=1,IF(Reales!$C$62="PYG",IF(BH$10&gt;0,N(Reales!BH62)/BH$10,0),N(Reales!BH62)),BH$201*IF(AND(AND(55&gt;Corte,55&lt;=Corte+n_Ventana),ISNUMBER(Detalle_24m!BH$66)),Detalle_24m!BH$66,INDEX(Precio_V,25)*INDEX(IdxPrecio_V,1,MIN(10,BH$173)))*(1+V_dPrecio))</f>
        <v>0</v>
      </c>
      <c r="BI226" s="48">
        <f>IF(BI$8=1,IF(Reales!$C$62="PYG",IF(BI$10&gt;0,N(Reales!BI62)/BI$10,0),N(Reales!BI62)),BI$201*IF(AND(AND(56&gt;Corte,56&lt;=Corte+n_Ventana),ISNUMBER(Detalle_24m!BI$66)),Detalle_24m!BI$66,INDEX(Precio_V,25)*INDEX(IdxPrecio_V,1,MIN(10,BI$173)))*(1+V_dPrecio))</f>
        <v>0</v>
      </c>
      <c r="BJ226" s="48">
        <f>IF(BJ$8=1,IF(Reales!$C$62="PYG",IF(BJ$10&gt;0,N(Reales!BJ62)/BJ$10,0),N(Reales!BJ62)),BJ$201*IF(AND(AND(57&gt;Corte,57&lt;=Corte+n_Ventana),ISNUMBER(Detalle_24m!BJ$66)),Detalle_24m!BJ$66,INDEX(Precio_V,25)*INDEX(IdxPrecio_V,1,MIN(10,BJ$173)))*(1+V_dPrecio))</f>
        <v>0</v>
      </c>
      <c r="BK226" s="48">
        <f>IF(BK$8=1,IF(Reales!$C$62="PYG",IF(BK$10&gt;0,N(Reales!BK62)/BK$10,0),N(Reales!BK62)),BK$201*IF(AND(AND(58&gt;Corte,58&lt;=Corte+n_Ventana),ISNUMBER(Detalle_24m!BK$66)),Detalle_24m!BK$66,INDEX(Precio_V,25)*INDEX(IdxPrecio_V,1,MIN(10,BK$173)))*(1+V_dPrecio))</f>
        <v>0</v>
      </c>
      <c r="BL226" s="48">
        <f>IF(BL$8=1,IF(Reales!$C$62="PYG",IF(BL$10&gt;0,N(Reales!BL62)/BL$10,0),N(Reales!BL62)),BL$201*IF(AND(AND(59&gt;Corte,59&lt;=Corte+n_Ventana),ISNUMBER(Detalle_24m!BL$66)),Detalle_24m!BL$66,INDEX(Precio_V,25)*INDEX(IdxPrecio_V,1,MIN(10,BL$173)))*(1+V_dPrecio))</f>
        <v>0</v>
      </c>
      <c r="BM226" s="48">
        <f>IF(BM$8=1,IF(Reales!$C$62="PYG",IF(BM$10&gt;0,N(Reales!BM62)/BM$10,0),N(Reales!BM62)),BM$201*IF(AND(AND(60&gt;Corte,60&lt;=Corte+n_Ventana),ISNUMBER(Detalle_24m!BM$66)),Detalle_24m!BM$66,INDEX(Precio_V,25)*INDEX(IdxPrecio_V,1,MIN(10,BM$173)))*(1+V_dPrecio))</f>
        <v>0</v>
      </c>
      <c r="BN226" s="48">
        <f>IF(BN$8=1,IF(Reales!$C$62="PYG",IF(BN$10&gt;0,N(Reales!BN62)/BN$10,0),N(Reales!BN62)),BN$201*IF(AND(AND(61&gt;Corte,61&lt;=Corte+n_Ventana),ISNUMBER(Detalle_24m!BN$66)),Detalle_24m!BN$66,INDEX(Precio_V,25)*INDEX(IdxPrecio_V,1,MIN(10,BN$173)))*(1+V_dPrecio))</f>
        <v>0</v>
      </c>
      <c r="BO226" s="48">
        <f>IF(BO$8=1,IF(Reales!$C$62="PYG",IF(BO$10&gt;0,N(Reales!BO62)/BO$10,0),N(Reales!BO62)),BO$201*IF(AND(AND(62&gt;Corte,62&lt;=Corte+n_Ventana),ISNUMBER(Detalle_24m!BO$66)),Detalle_24m!BO$66,INDEX(Precio_V,25)*INDEX(IdxPrecio_V,1,MIN(10,BO$173)))*(1+V_dPrecio))</f>
        <v>0</v>
      </c>
      <c r="BP226" s="48">
        <f>IF(BP$8=1,IF(Reales!$C$62="PYG",IF(BP$10&gt;0,N(Reales!BP62)/BP$10,0),N(Reales!BP62)),BP$201*IF(AND(AND(63&gt;Corte,63&lt;=Corte+n_Ventana),ISNUMBER(Detalle_24m!BP$66)),Detalle_24m!BP$66,INDEX(Precio_V,25)*INDEX(IdxPrecio_V,1,MIN(10,BP$173)))*(1+V_dPrecio))</f>
        <v>0</v>
      </c>
      <c r="BQ226" s="48">
        <f>IF(BQ$8=1,IF(Reales!$C$62="PYG",IF(BQ$10&gt;0,N(Reales!BQ62)/BQ$10,0),N(Reales!BQ62)),BQ$201*IF(AND(AND(64&gt;Corte,64&lt;=Corte+n_Ventana),ISNUMBER(Detalle_24m!BQ$66)),Detalle_24m!BQ$66,INDEX(Precio_V,25)*INDEX(IdxPrecio_V,1,MIN(10,BQ$173)))*(1+V_dPrecio))</f>
        <v>0</v>
      </c>
      <c r="BR226" s="48">
        <f>IF(BR$8=1,IF(Reales!$C$62="PYG",IF(BR$10&gt;0,N(Reales!BR62)/BR$10,0),N(Reales!BR62)),BR$201*IF(AND(AND(65&gt;Corte,65&lt;=Corte+n_Ventana),ISNUMBER(Detalle_24m!BR$66)),Detalle_24m!BR$66,INDEX(Precio_V,25)*INDEX(IdxPrecio_V,1,MIN(10,BR$173)))*(1+V_dPrecio))</f>
        <v>0</v>
      </c>
      <c r="BS226" s="48">
        <f>IF(BS$8=1,IF(Reales!$C$62="PYG",IF(BS$10&gt;0,N(Reales!BS62)/BS$10,0),N(Reales!BS62)),BS$201*IF(AND(AND(66&gt;Corte,66&lt;=Corte+n_Ventana),ISNUMBER(Detalle_24m!BS$66)),Detalle_24m!BS$66,INDEX(Precio_V,25)*INDEX(IdxPrecio_V,1,MIN(10,BS$173)))*(1+V_dPrecio))</f>
        <v>0</v>
      </c>
      <c r="BT226" s="48">
        <f>IF(BT$8=1,IF(Reales!$C$62="PYG",IF(BT$10&gt;0,N(Reales!BT62)/BT$10,0),N(Reales!BT62)),BT$201*IF(AND(AND(67&gt;Corte,67&lt;=Corte+n_Ventana),ISNUMBER(Detalle_24m!BT$66)),Detalle_24m!BT$66,INDEX(Precio_V,25)*INDEX(IdxPrecio_V,1,MIN(10,BT$173)))*(1+V_dPrecio))</f>
        <v>0</v>
      </c>
      <c r="BU226" s="48">
        <f>IF(BU$8=1,IF(Reales!$C$62="PYG",IF(BU$10&gt;0,N(Reales!BU62)/BU$10,0),N(Reales!BU62)),BU$201*IF(AND(AND(68&gt;Corte,68&lt;=Corte+n_Ventana),ISNUMBER(Detalle_24m!BU$66)),Detalle_24m!BU$66,INDEX(Precio_V,25)*INDEX(IdxPrecio_V,1,MIN(10,BU$173)))*(1+V_dPrecio))</f>
        <v>0</v>
      </c>
      <c r="BV226" s="48">
        <f>IF(BV$8=1,IF(Reales!$C$62="PYG",IF(BV$10&gt;0,N(Reales!BV62)/BV$10,0),N(Reales!BV62)),BV$201*IF(AND(AND(69&gt;Corte,69&lt;=Corte+n_Ventana),ISNUMBER(Detalle_24m!BV$66)),Detalle_24m!BV$66,INDEX(Precio_V,25)*INDEX(IdxPrecio_V,1,MIN(10,BV$173)))*(1+V_dPrecio))</f>
        <v>0</v>
      </c>
      <c r="BW226" s="48">
        <f>IF(BW$8=1,IF(Reales!$C$62="PYG",IF(BW$10&gt;0,N(Reales!BW62)/BW$10,0),N(Reales!BW62)),BW$201*IF(AND(AND(70&gt;Corte,70&lt;=Corte+n_Ventana),ISNUMBER(Detalle_24m!BW$66)),Detalle_24m!BW$66,INDEX(Precio_V,25)*INDEX(IdxPrecio_V,1,MIN(10,BW$173)))*(1+V_dPrecio))</f>
        <v>0</v>
      </c>
      <c r="BX226" s="48">
        <f>IF(BX$8=1,IF(Reales!$C$62="PYG",IF(BX$10&gt;0,N(Reales!BX62)/BX$10,0),N(Reales!BX62)),BX$201*IF(AND(AND(71&gt;Corte,71&lt;=Corte+n_Ventana),ISNUMBER(Detalle_24m!BX$66)),Detalle_24m!BX$66,INDEX(Precio_V,25)*INDEX(IdxPrecio_V,1,MIN(10,BX$173)))*(1+V_dPrecio))</f>
        <v>0</v>
      </c>
      <c r="BY226" s="48">
        <f>IF(BY$8=1,IF(Reales!$C$62="PYG",IF(BY$10&gt;0,N(Reales!BY62)/BY$10,0),N(Reales!BY62)),BY$201*IF(AND(AND(72&gt;Corte,72&lt;=Corte+n_Ventana),ISNUMBER(Detalle_24m!BY$66)),Detalle_24m!BY$66,INDEX(Precio_V,25)*INDEX(IdxPrecio_V,1,MIN(10,BY$173)))*(1+V_dPrecio))</f>
        <v>0</v>
      </c>
      <c r="BZ226" s="48">
        <f>IF(BZ$8=1,IF(Reales!$C$62="PYG",IF(BZ$10&gt;0,N(Reales!BZ62)/BZ$10,0),N(Reales!BZ62)),BZ$201*IF(AND(AND(73&gt;Corte,73&lt;=Corte+n_Ventana),ISNUMBER(Detalle_24m!BZ$66)),Detalle_24m!BZ$66,INDEX(Precio_V,25)*INDEX(IdxPrecio_V,1,MIN(10,BZ$173)))*(1+V_dPrecio))</f>
        <v>0</v>
      </c>
      <c r="CA226" s="48">
        <f>IF(CA$8=1,IF(Reales!$C$62="PYG",IF(CA$10&gt;0,N(Reales!CA62)/CA$10,0),N(Reales!CA62)),CA$201*IF(AND(AND(74&gt;Corte,74&lt;=Corte+n_Ventana),ISNUMBER(Detalle_24m!CA$66)),Detalle_24m!CA$66,INDEX(Precio_V,25)*INDEX(IdxPrecio_V,1,MIN(10,CA$173)))*(1+V_dPrecio))</f>
        <v>0</v>
      </c>
      <c r="CB226" s="48">
        <f>IF(CB$8=1,IF(Reales!$C$62="PYG",IF(CB$10&gt;0,N(Reales!CB62)/CB$10,0),N(Reales!CB62)),CB$201*IF(AND(AND(75&gt;Corte,75&lt;=Corte+n_Ventana),ISNUMBER(Detalle_24m!CB$66)),Detalle_24m!CB$66,INDEX(Precio_V,25)*INDEX(IdxPrecio_V,1,MIN(10,CB$173)))*(1+V_dPrecio))</f>
        <v>0</v>
      </c>
      <c r="CC226" s="48">
        <f>IF(CC$8=1,IF(Reales!$C$62="PYG",IF(CC$10&gt;0,N(Reales!CC62)/CC$10,0),N(Reales!CC62)),CC$201*IF(AND(AND(76&gt;Corte,76&lt;=Corte+n_Ventana),ISNUMBER(Detalle_24m!CC$66)),Detalle_24m!CC$66,INDEX(Precio_V,25)*INDEX(IdxPrecio_V,1,MIN(10,CC$173)))*(1+V_dPrecio))</f>
        <v>0</v>
      </c>
      <c r="CD226" s="48">
        <f>IF(CD$8=1,IF(Reales!$C$62="PYG",IF(CD$10&gt;0,N(Reales!CD62)/CD$10,0),N(Reales!CD62)),CD$201*IF(AND(AND(77&gt;Corte,77&lt;=Corte+n_Ventana),ISNUMBER(Detalle_24m!CD$66)),Detalle_24m!CD$66,INDEX(Precio_V,25)*INDEX(IdxPrecio_V,1,MIN(10,CD$173)))*(1+V_dPrecio))</f>
        <v>0</v>
      </c>
      <c r="CE226" s="48">
        <f>IF(CE$8=1,IF(Reales!$C$62="PYG",IF(CE$10&gt;0,N(Reales!CE62)/CE$10,0),N(Reales!CE62)),CE$201*IF(AND(AND(78&gt;Corte,78&lt;=Corte+n_Ventana),ISNUMBER(Detalle_24m!CE$66)),Detalle_24m!CE$66,INDEX(Precio_V,25)*INDEX(IdxPrecio_V,1,MIN(10,CE$173)))*(1+V_dPrecio))</f>
        <v>0</v>
      </c>
      <c r="CF226" s="48">
        <f>IF(CF$8=1,IF(Reales!$C$62="PYG",IF(CF$10&gt;0,N(Reales!CF62)/CF$10,0),N(Reales!CF62)),CF$201*IF(AND(AND(79&gt;Corte,79&lt;=Corte+n_Ventana),ISNUMBER(Detalle_24m!CF$66)),Detalle_24m!CF$66,INDEX(Precio_V,25)*INDEX(IdxPrecio_V,1,MIN(10,CF$173)))*(1+V_dPrecio))</f>
        <v>0</v>
      </c>
      <c r="CG226" s="48">
        <f>IF(CG$8=1,IF(Reales!$C$62="PYG",IF(CG$10&gt;0,N(Reales!CG62)/CG$10,0),N(Reales!CG62)),CG$201*IF(AND(AND(80&gt;Corte,80&lt;=Corte+n_Ventana),ISNUMBER(Detalle_24m!CG$66)),Detalle_24m!CG$66,INDEX(Precio_V,25)*INDEX(IdxPrecio_V,1,MIN(10,CG$173)))*(1+V_dPrecio))</f>
        <v>0</v>
      </c>
      <c r="CH226" s="48">
        <f>IF(CH$8=1,IF(Reales!$C$62="PYG",IF(CH$10&gt;0,N(Reales!CH62)/CH$10,0),N(Reales!CH62)),CH$201*IF(AND(AND(81&gt;Corte,81&lt;=Corte+n_Ventana),ISNUMBER(Detalle_24m!CH$66)),Detalle_24m!CH$66,INDEX(Precio_V,25)*INDEX(IdxPrecio_V,1,MIN(10,CH$173)))*(1+V_dPrecio))</f>
        <v>0</v>
      </c>
      <c r="CI226" s="48">
        <f>IF(CI$8=1,IF(Reales!$C$62="PYG",IF(CI$10&gt;0,N(Reales!CI62)/CI$10,0),N(Reales!CI62)),CI$201*IF(AND(AND(82&gt;Corte,82&lt;=Corte+n_Ventana),ISNUMBER(Detalle_24m!CI$66)),Detalle_24m!CI$66,INDEX(Precio_V,25)*INDEX(IdxPrecio_V,1,MIN(10,CI$173)))*(1+V_dPrecio))</f>
        <v>0</v>
      </c>
      <c r="CJ226" s="48">
        <f>IF(CJ$8=1,IF(Reales!$C$62="PYG",IF(CJ$10&gt;0,N(Reales!CJ62)/CJ$10,0),N(Reales!CJ62)),CJ$201*IF(AND(AND(83&gt;Corte,83&lt;=Corte+n_Ventana),ISNUMBER(Detalle_24m!CJ$66)),Detalle_24m!CJ$66,INDEX(Precio_V,25)*INDEX(IdxPrecio_V,1,MIN(10,CJ$173)))*(1+V_dPrecio))</f>
        <v>0</v>
      </c>
      <c r="CK226" s="48">
        <f>IF(CK$8=1,IF(Reales!$C$62="PYG",IF(CK$10&gt;0,N(Reales!CK62)/CK$10,0),N(Reales!CK62)),CK$201*IF(AND(AND(84&gt;Corte,84&lt;=Corte+n_Ventana),ISNUMBER(Detalle_24m!CK$66)),Detalle_24m!CK$66,INDEX(Precio_V,25)*INDEX(IdxPrecio_V,1,MIN(10,CK$173)))*(1+V_dPrecio))</f>
        <v>0</v>
      </c>
      <c r="CL226" s="48">
        <f>IF(CL$8=1,IF(Reales!$C$62="PYG",IF(CL$10&gt;0,N(Reales!CL62)/CL$10,0),N(Reales!CL62)),CL$201*IF(AND(AND(85&gt;Corte,85&lt;=Corte+n_Ventana),ISNUMBER(Detalle_24m!CL$66)),Detalle_24m!CL$66,INDEX(Precio_V,25)*INDEX(IdxPrecio_V,1,MIN(10,CL$173)))*(1+V_dPrecio))</f>
        <v>0</v>
      </c>
      <c r="CM226" s="48">
        <f>IF(CM$8=1,IF(Reales!$C$62="PYG",IF(CM$10&gt;0,N(Reales!CM62)/CM$10,0),N(Reales!CM62)),CM$201*IF(AND(AND(86&gt;Corte,86&lt;=Corte+n_Ventana),ISNUMBER(Detalle_24m!CM$66)),Detalle_24m!CM$66,INDEX(Precio_V,25)*INDEX(IdxPrecio_V,1,MIN(10,CM$173)))*(1+V_dPrecio))</f>
        <v>0</v>
      </c>
      <c r="CN226" s="48">
        <f>IF(CN$8=1,IF(Reales!$C$62="PYG",IF(CN$10&gt;0,N(Reales!CN62)/CN$10,0),N(Reales!CN62)),CN$201*IF(AND(AND(87&gt;Corte,87&lt;=Corte+n_Ventana),ISNUMBER(Detalle_24m!CN$66)),Detalle_24m!CN$66,INDEX(Precio_V,25)*INDEX(IdxPrecio_V,1,MIN(10,CN$173)))*(1+V_dPrecio))</f>
        <v>0</v>
      </c>
      <c r="CO226" s="48">
        <f>IF(CO$8=1,IF(Reales!$C$62="PYG",IF(CO$10&gt;0,N(Reales!CO62)/CO$10,0),N(Reales!CO62)),CO$201*IF(AND(AND(88&gt;Corte,88&lt;=Corte+n_Ventana),ISNUMBER(Detalle_24m!CO$66)),Detalle_24m!CO$66,INDEX(Precio_V,25)*INDEX(IdxPrecio_V,1,MIN(10,CO$173)))*(1+V_dPrecio))</f>
        <v>0</v>
      </c>
      <c r="CP226" s="48">
        <f>IF(CP$8=1,IF(Reales!$C$62="PYG",IF(CP$10&gt;0,N(Reales!CP62)/CP$10,0),N(Reales!CP62)),CP$201*IF(AND(AND(89&gt;Corte,89&lt;=Corte+n_Ventana),ISNUMBER(Detalle_24m!CP$66)),Detalle_24m!CP$66,INDEX(Precio_V,25)*INDEX(IdxPrecio_V,1,MIN(10,CP$173)))*(1+V_dPrecio))</f>
        <v>0</v>
      </c>
      <c r="CQ226" s="48">
        <f>IF(CQ$8=1,IF(Reales!$C$62="PYG",IF(CQ$10&gt;0,N(Reales!CQ62)/CQ$10,0),N(Reales!CQ62)),CQ$201*IF(AND(AND(90&gt;Corte,90&lt;=Corte+n_Ventana),ISNUMBER(Detalle_24m!CQ$66)),Detalle_24m!CQ$66,INDEX(Precio_V,25)*INDEX(IdxPrecio_V,1,MIN(10,CQ$173)))*(1+V_dPrecio))</f>
        <v>0</v>
      </c>
      <c r="CR226" s="48">
        <f>IF(CR$8=1,IF(Reales!$C$62="PYG",IF(CR$10&gt;0,N(Reales!CR62)/CR$10,0),N(Reales!CR62)),CR$201*IF(AND(AND(91&gt;Corte,91&lt;=Corte+n_Ventana),ISNUMBER(Detalle_24m!CR$66)),Detalle_24m!CR$66,INDEX(Precio_V,25)*INDEX(IdxPrecio_V,1,MIN(10,CR$173)))*(1+V_dPrecio))</f>
        <v>0</v>
      </c>
      <c r="CS226" s="48">
        <f>IF(CS$8=1,IF(Reales!$C$62="PYG",IF(CS$10&gt;0,N(Reales!CS62)/CS$10,0),N(Reales!CS62)),CS$201*IF(AND(AND(92&gt;Corte,92&lt;=Corte+n_Ventana),ISNUMBER(Detalle_24m!CS$66)),Detalle_24m!CS$66,INDEX(Precio_V,25)*INDEX(IdxPrecio_V,1,MIN(10,CS$173)))*(1+V_dPrecio))</f>
        <v>0</v>
      </c>
      <c r="CT226" s="48">
        <f>IF(CT$8=1,IF(Reales!$C$62="PYG",IF(CT$10&gt;0,N(Reales!CT62)/CT$10,0),N(Reales!CT62)),CT$201*IF(AND(AND(93&gt;Corte,93&lt;=Corte+n_Ventana),ISNUMBER(Detalle_24m!CT$66)),Detalle_24m!CT$66,INDEX(Precio_V,25)*INDEX(IdxPrecio_V,1,MIN(10,CT$173)))*(1+V_dPrecio))</f>
        <v>0</v>
      </c>
      <c r="CU226" s="48">
        <f>IF(CU$8=1,IF(Reales!$C$62="PYG",IF(CU$10&gt;0,N(Reales!CU62)/CU$10,0),N(Reales!CU62)),CU$201*IF(AND(AND(94&gt;Corte,94&lt;=Corte+n_Ventana),ISNUMBER(Detalle_24m!CU$66)),Detalle_24m!CU$66,INDEX(Precio_V,25)*INDEX(IdxPrecio_V,1,MIN(10,CU$173)))*(1+V_dPrecio))</f>
        <v>0</v>
      </c>
      <c r="CV226" s="48">
        <f>IF(CV$8=1,IF(Reales!$C$62="PYG",IF(CV$10&gt;0,N(Reales!CV62)/CV$10,0),N(Reales!CV62)),CV$201*IF(AND(AND(95&gt;Corte,95&lt;=Corte+n_Ventana),ISNUMBER(Detalle_24m!CV$66)),Detalle_24m!CV$66,INDEX(Precio_V,25)*INDEX(IdxPrecio_V,1,MIN(10,CV$173)))*(1+V_dPrecio))</f>
        <v>0</v>
      </c>
      <c r="CW226" s="48">
        <f>IF(CW$8=1,IF(Reales!$C$62="PYG",IF(CW$10&gt;0,N(Reales!CW62)/CW$10,0),N(Reales!CW62)),CW$201*IF(AND(AND(96&gt;Corte,96&lt;=Corte+n_Ventana),ISNUMBER(Detalle_24m!CW$66)),Detalle_24m!CW$66,INDEX(Precio_V,25)*INDEX(IdxPrecio_V,1,MIN(10,CW$173)))*(1+V_dPrecio))</f>
        <v>0</v>
      </c>
      <c r="CX226" s="48">
        <f>IF(CX$8=1,IF(Reales!$C$62="PYG",IF(CX$10&gt;0,N(Reales!CX62)/CX$10,0),N(Reales!CX62)),CX$201*IF(AND(AND(97&gt;Corte,97&lt;=Corte+n_Ventana),ISNUMBER(Detalle_24m!CX$66)),Detalle_24m!CX$66,INDEX(Precio_V,25)*INDEX(IdxPrecio_V,1,MIN(10,CX$173)))*(1+V_dPrecio))</f>
        <v>0</v>
      </c>
      <c r="CY226" s="48">
        <f>IF(CY$8=1,IF(Reales!$C$62="PYG",IF(CY$10&gt;0,N(Reales!CY62)/CY$10,0),N(Reales!CY62)),CY$201*IF(AND(AND(98&gt;Corte,98&lt;=Corte+n_Ventana),ISNUMBER(Detalle_24m!CY$66)),Detalle_24m!CY$66,INDEX(Precio_V,25)*INDEX(IdxPrecio_V,1,MIN(10,CY$173)))*(1+V_dPrecio))</f>
        <v>0</v>
      </c>
      <c r="CZ226" s="48">
        <f>IF(CZ$8=1,IF(Reales!$C$62="PYG",IF(CZ$10&gt;0,N(Reales!CZ62)/CZ$10,0),N(Reales!CZ62)),CZ$201*IF(AND(AND(99&gt;Corte,99&lt;=Corte+n_Ventana),ISNUMBER(Detalle_24m!CZ$66)),Detalle_24m!CZ$66,INDEX(Precio_V,25)*INDEX(IdxPrecio_V,1,MIN(10,CZ$173)))*(1+V_dPrecio))</f>
        <v>0</v>
      </c>
      <c r="DA226" s="48">
        <f>IF(DA$8=1,IF(Reales!$C$62="PYG",IF(DA$10&gt;0,N(Reales!DA62)/DA$10,0),N(Reales!DA62)),DA$201*IF(AND(AND(100&gt;Corte,100&lt;=Corte+n_Ventana),ISNUMBER(Detalle_24m!DA$66)),Detalle_24m!DA$66,INDEX(Precio_V,25)*INDEX(IdxPrecio_V,1,MIN(10,DA$173)))*(1+V_dPrecio))</f>
        <v>0</v>
      </c>
      <c r="DB226" s="48">
        <f>IF(DB$8=1,IF(Reales!$C$62="PYG",IF(DB$10&gt;0,N(Reales!DB62)/DB$10,0),N(Reales!DB62)),DB$201*IF(AND(AND(101&gt;Corte,101&lt;=Corte+n_Ventana),ISNUMBER(Detalle_24m!DB$66)),Detalle_24m!DB$66,INDEX(Precio_V,25)*INDEX(IdxPrecio_V,1,MIN(10,DB$173)))*(1+V_dPrecio))</f>
        <v>0</v>
      </c>
      <c r="DC226" s="48">
        <f>IF(DC$8=1,IF(Reales!$C$62="PYG",IF(DC$10&gt;0,N(Reales!DC62)/DC$10,0),N(Reales!DC62)),DC$201*IF(AND(AND(102&gt;Corte,102&lt;=Corte+n_Ventana),ISNUMBER(Detalle_24m!DC$66)),Detalle_24m!DC$66,INDEX(Precio_V,25)*INDEX(IdxPrecio_V,1,MIN(10,DC$173)))*(1+V_dPrecio))</f>
        <v>0</v>
      </c>
      <c r="DD226" s="48">
        <f>IF(DD$8=1,IF(Reales!$C$62="PYG",IF(DD$10&gt;0,N(Reales!DD62)/DD$10,0),N(Reales!DD62)),DD$201*IF(AND(AND(103&gt;Corte,103&lt;=Corte+n_Ventana),ISNUMBER(Detalle_24m!DD$66)),Detalle_24m!DD$66,INDEX(Precio_V,25)*INDEX(IdxPrecio_V,1,MIN(10,DD$173)))*(1+V_dPrecio))</f>
        <v>0</v>
      </c>
      <c r="DE226" s="48">
        <f>IF(DE$8=1,IF(Reales!$C$62="PYG",IF(DE$10&gt;0,N(Reales!DE62)/DE$10,0),N(Reales!DE62)),DE$201*IF(AND(AND(104&gt;Corte,104&lt;=Corte+n_Ventana),ISNUMBER(Detalle_24m!DE$66)),Detalle_24m!DE$66,INDEX(Precio_V,25)*INDEX(IdxPrecio_V,1,MIN(10,DE$173)))*(1+V_dPrecio))</f>
        <v>0</v>
      </c>
      <c r="DF226" s="48">
        <f>IF(DF$8=1,IF(Reales!$C$62="PYG",IF(DF$10&gt;0,N(Reales!DF62)/DF$10,0),N(Reales!DF62)),DF$201*IF(AND(AND(105&gt;Corte,105&lt;=Corte+n_Ventana),ISNUMBER(Detalle_24m!DF$66)),Detalle_24m!DF$66,INDEX(Precio_V,25)*INDEX(IdxPrecio_V,1,MIN(10,DF$173)))*(1+V_dPrecio))</f>
        <v>0</v>
      </c>
      <c r="DG226" s="48">
        <f>IF(DG$8=1,IF(Reales!$C$62="PYG",IF(DG$10&gt;0,N(Reales!DG62)/DG$10,0),N(Reales!DG62)),DG$201*IF(AND(AND(106&gt;Corte,106&lt;=Corte+n_Ventana),ISNUMBER(Detalle_24m!DG$66)),Detalle_24m!DG$66,INDEX(Precio_V,25)*INDEX(IdxPrecio_V,1,MIN(10,DG$173)))*(1+V_dPrecio))</f>
        <v>0</v>
      </c>
      <c r="DH226" s="48">
        <f>IF(DH$8=1,IF(Reales!$C$62="PYG",IF(DH$10&gt;0,N(Reales!DH62)/DH$10,0),N(Reales!DH62)),DH$201*IF(AND(AND(107&gt;Corte,107&lt;=Corte+n_Ventana),ISNUMBER(Detalle_24m!DH$66)),Detalle_24m!DH$66,INDEX(Precio_V,25)*INDEX(IdxPrecio_V,1,MIN(10,DH$173)))*(1+V_dPrecio))</f>
        <v>0</v>
      </c>
      <c r="DI226" s="48">
        <f>IF(DI$8=1,IF(Reales!$C$62="PYG",IF(DI$10&gt;0,N(Reales!DI62)/DI$10,0),N(Reales!DI62)),DI$201*IF(AND(AND(108&gt;Corte,108&lt;=Corte+n_Ventana),ISNUMBER(Detalle_24m!DI$66)),Detalle_24m!DI$66,INDEX(Precio_V,25)*INDEX(IdxPrecio_V,1,MIN(10,DI$173)))*(1+V_dPrecio))</f>
        <v>0</v>
      </c>
      <c r="DJ226" s="48">
        <f>IF(DJ$8=1,IF(Reales!$C$62="PYG",IF(DJ$10&gt;0,N(Reales!DJ62)/DJ$10,0),N(Reales!DJ62)),DJ$201*IF(AND(AND(109&gt;Corte,109&lt;=Corte+n_Ventana),ISNUMBER(Detalle_24m!DJ$66)),Detalle_24m!DJ$66,INDEX(Precio_V,25)*INDEX(IdxPrecio_V,1,MIN(10,DJ$173)))*(1+V_dPrecio))</f>
        <v>0</v>
      </c>
      <c r="DK226" s="48">
        <f>IF(DK$8=1,IF(Reales!$C$62="PYG",IF(DK$10&gt;0,N(Reales!DK62)/DK$10,0),N(Reales!DK62)),DK$201*IF(AND(AND(110&gt;Corte,110&lt;=Corte+n_Ventana),ISNUMBER(Detalle_24m!DK$66)),Detalle_24m!DK$66,INDEX(Precio_V,25)*INDEX(IdxPrecio_V,1,MIN(10,DK$173)))*(1+V_dPrecio))</f>
        <v>0</v>
      </c>
      <c r="DL226" s="48">
        <f>IF(DL$8=1,IF(Reales!$C$62="PYG",IF(DL$10&gt;0,N(Reales!DL62)/DL$10,0),N(Reales!DL62)),DL$201*IF(AND(AND(111&gt;Corte,111&lt;=Corte+n_Ventana),ISNUMBER(Detalle_24m!DL$66)),Detalle_24m!DL$66,INDEX(Precio_V,25)*INDEX(IdxPrecio_V,1,MIN(10,DL$173)))*(1+V_dPrecio))</f>
        <v>0</v>
      </c>
      <c r="DM226" s="48">
        <f>IF(DM$8=1,IF(Reales!$C$62="PYG",IF(DM$10&gt;0,N(Reales!DM62)/DM$10,0),N(Reales!DM62)),DM$201*IF(AND(AND(112&gt;Corte,112&lt;=Corte+n_Ventana),ISNUMBER(Detalle_24m!DM$66)),Detalle_24m!DM$66,INDEX(Precio_V,25)*INDEX(IdxPrecio_V,1,MIN(10,DM$173)))*(1+V_dPrecio))</f>
        <v>0</v>
      </c>
      <c r="DN226" s="48">
        <f>IF(DN$8=1,IF(Reales!$C$62="PYG",IF(DN$10&gt;0,N(Reales!DN62)/DN$10,0),N(Reales!DN62)),DN$201*IF(AND(AND(113&gt;Corte,113&lt;=Corte+n_Ventana),ISNUMBER(Detalle_24m!DN$66)),Detalle_24m!DN$66,INDEX(Precio_V,25)*INDEX(IdxPrecio_V,1,MIN(10,DN$173)))*(1+V_dPrecio))</f>
        <v>0</v>
      </c>
      <c r="DO226" s="48">
        <f>IF(DO$8=1,IF(Reales!$C$62="PYG",IF(DO$10&gt;0,N(Reales!DO62)/DO$10,0),N(Reales!DO62)),DO$201*IF(AND(AND(114&gt;Corte,114&lt;=Corte+n_Ventana),ISNUMBER(Detalle_24m!DO$66)),Detalle_24m!DO$66,INDEX(Precio_V,25)*INDEX(IdxPrecio_V,1,MIN(10,DO$173)))*(1+V_dPrecio))</f>
        <v>0</v>
      </c>
      <c r="DP226" s="48">
        <f>IF(DP$8=1,IF(Reales!$C$62="PYG",IF(DP$10&gt;0,N(Reales!DP62)/DP$10,0),N(Reales!DP62)),DP$201*IF(AND(AND(115&gt;Corte,115&lt;=Corte+n_Ventana),ISNUMBER(Detalle_24m!DP$66)),Detalle_24m!DP$66,INDEX(Precio_V,25)*INDEX(IdxPrecio_V,1,MIN(10,DP$173)))*(1+V_dPrecio))</f>
        <v>0</v>
      </c>
      <c r="DQ226" s="48">
        <f>IF(DQ$8=1,IF(Reales!$C$62="PYG",IF(DQ$10&gt;0,N(Reales!DQ62)/DQ$10,0),N(Reales!DQ62)),DQ$201*IF(AND(AND(116&gt;Corte,116&lt;=Corte+n_Ventana),ISNUMBER(Detalle_24m!DQ$66)),Detalle_24m!DQ$66,INDEX(Precio_V,25)*INDEX(IdxPrecio_V,1,MIN(10,DQ$173)))*(1+V_dPrecio))</f>
        <v>0</v>
      </c>
      <c r="DR226" s="48">
        <f>IF(DR$8=1,IF(Reales!$C$62="PYG",IF(DR$10&gt;0,N(Reales!DR62)/DR$10,0),N(Reales!DR62)),DR$201*IF(AND(AND(117&gt;Corte,117&lt;=Corte+n_Ventana),ISNUMBER(Detalle_24m!DR$66)),Detalle_24m!DR$66,INDEX(Precio_V,25)*INDEX(IdxPrecio_V,1,MIN(10,DR$173)))*(1+V_dPrecio))</f>
        <v>0</v>
      </c>
      <c r="DS226" s="48">
        <f>IF(DS$8=1,IF(Reales!$C$62="PYG",IF(DS$10&gt;0,N(Reales!DS62)/DS$10,0),N(Reales!DS62)),DS$201*IF(AND(AND(118&gt;Corte,118&lt;=Corte+n_Ventana),ISNUMBER(Detalle_24m!DS$66)),Detalle_24m!DS$66,INDEX(Precio_V,25)*INDEX(IdxPrecio_V,1,MIN(10,DS$173)))*(1+V_dPrecio))</f>
        <v>0</v>
      </c>
      <c r="DT226" s="48">
        <f>IF(DT$8=1,IF(Reales!$C$62="PYG",IF(DT$10&gt;0,N(Reales!DT62)/DT$10,0),N(Reales!DT62)),DT$201*IF(AND(AND(119&gt;Corte,119&lt;=Corte+n_Ventana),ISNUMBER(Detalle_24m!DT$66)),Detalle_24m!DT$66,INDEX(Precio_V,25)*INDEX(IdxPrecio_V,1,MIN(10,DT$173)))*(1+V_dPrecio))</f>
        <v>0</v>
      </c>
      <c r="DU226" s="48">
        <f>IF(DU$8=1,IF(Reales!$C$62="PYG",IF(DU$10&gt;0,N(Reales!DU62)/DU$10,0),N(Reales!DU62)),DU$201*IF(AND(AND(120&gt;Corte,120&lt;=Corte+n_Ventana),ISNUMBER(Detalle_24m!DU$66)),Detalle_24m!DU$66,INDEX(Precio_V,25)*INDEX(IdxPrecio_V,1,MIN(10,DU$173)))*(1+V_dPrecio))</f>
        <v>0</v>
      </c>
      <c r="DV226" s="48">
        <f>IF(DV$8=1,IF(Reales!$C$62="PYG",IF(DV$10&gt;0,N(Reales!DV62)/DV$10,0),N(Reales!DV62)),DV$201*IF(AND(AND(121&gt;Corte,121&lt;=Corte+n_Ventana),ISNUMBER(Detalle_24m!DV$66)),Detalle_24m!DV$66,INDEX(Precio_V,25)*INDEX(IdxPrecio_V,1,MIN(10,DV$173)))*(1+V_dPrecio))</f>
        <v>0</v>
      </c>
      <c r="DW226" s="48">
        <f>IF(DW$8=1,IF(Reales!$C$62="PYG",IF(DW$10&gt;0,N(Reales!DW62)/DW$10,0),N(Reales!DW62)),DW$201*IF(AND(AND(122&gt;Corte,122&lt;=Corte+n_Ventana),ISNUMBER(Detalle_24m!DW$66)),Detalle_24m!DW$66,INDEX(Precio_V,25)*INDEX(IdxPrecio_V,1,MIN(10,DW$173)))*(1+V_dPrecio))</f>
        <v>0</v>
      </c>
      <c r="DX226" s="48">
        <f>IF(DX$8=1,IF(Reales!$C$62="PYG",IF(DX$10&gt;0,N(Reales!DX62)/DX$10,0),N(Reales!DX62)),DX$201*IF(AND(AND(123&gt;Corte,123&lt;=Corte+n_Ventana),ISNUMBER(Detalle_24m!DX$66)),Detalle_24m!DX$66,INDEX(Precio_V,25)*INDEX(IdxPrecio_V,1,MIN(10,DX$173)))*(1+V_dPrecio))</f>
        <v>0</v>
      </c>
      <c r="DY226" s="48">
        <f>IF(DY$8=1,IF(Reales!$C$62="PYG",IF(DY$10&gt;0,N(Reales!DY62)/DY$10,0),N(Reales!DY62)),DY$201*IF(AND(AND(124&gt;Corte,124&lt;=Corte+n_Ventana),ISNUMBER(Detalle_24m!DY$66)),Detalle_24m!DY$66,INDEX(Precio_V,25)*INDEX(IdxPrecio_V,1,MIN(10,DY$173)))*(1+V_dPrecio))</f>
        <v>0</v>
      </c>
      <c r="DZ226" s="48">
        <f>IF(DZ$8=1,IF(Reales!$C$62="PYG",IF(DZ$10&gt;0,N(Reales!DZ62)/DZ$10,0),N(Reales!DZ62)),DZ$201*IF(AND(AND(125&gt;Corte,125&lt;=Corte+n_Ventana),ISNUMBER(Detalle_24m!DZ$66)),Detalle_24m!DZ$66,INDEX(Precio_V,25)*INDEX(IdxPrecio_V,1,MIN(10,DZ$173)))*(1+V_dPrecio))</f>
        <v>0</v>
      </c>
      <c r="EA226" s="48">
        <f>IF(EA$8=1,IF(Reales!$C$62="PYG",IF(EA$10&gt;0,N(Reales!EA62)/EA$10,0),N(Reales!EA62)),EA$201*IF(AND(AND(126&gt;Corte,126&lt;=Corte+n_Ventana),ISNUMBER(Detalle_24m!EA$66)),Detalle_24m!EA$66,INDEX(Precio_V,25)*INDEX(IdxPrecio_V,1,MIN(10,EA$173)))*(1+V_dPrecio))</f>
        <v>0</v>
      </c>
      <c r="EB226" s="48">
        <f>IF(EB$8=1,IF(Reales!$C$62="PYG",IF(EB$10&gt;0,N(Reales!EB62)/EB$10,0),N(Reales!EB62)),EB$201*IF(AND(AND(127&gt;Corte,127&lt;=Corte+n_Ventana),ISNUMBER(Detalle_24m!EB$66)),Detalle_24m!EB$66,INDEX(Precio_V,25)*INDEX(IdxPrecio_V,1,MIN(10,EB$173)))*(1+V_dPrecio))</f>
        <v>0</v>
      </c>
      <c r="EC226" s="48">
        <f>IF(EC$8=1,IF(Reales!$C$62="PYG",IF(EC$10&gt;0,N(Reales!EC62)/EC$10,0),N(Reales!EC62)),EC$201*IF(AND(AND(128&gt;Corte,128&lt;=Corte+n_Ventana),ISNUMBER(Detalle_24m!EC$66)),Detalle_24m!EC$66,INDEX(Precio_V,25)*INDEX(IdxPrecio_V,1,MIN(10,EC$173)))*(1+V_dPrecio))</f>
        <v>0</v>
      </c>
      <c r="ED226" s="48">
        <f>IF(ED$8=1,IF(Reales!$C$62="PYG",IF(ED$10&gt;0,N(Reales!ED62)/ED$10,0),N(Reales!ED62)),ED$201*IF(AND(AND(129&gt;Corte,129&lt;=Corte+n_Ventana),ISNUMBER(Detalle_24m!ED$66)),Detalle_24m!ED$66,INDEX(Precio_V,25)*INDEX(IdxPrecio_V,1,MIN(10,ED$173)))*(1+V_dPrecio))</f>
        <v>0</v>
      </c>
      <c r="EE226" s="48">
        <f>IF(EE$8=1,IF(Reales!$C$62="PYG",IF(EE$10&gt;0,N(Reales!EE62)/EE$10,0),N(Reales!EE62)),EE$201*IF(AND(AND(130&gt;Corte,130&lt;=Corte+n_Ventana),ISNUMBER(Detalle_24m!EE$66)),Detalle_24m!EE$66,INDEX(Precio_V,25)*INDEX(IdxPrecio_V,1,MIN(10,EE$173)))*(1+V_dPrecio))</f>
        <v>0</v>
      </c>
      <c r="EF226" s="48">
        <f>IF(EF$8=1,IF(Reales!$C$62="PYG",IF(EF$10&gt;0,N(Reales!EF62)/EF$10,0),N(Reales!EF62)),EF$201*IF(AND(AND(131&gt;Corte,131&lt;=Corte+n_Ventana),ISNUMBER(Detalle_24m!EF$66)),Detalle_24m!EF$66,INDEX(Precio_V,25)*INDEX(IdxPrecio_V,1,MIN(10,EF$173)))*(1+V_dPrecio))</f>
        <v>0</v>
      </c>
      <c r="EG226" s="48">
        <f>IF(EG$8=1,IF(Reales!$C$62="PYG",IF(EG$10&gt;0,N(Reales!EG62)/EG$10,0),N(Reales!EG62)),EG$201*IF(AND(AND(132&gt;Corte,132&lt;=Corte+n_Ventana),ISNUMBER(Detalle_24m!EG$66)),Detalle_24m!EG$66,INDEX(Precio_V,25)*INDEX(IdxPrecio_V,1,MIN(10,EG$173)))*(1+V_dPrecio))</f>
        <v>0</v>
      </c>
      <c r="EH226" s="48">
        <f>IF(EH$8=1,IF(Reales!$C$62="PYG",IF(EH$10&gt;0,N(Reales!EH62)/EH$10,0),N(Reales!EH62)),EH$201*IF(AND(AND(133&gt;Corte,133&lt;=Corte+n_Ventana),ISNUMBER(Detalle_24m!EH$66)),Detalle_24m!EH$66,INDEX(Precio_V,25)*INDEX(IdxPrecio_V,1,MIN(10,EH$173)))*(1+V_dPrecio))</f>
        <v>0</v>
      </c>
      <c r="EI226" s="48">
        <f>IF(EI$8=1,IF(Reales!$C$62="PYG",IF(EI$10&gt;0,N(Reales!EI62)/EI$10,0),N(Reales!EI62)),EI$201*IF(AND(AND(134&gt;Corte,134&lt;=Corte+n_Ventana),ISNUMBER(Detalle_24m!EI$66)),Detalle_24m!EI$66,INDEX(Precio_V,25)*INDEX(IdxPrecio_V,1,MIN(10,EI$173)))*(1+V_dPrecio))</f>
        <v>0</v>
      </c>
      <c r="EJ226" s="48">
        <f>IF(EJ$8=1,IF(Reales!$C$62="PYG",IF(EJ$10&gt;0,N(Reales!EJ62)/EJ$10,0),N(Reales!EJ62)),EJ$201*IF(AND(AND(135&gt;Corte,135&lt;=Corte+n_Ventana),ISNUMBER(Detalle_24m!EJ$66)),Detalle_24m!EJ$66,INDEX(Precio_V,25)*INDEX(IdxPrecio_V,1,MIN(10,EJ$173)))*(1+V_dPrecio))</f>
        <v>0</v>
      </c>
      <c r="EK226" s="48">
        <f>IF(EK$8=1,IF(Reales!$C$62="PYG",IF(EK$10&gt;0,N(Reales!EK62)/EK$10,0),N(Reales!EK62)),EK$201*IF(AND(AND(136&gt;Corte,136&lt;=Corte+n_Ventana),ISNUMBER(Detalle_24m!EK$66)),Detalle_24m!EK$66,INDEX(Precio_V,25)*INDEX(IdxPrecio_V,1,MIN(10,EK$173)))*(1+V_dPrecio))</f>
        <v>0</v>
      </c>
      <c r="EL226" s="48">
        <f>IF(EL$8=1,IF(Reales!$C$62="PYG",IF(EL$10&gt;0,N(Reales!EL62)/EL$10,0),N(Reales!EL62)),EL$201*IF(AND(AND(137&gt;Corte,137&lt;=Corte+n_Ventana),ISNUMBER(Detalle_24m!EL$66)),Detalle_24m!EL$66,INDEX(Precio_V,25)*INDEX(IdxPrecio_V,1,MIN(10,EL$173)))*(1+V_dPrecio))</f>
        <v>0</v>
      </c>
      <c r="EM226" s="48">
        <f>IF(EM$8=1,IF(Reales!$C$62="PYG",IF(EM$10&gt;0,N(Reales!EM62)/EM$10,0),N(Reales!EM62)),EM$201*IF(AND(AND(138&gt;Corte,138&lt;=Corte+n_Ventana),ISNUMBER(Detalle_24m!EM$66)),Detalle_24m!EM$66,INDEX(Precio_V,25)*INDEX(IdxPrecio_V,1,MIN(10,EM$173)))*(1+V_dPrecio))</f>
        <v>0</v>
      </c>
      <c r="EN226" s="48">
        <f>IF(EN$8=1,IF(Reales!$C$62="PYG",IF(EN$10&gt;0,N(Reales!EN62)/EN$10,0),N(Reales!EN62)),EN$201*IF(AND(AND(139&gt;Corte,139&lt;=Corte+n_Ventana),ISNUMBER(Detalle_24m!EN$66)),Detalle_24m!EN$66,INDEX(Precio_V,25)*INDEX(IdxPrecio_V,1,MIN(10,EN$173)))*(1+V_dPrecio))</f>
        <v>0</v>
      </c>
      <c r="EO226" s="48">
        <f>IF(EO$8=1,IF(Reales!$C$62="PYG",IF(EO$10&gt;0,N(Reales!EO62)/EO$10,0),N(Reales!EO62)),EO$201*IF(AND(AND(140&gt;Corte,140&lt;=Corte+n_Ventana),ISNUMBER(Detalle_24m!EO$66)),Detalle_24m!EO$66,INDEX(Precio_V,25)*INDEX(IdxPrecio_V,1,MIN(10,EO$173)))*(1+V_dPrecio))</f>
        <v>0</v>
      </c>
      <c r="EP226" s="48">
        <f>IF(EP$8=1,IF(Reales!$C$62="PYG",IF(EP$10&gt;0,N(Reales!EP62)/EP$10,0),N(Reales!EP62)),EP$201*IF(AND(AND(141&gt;Corte,141&lt;=Corte+n_Ventana),ISNUMBER(Detalle_24m!EP$66)),Detalle_24m!EP$66,INDEX(Precio_V,25)*INDEX(IdxPrecio_V,1,MIN(10,EP$173)))*(1+V_dPrecio))</f>
        <v>0</v>
      </c>
      <c r="EQ226" s="48">
        <f>IF(EQ$8=1,IF(Reales!$C$62="PYG",IF(EQ$10&gt;0,N(Reales!EQ62)/EQ$10,0),N(Reales!EQ62)),EQ$201*IF(AND(AND(142&gt;Corte,142&lt;=Corte+n_Ventana),ISNUMBER(Detalle_24m!EQ$66)),Detalle_24m!EQ$66,INDEX(Precio_V,25)*INDEX(IdxPrecio_V,1,MIN(10,EQ$173)))*(1+V_dPrecio))</f>
        <v>0</v>
      </c>
      <c r="ER226" s="48">
        <f>IF(ER$8=1,IF(Reales!$C$62="PYG",IF(ER$10&gt;0,N(Reales!ER62)/ER$10,0),N(Reales!ER62)),ER$201*IF(AND(AND(143&gt;Corte,143&lt;=Corte+n_Ventana),ISNUMBER(Detalle_24m!ER$66)),Detalle_24m!ER$66,INDEX(Precio_V,25)*INDEX(IdxPrecio_V,1,MIN(10,ER$173)))*(1+V_dPrecio))</f>
        <v>0</v>
      </c>
      <c r="ES226" s="48">
        <f>IF(ES$8=1,IF(Reales!$C$62="PYG",IF(ES$10&gt;0,N(Reales!ES62)/ES$10,0),N(Reales!ES62)),ES$201*IF(AND(AND(144&gt;Corte,144&lt;=Corte+n_Ventana),ISNUMBER(Detalle_24m!ES$66)),Detalle_24m!ES$66,INDEX(Precio_V,25)*INDEX(IdxPrecio_V,1,MIN(10,ES$173)))*(1+V_dPrecio))</f>
        <v>0</v>
      </c>
    </row>
    <row r="227" spans="1:149" x14ac:dyDescent="0.3">
      <c r="A227" s="14" t="s">
        <v>1282</v>
      </c>
      <c r="B227" s="68" t="s">
        <v>1049</v>
      </c>
      <c r="C227" s="18" t="s">
        <v>439</v>
      </c>
      <c r="E227" s="54">
        <f t="shared" si="605"/>
        <v>81222447.721645534</v>
      </c>
      <c r="F227" s="22">
        <f t="shared" ref="F227:AK227" si="606">SUM(F$202:F$226)</f>
        <v>404166.66666666663</v>
      </c>
      <c r="G227" s="22">
        <f t="shared" si="606"/>
        <v>404166.66666666663</v>
      </c>
      <c r="H227" s="22">
        <f t="shared" si="606"/>
        <v>404166.66666666663</v>
      </c>
      <c r="I227" s="22">
        <f t="shared" si="606"/>
        <v>404166.66666666663</v>
      </c>
      <c r="J227" s="22">
        <f t="shared" si="606"/>
        <v>404166.66666666663</v>
      </c>
      <c r="K227" s="22">
        <f t="shared" si="606"/>
        <v>404166.66666666663</v>
      </c>
      <c r="L227" s="22">
        <f t="shared" si="606"/>
        <v>404166.66666666663</v>
      </c>
      <c r="M227" s="22">
        <f t="shared" si="606"/>
        <v>404166.66666666663</v>
      </c>
      <c r="N227" s="22">
        <f t="shared" si="606"/>
        <v>404166.66666666663</v>
      </c>
      <c r="O227" s="22">
        <f t="shared" si="606"/>
        <v>404166.66666666663</v>
      </c>
      <c r="P227" s="22">
        <f t="shared" si="606"/>
        <v>404166.66666666663</v>
      </c>
      <c r="Q227" s="22">
        <f t="shared" si="606"/>
        <v>404166.66666666663</v>
      </c>
      <c r="R227" s="22">
        <f t="shared" si="606"/>
        <v>515100</v>
      </c>
      <c r="S227" s="22">
        <f t="shared" si="606"/>
        <v>515100</v>
      </c>
      <c r="T227" s="22">
        <f t="shared" si="606"/>
        <v>515100</v>
      </c>
      <c r="U227" s="22">
        <f t="shared" si="606"/>
        <v>515100</v>
      </c>
      <c r="V227" s="22">
        <f t="shared" si="606"/>
        <v>515100</v>
      </c>
      <c r="W227" s="22">
        <f t="shared" si="606"/>
        <v>515100</v>
      </c>
      <c r="X227" s="22">
        <f t="shared" si="606"/>
        <v>515100</v>
      </c>
      <c r="Y227" s="22">
        <f t="shared" si="606"/>
        <v>515100</v>
      </c>
      <c r="Z227" s="22">
        <f t="shared" si="606"/>
        <v>515100</v>
      </c>
      <c r="AA227" s="22">
        <f t="shared" si="606"/>
        <v>515100</v>
      </c>
      <c r="AB227" s="22">
        <f t="shared" si="606"/>
        <v>515100</v>
      </c>
      <c r="AC227" s="22">
        <f t="shared" si="606"/>
        <v>515100</v>
      </c>
      <c r="AD227" s="22">
        <f t="shared" si="606"/>
        <v>628211.58333333337</v>
      </c>
      <c r="AE227" s="22">
        <f t="shared" si="606"/>
        <v>628211.58333333337</v>
      </c>
      <c r="AF227" s="22">
        <f t="shared" si="606"/>
        <v>628211.58333333337</v>
      </c>
      <c r="AG227" s="22">
        <f t="shared" si="606"/>
        <v>628211.58333333337</v>
      </c>
      <c r="AH227" s="22">
        <f t="shared" si="606"/>
        <v>628211.58333333337</v>
      </c>
      <c r="AI227" s="22">
        <f t="shared" si="606"/>
        <v>628211.58333333337</v>
      </c>
      <c r="AJ227" s="22">
        <f t="shared" si="606"/>
        <v>628211.58333333337</v>
      </c>
      <c r="AK227" s="22">
        <f t="shared" si="606"/>
        <v>628211.58333333337</v>
      </c>
      <c r="AL227" s="22">
        <f t="shared" ref="AL227:BQ227" si="607">SUM(AL$202:AL$226)</f>
        <v>628211.58333333337</v>
      </c>
      <c r="AM227" s="22">
        <f t="shared" si="607"/>
        <v>628211.58333333337</v>
      </c>
      <c r="AN227" s="22">
        <f t="shared" si="607"/>
        <v>628211.58333333337</v>
      </c>
      <c r="AO227" s="22">
        <f t="shared" si="607"/>
        <v>628211.58333333337</v>
      </c>
      <c r="AP227" s="22">
        <f t="shared" si="607"/>
        <v>723786.4524999999</v>
      </c>
      <c r="AQ227" s="22">
        <f t="shared" si="607"/>
        <v>723786.4524999999</v>
      </c>
      <c r="AR227" s="22">
        <f t="shared" si="607"/>
        <v>723786.4524999999</v>
      </c>
      <c r="AS227" s="22">
        <f t="shared" si="607"/>
        <v>723786.4524999999</v>
      </c>
      <c r="AT227" s="22">
        <f t="shared" si="607"/>
        <v>723786.4524999999</v>
      </c>
      <c r="AU227" s="22">
        <f t="shared" si="607"/>
        <v>723786.4524999999</v>
      </c>
      <c r="AV227" s="22">
        <f t="shared" si="607"/>
        <v>723786.4524999999</v>
      </c>
      <c r="AW227" s="22">
        <f t="shared" si="607"/>
        <v>723786.4524999999</v>
      </c>
      <c r="AX227" s="22">
        <f t="shared" si="607"/>
        <v>723786.4524999999</v>
      </c>
      <c r="AY227" s="22">
        <f t="shared" si="607"/>
        <v>723786.4524999999</v>
      </c>
      <c r="AZ227" s="22">
        <f t="shared" si="607"/>
        <v>723786.4524999999</v>
      </c>
      <c r="BA227" s="22">
        <f t="shared" si="607"/>
        <v>723786.4524999999</v>
      </c>
      <c r="BB227" s="22">
        <f t="shared" si="607"/>
        <v>731024.31702500011</v>
      </c>
      <c r="BC227" s="22">
        <f t="shared" si="607"/>
        <v>731024.31702500011</v>
      </c>
      <c r="BD227" s="22">
        <f t="shared" si="607"/>
        <v>731024.31702500011</v>
      </c>
      <c r="BE227" s="22">
        <f t="shared" si="607"/>
        <v>731024.31702500011</v>
      </c>
      <c r="BF227" s="22">
        <f t="shared" si="607"/>
        <v>731024.31702500011</v>
      </c>
      <c r="BG227" s="22">
        <f t="shared" si="607"/>
        <v>731024.31702500011</v>
      </c>
      <c r="BH227" s="22">
        <f t="shared" si="607"/>
        <v>731024.31702500011</v>
      </c>
      <c r="BI227" s="22">
        <f t="shared" si="607"/>
        <v>731024.31702500011</v>
      </c>
      <c r="BJ227" s="22">
        <f t="shared" si="607"/>
        <v>731024.31702500011</v>
      </c>
      <c r="BK227" s="22">
        <f t="shared" si="607"/>
        <v>731024.31702500011</v>
      </c>
      <c r="BL227" s="22">
        <f t="shared" si="607"/>
        <v>731024.31702500011</v>
      </c>
      <c r="BM227" s="22">
        <f t="shared" si="607"/>
        <v>731024.31702500011</v>
      </c>
      <c r="BN227" s="22">
        <f t="shared" si="607"/>
        <v>738334.56019524997</v>
      </c>
      <c r="BO227" s="22">
        <f t="shared" si="607"/>
        <v>738334.56019524997</v>
      </c>
      <c r="BP227" s="22">
        <f t="shared" si="607"/>
        <v>738334.56019524997</v>
      </c>
      <c r="BQ227" s="22">
        <f t="shared" si="607"/>
        <v>738334.56019524997</v>
      </c>
      <c r="BR227" s="22">
        <f t="shared" ref="BR227:CW227" si="608">SUM(BR$202:BR$226)</f>
        <v>738334.56019524997</v>
      </c>
      <c r="BS227" s="22">
        <f t="shared" si="608"/>
        <v>738334.56019524997</v>
      </c>
      <c r="BT227" s="22">
        <f t="shared" si="608"/>
        <v>738334.56019524997</v>
      </c>
      <c r="BU227" s="22">
        <f t="shared" si="608"/>
        <v>738334.56019524997</v>
      </c>
      <c r="BV227" s="22">
        <f t="shared" si="608"/>
        <v>738334.56019524997</v>
      </c>
      <c r="BW227" s="22">
        <f t="shared" si="608"/>
        <v>738334.56019524997</v>
      </c>
      <c r="BX227" s="22">
        <f t="shared" si="608"/>
        <v>738334.56019524997</v>
      </c>
      <c r="BY227" s="22">
        <f t="shared" si="608"/>
        <v>738334.56019524997</v>
      </c>
      <c r="BZ227" s="22">
        <f t="shared" si="608"/>
        <v>745717.90579720249</v>
      </c>
      <c r="CA227" s="22">
        <f t="shared" si="608"/>
        <v>745717.90579720249</v>
      </c>
      <c r="CB227" s="22">
        <f t="shared" si="608"/>
        <v>745717.90579720249</v>
      </c>
      <c r="CC227" s="22">
        <f t="shared" si="608"/>
        <v>745717.90579720249</v>
      </c>
      <c r="CD227" s="22">
        <f t="shared" si="608"/>
        <v>745717.90579720249</v>
      </c>
      <c r="CE227" s="22">
        <f t="shared" si="608"/>
        <v>745717.90579720249</v>
      </c>
      <c r="CF227" s="22">
        <f t="shared" si="608"/>
        <v>745717.90579720249</v>
      </c>
      <c r="CG227" s="22">
        <f t="shared" si="608"/>
        <v>745717.90579720249</v>
      </c>
      <c r="CH227" s="22">
        <f t="shared" si="608"/>
        <v>745717.90579720249</v>
      </c>
      <c r="CI227" s="22">
        <f t="shared" si="608"/>
        <v>745717.90579720249</v>
      </c>
      <c r="CJ227" s="22">
        <f t="shared" si="608"/>
        <v>745717.90579720249</v>
      </c>
      <c r="CK227" s="22">
        <f t="shared" si="608"/>
        <v>745717.90579720249</v>
      </c>
      <c r="CL227" s="22">
        <f t="shared" si="608"/>
        <v>753175.08485517441</v>
      </c>
      <c r="CM227" s="22">
        <f t="shared" si="608"/>
        <v>753175.08485517441</v>
      </c>
      <c r="CN227" s="22">
        <f t="shared" si="608"/>
        <v>753175.08485517441</v>
      </c>
      <c r="CO227" s="22">
        <f t="shared" si="608"/>
        <v>753175.08485517441</v>
      </c>
      <c r="CP227" s="22">
        <f t="shared" si="608"/>
        <v>753175.08485517441</v>
      </c>
      <c r="CQ227" s="22">
        <f t="shared" si="608"/>
        <v>753175.08485517441</v>
      </c>
      <c r="CR227" s="22">
        <f t="shared" si="608"/>
        <v>753175.08485517441</v>
      </c>
      <c r="CS227" s="22">
        <f t="shared" si="608"/>
        <v>753175.08485517441</v>
      </c>
      <c r="CT227" s="22">
        <f t="shared" si="608"/>
        <v>753175.08485517441</v>
      </c>
      <c r="CU227" s="22">
        <f t="shared" si="608"/>
        <v>753175.08485517441</v>
      </c>
      <c r="CV227" s="22">
        <f t="shared" si="608"/>
        <v>753175.08485517441</v>
      </c>
      <c r="CW227" s="22">
        <f t="shared" si="608"/>
        <v>753175.08485517441</v>
      </c>
      <c r="CX227" s="22">
        <f t="shared" ref="CX227:EC227" si="609">SUM(CX$202:CX$226)</f>
        <v>760706.83570372616</v>
      </c>
      <c r="CY227" s="22">
        <f t="shared" si="609"/>
        <v>760706.83570372616</v>
      </c>
      <c r="CZ227" s="22">
        <f t="shared" si="609"/>
        <v>760706.83570372616</v>
      </c>
      <c r="DA227" s="22">
        <f t="shared" si="609"/>
        <v>760706.83570372616</v>
      </c>
      <c r="DB227" s="22">
        <f t="shared" si="609"/>
        <v>760706.83570372616</v>
      </c>
      <c r="DC227" s="22">
        <f t="shared" si="609"/>
        <v>760706.83570372616</v>
      </c>
      <c r="DD227" s="22">
        <f t="shared" si="609"/>
        <v>760706.83570372616</v>
      </c>
      <c r="DE227" s="22">
        <f t="shared" si="609"/>
        <v>760706.83570372616</v>
      </c>
      <c r="DF227" s="22">
        <f t="shared" si="609"/>
        <v>760706.83570372616</v>
      </c>
      <c r="DG227" s="22">
        <f t="shared" si="609"/>
        <v>760706.83570372616</v>
      </c>
      <c r="DH227" s="22">
        <f t="shared" si="609"/>
        <v>760706.83570372616</v>
      </c>
      <c r="DI227" s="22">
        <f t="shared" si="609"/>
        <v>760706.83570372616</v>
      </c>
      <c r="DJ227" s="22">
        <f t="shared" si="609"/>
        <v>768313.90406076354</v>
      </c>
      <c r="DK227" s="22">
        <f t="shared" si="609"/>
        <v>768313.90406076354</v>
      </c>
      <c r="DL227" s="22">
        <f t="shared" si="609"/>
        <v>768313.90406076354</v>
      </c>
      <c r="DM227" s="22">
        <f t="shared" si="609"/>
        <v>768313.90406076354</v>
      </c>
      <c r="DN227" s="22">
        <f t="shared" si="609"/>
        <v>768313.90406076354</v>
      </c>
      <c r="DO227" s="22">
        <f t="shared" si="609"/>
        <v>768313.90406076354</v>
      </c>
      <c r="DP227" s="22">
        <f t="shared" si="609"/>
        <v>768313.90406076354</v>
      </c>
      <c r="DQ227" s="22">
        <f t="shared" si="609"/>
        <v>768313.90406076354</v>
      </c>
      <c r="DR227" s="22">
        <f t="shared" si="609"/>
        <v>768313.90406076354</v>
      </c>
      <c r="DS227" s="22">
        <f t="shared" si="609"/>
        <v>768313.90406076354</v>
      </c>
      <c r="DT227" s="22">
        <f t="shared" si="609"/>
        <v>768313.90406076354</v>
      </c>
      <c r="DU227" s="22">
        <f t="shared" si="609"/>
        <v>768313.90406076354</v>
      </c>
      <c r="DV227" s="22">
        <f t="shared" si="609"/>
        <v>0</v>
      </c>
      <c r="DW227" s="22">
        <f t="shared" si="609"/>
        <v>0</v>
      </c>
      <c r="DX227" s="22">
        <f t="shared" si="609"/>
        <v>0</v>
      </c>
      <c r="DY227" s="22">
        <f t="shared" si="609"/>
        <v>0</v>
      </c>
      <c r="DZ227" s="22">
        <f t="shared" si="609"/>
        <v>0</v>
      </c>
      <c r="EA227" s="22">
        <f t="shared" si="609"/>
        <v>0</v>
      </c>
      <c r="EB227" s="22">
        <f t="shared" si="609"/>
        <v>0</v>
      </c>
      <c r="EC227" s="22">
        <f t="shared" si="609"/>
        <v>0</v>
      </c>
      <c r="ED227" s="22">
        <f t="shared" ref="ED227:ES227" si="610">SUM(ED$202:ED$226)</f>
        <v>0</v>
      </c>
      <c r="EE227" s="22">
        <f t="shared" si="610"/>
        <v>0</v>
      </c>
      <c r="EF227" s="22">
        <f t="shared" si="610"/>
        <v>0</v>
      </c>
      <c r="EG227" s="22">
        <f t="shared" si="610"/>
        <v>0</v>
      </c>
      <c r="EH227" s="22">
        <f t="shared" si="610"/>
        <v>0</v>
      </c>
      <c r="EI227" s="22">
        <f t="shared" si="610"/>
        <v>0</v>
      </c>
      <c r="EJ227" s="22">
        <f t="shared" si="610"/>
        <v>0</v>
      </c>
      <c r="EK227" s="22">
        <f t="shared" si="610"/>
        <v>0</v>
      </c>
      <c r="EL227" s="22">
        <f t="shared" si="610"/>
        <v>0</v>
      </c>
      <c r="EM227" s="22">
        <f t="shared" si="610"/>
        <v>0</v>
      </c>
      <c r="EN227" s="22">
        <f t="shared" si="610"/>
        <v>0</v>
      </c>
      <c r="EO227" s="22">
        <f t="shared" si="610"/>
        <v>0</v>
      </c>
      <c r="EP227" s="22">
        <f t="shared" si="610"/>
        <v>0</v>
      </c>
      <c r="EQ227" s="22">
        <f t="shared" si="610"/>
        <v>0</v>
      </c>
      <c r="ER227" s="22">
        <f t="shared" si="610"/>
        <v>0</v>
      </c>
      <c r="ES227" s="22">
        <f t="shared" si="610"/>
        <v>0</v>
      </c>
    </row>
    <row r="228" spans="1:149" x14ac:dyDescent="0.3">
      <c r="A228" s="16"/>
      <c r="B228" s="15" t="s">
        <v>1050</v>
      </c>
      <c r="C228" s="16"/>
      <c r="D228" s="16"/>
      <c r="E228" s="16"/>
    </row>
    <row r="229" spans="1:149" x14ac:dyDescent="0.3">
      <c r="A229" s="14" t="s">
        <v>1283</v>
      </c>
      <c r="B229" s="18" t="s">
        <v>1052</v>
      </c>
      <c r="C229" s="18" t="s">
        <v>439</v>
      </c>
      <c r="E229" s="54">
        <f>SUM(F229:ES229)</f>
        <v>25293483.383560013</v>
      </c>
      <c r="F229" s="48">
        <f>SUMPRODUCT(F177:F201,(1&gt;Corte)*(1&lt;=Corte+n_Ventana)*ISNUMBER(Detalle_24m!F$70:F$94)*Detalle_24m!F$70:F$94+(1-(1&gt;Corte)*(1&lt;=Corte+n_Ventana)*ISNUMBER(Detalle_24m!F$70:F$94))*MP_V*INDEX(IdxMP_V,1,MIN(10,F$173)))*(1+V_dMat)/(1-V_Merma)</f>
        <v>125875</v>
      </c>
      <c r="G229" s="48">
        <f>SUMPRODUCT(G177:G201,(2&gt;Corte)*(2&lt;=Corte+n_Ventana)*ISNUMBER(Detalle_24m!G$70:G$94)*Detalle_24m!G$70:G$94+(1-(2&gt;Corte)*(2&lt;=Corte+n_Ventana)*ISNUMBER(Detalle_24m!G$70:G$94))*MP_V*INDEX(IdxMP_V,1,MIN(10,G$173)))*(1+V_dMat)/(1-V_Merma)</f>
        <v>125875</v>
      </c>
      <c r="H229" s="48">
        <f>SUMPRODUCT(H177:H201,(3&gt;Corte)*(3&lt;=Corte+n_Ventana)*ISNUMBER(Detalle_24m!H$70:H$94)*Detalle_24m!H$70:H$94+(1-(3&gt;Corte)*(3&lt;=Corte+n_Ventana)*ISNUMBER(Detalle_24m!H$70:H$94))*MP_V*INDEX(IdxMP_V,1,MIN(10,H$173)))*(1+V_dMat)/(1-V_Merma)</f>
        <v>125875</v>
      </c>
      <c r="I229" s="48">
        <f>SUMPRODUCT(I177:I201,(4&gt;Corte)*(4&lt;=Corte+n_Ventana)*ISNUMBER(Detalle_24m!I$70:I$94)*Detalle_24m!I$70:I$94+(1-(4&gt;Corte)*(4&lt;=Corte+n_Ventana)*ISNUMBER(Detalle_24m!I$70:I$94))*MP_V*INDEX(IdxMP_V,1,MIN(10,I$173)))*(1+V_dMat)/(1-V_Merma)</f>
        <v>125875</v>
      </c>
      <c r="J229" s="48">
        <f>SUMPRODUCT(J177:J201,(5&gt;Corte)*(5&lt;=Corte+n_Ventana)*ISNUMBER(Detalle_24m!J$70:J$94)*Detalle_24m!J$70:J$94+(1-(5&gt;Corte)*(5&lt;=Corte+n_Ventana)*ISNUMBER(Detalle_24m!J$70:J$94))*MP_V*INDEX(IdxMP_V,1,MIN(10,J$173)))*(1+V_dMat)/(1-V_Merma)</f>
        <v>125875</v>
      </c>
      <c r="K229" s="48">
        <f>SUMPRODUCT(K177:K201,(6&gt;Corte)*(6&lt;=Corte+n_Ventana)*ISNUMBER(Detalle_24m!K$70:K$94)*Detalle_24m!K$70:K$94+(1-(6&gt;Corte)*(6&lt;=Corte+n_Ventana)*ISNUMBER(Detalle_24m!K$70:K$94))*MP_V*INDEX(IdxMP_V,1,MIN(10,K$173)))*(1+V_dMat)/(1-V_Merma)</f>
        <v>125875</v>
      </c>
      <c r="L229" s="48">
        <f>SUMPRODUCT(L177:L201,(7&gt;Corte)*(7&lt;=Corte+n_Ventana)*ISNUMBER(Detalle_24m!L$70:L$94)*Detalle_24m!L$70:L$94+(1-(7&gt;Corte)*(7&lt;=Corte+n_Ventana)*ISNUMBER(Detalle_24m!L$70:L$94))*MP_V*INDEX(IdxMP_V,1,MIN(10,L$173)))*(1+V_dMat)/(1-V_Merma)</f>
        <v>125875</v>
      </c>
      <c r="M229" s="48">
        <f>SUMPRODUCT(M177:M201,(8&gt;Corte)*(8&lt;=Corte+n_Ventana)*ISNUMBER(Detalle_24m!M$70:M$94)*Detalle_24m!M$70:M$94+(1-(8&gt;Corte)*(8&lt;=Corte+n_Ventana)*ISNUMBER(Detalle_24m!M$70:M$94))*MP_V*INDEX(IdxMP_V,1,MIN(10,M$173)))*(1+V_dMat)/(1-V_Merma)</f>
        <v>125875</v>
      </c>
      <c r="N229" s="48">
        <f>SUMPRODUCT(N177:N201,(9&gt;Corte)*(9&lt;=Corte+n_Ventana)*ISNUMBER(Detalle_24m!N$70:N$94)*Detalle_24m!N$70:N$94+(1-(9&gt;Corte)*(9&lt;=Corte+n_Ventana)*ISNUMBER(Detalle_24m!N$70:N$94))*MP_V*INDEX(IdxMP_V,1,MIN(10,N$173)))*(1+V_dMat)/(1-V_Merma)</f>
        <v>125875</v>
      </c>
      <c r="O229" s="48">
        <f>SUMPRODUCT(O177:O201,(10&gt;Corte)*(10&lt;=Corte+n_Ventana)*ISNUMBER(Detalle_24m!O$70:O$94)*Detalle_24m!O$70:O$94+(1-(10&gt;Corte)*(10&lt;=Corte+n_Ventana)*ISNUMBER(Detalle_24m!O$70:O$94))*MP_V*INDEX(IdxMP_V,1,MIN(10,O$173)))*(1+V_dMat)/(1-V_Merma)</f>
        <v>125875</v>
      </c>
      <c r="P229" s="48">
        <f>SUMPRODUCT(P177:P201,(11&gt;Corte)*(11&lt;=Corte+n_Ventana)*ISNUMBER(Detalle_24m!P$70:P$94)*Detalle_24m!P$70:P$94+(1-(11&gt;Corte)*(11&lt;=Corte+n_Ventana)*ISNUMBER(Detalle_24m!P$70:P$94))*MP_V*INDEX(IdxMP_V,1,MIN(10,P$173)))*(1+V_dMat)/(1-V_Merma)</f>
        <v>125875</v>
      </c>
      <c r="Q229" s="48">
        <f>SUMPRODUCT(Q177:Q201,(12&gt;Corte)*(12&lt;=Corte+n_Ventana)*ISNUMBER(Detalle_24m!Q$70:Q$94)*Detalle_24m!Q$70:Q$94+(1-(12&gt;Corte)*(12&lt;=Corte+n_Ventana)*ISNUMBER(Detalle_24m!Q$70:Q$94))*MP_V*INDEX(IdxMP_V,1,MIN(10,Q$173)))*(1+V_dMat)/(1-V_Merma)</f>
        <v>125875</v>
      </c>
      <c r="R229" s="48">
        <f>SUMPRODUCT(R177:R201,(13&gt;Corte)*(13&lt;=Corte+n_Ventana)*ISNUMBER(Detalle_24m!R$70:R$94)*Detalle_24m!R$70:R$94+(1-(13&gt;Corte)*(13&lt;=Corte+n_Ventana)*ISNUMBER(Detalle_24m!R$70:R$94))*MP_V*INDEX(IdxMP_V,1,MIN(10,R$173)))*(1+V_dMat)/(1-V_Merma)</f>
        <v>160476.375</v>
      </c>
      <c r="S229" s="48">
        <f>SUMPRODUCT(S177:S201,(14&gt;Corte)*(14&lt;=Corte+n_Ventana)*ISNUMBER(Detalle_24m!S$70:S$94)*Detalle_24m!S$70:S$94+(1-(14&gt;Corte)*(14&lt;=Corte+n_Ventana)*ISNUMBER(Detalle_24m!S$70:S$94))*MP_V*INDEX(IdxMP_V,1,MIN(10,S$173)))*(1+V_dMat)/(1-V_Merma)</f>
        <v>160476.375</v>
      </c>
      <c r="T229" s="48">
        <f>SUMPRODUCT(T177:T201,(15&gt;Corte)*(15&lt;=Corte+n_Ventana)*ISNUMBER(Detalle_24m!T$70:T$94)*Detalle_24m!T$70:T$94+(1-(15&gt;Corte)*(15&lt;=Corte+n_Ventana)*ISNUMBER(Detalle_24m!T$70:T$94))*MP_V*INDEX(IdxMP_V,1,MIN(10,T$173)))*(1+V_dMat)/(1-V_Merma)</f>
        <v>160476.375</v>
      </c>
      <c r="U229" s="48">
        <f>SUMPRODUCT(U177:U201,(16&gt;Corte)*(16&lt;=Corte+n_Ventana)*ISNUMBER(Detalle_24m!U$70:U$94)*Detalle_24m!U$70:U$94+(1-(16&gt;Corte)*(16&lt;=Corte+n_Ventana)*ISNUMBER(Detalle_24m!U$70:U$94))*MP_V*INDEX(IdxMP_V,1,MIN(10,U$173)))*(1+V_dMat)/(1-V_Merma)</f>
        <v>160476.375</v>
      </c>
      <c r="V229" s="48">
        <f>SUMPRODUCT(V177:V201,(17&gt;Corte)*(17&lt;=Corte+n_Ventana)*ISNUMBER(Detalle_24m!V$70:V$94)*Detalle_24m!V$70:V$94+(1-(17&gt;Corte)*(17&lt;=Corte+n_Ventana)*ISNUMBER(Detalle_24m!V$70:V$94))*MP_V*INDEX(IdxMP_V,1,MIN(10,V$173)))*(1+V_dMat)/(1-V_Merma)</f>
        <v>160476.375</v>
      </c>
      <c r="W229" s="48">
        <f>SUMPRODUCT(W177:W201,(18&gt;Corte)*(18&lt;=Corte+n_Ventana)*ISNUMBER(Detalle_24m!W$70:W$94)*Detalle_24m!W$70:W$94+(1-(18&gt;Corte)*(18&lt;=Corte+n_Ventana)*ISNUMBER(Detalle_24m!W$70:W$94))*MP_V*INDEX(IdxMP_V,1,MIN(10,W$173)))*(1+V_dMat)/(1-V_Merma)</f>
        <v>160476.375</v>
      </c>
      <c r="X229" s="48">
        <f>SUMPRODUCT(X177:X201,(19&gt;Corte)*(19&lt;=Corte+n_Ventana)*ISNUMBER(Detalle_24m!X$70:X$94)*Detalle_24m!X$70:X$94+(1-(19&gt;Corte)*(19&lt;=Corte+n_Ventana)*ISNUMBER(Detalle_24m!X$70:X$94))*MP_V*INDEX(IdxMP_V,1,MIN(10,X$173)))*(1+V_dMat)/(1-V_Merma)</f>
        <v>160476.375</v>
      </c>
      <c r="Y229" s="48">
        <f>SUMPRODUCT(Y177:Y201,(20&gt;Corte)*(20&lt;=Corte+n_Ventana)*ISNUMBER(Detalle_24m!Y$70:Y$94)*Detalle_24m!Y$70:Y$94+(1-(20&gt;Corte)*(20&lt;=Corte+n_Ventana)*ISNUMBER(Detalle_24m!Y$70:Y$94))*MP_V*INDEX(IdxMP_V,1,MIN(10,Y$173)))*(1+V_dMat)/(1-V_Merma)</f>
        <v>160476.375</v>
      </c>
      <c r="Z229" s="48">
        <f>SUMPRODUCT(Z177:Z201,(21&gt;Corte)*(21&lt;=Corte+n_Ventana)*ISNUMBER(Detalle_24m!Z$70:Z$94)*Detalle_24m!Z$70:Z$94+(1-(21&gt;Corte)*(21&lt;=Corte+n_Ventana)*ISNUMBER(Detalle_24m!Z$70:Z$94))*MP_V*INDEX(IdxMP_V,1,MIN(10,Z$173)))*(1+V_dMat)/(1-V_Merma)</f>
        <v>160476.375</v>
      </c>
      <c r="AA229" s="48">
        <f>SUMPRODUCT(AA177:AA201,(22&gt;Corte)*(22&lt;=Corte+n_Ventana)*ISNUMBER(Detalle_24m!AA$70:AA$94)*Detalle_24m!AA$70:AA$94+(1-(22&gt;Corte)*(22&lt;=Corte+n_Ventana)*ISNUMBER(Detalle_24m!AA$70:AA$94))*MP_V*INDEX(IdxMP_V,1,MIN(10,AA$173)))*(1+V_dMat)/(1-V_Merma)</f>
        <v>160476.375</v>
      </c>
      <c r="AB229" s="48">
        <f>SUMPRODUCT(AB177:AB201,(23&gt;Corte)*(23&lt;=Corte+n_Ventana)*ISNUMBER(Detalle_24m!AB$70:AB$94)*Detalle_24m!AB$70:AB$94+(1-(23&gt;Corte)*(23&lt;=Corte+n_Ventana)*ISNUMBER(Detalle_24m!AB$70:AB$94))*MP_V*INDEX(IdxMP_V,1,MIN(10,AB$173)))*(1+V_dMat)/(1-V_Merma)</f>
        <v>160476.375</v>
      </c>
      <c r="AC229" s="48">
        <f>SUMPRODUCT(AC177:AC201,(24&gt;Corte)*(24&lt;=Corte+n_Ventana)*ISNUMBER(Detalle_24m!AC$70:AC$94)*Detalle_24m!AC$70:AC$94+(1-(24&gt;Corte)*(24&lt;=Corte+n_Ventana)*ISNUMBER(Detalle_24m!AC$70:AC$94))*MP_V*INDEX(IdxMP_V,1,MIN(10,AC$173)))*(1+V_dMat)/(1-V_Merma)</f>
        <v>160476.375</v>
      </c>
      <c r="AD229" s="48">
        <f>SUMPRODUCT(AD177:AD201,(25&gt;Corte)*(25&lt;=Corte+n_Ventana)*ISNUMBER(Detalle_24m!AD$70:AD$94)*Detalle_24m!AD$70:AD$94+(1-(25&gt;Corte)*(25&lt;=Corte+n_Ventana)*ISNUMBER(Detalle_24m!AD$70:AD$94))*MP_V*INDEX(IdxMP_V,1,MIN(10,AD$173)))*(1+V_dMat)/(1-V_Merma)</f>
        <v>195757.19</v>
      </c>
      <c r="AE229" s="48">
        <f>SUMPRODUCT(AE177:AE201,(26&gt;Corte)*(26&lt;=Corte+n_Ventana)*ISNUMBER(Detalle_24m!AE$70:AE$94)*Detalle_24m!AE$70:AE$94+(1-(26&gt;Corte)*(26&lt;=Corte+n_Ventana)*ISNUMBER(Detalle_24m!AE$70:AE$94))*MP_V*INDEX(IdxMP_V,1,MIN(10,AE$173)))*(1+V_dMat)/(1-V_Merma)</f>
        <v>195757.19</v>
      </c>
      <c r="AF229" s="48">
        <f>SUMPRODUCT(AF177:AF201,(27&gt;Corte)*(27&lt;=Corte+n_Ventana)*ISNUMBER(Detalle_24m!AF$70:AF$94)*Detalle_24m!AF$70:AF$94+(1-(27&gt;Corte)*(27&lt;=Corte+n_Ventana)*ISNUMBER(Detalle_24m!AF$70:AF$94))*MP_V*INDEX(IdxMP_V,1,MIN(10,AF$173)))*(1+V_dMat)/(1-V_Merma)</f>
        <v>195757.19</v>
      </c>
      <c r="AG229" s="48">
        <f>SUMPRODUCT(AG177:AG201,(28&gt;Corte)*(28&lt;=Corte+n_Ventana)*ISNUMBER(Detalle_24m!AG$70:AG$94)*Detalle_24m!AG$70:AG$94+(1-(28&gt;Corte)*(28&lt;=Corte+n_Ventana)*ISNUMBER(Detalle_24m!AG$70:AG$94))*MP_V*INDEX(IdxMP_V,1,MIN(10,AG$173)))*(1+V_dMat)/(1-V_Merma)</f>
        <v>195757.19</v>
      </c>
      <c r="AH229" s="48">
        <f>SUMPRODUCT(AH177:AH201,(29&gt;Corte)*(29&lt;=Corte+n_Ventana)*ISNUMBER(Detalle_24m!AH$70:AH$94)*Detalle_24m!AH$70:AH$94+(1-(29&gt;Corte)*(29&lt;=Corte+n_Ventana)*ISNUMBER(Detalle_24m!AH$70:AH$94))*MP_V*INDEX(IdxMP_V,1,MIN(10,AH$173)))*(1+V_dMat)/(1-V_Merma)</f>
        <v>195757.19</v>
      </c>
      <c r="AI229" s="48">
        <f>SUMPRODUCT(AI177:AI201,(30&gt;Corte)*(30&lt;=Corte+n_Ventana)*ISNUMBER(Detalle_24m!AI$70:AI$94)*Detalle_24m!AI$70:AI$94+(1-(30&gt;Corte)*(30&lt;=Corte+n_Ventana)*ISNUMBER(Detalle_24m!AI$70:AI$94))*MP_V*INDEX(IdxMP_V,1,MIN(10,AI$173)))*(1+V_dMat)/(1-V_Merma)</f>
        <v>195757.19</v>
      </c>
      <c r="AJ229" s="48">
        <f>SUMPRODUCT(AJ177:AJ201,(31&gt;Corte)*(31&lt;=Corte+n_Ventana)*ISNUMBER(Detalle_24m!AJ$70:AJ$94)*Detalle_24m!AJ$70:AJ$94+(1-(31&gt;Corte)*(31&lt;=Corte+n_Ventana)*ISNUMBER(Detalle_24m!AJ$70:AJ$94))*MP_V*INDEX(IdxMP_V,1,MIN(10,AJ$173)))*(1+V_dMat)/(1-V_Merma)</f>
        <v>195757.19</v>
      </c>
      <c r="AK229" s="48">
        <f>SUMPRODUCT(AK177:AK201,(32&gt;Corte)*(32&lt;=Corte+n_Ventana)*ISNUMBER(Detalle_24m!AK$70:AK$94)*Detalle_24m!AK$70:AK$94+(1-(32&gt;Corte)*(32&lt;=Corte+n_Ventana)*ISNUMBER(Detalle_24m!AK$70:AK$94))*MP_V*INDEX(IdxMP_V,1,MIN(10,AK$173)))*(1+V_dMat)/(1-V_Merma)</f>
        <v>195757.19</v>
      </c>
      <c r="AL229" s="48">
        <f>SUMPRODUCT(AL177:AL201,(33&gt;Corte)*(33&lt;=Corte+n_Ventana)*ISNUMBER(Detalle_24m!AL$70:AL$94)*Detalle_24m!AL$70:AL$94+(1-(33&gt;Corte)*(33&lt;=Corte+n_Ventana)*ISNUMBER(Detalle_24m!AL$70:AL$94))*MP_V*INDEX(IdxMP_V,1,MIN(10,AL$173)))*(1+V_dMat)/(1-V_Merma)</f>
        <v>195757.19</v>
      </c>
      <c r="AM229" s="48">
        <f>SUMPRODUCT(AM177:AM201,(34&gt;Corte)*(34&lt;=Corte+n_Ventana)*ISNUMBER(Detalle_24m!AM$70:AM$94)*Detalle_24m!AM$70:AM$94+(1-(34&gt;Corte)*(34&lt;=Corte+n_Ventana)*ISNUMBER(Detalle_24m!AM$70:AM$94))*MP_V*INDEX(IdxMP_V,1,MIN(10,AM$173)))*(1+V_dMat)/(1-V_Merma)</f>
        <v>195757.19</v>
      </c>
      <c r="AN229" s="48">
        <f>SUMPRODUCT(AN177:AN201,(35&gt;Corte)*(35&lt;=Corte+n_Ventana)*ISNUMBER(Detalle_24m!AN$70:AN$94)*Detalle_24m!AN$70:AN$94+(1-(35&gt;Corte)*(35&lt;=Corte+n_Ventana)*ISNUMBER(Detalle_24m!AN$70:AN$94))*MP_V*INDEX(IdxMP_V,1,MIN(10,AN$173)))*(1+V_dMat)/(1-V_Merma)</f>
        <v>195757.19</v>
      </c>
      <c r="AO229" s="48">
        <f>SUMPRODUCT(AO177:AO201,(36&gt;Corte)*(36&lt;=Corte+n_Ventana)*ISNUMBER(Detalle_24m!AO$70:AO$94)*Detalle_24m!AO$70:AO$94+(1-(36&gt;Corte)*(36&lt;=Corte+n_Ventana)*ISNUMBER(Detalle_24m!AO$70:AO$94))*MP_V*INDEX(IdxMP_V,1,MIN(10,AO$173)))*(1+V_dMat)/(1-V_Merma)</f>
        <v>195757.19</v>
      </c>
      <c r="AP229" s="48">
        <f>SUMPRODUCT(AP177:AP201,(37&gt;Corte)*(37&lt;=Corte+n_Ventana)*ISNUMBER(Detalle_24m!AP$70:AP$94)*Detalle_24m!AP$70:AP$94+(1-(37&gt;Corte)*(37&lt;=Corte+n_Ventana)*ISNUMBER(Detalle_24m!AP$70:AP$94))*MP_V*INDEX(IdxMP_V,1,MIN(10,AP$173)))*(1+V_dMat)/(1-V_Merma)</f>
        <v>225365.46498749999</v>
      </c>
      <c r="AQ229" s="48">
        <f>SUMPRODUCT(AQ177:AQ201,(38&gt;Corte)*(38&lt;=Corte+n_Ventana)*ISNUMBER(Detalle_24m!AQ$70:AQ$94)*Detalle_24m!AQ$70:AQ$94+(1-(38&gt;Corte)*(38&lt;=Corte+n_Ventana)*ISNUMBER(Detalle_24m!AQ$70:AQ$94))*MP_V*INDEX(IdxMP_V,1,MIN(10,AQ$173)))*(1+V_dMat)/(1-V_Merma)</f>
        <v>225365.46498749999</v>
      </c>
      <c r="AR229" s="48">
        <f>SUMPRODUCT(AR177:AR201,(39&gt;Corte)*(39&lt;=Corte+n_Ventana)*ISNUMBER(Detalle_24m!AR$70:AR$94)*Detalle_24m!AR$70:AR$94+(1-(39&gt;Corte)*(39&lt;=Corte+n_Ventana)*ISNUMBER(Detalle_24m!AR$70:AR$94))*MP_V*INDEX(IdxMP_V,1,MIN(10,AR$173)))*(1+V_dMat)/(1-V_Merma)</f>
        <v>225365.46498749999</v>
      </c>
      <c r="AS229" s="48">
        <f>SUMPRODUCT(AS177:AS201,(40&gt;Corte)*(40&lt;=Corte+n_Ventana)*ISNUMBER(Detalle_24m!AS$70:AS$94)*Detalle_24m!AS$70:AS$94+(1-(40&gt;Corte)*(40&lt;=Corte+n_Ventana)*ISNUMBER(Detalle_24m!AS$70:AS$94))*MP_V*INDEX(IdxMP_V,1,MIN(10,AS$173)))*(1+V_dMat)/(1-V_Merma)</f>
        <v>225365.46498749999</v>
      </c>
      <c r="AT229" s="48">
        <f>SUMPRODUCT(AT177:AT201,(41&gt;Corte)*(41&lt;=Corte+n_Ventana)*ISNUMBER(Detalle_24m!AT$70:AT$94)*Detalle_24m!AT$70:AT$94+(1-(41&gt;Corte)*(41&lt;=Corte+n_Ventana)*ISNUMBER(Detalle_24m!AT$70:AT$94))*MP_V*INDEX(IdxMP_V,1,MIN(10,AT$173)))*(1+V_dMat)/(1-V_Merma)</f>
        <v>225365.46498749999</v>
      </c>
      <c r="AU229" s="48">
        <f>SUMPRODUCT(AU177:AU201,(42&gt;Corte)*(42&lt;=Corte+n_Ventana)*ISNUMBER(Detalle_24m!AU$70:AU$94)*Detalle_24m!AU$70:AU$94+(1-(42&gt;Corte)*(42&lt;=Corte+n_Ventana)*ISNUMBER(Detalle_24m!AU$70:AU$94))*MP_V*INDEX(IdxMP_V,1,MIN(10,AU$173)))*(1+V_dMat)/(1-V_Merma)</f>
        <v>225365.46498749999</v>
      </c>
      <c r="AV229" s="48">
        <f>SUMPRODUCT(AV177:AV201,(43&gt;Corte)*(43&lt;=Corte+n_Ventana)*ISNUMBER(Detalle_24m!AV$70:AV$94)*Detalle_24m!AV$70:AV$94+(1-(43&gt;Corte)*(43&lt;=Corte+n_Ventana)*ISNUMBER(Detalle_24m!AV$70:AV$94))*MP_V*INDEX(IdxMP_V,1,MIN(10,AV$173)))*(1+V_dMat)/(1-V_Merma)</f>
        <v>225365.46498749999</v>
      </c>
      <c r="AW229" s="48">
        <f>SUMPRODUCT(AW177:AW201,(44&gt;Corte)*(44&lt;=Corte+n_Ventana)*ISNUMBER(Detalle_24m!AW$70:AW$94)*Detalle_24m!AW$70:AW$94+(1-(44&gt;Corte)*(44&lt;=Corte+n_Ventana)*ISNUMBER(Detalle_24m!AW$70:AW$94))*MP_V*INDEX(IdxMP_V,1,MIN(10,AW$173)))*(1+V_dMat)/(1-V_Merma)</f>
        <v>225365.46498749999</v>
      </c>
      <c r="AX229" s="48">
        <f>SUMPRODUCT(AX177:AX201,(45&gt;Corte)*(45&lt;=Corte+n_Ventana)*ISNUMBER(Detalle_24m!AX$70:AX$94)*Detalle_24m!AX$70:AX$94+(1-(45&gt;Corte)*(45&lt;=Corte+n_Ventana)*ISNUMBER(Detalle_24m!AX$70:AX$94))*MP_V*INDEX(IdxMP_V,1,MIN(10,AX$173)))*(1+V_dMat)/(1-V_Merma)</f>
        <v>225365.46498749999</v>
      </c>
      <c r="AY229" s="48">
        <f>SUMPRODUCT(AY177:AY201,(46&gt;Corte)*(46&lt;=Corte+n_Ventana)*ISNUMBER(Detalle_24m!AY$70:AY$94)*Detalle_24m!AY$70:AY$94+(1-(46&gt;Corte)*(46&lt;=Corte+n_Ventana)*ISNUMBER(Detalle_24m!AY$70:AY$94))*MP_V*INDEX(IdxMP_V,1,MIN(10,AY$173)))*(1+V_dMat)/(1-V_Merma)</f>
        <v>225365.46498749999</v>
      </c>
      <c r="AZ229" s="48">
        <f>SUMPRODUCT(AZ177:AZ201,(47&gt;Corte)*(47&lt;=Corte+n_Ventana)*ISNUMBER(Detalle_24m!AZ$70:AZ$94)*Detalle_24m!AZ$70:AZ$94+(1-(47&gt;Corte)*(47&lt;=Corte+n_Ventana)*ISNUMBER(Detalle_24m!AZ$70:AZ$94))*MP_V*INDEX(IdxMP_V,1,MIN(10,AZ$173)))*(1+V_dMat)/(1-V_Merma)</f>
        <v>225365.46498749999</v>
      </c>
      <c r="BA229" s="48">
        <f>SUMPRODUCT(BA177:BA201,(48&gt;Corte)*(48&lt;=Corte+n_Ventana)*ISNUMBER(Detalle_24m!BA$70:BA$94)*Detalle_24m!BA$70:BA$94+(1-(48&gt;Corte)*(48&lt;=Corte+n_Ventana)*ISNUMBER(Detalle_24m!BA$70:BA$94))*MP_V*INDEX(IdxMP_V,1,MIN(10,BA$173)))*(1+V_dMat)/(1-V_Merma)</f>
        <v>225365.46498749999</v>
      </c>
      <c r="BB229" s="48">
        <f>SUMPRODUCT(BB177:BB201,(49&gt;Corte)*(49&lt;=Corte+n_Ventana)*ISNUMBER(Detalle_24m!BB$70:BB$94)*Detalle_24m!BB$70:BB$94+(1-(49&gt;Corte)*(49&lt;=Corte+n_Ventana)*ISNUMBER(Detalle_24m!BB$70:BB$94))*MP_V*INDEX(IdxMP_V,1,MIN(10,BB$173)))*(1+V_dMat)/(1-V_Merma)</f>
        <v>227619.119637375</v>
      </c>
      <c r="BC229" s="48">
        <f>SUMPRODUCT(BC177:BC201,(50&gt;Corte)*(50&lt;=Corte+n_Ventana)*ISNUMBER(Detalle_24m!BC$70:BC$94)*Detalle_24m!BC$70:BC$94+(1-(50&gt;Corte)*(50&lt;=Corte+n_Ventana)*ISNUMBER(Detalle_24m!BC$70:BC$94))*MP_V*INDEX(IdxMP_V,1,MIN(10,BC$173)))*(1+V_dMat)/(1-V_Merma)</f>
        <v>227619.119637375</v>
      </c>
      <c r="BD229" s="48">
        <f>SUMPRODUCT(BD177:BD201,(51&gt;Corte)*(51&lt;=Corte+n_Ventana)*ISNUMBER(Detalle_24m!BD$70:BD$94)*Detalle_24m!BD$70:BD$94+(1-(51&gt;Corte)*(51&lt;=Corte+n_Ventana)*ISNUMBER(Detalle_24m!BD$70:BD$94))*MP_V*INDEX(IdxMP_V,1,MIN(10,BD$173)))*(1+V_dMat)/(1-V_Merma)</f>
        <v>227619.119637375</v>
      </c>
      <c r="BE229" s="48">
        <f>SUMPRODUCT(BE177:BE201,(52&gt;Corte)*(52&lt;=Corte+n_Ventana)*ISNUMBER(Detalle_24m!BE$70:BE$94)*Detalle_24m!BE$70:BE$94+(1-(52&gt;Corte)*(52&lt;=Corte+n_Ventana)*ISNUMBER(Detalle_24m!BE$70:BE$94))*MP_V*INDEX(IdxMP_V,1,MIN(10,BE$173)))*(1+V_dMat)/(1-V_Merma)</f>
        <v>227619.119637375</v>
      </c>
      <c r="BF229" s="48">
        <f>SUMPRODUCT(BF177:BF201,(53&gt;Corte)*(53&lt;=Corte+n_Ventana)*ISNUMBER(Detalle_24m!BF$70:BF$94)*Detalle_24m!BF$70:BF$94+(1-(53&gt;Corte)*(53&lt;=Corte+n_Ventana)*ISNUMBER(Detalle_24m!BF$70:BF$94))*MP_V*INDEX(IdxMP_V,1,MIN(10,BF$173)))*(1+V_dMat)/(1-V_Merma)</f>
        <v>227619.119637375</v>
      </c>
      <c r="BG229" s="48">
        <f>SUMPRODUCT(BG177:BG201,(54&gt;Corte)*(54&lt;=Corte+n_Ventana)*ISNUMBER(Detalle_24m!BG$70:BG$94)*Detalle_24m!BG$70:BG$94+(1-(54&gt;Corte)*(54&lt;=Corte+n_Ventana)*ISNUMBER(Detalle_24m!BG$70:BG$94))*MP_V*INDEX(IdxMP_V,1,MIN(10,BG$173)))*(1+V_dMat)/(1-V_Merma)</f>
        <v>227619.119637375</v>
      </c>
      <c r="BH229" s="48">
        <f>SUMPRODUCT(BH177:BH201,(55&gt;Corte)*(55&lt;=Corte+n_Ventana)*ISNUMBER(Detalle_24m!BH$70:BH$94)*Detalle_24m!BH$70:BH$94+(1-(55&gt;Corte)*(55&lt;=Corte+n_Ventana)*ISNUMBER(Detalle_24m!BH$70:BH$94))*MP_V*INDEX(IdxMP_V,1,MIN(10,BH$173)))*(1+V_dMat)/(1-V_Merma)</f>
        <v>227619.119637375</v>
      </c>
      <c r="BI229" s="48">
        <f>SUMPRODUCT(BI177:BI201,(56&gt;Corte)*(56&lt;=Corte+n_Ventana)*ISNUMBER(Detalle_24m!BI$70:BI$94)*Detalle_24m!BI$70:BI$94+(1-(56&gt;Corte)*(56&lt;=Corte+n_Ventana)*ISNUMBER(Detalle_24m!BI$70:BI$94))*MP_V*INDEX(IdxMP_V,1,MIN(10,BI$173)))*(1+V_dMat)/(1-V_Merma)</f>
        <v>227619.119637375</v>
      </c>
      <c r="BJ229" s="48">
        <f>SUMPRODUCT(BJ177:BJ201,(57&gt;Corte)*(57&lt;=Corte+n_Ventana)*ISNUMBER(Detalle_24m!BJ$70:BJ$94)*Detalle_24m!BJ$70:BJ$94+(1-(57&gt;Corte)*(57&lt;=Corte+n_Ventana)*ISNUMBER(Detalle_24m!BJ$70:BJ$94))*MP_V*INDEX(IdxMP_V,1,MIN(10,BJ$173)))*(1+V_dMat)/(1-V_Merma)</f>
        <v>227619.119637375</v>
      </c>
      <c r="BK229" s="48">
        <f>SUMPRODUCT(BK177:BK201,(58&gt;Corte)*(58&lt;=Corte+n_Ventana)*ISNUMBER(Detalle_24m!BK$70:BK$94)*Detalle_24m!BK$70:BK$94+(1-(58&gt;Corte)*(58&lt;=Corte+n_Ventana)*ISNUMBER(Detalle_24m!BK$70:BK$94))*MP_V*INDEX(IdxMP_V,1,MIN(10,BK$173)))*(1+V_dMat)/(1-V_Merma)</f>
        <v>227619.119637375</v>
      </c>
      <c r="BL229" s="48">
        <f>SUMPRODUCT(BL177:BL201,(59&gt;Corte)*(59&lt;=Corte+n_Ventana)*ISNUMBER(Detalle_24m!BL$70:BL$94)*Detalle_24m!BL$70:BL$94+(1-(59&gt;Corte)*(59&lt;=Corte+n_Ventana)*ISNUMBER(Detalle_24m!BL$70:BL$94))*MP_V*INDEX(IdxMP_V,1,MIN(10,BL$173)))*(1+V_dMat)/(1-V_Merma)</f>
        <v>227619.119637375</v>
      </c>
      <c r="BM229" s="48">
        <f>SUMPRODUCT(BM177:BM201,(60&gt;Corte)*(60&lt;=Corte+n_Ventana)*ISNUMBER(Detalle_24m!BM$70:BM$94)*Detalle_24m!BM$70:BM$94+(1-(60&gt;Corte)*(60&lt;=Corte+n_Ventana)*ISNUMBER(Detalle_24m!BM$70:BM$94))*MP_V*INDEX(IdxMP_V,1,MIN(10,BM$173)))*(1+V_dMat)/(1-V_Merma)</f>
        <v>227619.119637375</v>
      </c>
      <c r="BN229" s="48">
        <f>SUMPRODUCT(BN177:BN201,(61&gt;Corte)*(61&lt;=Corte+n_Ventana)*ISNUMBER(Detalle_24m!BN$70:BN$94)*Detalle_24m!BN$70:BN$94+(1-(61&gt;Corte)*(61&lt;=Corte+n_Ventana)*ISNUMBER(Detalle_24m!BN$70:BN$94))*MP_V*INDEX(IdxMP_V,1,MIN(10,BN$173)))*(1+V_dMat)/(1-V_Merma)</f>
        <v>229895.31083374872</v>
      </c>
      <c r="BO229" s="48">
        <f>SUMPRODUCT(BO177:BO201,(62&gt;Corte)*(62&lt;=Corte+n_Ventana)*ISNUMBER(Detalle_24m!BO$70:BO$94)*Detalle_24m!BO$70:BO$94+(1-(62&gt;Corte)*(62&lt;=Corte+n_Ventana)*ISNUMBER(Detalle_24m!BO$70:BO$94))*MP_V*INDEX(IdxMP_V,1,MIN(10,BO$173)))*(1+V_dMat)/(1-V_Merma)</f>
        <v>229895.31083374872</v>
      </c>
      <c r="BP229" s="48">
        <f>SUMPRODUCT(BP177:BP201,(63&gt;Corte)*(63&lt;=Corte+n_Ventana)*ISNUMBER(Detalle_24m!BP$70:BP$94)*Detalle_24m!BP$70:BP$94+(1-(63&gt;Corte)*(63&lt;=Corte+n_Ventana)*ISNUMBER(Detalle_24m!BP$70:BP$94))*MP_V*INDEX(IdxMP_V,1,MIN(10,BP$173)))*(1+V_dMat)/(1-V_Merma)</f>
        <v>229895.31083374872</v>
      </c>
      <c r="BQ229" s="48">
        <f>SUMPRODUCT(BQ177:BQ201,(64&gt;Corte)*(64&lt;=Corte+n_Ventana)*ISNUMBER(Detalle_24m!BQ$70:BQ$94)*Detalle_24m!BQ$70:BQ$94+(1-(64&gt;Corte)*(64&lt;=Corte+n_Ventana)*ISNUMBER(Detalle_24m!BQ$70:BQ$94))*MP_V*INDEX(IdxMP_V,1,MIN(10,BQ$173)))*(1+V_dMat)/(1-V_Merma)</f>
        <v>229895.31083374872</v>
      </c>
      <c r="BR229" s="48">
        <f>SUMPRODUCT(BR177:BR201,(65&gt;Corte)*(65&lt;=Corte+n_Ventana)*ISNUMBER(Detalle_24m!BR$70:BR$94)*Detalle_24m!BR$70:BR$94+(1-(65&gt;Corte)*(65&lt;=Corte+n_Ventana)*ISNUMBER(Detalle_24m!BR$70:BR$94))*MP_V*INDEX(IdxMP_V,1,MIN(10,BR$173)))*(1+V_dMat)/(1-V_Merma)</f>
        <v>229895.31083374872</v>
      </c>
      <c r="BS229" s="48">
        <f>SUMPRODUCT(BS177:BS201,(66&gt;Corte)*(66&lt;=Corte+n_Ventana)*ISNUMBER(Detalle_24m!BS$70:BS$94)*Detalle_24m!BS$70:BS$94+(1-(66&gt;Corte)*(66&lt;=Corte+n_Ventana)*ISNUMBER(Detalle_24m!BS$70:BS$94))*MP_V*INDEX(IdxMP_V,1,MIN(10,BS$173)))*(1+V_dMat)/(1-V_Merma)</f>
        <v>229895.31083374872</v>
      </c>
      <c r="BT229" s="48">
        <f>SUMPRODUCT(BT177:BT201,(67&gt;Corte)*(67&lt;=Corte+n_Ventana)*ISNUMBER(Detalle_24m!BT$70:BT$94)*Detalle_24m!BT$70:BT$94+(1-(67&gt;Corte)*(67&lt;=Corte+n_Ventana)*ISNUMBER(Detalle_24m!BT$70:BT$94))*MP_V*INDEX(IdxMP_V,1,MIN(10,BT$173)))*(1+V_dMat)/(1-V_Merma)</f>
        <v>229895.31083374872</v>
      </c>
      <c r="BU229" s="48">
        <f>SUMPRODUCT(BU177:BU201,(68&gt;Corte)*(68&lt;=Corte+n_Ventana)*ISNUMBER(Detalle_24m!BU$70:BU$94)*Detalle_24m!BU$70:BU$94+(1-(68&gt;Corte)*(68&lt;=Corte+n_Ventana)*ISNUMBER(Detalle_24m!BU$70:BU$94))*MP_V*INDEX(IdxMP_V,1,MIN(10,BU$173)))*(1+V_dMat)/(1-V_Merma)</f>
        <v>229895.31083374872</v>
      </c>
      <c r="BV229" s="48">
        <f>SUMPRODUCT(BV177:BV201,(69&gt;Corte)*(69&lt;=Corte+n_Ventana)*ISNUMBER(Detalle_24m!BV$70:BV$94)*Detalle_24m!BV$70:BV$94+(1-(69&gt;Corte)*(69&lt;=Corte+n_Ventana)*ISNUMBER(Detalle_24m!BV$70:BV$94))*MP_V*INDEX(IdxMP_V,1,MIN(10,BV$173)))*(1+V_dMat)/(1-V_Merma)</f>
        <v>229895.31083374872</v>
      </c>
      <c r="BW229" s="48">
        <f>SUMPRODUCT(BW177:BW201,(70&gt;Corte)*(70&lt;=Corte+n_Ventana)*ISNUMBER(Detalle_24m!BW$70:BW$94)*Detalle_24m!BW$70:BW$94+(1-(70&gt;Corte)*(70&lt;=Corte+n_Ventana)*ISNUMBER(Detalle_24m!BW$70:BW$94))*MP_V*INDEX(IdxMP_V,1,MIN(10,BW$173)))*(1+V_dMat)/(1-V_Merma)</f>
        <v>229895.31083374872</v>
      </c>
      <c r="BX229" s="48">
        <f>SUMPRODUCT(BX177:BX201,(71&gt;Corte)*(71&lt;=Corte+n_Ventana)*ISNUMBER(Detalle_24m!BX$70:BX$94)*Detalle_24m!BX$70:BX$94+(1-(71&gt;Corte)*(71&lt;=Corte+n_Ventana)*ISNUMBER(Detalle_24m!BX$70:BX$94))*MP_V*INDEX(IdxMP_V,1,MIN(10,BX$173)))*(1+V_dMat)/(1-V_Merma)</f>
        <v>229895.31083374872</v>
      </c>
      <c r="BY229" s="48">
        <f>SUMPRODUCT(BY177:BY201,(72&gt;Corte)*(72&lt;=Corte+n_Ventana)*ISNUMBER(Detalle_24m!BY$70:BY$94)*Detalle_24m!BY$70:BY$94+(1-(72&gt;Corte)*(72&lt;=Corte+n_Ventana)*ISNUMBER(Detalle_24m!BY$70:BY$94))*MP_V*INDEX(IdxMP_V,1,MIN(10,BY$173)))*(1+V_dMat)/(1-V_Merma)</f>
        <v>229895.31083374872</v>
      </c>
      <c r="BZ229" s="48">
        <f>SUMPRODUCT(BZ177:BZ201,(73&gt;Corte)*(73&lt;=Corte+n_Ventana)*ISNUMBER(Detalle_24m!BZ$70:BZ$94)*Detalle_24m!BZ$70:BZ$94+(1-(73&gt;Corte)*(73&lt;=Corte+n_Ventana)*ISNUMBER(Detalle_24m!BZ$70:BZ$94))*MP_V*INDEX(IdxMP_V,1,MIN(10,BZ$173)))*(1+V_dMat)/(1-V_Merma)</f>
        <v>232194.26394208625</v>
      </c>
      <c r="CA229" s="48">
        <f>SUMPRODUCT(CA177:CA201,(74&gt;Corte)*(74&lt;=Corte+n_Ventana)*ISNUMBER(Detalle_24m!CA$70:CA$94)*Detalle_24m!CA$70:CA$94+(1-(74&gt;Corte)*(74&lt;=Corte+n_Ventana)*ISNUMBER(Detalle_24m!CA$70:CA$94))*MP_V*INDEX(IdxMP_V,1,MIN(10,CA$173)))*(1+V_dMat)/(1-V_Merma)</f>
        <v>232194.26394208625</v>
      </c>
      <c r="CB229" s="48">
        <f>SUMPRODUCT(CB177:CB201,(75&gt;Corte)*(75&lt;=Corte+n_Ventana)*ISNUMBER(Detalle_24m!CB$70:CB$94)*Detalle_24m!CB$70:CB$94+(1-(75&gt;Corte)*(75&lt;=Corte+n_Ventana)*ISNUMBER(Detalle_24m!CB$70:CB$94))*MP_V*INDEX(IdxMP_V,1,MIN(10,CB$173)))*(1+V_dMat)/(1-V_Merma)</f>
        <v>232194.26394208625</v>
      </c>
      <c r="CC229" s="48">
        <f>SUMPRODUCT(CC177:CC201,(76&gt;Corte)*(76&lt;=Corte+n_Ventana)*ISNUMBER(Detalle_24m!CC$70:CC$94)*Detalle_24m!CC$70:CC$94+(1-(76&gt;Corte)*(76&lt;=Corte+n_Ventana)*ISNUMBER(Detalle_24m!CC$70:CC$94))*MP_V*INDEX(IdxMP_V,1,MIN(10,CC$173)))*(1+V_dMat)/(1-V_Merma)</f>
        <v>232194.26394208625</v>
      </c>
      <c r="CD229" s="48">
        <f>SUMPRODUCT(CD177:CD201,(77&gt;Corte)*(77&lt;=Corte+n_Ventana)*ISNUMBER(Detalle_24m!CD$70:CD$94)*Detalle_24m!CD$70:CD$94+(1-(77&gt;Corte)*(77&lt;=Corte+n_Ventana)*ISNUMBER(Detalle_24m!CD$70:CD$94))*MP_V*INDEX(IdxMP_V,1,MIN(10,CD$173)))*(1+V_dMat)/(1-V_Merma)</f>
        <v>232194.26394208625</v>
      </c>
      <c r="CE229" s="48">
        <f>SUMPRODUCT(CE177:CE201,(78&gt;Corte)*(78&lt;=Corte+n_Ventana)*ISNUMBER(Detalle_24m!CE$70:CE$94)*Detalle_24m!CE$70:CE$94+(1-(78&gt;Corte)*(78&lt;=Corte+n_Ventana)*ISNUMBER(Detalle_24m!CE$70:CE$94))*MP_V*INDEX(IdxMP_V,1,MIN(10,CE$173)))*(1+V_dMat)/(1-V_Merma)</f>
        <v>232194.26394208625</v>
      </c>
      <c r="CF229" s="48">
        <f>SUMPRODUCT(CF177:CF201,(79&gt;Corte)*(79&lt;=Corte+n_Ventana)*ISNUMBER(Detalle_24m!CF$70:CF$94)*Detalle_24m!CF$70:CF$94+(1-(79&gt;Corte)*(79&lt;=Corte+n_Ventana)*ISNUMBER(Detalle_24m!CF$70:CF$94))*MP_V*INDEX(IdxMP_V,1,MIN(10,CF$173)))*(1+V_dMat)/(1-V_Merma)</f>
        <v>232194.26394208625</v>
      </c>
      <c r="CG229" s="48">
        <f>SUMPRODUCT(CG177:CG201,(80&gt;Corte)*(80&lt;=Corte+n_Ventana)*ISNUMBER(Detalle_24m!CG$70:CG$94)*Detalle_24m!CG$70:CG$94+(1-(80&gt;Corte)*(80&lt;=Corte+n_Ventana)*ISNUMBER(Detalle_24m!CG$70:CG$94))*MP_V*INDEX(IdxMP_V,1,MIN(10,CG$173)))*(1+V_dMat)/(1-V_Merma)</f>
        <v>232194.26394208625</v>
      </c>
      <c r="CH229" s="48">
        <f>SUMPRODUCT(CH177:CH201,(81&gt;Corte)*(81&lt;=Corte+n_Ventana)*ISNUMBER(Detalle_24m!CH$70:CH$94)*Detalle_24m!CH$70:CH$94+(1-(81&gt;Corte)*(81&lt;=Corte+n_Ventana)*ISNUMBER(Detalle_24m!CH$70:CH$94))*MP_V*INDEX(IdxMP_V,1,MIN(10,CH$173)))*(1+V_dMat)/(1-V_Merma)</f>
        <v>232194.26394208625</v>
      </c>
      <c r="CI229" s="48">
        <f>SUMPRODUCT(CI177:CI201,(82&gt;Corte)*(82&lt;=Corte+n_Ventana)*ISNUMBER(Detalle_24m!CI$70:CI$94)*Detalle_24m!CI$70:CI$94+(1-(82&gt;Corte)*(82&lt;=Corte+n_Ventana)*ISNUMBER(Detalle_24m!CI$70:CI$94))*MP_V*INDEX(IdxMP_V,1,MIN(10,CI$173)))*(1+V_dMat)/(1-V_Merma)</f>
        <v>232194.26394208625</v>
      </c>
      <c r="CJ229" s="48">
        <f>SUMPRODUCT(CJ177:CJ201,(83&gt;Corte)*(83&lt;=Corte+n_Ventana)*ISNUMBER(Detalle_24m!CJ$70:CJ$94)*Detalle_24m!CJ$70:CJ$94+(1-(83&gt;Corte)*(83&lt;=Corte+n_Ventana)*ISNUMBER(Detalle_24m!CJ$70:CJ$94))*MP_V*INDEX(IdxMP_V,1,MIN(10,CJ$173)))*(1+V_dMat)/(1-V_Merma)</f>
        <v>232194.26394208625</v>
      </c>
      <c r="CK229" s="48">
        <f>SUMPRODUCT(CK177:CK201,(84&gt;Corte)*(84&lt;=Corte+n_Ventana)*ISNUMBER(Detalle_24m!CK$70:CK$94)*Detalle_24m!CK$70:CK$94+(1-(84&gt;Corte)*(84&lt;=Corte+n_Ventana)*ISNUMBER(Detalle_24m!CK$70:CK$94))*MP_V*INDEX(IdxMP_V,1,MIN(10,CK$173)))*(1+V_dMat)/(1-V_Merma)</f>
        <v>232194.26394208625</v>
      </c>
      <c r="CL229" s="48">
        <f>SUMPRODUCT(CL177:CL201,(85&gt;Corte)*(85&lt;=Corte+n_Ventana)*ISNUMBER(Detalle_24m!CL$70:CL$94)*Detalle_24m!CL$70:CL$94+(1-(85&gt;Corte)*(85&lt;=Corte+n_Ventana)*ISNUMBER(Detalle_24m!CL$70:CL$94))*MP_V*INDEX(IdxMP_V,1,MIN(10,CL$173)))*(1+V_dMat)/(1-V_Merma)</f>
        <v>234516.20658150708</v>
      </c>
      <c r="CM229" s="48">
        <f>SUMPRODUCT(CM177:CM201,(86&gt;Corte)*(86&lt;=Corte+n_Ventana)*ISNUMBER(Detalle_24m!CM$70:CM$94)*Detalle_24m!CM$70:CM$94+(1-(86&gt;Corte)*(86&lt;=Corte+n_Ventana)*ISNUMBER(Detalle_24m!CM$70:CM$94))*MP_V*INDEX(IdxMP_V,1,MIN(10,CM$173)))*(1+V_dMat)/(1-V_Merma)</f>
        <v>234516.20658150708</v>
      </c>
      <c r="CN229" s="48">
        <f>SUMPRODUCT(CN177:CN201,(87&gt;Corte)*(87&lt;=Corte+n_Ventana)*ISNUMBER(Detalle_24m!CN$70:CN$94)*Detalle_24m!CN$70:CN$94+(1-(87&gt;Corte)*(87&lt;=Corte+n_Ventana)*ISNUMBER(Detalle_24m!CN$70:CN$94))*MP_V*INDEX(IdxMP_V,1,MIN(10,CN$173)))*(1+V_dMat)/(1-V_Merma)</f>
        <v>234516.20658150708</v>
      </c>
      <c r="CO229" s="48">
        <f>SUMPRODUCT(CO177:CO201,(88&gt;Corte)*(88&lt;=Corte+n_Ventana)*ISNUMBER(Detalle_24m!CO$70:CO$94)*Detalle_24m!CO$70:CO$94+(1-(88&gt;Corte)*(88&lt;=Corte+n_Ventana)*ISNUMBER(Detalle_24m!CO$70:CO$94))*MP_V*INDEX(IdxMP_V,1,MIN(10,CO$173)))*(1+V_dMat)/(1-V_Merma)</f>
        <v>234516.20658150708</v>
      </c>
      <c r="CP229" s="48">
        <f>SUMPRODUCT(CP177:CP201,(89&gt;Corte)*(89&lt;=Corte+n_Ventana)*ISNUMBER(Detalle_24m!CP$70:CP$94)*Detalle_24m!CP$70:CP$94+(1-(89&gt;Corte)*(89&lt;=Corte+n_Ventana)*ISNUMBER(Detalle_24m!CP$70:CP$94))*MP_V*INDEX(IdxMP_V,1,MIN(10,CP$173)))*(1+V_dMat)/(1-V_Merma)</f>
        <v>234516.20658150708</v>
      </c>
      <c r="CQ229" s="48">
        <f>SUMPRODUCT(CQ177:CQ201,(90&gt;Corte)*(90&lt;=Corte+n_Ventana)*ISNUMBER(Detalle_24m!CQ$70:CQ$94)*Detalle_24m!CQ$70:CQ$94+(1-(90&gt;Corte)*(90&lt;=Corte+n_Ventana)*ISNUMBER(Detalle_24m!CQ$70:CQ$94))*MP_V*INDEX(IdxMP_V,1,MIN(10,CQ$173)))*(1+V_dMat)/(1-V_Merma)</f>
        <v>234516.20658150708</v>
      </c>
      <c r="CR229" s="48">
        <f>SUMPRODUCT(CR177:CR201,(91&gt;Corte)*(91&lt;=Corte+n_Ventana)*ISNUMBER(Detalle_24m!CR$70:CR$94)*Detalle_24m!CR$70:CR$94+(1-(91&gt;Corte)*(91&lt;=Corte+n_Ventana)*ISNUMBER(Detalle_24m!CR$70:CR$94))*MP_V*INDEX(IdxMP_V,1,MIN(10,CR$173)))*(1+V_dMat)/(1-V_Merma)</f>
        <v>234516.20658150708</v>
      </c>
      <c r="CS229" s="48">
        <f>SUMPRODUCT(CS177:CS201,(92&gt;Corte)*(92&lt;=Corte+n_Ventana)*ISNUMBER(Detalle_24m!CS$70:CS$94)*Detalle_24m!CS$70:CS$94+(1-(92&gt;Corte)*(92&lt;=Corte+n_Ventana)*ISNUMBER(Detalle_24m!CS$70:CS$94))*MP_V*INDEX(IdxMP_V,1,MIN(10,CS$173)))*(1+V_dMat)/(1-V_Merma)</f>
        <v>234516.20658150708</v>
      </c>
      <c r="CT229" s="48">
        <f>SUMPRODUCT(CT177:CT201,(93&gt;Corte)*(93&lt;=Corte+n_Ventana)*ISNUMBER(Detalle_24m!CT$70:CT$94)*Detalle_24m!CT$70:CT$94+(1-(93&gt;Corte)*(93&lt;=Corte+n_Ventana)*ISNUMBER(Detalle_24m!CT$70:CT$94))*MP_V*INDEX(IdxMP_V,1,MIN(10,CT$173)))*(1+V_dMat)/(1-V_Merma)</f>
        <v>234516.20658150708</v>
      </c>
      <c r="CU229" s="48">
        <f>SUMPRODUCT(CU177:CU201,(94&gt;Corte)*(94&lt;=Corte+n_Ventana)*ISNUMBER(Detalle_24m!CU$70:CU$94)*Detalle_24m!CU$70:CU$94+(1-(94&gt;Corte)*(94&lt;=Corte+n_Ventana)*ISNUMBER(Detalle_24m!CU$70:CU$94))*MP_V*INDEX(IdxMP_V,1,MIN(10,CU$173)))*(1+V_dMat)/(1-V_Merma)</f>
        <v>234516.20658150708</v>
      </c>
      <c r="CV229" s="48">
        <f>SUMPRODUCT(CV177:CV201,(95&gt;Corte)*(95&lt;=Corte+n_Ventana)*ISNUMBER(Detalle_24m!CV$70:CV$94)*Detalle_24m!CV$70:CV$94+(1-(95&gt;Corte)*(95&lt;=Corte+n_Ventana)*ISNUMBER(Detalle_24m!CV$70:CV$94))*MP_V*INDEX(IdxMP_V,1,MIN(10,CV$173)))*(1+V_dMat)/(1-V_Merma)</f>
        <v>234516.20658150708</v>
      </c>
      <c r="CW229" s="48">
        <f>SUMPRODUCT(CW177:CW201,(96&gt;Corte)*(96&lt;=Corte+n_Ventana)*ISNUMBER(Detalle_24m!CW$70:CW$94)*Detalle_24m!CW$70:CW$94+(1-(96&gt;Corte)*(96&lt;=Corte+n_Ventana)*ISNUMBER(Detalle_24m!CW$70:CW$94))*MP_V*INDEX(IdxMP_V,1,MIN(10,CW$173)))*(1+V_dMat)/(1-V_Merma)</f>
        <v>234516.20658150708</v>
      </c>
      <c r="CX229" s="48">
        <f>SUMPRODUCT(CX177:CX201,(97&gt;Corte)*(97&lt;=Corte+n_Ventana)*ISNUMBER(Detalle_24m!CX$70:CX$94)*Detalle_24m!CX$70:CX$94+(1-(97&gt;Corte)*(97&lt;=Corte+n_Ventana)*ISNUMBER(Detalle_24m!CX$70:CX$94))*MP_V*INDEX(IdxMP_V,1,MIN(10,CX$173)))*(1+V_dMat)/(1-V_Merma)</f>
        <v>236861.36864732218</v>
      </c>
      <c r="CY229" s="48">
        <f>SUMPRODUCT(CY177:CY201,(98&gt;Corte)*(98&lt;=Corte+n_Ventana)*ISNUMBER(Detalle_24m!CY$70:CY$94)*Detalle_24m!CY$70:CY$94+(1-(98&gt;Corte)*(98&lt;=Corte+n_Ventana)*ISNUMBER(Detalle_24m!CY$70:CY$94))*MP_V*INDEX(IdxMP_V,1,MIN(10,CY$173)))*(1+V_dMat)/(1-V_Merma)</f>
        <v>236861.36864732218</v>
      </c>
      <c r="CZ229" s="48">
        <f>SUMPRODUCT(CZ177:CZ201,(99&gt;Corte)*(99&lt;=Corte+n_Ventana)*ISNUMBER(Detalle_24m!CZ$70:CZ$94)*Detalle_24m!CZ$70:CZ$94+(1-(99&gt;Corte)*(99&lt;=Corte+n_Ventana)*ISNUMBER(Detalle_24m!CZ$70:CZ$94))*MP_V*INDEX(IdxMP_V,1,MIN(10,CZ$173)))*(1+V_dMat)/(1-V_Merma)</f>
        <v>236861.36864732218</v>
      </c>
      <c r="DA229" s="48">
        <f>SUMPRODUCT(DA177:DA201,(100&gt;Corte)*(100&lt;=Corte+n_Ventana)*ISNUMBER(Detalle_24m!DA$70:DA$94)*Detalle_24m!DA$70:DA$94+(1-(100&gt;Corte)*(100&lt;=Corte+n_Ventana)*ISNUMBER(Detalle_24m!DA$70:DA$94))*MP_V*INDEX(IdxMP_V,1,MIN(10,DA$173)))*(1+V_dMat)/(1-V_Merma)</f>
        <v>236861.36864732218</v>
      </c>
      <c r="DB229" s="48">
        <f>SUMPRODUCT(DB177:DB201,(101&gt;Corte)*(101&lt;=Corte+n_Ventana)*ISNUMBER(Detalle_24m!DB$70:DB$94)*Detalle_24m!DB$70:DB$94+(1-(101&gt;Corte)*(101&lt;=Corte+n_Ventana)*ISNUMBER(Detalle_24m!DB$70:DB$94))*MP_V*INDEX(IdxMP_V,1,MIN(10,DB$173)))*(1+V_dMat)/(1-V_Merma)</f>
        <v>236861.36864732218</v>
      </c>
      <c r="DC229" s="48">
        <f>SUMPRODUCT(DC177:DC201,(102&gt;Corte)*(102&lt;=Corte+n_Ventana)*ISNUMBER(Detalle_24m!DC$70:DC$94)*Detalle_24m!DC$70:DC$94+(1-(102&gt;Corte)*(102&lt;=Corte+n_Ventana)*ISNUMBER(Detalle_24m!DC$70:DC$94))*MP_V*INDEX(IdxMP_V,1,MIN(10,DC$173)))*(1+V_dMat)/(1-V_Merma)</f>
        <v>236861.36864732218</v>
      </c>
      <c r="DD229" s="48">
        <f>SUMPRODUCT(DD177:DD201,(103&gt;Corte)*(103&lt;=Corte+n_Ventana)*ISNUMBER(Detalle_24m!DD$70:DD$94)*Detalle_24m!DD$70:DD$94+(1-(103&gt;Corte)*(103&lt;=Corte+n_Ventana)*ISNUMBER(Detalle_24m!DD$70:DD$94))*MP_V*INDEX(IdxMP_V,1,MIN(10,DD$173)))*(1+V_dMat)/(1-V_Merma)</f>
        <v>236861.36864732218</v>
      </c>
      <c r="DE229" s="48">
        <f>SUMPRODUCT(DE177:DE201,(104&gt;Corte)*(104&lt;=Corte+n_Ventana)*ISNUMBER(Detalle_24m!DE$70:DE$94)*Detalle_24m!DE$70:DE$94+(1-(104&gt;Corte)*(104&lt;=Corte+n_Ventana)*ISNUMBER(Detalle_24m!DE$70:DE$94))*MP_V*INDEX(IdxMP_V,1,MIN(10,DE$173)))*(1+V_dMat)/(1-V_Merma)</f>
        <v>236861.36864732218</v>
      </c>
      <c r="DF229" s="48">
        <f>SUMPRODUCT(DF177:DF201,(105&gt;Corte)*(105&lt;=Corte+n_Ventana)*ISNUMBER(Detalle_24m!DF$70:DF$94)*Detalle_24m!DF$70:DF$94+(1-(105&gt;Corte)*(105&lt;=Corte+n_Ventana)*ISNUMBER(Detalle_24m!DF$70:DF$94))*MP_V*INDEX(IdxMP_V,1,MIN(10,DF$173)))*(1+V_dMat)/(1-V_Merma)</f>
        <v>236861.36864732218</v>
      </c>
      <c r="DG229" s="48">
        <f>SUMPRODUCT(DG177:DG201,(106&gt;Corte)*(106&lt;=Corte+n_Ventana)*ISNUMBER(Detalle_24m!DG$70:DG$94)*Detalle_24m!DG$70:DG$94+(1-(106&gt;Corte)*(106&lt;=Corte+n_Ventana)*ISNUMBER(Detalle_24m!DG$70:DG$94))*MP_V*INDEX(IdxMP_V,1,MIN(10,DG$173)))*(1+V_dMat)/(1-V_Merma)</f>
        <v>236861.36864732218</v>
      </c>
      <c r="DH229" s="48">
        <f>SUMPRODUCT(DH177:DH201,(107&gt;Corte)*(107&lt;=Corte+n_Ventana)*ISNUMBER(Detalle_24m!DH$70:DH$94)*Detalle_24m!DH$70:DH$94+(1-(107&gt;Corte)*(107&lt;=Corte+n_Ventana)*ISNUMBER(Detalle_24m!DH$70:DH$94))*MP_V*INDEX(IdxMP_V,1,MIN(10,DH$173)))*(1+V_dMat)/(1-V_Merma)</f>
        <v>236861.36864732218</v>
      </c>
      <c r="DI229" s="48">
        <f>SUMPRODUCT(DI177:DI201,(108&gt;Corte)*(108&lt;=Corte+n_Ventana)*ISNUMBER(Detalle_24m!DI$70:DI$94)*Detalle_24m!DI$70:DI$94+(1-(108&gt;Corte)*(108&lt;=Corte+n_Ventana)*ISNUMBER(Detalle_24m!DI$70:DI$94))*MP_V*INDEX(IdxMP_V,1,MIN(10,DI$173)))*(1+V_dMat)/(1-V_Merma)</f>
        <v>236861.36864732218</v>
      </c>
      <c r="DJ229" s="48">
        <f>SUMPRODUCT(DJ177:DJ201,(109&gt;Corte)*(109&lt;=Corte+n_Ventana)*ISNUMBER(Detalle_24m!DJ$70:DJ$94)*Detalle_24m!DJ$70:DJ$94+(1-(109&gt;Corte)*(109&lt;=Corte+n_Ventana)*ISNUMBER(Detalle_24m!DJ$70:DJ$94))*MP_V*INDEX(IdxMP_V,1,MIN(10,DJ$173)))*(1+V_dMat)/(1-V_Merma)</f>
        <v>239229.9823337954</v>
      </c>
      <c r="DK229" s="48">
        <f>SUMPRODUCT(DK177:DK201,(110&gt;Corte)*(110&lt;=Corte+n_Ventana)*ISNUMBER(Detalle_24m!DK$70:DK$94)*Detalle_24m!DK$70:DK$94+(1-(110&gt;Corte)*(110&lt;=Corte+n_Ventana)*ISNUMBER(Detalle_24m!DK$70:DK$94))*MP_V*INDEX(IdxMP_V,1,MIN(10,DK$173)))*(1+V_dMat)/(1-V_Merma)</f>
        <v>239229.9823337954</v>
      </c>
      <c r="DL229" s="48">
        <f>SUMPRODUCT(DL177:DL201,(111&gt;Corte)*(111&lt;=Corte+n_Ventana)*ISNUMBER(Detalle_24m!DL$70:DL$94)*Detalle_24m!DL$70:DL$94+(1-(111&gt;Corte)*(111&lt;=Corte+n_Ventana)*ISNUMBER(Detalle_24m!DL$70:DL$94))*MP_V*INDEX(IdxMP_V,1,MIN(10,DL$173)))*(1+V_dMat)/(1-V_Merma)</f>
        <v>239229.9823337954</v>
      </c>
      <c r="DM229" s="48">
        <f>SUMPRODUCT(DM177:DM201,(112&gt;Corte)*(112&lt;=Corte+n_Ventana)*ISNUMBER(Detalle_24m!DM$70:DM$94)*Detalle_24m!DM$70:DM$94+(1-(112&gt;Corte)*(112&lt;=Corte+n_Ventana)*ISNUMBER(Detalle_24m!DM$70:DM$94))*MP_V*INDEX(IdxMP_V,1,MIN(10,DM$173)))*(1+V_dMat)/(1-V_Merma)</f>
        <v>239229.9823337954</v>
      </c>
      <c r="DN229" s="48">
        <f>SUMPRODUCT(DN177:DN201,(113&gt;Corte)*(113&lt;=Corte+n_Ventana)*ISNUMBER(Detalle_24m!DN$70:DN$94)*Detalle_24m!DN$70:DN$94+(1-(113&gt;Corte)*(113&lt;=Corte+n_Ventana)*ISNUMBER(Detalle_24m!DN$70:DN$94))*MP_V*INDEX(IdxMP_V,1,MIN(10,DN$173)))*(1+V_dMat)/(1-V_Merma)</f>
        <v>239229.9823337954</v>
      </c>
      <c r="DO229" s="48">
        <f>SUMPRODUCT(DO177:DO201,(114&gt;Corte)*(114&lt;=Corte+n_Ventana)*ISNUMBER(Detalle_24m!DO$70:DO$94)*Detalle_24m!DO$70:DO$94+(1-(114&gt;Corte)*(114&lt;=Corte+n_Ventana)*ISNUMBER(Detalle_24m!DO$70:DO$94))*MP_V*INDEX(IdxMP_V,1,MIN(10,DO$173)))*(1+V_dMat)/(1-V_Merma)</f>
        <v>239229.9823337954</v>
      </c>
      <c r="DP229" s="48">
        <f>SUMPRODUCT(DP177:DP201,(115&gt;Corte)*(115&lt;=Corte+n_Ventana)*ISNUMBER(Detalle_24m!DP$70:DP$94)*Detalle_24m!DP$70:DP$94+(1-(115&gt;Corte)*(115&lt;=Corte+n_Ventana)*ISNUMBER(Detalle_24m!DP$70:DP$94))*MP_V*INDEX(IdxMP_V,1,MIN(10,DP$173)))*(1+V_dMat)/(1-V_Merma)</f>
        <v>239229.9823337954</v>
      </c>
      <c r="DQ229" s="48">
        <f>SUMPRODUCT(DQ177:DQ201,(116&gt;Corte)*(116&lt;=Corte+n_Ventana)*ISNUMBER(Detalle_24m!DQ$70:DQ$94)*Detalle_24m!DQ$70:DQ$94+(1-(116&gt;Corte)*(116&lt;=Corte+n_Ventana)*ISNUMBER(Detalle_24m!DQ$70:DQ$94))*MP_V*INDEX(IdxMP_V,1,MIN(10,DQ$173)))*(1+V_dMat)/(1-V_Merma)</f>
        <v>239229.9823337954</v>
      </c>
      <c r="DR229" s="48">
        <f>SUMPRODUCT(DR177:DR201,(117&gt;Corte)*(117&lt;=Corte+n_Ventana)*ISNUMBER(Detalle_24m!DR$70:DR$94)*Detalle_24m!DR$70:DR$94+(1-(117&gt;Corte)*(117&lt;=Corte+n_Ventana)*ISNUMBER(Detalle_24m!DR$70:DR$94))*MP_V*INDEX(IdxMP_V,1,MIN(10,DR$173)))*(1+V_dMat)/(1-V_Merma)</f>
        <v>239229.9823337954</v>
      </c>
      <c r="DS229" s="48">
        <f>SUMPRODUCT(DS177:DS201,(118&gt;Corte)*(118&lt;=Corte+n_Ventana)*ISNUMBER(Detalle_24m!DS$70:DS$94)*Detalle_24m!DS$70:DS$94+(1-(118&gt;Corte)*(118&lt;=Corte+n_Ventana)*ISNUMBER(Detalle_24m!DS$70:DS$94))*MP_V*INDEX(IdxMP_V,1,MIN(10,DS$173)))*(1+V_dMat)/(1-V_Merma)</f>
        <v>239229.9823337954</v>
      </c>
      <c r="DT229" s="48">
        <f>SUMPRODUCT(DT177:DT201,(119&gt;Corte)*(119&lt;=Corte+n_Ventana)*ISNUMBER(Detalle_24m!DT$70:DT$94)*Detalle_24m!DT$70:DT$94+(1-(119&gt;Corte)*(119&lt;=Corte+n_Ventana)*ISNUMBER(Detalle_24m!DT$70:DT$94))*MP_V*INDEX(IdxMP_V,1,MIN(10,DT$173)))*(1+V_dMat)/(1-V_Merma)</f>
        <v>239229.9823337954</v>
      </c>
      <c r="DU229" s="48">
        <f>SUMPRODUCT(DU177:DU201,(120&gt;Corte)*(120&lt;=Corte+n_Ventana)*ISNUMBER(Detalle_24m!DU$70:DU$94)*Detalle_24m!DU$70:DU$94+(1-(120&gt;Corte)*(120&lt;=Corte+n_Ventana)*ISNUMBER(Detalle_24m!DU$70:DU$94))*MP_V*INDEX(IdxMP_V,1,MIN(10,DU$173)))*(1+V_dMat)/(1-V_Merma)</f>
        <v>239229.9823337954</v>
      </c>
      <c r="DV229" s="48">
        <f>SUMPRODUCT(DV177:DV201,(121&gt;Corte)*(121&lt;=Corte+n_Ventana)*ISNUMBER(Detalle_24m!DV$70:DV$94)*Detalle_24m!DV$70:DV$94+(1-(121&gt;Corte)*(121&lt;=Corte+n_Ventana)*ISNUMBER(Detalle_24m!DV$70:DV$94))*MP_V*INDEX(IdxMP_V,1,MIN(10,DV$173)))*(1+V_dMat)/(1-V_Merma)</f>
        <v>0</v>
      </c>
      <c r="DW229" s="48">
        <f>SUMPRODUCT(DW177:DW201,(122&gt;Corte)*(122&lt;=Corte+n_Ventana)*ISNUMBER(Detalle_24m!DW$70:DW$94)*Detalle_24m!DW$70:DW$94+(1-(122&gt;Corte)*(122&lt;=Corte+n_Ventana)*ISNUMBER(Detalle_24m!DW$70:DW$94))*MP_V*INDEX(IdxMP_V,1,MIN(10,DW$173)))*(1+V_dMat)/(1-V_Merma)</f>
        <v>0</v>
      </c>
      <c r="DX229" s="48">
        <f>SUMPRODUCT(DX177:DX201,(123&gt;Corte)*(123&lt;=Corte+n_Ventana)*ISNUMBER(Detalle_24m!DX$70:DX$94)*Detalle_24m!DX$70:DX$94+(1-(123&gt;Corte)*(123&lt;=Corte+n_Ventana)*ISNUMBER(Detalle_24m!DX$70:DX$94))*MP_V*INDEX(IdxMP_V,1,MIN(10,DX$173)))*(1+V_dMat)/(1-V_Merma)</f>
        <v>0</v>
      </c>
      <c r="DY229" s="48">
        <f>SUMPRODUCT(DY177:DY201,(124&gt;Corte)*(124&lt;=Corte+n_Ventana)*ISNUMBER(Detalle_24m!DY$70:DY$94)*Detalle_24m!DY$70:DY$94+(1-(124&gt;Corte)*(124&lt;=Corte+n_Ventana)*ISNUMBER(Detalle_24m!DY$70:DY$94))*MP_V*INDEX(IdxMP_V,1,MIN(10,DY$173)))*(1+V_dMat)/(1-V_Merma)</f>
        <v>0</v>
      </c>
      <c r="DZ229" s="48">
        <f>SUMPRODUCT(DZ177:DZ201,(125&gt;Corte)*(125&lt;=Corte+n_Ventana)*ISNUMBER(Detalle_24m!DZ$70:DZ$94)*Detalle_24m!DZ$70:DZ$94+(1-(125&gt;Corte)*(125&lt;=Corte+n_Ventana)*ISNUMBER(Detalle_24m!DZ$70:DZ$94))*MP_V*INDEX(IdxMP_V,1,MIN(10,DZ$173)))*(1+V_dMat)/(1-V_Merma)</f>
        <v>0</v>
      </c>
      <c r="EA229" s="48">
        <f>SUMPRODUCT(EA177:EA201,(126&gt;Corte)*(126&lt;=Corte+n_Ventana)*ISNUMBER(Detalle_24m!EA$70:EA$94)*Detalle_24m!EA$70:EA$94+(1-(126&gt;Corte)*(126&lt;=Corte+n_Ventana)*ISNUMBER(Detalle_24m!EA$70:EA$94))*MP_V*INDEX(IdxMP_V,1,MIN(10,EA$173)))*(1+V_dMat)/(1-V_Merma)</f>
        <v>0</v>
      </c>
      <c r="EB229" s="48">
        <f>SUMPRODUCT(EB177:EB201,(127&gt;Corte)*(127&lt;=Corte+n_Ventana)*ISNUMBER(Detalle_24m!EB$70:EB$94)*Detalle_24m!EB$70:EB$94+(1-(127&gt;Corte)*(127&lt;=Corte+n_Ventana)*ISNUMBER(Detalle_24m!EB$70:EB$94))*MP_V*INDEX(IdxMP_V,1,MIN(10,EB$173)))*(1+V_dMat)/(1-V_Merma)</f>
        <v>0</v>
      </c>
      <c r="EC229" s="48">
        <f>SUMPRODUCT(EC177:EC201,(128&gt;Corte)*(128&lt;=Corte+n_Ventana)*ISNUMBER(Detalle_24m!EC$70:EC$94)*Detalle_24m!EC$70:EC$94+(1-(128&gt;Corte)*(128&lt;=Corte+n_Ventana)*ISNUMBER(Detalle_24m!EC$70:EC$94))*MP_V*INDEX(IdxMP_V,1,MIN(10,EC$173)))*(1+V_dMat)/(1-V_Merma)</f>
        <v>0</v>
      </c>
      <c r="ED229" s="48">
        <f>SUMPRODUCT(ED177:ED201,(129&gt;Corte)*(129&lt;=Corte+n_Ventana)*ISNUMBER(Detalle_24m!ED$70:ED$94)*Detalle_24m!ED$70:ED$94+(1-(129&gt;Corte)*(129&lt;=Corte+n_Ventana)*ISNUMBER(Detalle_24m!ED$70:ED$94))*MP_V*INDEX(IdxMP_V,1,MIN(10,ED$173)))*(1+V_dMat)/(1-V_Merma)</f>
        <v>0</v>
      </c>
      <c r="EE229" s="48">
        <f>SUMPRODUCT(EE177:EE201,(130&gt;Corte)*(130&lt;=Corte+n_Ventana)*ISNUMBER(Detalle_24m!EE$70:EE$94)*Detalle_24m!EE$70:EE$94+(1-(130&gt;Corte)*(130&lt;=Corte+n_Ventana)*ISNUMBER(Detalle_24m!EE$70:EE$94))*MP_V*INDEX(IdxMP_V,1,MIN(10,EE$173)))*(1+V_dMat)/(1-V_Merma)</f>
        <v>0</v>
      </c>
      <c r="EF229" s="48">
        <f>SUMPRODUCT(EF177:EF201,(131&gt;Corte)*(131&lt;=Corte+n_Ventana)*ISNUMBER(Detalle_24m!EF$70:EF$94)*Detalle_24m!EF$70:EF$94+(1-(131&gt;Corte)*(131&lt;=Corte+n_Ventana)*ISNUMBER(Detalle_24m!EF$70:EF$94))*MP_V*INDEX(IdxMP_V,1,MIN(10,EF$173)))*(1+V_dMat)/(1-V_Merma)</f>
        <v>0</v>
      </c>
      <c r="EG229" s="48">
        <f>SUMPRODUCT(EG177:EG201,(132&gt;Corte)*(132&lt;=Corte+n_Ventana)*ISNUMBER(Detalle_24m!EG$70:EG$94)*Detalle_24m!EG$70:EG$94+(1-(132&gt;Corte)*(132&lt;=Corte+n_Ventana)*ISNUMBER(Detalle_24m!EG$70:EG$94))*MP_V*INDEX(IdxMP_V,1,MIN(10,EG$173)))*(1+V_dMat)/(1-V_Merma)</f>
        <v>0</v>
      </c>
      <c r="EH229" s="48">
        <f>SUMPRODUCT(EH177:EH201,(133&gt;Corte)*(133&lt;=Corte+n_Ventana)*ISNUMBER(Detalle_24m!EH$70:EH$94)*Detalle_24m!EH$70:EH$94+(1-(133&gt;Corte)*(133&lt;=Corte+n_Ventana)*ISNUMBER(Detalle_24m!EH$70:EH$94))*MP_V*INDEX(IdxMP_V,1,MIN(10,EH$173)))*(1+V_dMat)/(1-V_Merma)</f>
        <v>0</v>
      </c>
      <c r="EI229" s="48">
        <f>SUMPRODUCT(EI177:EI201,(134&gt;Corte)*(134&lt;=Corte+n_Ventana)*ISNUMBER(Detalle_24m!EI$70:EI$94)*Detalle_24m!EI$70:EI$94+(1-(134&gt;Corte)*(134&lt;=Corte+n_Ventana)*ISNUMBER(Detalle_24m!EI$70:EI$94))*MP_V*INDEX(IdxMP_V,1,MIN(10,EI$173)))*(1+V_dMat)/(1-V_Merma)</f>
        <v>0</v>
      </c>
      <c r="EJ229" s="48">
        <f>SUMPRODUCT(EJ177:EJ201,(135&gt;Corte)*(135&lt;=Corte+n_Ventana)*ISNUMBER(Detalle_24m!EJ$70:EJ$94)*Detalle_24m!EJ$70:EJ$94+(1-(135&gt;Corte)*(135&lt;=Corte+n_Ventana)*ISNUMBER(Detalle_24m!EJ$70:EJ$94))*MP_V*INDEX(IdxMP_V,1,MIN(10,EJ$173)))*(1+V_dMat)/(1-V_Merma)</f>
        <v>0</v>
      </c>
      <c r="EK229" s="48">
        <f>SUMPRODUCT(EK177:EK201,(136&gt;Corte)*(136&lt;=Corte+n_Ventana)*ISNUMBER(Detalle_24m!EK$70:EK$94)*Detalle_24m!EK$70:EK$94+(1-(136&gt;Corte)*(136&lt;=Corte+n_Ventana)*ISNUMBER(Detalle_24m!EK$70:EK$94))*MP_V*INDEX(IdxMP_V,1,MIN(10,EK$173)))*(1+V_dMat)/(1-V_Merma)</f>
        <v>0</v>
      </c>
      <c r="EL229" s="48">
        <f>SUMPRODUCT(EL177:EL201,(137&gt;Corte)*(137&lt;=Corte+n_Ventana)*ISNUMBER(Detalle_24m!EL$70:EL$94)*Detalle_24m!EL$70:EL$94+(1-(137&gt;Corte)*(137&lt;=Corte+n_Ventana)*ISNUMBER(Detalle_24m!EL$70:EL$94))*MP_V*INDEX(IdxMP_V,1,MIN(10,EL$173)))*(1+V_dMat)/(1-V_Merma)</f>
        <v>0</v>
      </c>
      <c r="EM229" s="48">
        <f>SUMPRODUCT(EM177:EM201,(138&gt;Corte)*(138&lt;=Corte+n_Ventana)*ISNUMBER(Detalle_24m!EM$70:EM$94)*Detalle_24m!EM$70:EM$94+(1-(138&gt;Corte)*(138&lt;=Corte+n_Ventana)*ISNUMBER(Detalle_24m!EM$70:EM$94))*MP_V*INDEX(IdxMP_V,1,MIN(10,EM$173)))*(1+V_dMat)/(1-V_Merma)</f>
        <v>0</v>
      </c>
      <c r="EN229" s="48">
        <f>SUMPRODUCT(EN177:EN201,(139&gt;Corte)*(139&lt;=Corte+n_Ventana)*ISNUMBER(Detalle_24m!EN$70:EN$94)*Detalle_24m!EN$70:EN$94+(1-(139&gt;Corte)*(139&lt;=Corte+n_Ventana)*ISNUMBER(Detalle_24m!EN$70:EN$94))*MP_V*INDEX(IdxMP_V,1,MIN(10,EN$173)))*(1+V_dMat)/(1-V_Merma)</f>
        <v>0</v>
      </c>
      <c r="EO229" s="48">
        <f>SUMPRODUCT(EO177:EO201,(140&gt;Corte)*(140&lt;=Corte+n_Ventana)*ISNUMBER(Detalle_24m!EO$70:EO$94)*Detalle_24m!EO$70:EO$94+(1-(140&gt;Corte)*(140&lt;=Corte+n_Ventana)*ISNUMBER(Detalle_24m!EO$70:EO$94))*MP_V*INDEX(IdxMP_V,1,MIN(10,EO$173)))*(1+V_dMat)/(1-V_Merma)</f>
        <v>0</v>
      </c>
      <c r="EP229" s="48">
        <f>SUMPRODUCT(EP177:EP201,(141&gt;Corte)*(141&lt;=Corte+n_Ventana)*ISNUMBER(Detalle_24m!EP$70:EP$94)*Detalle_24m!EP$70:EP$94+(1-(141&gt;Corte)*(141&lt;=Corte+n_Ventana)*ISNUMBER(Detalle_24m!EP$70:EP$94))*MP_V*INDEX(IdxMP_V,1,MIN(10,EP$173)))*(1+V_dMat)/(1-V_Merma)</f>
        <v>0</v>
      </c>
      <c r="EQ229" s="48">
        <f>SUMPRODUCT(EQ177:EQ201,(142&gt;Corte)*(142&lt;=Corte+n_Ventana)*ISNUMBER(Detalle_24m!EQ$70:EQ$94)*Detalle_24m!EQ$70:EQ$94+(1-(142&gt;Corte)*(142&lt;=Corte+n_Ventana)*ISNUMBER(Detalle_24m!EQ$70:EQ$94))*MP_V*INDEX(IdxMP_V,1,MIN(10,EQ$173)))*(1+V_dMat)/(1-V_Merma)</f>
        <v>0</v>
      </c>
      <c r="ER229" s="48">
        <f>SUMPRODUCT(ER177:ER201,(143&gt;Corte)*(143&lt;=Corte+n_Ventana)*ISNUMBER(Detalle_24m!ER$70:ER$94)*Detalle_24m!ER$70:ER$94+(1-(143&gt;Corte)*(143&lt;=Corte+n_Ventana)*ISNUMBER(Detalle_24m!ER$70:ER$94))*MP_V*INDEX(IdxMP_V,1,MIN(10,ER$173)))*(1+V_dMat)/(1-V_Merma)</f>
        <v>0</v>
      </c>
      <c r="ES229" s="48">
        <f>SUMPRODUCT(ES177:ES201,(144&gt;Corte)*(144&lt;=Corte+n_Ventana)*ISNUMBER(Detalle_24m!ES$70:ES$94)*Detalle_24m!ES$70:ES$94+(1-(144&gt;Corte)*(144&lt;=Corte+n_Ventana)*ISNUMBER(Detalle_24m!ES$70:ES$94))*MP_V*INDEX(IdxMP_V,1,MIN(10,ES$173)))*(1+V_dMat)/(1-V_Merma)</f>
        <v>0</v>
      </c>
    </row>
    <row r="230" spans="1:149" x14ac:dyDescent="0.3">
      <c r="A230" s="14" t="s">
        <v>1284</v>
      </c>
      <c r="B230" s="18" t="s">
        <v>1054</v>
      </c>
      <c r="C230" s="18" t="s">
        <v>439</v>
      </c>
      <c r="E230" s="54">
        <f>SUM(F230:ES230)</f>
        <v>14024610</v>
      </c>
      <c r="F230" s="48">
        <f>SUMPRODUCT(F177:F201,(1&gt;Corte)*(1&lt;=Corte+n_Ventana)*ISNUMBER(Detalle_24m!F$98:F$122)*Detalle_24m!F$98:F$122+(1-(1&gt;Corte)*(1&lt;=Corte+n_Ventana)*ISNUMBER(Detalle_24m!F$98:F$122))*INS_V*INDEX(IdxOV_V,1,MIN(10,F$173)))*(1+V_dMat)/(1-V_Merma)</f>
        <v>73297.5</v>
      </c>
      <c r="G230" s="48">
        <f>SUMPRODUCT(G177:G201,(2&gt;Corte)*(2&lt;=Corte+n_Ventana)*ISNUMBER(Detalle_24m!G$98:G$122)*Detalle_24m!G$98:G$122+(1-(2&gt;Corte)*(2&lt;=Corte+n_Ventana)*ISNUMBER(Detalle_24m!G$98:G$122))*INS_V*INDEX(IdxOV_V,1,MIN(10,G$173)))*(1+V_dMat)/(1-V_Merma)</f>
        <v>73297.5</v>
      </c>
      <c r="H230" s="48">
        <f>SUMPRODUCT(H177:H201,(3&gt;Corte)*(3&lt;=Corte+n_Ventana)*ISNUMBER(Detalle_24m!H$98:H$122)*Detalle_24m!H$98:H$122+(1-(3&gt;Corte)*(3&lt;=Corte+n_Ventana)*ISNUMBER(Detalle_24m!H$98:H$122))*INS_V*INDEX(IdxOV_V,1,MIN(10,H$173)))*(1+V_dMat)/(1-V_Merma)</f>
        <v>73297.5</v>
      </c>
      <c r="I230" s="48">
        <f>SUMPRODUCT(I177:I201,(4&gt;Corte)*(4&lt;=Corte+n_Ventana)*ISNUMBER(Detalle_24m!I$98:I$122)*Detalle_24m!I$98:I$122+(1-(4&gt;Corte)*(4&lt;=Corte+n_Ventana)*ISNUMBER(Detalle_24m!I$98:I$122))*INS_V*INDEX(IdxOV_V,1,MIN(10,I$173)))*(1+V_dMat)/(1-V_Merma)</f>
        <v>73297.5</v>
      </c>
      <c r="J230" s="48">
        <f>SUMPRODUCT(J177:J201,(5&gt;Corte)*(5&lt;=Corte+n_Ventana)*ISNUMBER(Detalle_24m!J$98:J$122)*Detalle_24m!J$98:J$122+(1-(5&gt;Corte)*(5&lt;=Corte+n_Ventana)*ISNUMBER(Detalle_24m!J$98:J$122))*INS_V*INDEX(IdxOV_V,1,MIN(10,J$173)))*(1+V_dMat)/(1-V_Merma)</f>
        <v>73297.5</v>
      </c>
      <c r="K230" s="48">
        <f>SUMPRODUCT(K177:K201,(6&gt;Corte)*(6&lt;=Corte+n_Ventana)*ISNUMBER(Detalle_24m!K$98:K$122)*Detalle_24m!K$98:K$122+(1-(6&gt;Corte)*(6&lt;=Corte+n_Ventana)*ISNUMBER(Detalle_24m!K$98:K$122))*INS_V*INDEX(IdxOV_V,1,MIN(10,K$173)))*(1+V_dMat)/(1-V_Merma)</f>
        <v>73297.5</v>
      </c>
      <c r="L230" s="48">
        <f>SUMPRODUCT(L177:L201,(7&gt;Corte)*(7&lt;=Corte+n_Ventana)*ISNUMBER(Detalle_24m!L$98:L$122)*Detalle_24m!L$98:L$122+(1-(7&gt;Corte)*(7&lt;=Corte+n_Ventana)*ISNUMBER(Detalle_24m!L$98:L$122))*INS_V*INDEX(IdxOV_V,1,MIN(10,L$173)))*(1+V_dMat)/(1-V_Merma)</f>
        <v>73297.5</v>
      </c>
      <c r="M230" s="48">
        <f>SUMPRODUCT(M177:M201,(8&gt;Corte)*(8&lt;=Corte+n_Ventana)*ISNUMBER(Detalle_24m!M$98:M$122)*Detalle_24m!M$98:M$122+(1-(8&gt;Corte)*(8&lt;=Corte+n_Ventana)*ISNUMBER(Detalle_24m!M$98:M$122))*INS_V*INDEX(IdxOV_V,1,MIN(10,M$173)))*(1+V_dMat)/(1-V_Merma)</f>
        <v>73297.5</v>
      </c>
      <c r="N230" s="48">
        <f>SUMPRODUCT(N177:N201,(9&gt;Corte)*(9&lt;=Corte+n_Ventana)*ISNUMBER(Detalle_24m!N$98:N$122)*Detalle_24m!N$98:N$122+(1-(9&gt;Corte)*(9&lt;=Corte+n_Ventana)*ISNUMBER(Detalle_24m!N$98:N$122))*INS_V*INDEX(IdxOV_V,1,MIN(10,N$173)))*(1+V_dMat)/(1-V_Merma)</f>
        <v>73297.5</v>
      </c>
      <c r="O230" s="48">
        <f>SUMPRODUCT(O177:O201,(10&gt;Corte)*(10&lt;=Corte+n_Ventana)*ISNUMBER(Detalle_24m!O$98:O$122)*Detalle_24m!O$98:O$122+(1-(10&gt;Corte)*(10&lt;=Corte+n_Ventana)*ISNUMBER(Detalle_24m!O$98:O$122))*INS_V*INDEX(IdxOV_V,1,MIN(10,O$173)))*(1+V_dMat)/(1-V_Merma)</f>
        <v>73297.5</v>
      </c>
      <c r="P230" s="48">
        <f>SUMPRODUCT(P177:P201,(11&gt;Corte)*(11&lt;=Corte+n_Ventana)*ISNUMBER(Detalle_24m!P$98:P$122)*Detalle_24m!P$98:P$122+(1-(11&gt;Corte)*(11&lt;=Corte+n_Ventana)*ISNUMBER(Detalle_24m!P$98:P$122))*INS_V*INDEX(IdxOV_V,1,MIN(10,P$173)))*(1+V_dMat)/(1-V_Merma)</f>
        <v>73297.5</v>
      </c>
      <c r="Q230" s="48">
        <f>SUMPRODUCT(Q177:Q201,(12&gt;Corte)*(12&lt;=Corte+n_Ventana)*ISNUMBER(Detalle_24m!Q$98:Q$122)*Detalle_24m!Q$98:Q$122+(1-(12&gt;Corte)*(12&lt;=Corte+n_Ventana)*ISNUMBER(Detalle_24m!Q$98:Q$122))*INS_V*INDEX(IdxOV_V,1,MIN(10,Q$173)))*(1+V_dMat)/(1-V_Merma)</f>
        <v>73297.5</v>
      </c>
      <c r="R230" s="48">
        <f>SUMPRODUCT(R177:R201,(13&gt;Corte)*(13&lt;=Corte+n_Ventana)*ISNUMBER(Detalle_24m!R$98:R$122)*Detalle_24m!R$98:R$122+(1-(13&gt;Corte)*(13&lt;=Corte+n_Ventana)*ISNUMBER(Detalle_24m!R$98:R$122))*INS_V*INDEX(IdxOV_V,1,MIN(10,R$173)))*(1+V_dMat)/(1-V_Merma)</f>
        <v>92632.5</v>
      </c>
      <c r="S230" s="48">
        <f>SUMPRODUCT(S177:S201,(14&gt;Corte)*(14&lt;=Corte+n_Ventana)*ISNUMBER(Detalle_24m!S$98:S$122)*Detalle_24m!S$98:S$122+(1-(14&gt;Corte)*(14&lt;=Corte+n_Ventana)*ISNUMBER(Detalle_24m!S$98:S$122))*INS_V*INDEX(IdxOV_V,1,MIN(10,S$173)))*(1+V_dMat)/(1-V_Merma)</f>
        <v>92632.5</v>
      </c>
      <c r="T230" s="48">
        <f>SUMPRODUCT(T177:T201,(15&gt;Corte)*(15&lt;=Corte+n_Ventana)*ISNUMBER(Detalle_24m!T$98:T$122)*Detalle_24m!T$98:T$122+(1-(15&gt;Corte)*(15&lt;=Corte+n_Ventana)*ISNUMBER(Detalle_24m!T$98:T$122))*INS_V*INDEX(IdxOV_V,1,MIN(10,T$173)))*(1+V_dMat)/(1-V_Merma)</f>
        <v>92632.5</v>
      </c>
      <c r="U230" s="48">
        <f>SUMPRODUCT(U177:U201,(16&gt;Corte)*(16&lt;=Corte+n_Ventana)*ISNUMBER(Detalle_24m!U$98:U$122)*Detalle_24m!U$98:U$122+(1-(16&gt;Corte)*(16&lt;=Corte+n_Ventana)*ISNUMBER(Detalle_24m!U$98:U$122))*INS_V*INDEX(IdxOV_V,1,MIN(10,U$173)))*(1+V_dMat)/(1-V_Merma)</f>
        <v>92632.5</v>
      </c>
      <c r="V230" s="48">
        <f>SUMPRODUCT(V177:V201,(17&gt;Corte)*(17&lt;=Corte+n_Ventana)*ISNUMBER(Detalle_24m!V$98:V$122)*Detalle_24m!V$98:V$122+(1-(17&gt;Corte)*(17&lt;=Corte+n_Ventana)*ISNUMBER(Detalle_24m!V$98:V$122))*INS_V*INDEX(IdxOV_V,1,MIN(10,V$173)))*(1+V_dMat)/(1-V_Merma)</f>
        <v>92632.5</v>
      </c>
      <c r="W230" s="48">
        <f>SUMPRODUCT(W177:W201,(18&gt;Corte)*(18&lt;=Corte+n_Ventana)*ISNUMBER(Detalle_24m!W$98:W$122)*Detalle_24m!W$98:W$122+(1-(18&gt;Corte)*(18&lt;=Corte+n_Ventana)*ISNUMBER(Detalle_24m!W$98:W$122))*INS_V*INDEX(IdxOV_V,1,MIN(10,W$173)))*(1+V_dMat)/(1-V_Merma)</f>
        <v>92632.5</v>
      </c>
      <c r="X230" s="48">
        <f>SUMPRODUCT(X177:X201,(19&gt;Corte)*(19&lt;=Corte+n_Ventana)*ISNUMBER(Detalle_24m!X$98:X$122)*Detalle_24m!X$98:X$122+(1-(19&gt;Corte)*(19&lt;=Corte+n_Ventana)*ISNUMBER(Detalle_24m!X$98:X$122))*INS_V*INDEX(IdxOV_V,1,MIN(10,X$173)))*(1+V_dMat)/(1-V_Merma)</f>
        <v>92632.5</v>
      </c>
      <c r="Y230" s="48">
        <f>SUMPRODUCT(Y177:Y201,(20&gt;Corte)*(20&lt;=Corte+n_Ventana)*ISNUMBER(Detalle_24m!Y$98:Y$122)*Detalle_24m!Y$98:Y$122+(1-(20&gt;Corte)*(20&lt;=Corte+n_Ventana)*ISNUMBER(Detalle_24m!Y$98:Y$122))*INS_V*INDEX(IdxOV_V,1,MIN(10,Y$173)))*(1+V_dMat)/(1-V_Merma)</f>
        <v>92632.5</v>
      </c>
      <c r="Z230" s="48">
        <f>SUMPRODUCT(Z177:Z201,(21&gt;Corte)*(21&lt;=Corte+n_Ventana)*ISNUMBER(Detalle_24m!Z$98:Z$122)*Detalle_24m!Z$98:Z$122+(1-(21&gt;Corte)*(21&lt;=Corte+n_Ventana)*ISNUMBER(Detalle_24m!Z$98:Z$122))*INS_V*INDEX(IdxOV_V,1,MIN(10,Z$173)))*(1+V_dMat)/(1-V_Merma)</f>
        <v>92632.5</v>
      </c>
      <c r="AA230" s="48">
        <f>SUMPRODUCT(AA177:AA201,(22&gt;Corte)*(22&lt;=Corte+n_Ventana)*ISNUMBER(Detalle_24m!AA$98:AA$122)*Detalle_24m!AA$98:AA$122+(1-(22&gt;Corte)*(22&lt;=Corte+n_Ventana)*ISNUMBER(Detalle_24m!AA$98:AA$122))*INS_V*INDEX(IdxOV_V,1,MIN(10,AA$173)))*(1+V_dMat)/(1-V_Merma)</f>
        <v>92632.5</v>
      </c>
      <c r="AB230" s="48">
        <f>SUMPRODUCT(AB177:AB201,(23&gt;Corte)*(23&lt;=Corte+n_Ventana)*ISNUMBER(Detalle_24m!AB$98:AB$122)*Detalle_24m!AB$98:AB$122+(1-(23&gt;Corte)*(23&lt;=Corte+n_Ventana)*ISNUMBER(Detalle_24m!AB$98:AB$122))*INS_V*INDEX(IdxOV_V,1,MIN(10,AB$173)))*(1+V_dMat)/(1-V_Merma)</f>
        <v>92632.5</v>
      </c>
      <c r="AC230" s="48">
        <f>SUMPRODUCT(AC177:AC201,(24&gt;Corte)*(24&lt;=Corte+n_Ventana)*ISNUMBER(Detalle_24m!AC$98:AC$122)*Detalle_24m!AC$98:AC$122+(1-(24&gt;Corte)*(24&lt;=Corte+n_Ventana)*ISNUMBER(Detalle_24m!AC$98:AC$122))*INS_V*INDEX(IdxOV_V,1,MIN(10,AC$173)))*(1+V_dMat)/(1-V_Merma)</f>
        <v>92632.5</v>
      </c>
      <c r="AD230" s="48">
        <f>SUMPRODUCT(AD177:AD201,(25&gt;Corte)*(25&lt;=Corte+n_Ventana)*ISNUMBER(Detalle_24m!AD$98:AD$122)*Detalle_24m!AD$98:AD$122+(1-(25&gt;Corte)*(25&lt;=Corte+n_Ventana)*ISNUMBER(Detalle_24m!AD$98:AD$122))*INS_V*INDEX(IdxOV_V,1,MIN(10,AD$173)))*(1+V_dMat)/(1-V_Merma)</f>
        <v>111967.5</v>
      </c>
      <c r="AE230" s="48">
        <f>SUMPRODUCT(AE177:AE201,(26&gt;Corte)*(26&lt;=Corte+n_Ventana)*ISNUMBER(Detalle_24m!AE$98:AE$122)*Detalle_24m!AE$98:AE$122+(1-(26&gt;Corte)*(26&lt;=Corte+n_Ventana)*ISNUMBER(Detalle_24m!AE$98:AE$122))*INS_V*INDEX(IdxOV_V,1,MIN(10,AE$173)))*(1+V_dMat)/(1-V_Merma)</f>
        <v>111967.5</v>
      </c>
      <c r="AF230" s="48">
        <f>SUMPRODUCT(AF177:AF201,(27&gt;Corte)*(27&lt;=Corte+n_Ventana)*ISNUMBER(Detalle_24m!AF$98:AF$122)*Detalle_24m!AF$98:AF$122+(1-(27&gt;Corte)*(27&lt;=Corte+n_Ventana)*ISNUMBER(Detalle_24m!AF$98:AF$122))*INS_V*INDEX(IdxOV_V,1,MIN(10,AF$173)))*(1+V_dMat)/(1-V_Merma)</f>
        <v>111967.5</v>
      </c>
      <c r="AG230" s="48">
        <f>SUMPRODUCT(AG177:AG201,(28&gt;Corte)*(28&lt;=Corte+n_Ventana)*ISNUMBER(Detalle_24m!AG$98:AG$122)*Detalle_24m!AG$98:AG$122+(1-(28&gt;Corte)*(28&lt;=Corte+n_Ventana)*ISNUMBER(Detalle_24m!AG$98:AG$122))*INS_V*INDEX(IdxOV_V,1,MIN(10,AG$173)))*(1+V_dMat)/(1-V_Merma)</f>
        <v>111967.5</v>
      </c>
      <c r="AH230" s="48">
        <f>SUMPRODUCT(AH177:AH201,(29&gt;Corte)*(29&lt;=Corte+n_Ventana)*ISNUMBER(Detalle_24m!AH$98:AH$122)*Detalle_24m!AH$98:AH$122+(1-(29&gt;Corte)*(29&lt;=Corte+n_Ventana)*ISNUMBER(Detalle_24m!AH$98:AH$122))*INS_V*INDEX(IdxOV_V,1,MIN(10,AH$173)))*(1+V_dMat)/(1-V_Merma)</f>
        <v>111967.5</v>
      </c>
      <c r="AI230" s="48">
        <f>SUMPRODUCT(AI177:AI201,(30&gt;Corte)*(30&lt;=Corte+n_Ventana)*ISNUMBER(Detalle_24m!AI$98:AI$122)*Detalle_24m!AI$98:AI$122+(1-(30&gt;Corte)*(30&lt;=Corte+n_Ventana)*ISNUMBER(Detalle_24m!AI$98:AI$122))*INS_V*INDEX(IdxOV_V,1,MIN(10,AI$173)))*(1+V_dMat)/(1-V_Merma)</f>
        <v>111967.5</v>
      </c>
      <c r="AJ230" s="48">
        <f>SUMPRODUCT(AJ177:AJ201,(31&gt;Corte)*(31&lt;=Corte+n_Ventana)*ISNUMBER(Detalle_24m!AJ$98:AJ$122)*Detalle_24m!AJ$98:AJ$122+(1-(31&gt;Corte)*(31&lt;=Corte+n_Ventana)*ISNUMBER(Detalle_24m!AJ$98:AJ$122))*INS_V*INDEX(IdxOV_V,1,MIN(10,AJ$173)))*(1+V_dMat)/(1-V_Merma)</f>
        <v>111967.5</v>
      </c>
      <c r="AK230" s="48">
        <f>SUMPRODUCT(AK177:AK201,(32&gt;Corte)*(32&lt;=Corte+n_Ventana)*ISNUMBER(Detalle_24m!AK$98:AK$122)*Detalle_24m!AK$98:AK$122+(1-(32&gt;Corte)*(32&lt;=Corte+n_Ventana)*ISNUMBER(Detalle_24m!AK$98:AK$122))*INS_V*INDEX(IdxOV_V,1,MIN(10,AK$173)))*(1+V_dMat)/(1-V_Merma)</f>
        <v>111967.5</v>
      </c>
      <c r="AL230" s="48">
        <f>SUMPRODUCT(AL177:AL201,(33&gt;Corte)*(33&lt;=Corte+n_Ventana)*ISNUMBER(Detalle_24m!AL$98:AL$122)*Detalle_24m!AL$98:AL$122+(1-(33&gt;Corte)*(33&lt;=Corte+n_Ventana)*ISNUMBER(Detalle_24m!AL$98:AL$122))*INS_V*INDEX(IdxOV_V,1,MIN(10,AL$173)))*(1+V_dMat)/(1-V_Merma)</f>
        <v>111967.5</v>
      </c>
      <c r="AM230" s="48">
        <f>SUMPRODUCT(AM177:AM201,(34&gt;Corte)*(34&lt;=Corte+n_Ventana)*ISNUMBER(Detalle_24m!AM$98:AM$122)*Detalle_24m!AM$98:AM$122+(1-(34&gt;Corte)*(34&lt;=Corte+n_Ventana)*ISNUMBER(Detalle_24m!AM$98:AM$122))*INS_V*INDEX(IdxOV_V,1,MIN(10,AM$173)))*(1+V_dMat)/(1-V_Merma)</f>
        <v>111967.5</v>
      </c>
      <c r="AN230" s="48">
        <f>SUMPRODUCT(AN177:AN201,(35&gt;Corte)*(35&lt;=Corte+n_Ventana)*ISNUMBER(Detalle_24m!AN$98:AN$122)*Detalle_24m!AN$98:AN$122+(1-(35&gt;Corte)*(35&lt;=Corte+n_Ventana)*ISNUMBER(Detalle_24m!AN$98:AN$122))*INS_V*INDEX(IdxOV_V,1,MIN(10,AN$173)))*(1+V_dMat)/(1-V_Merma)</f>
        <v>111967.5</v>
      </c>
      <c r="AO230" s="48">
        <f>SUMPRODUCT(AO177:AO201,(36&gt;Corte)*(36&lt;=Corte+n_Ventana)*ISNUMBER(Detalle_24m!AO$98:AO$122)*Detalle_24m!AO$98:AO$122+(1-(36&gt;Corte)*(36&lt;=Corte+n_Ventana)*ISNUMBER(Detalle_24m!AO$98:AO$122))*INS_V*INDEX(IdxOV_V,1,MIN(10,AO$173)))*(1+V_dMat)/(1-V_Merma)</f>
        <v>111967.5</v>
      </c>
      <c r="AP230" s="48">
        <f>SUMPRODUCT(AP177:AP201,(37&gt;Corte)*(37&lt;=Corte+n_Ventana)*ISNUMBER(Detalle_24m!AP$98:AP$122)*Detalle_24m!AP$98:AP$122+(1-(37&gt;Corte)*(37&lt;=Corte+n_Ventana)*ISNUMBER(Detalle_24m!AP$98:AP$122))*INS_V*INDEX(IdxOV_V,1,MIN(10,AP$173)))*(1+V_dMat)/(1-V_Merma)</f>
        <v>127260</v>
      </c>
      <c r="AQ230" s="48">
        <f>SUMPRODUCT(AQ177:AQ201,(38&gt;Corte)*(38&lt;=Corte+n_Ventana)*ISNUMBER(Detalle_24m!AQ$98:AQ$122)*Detalle_24m!AQ$98:AQ$122+(1-(38&gt;Corte)*(38&lt;=Corte+n_Ventana)*ISNUMBER(Detalle_24m!AQ$98:AQ$122))*INS_V*INDEX(IdxOV_V,1,MIN(10,AQ$173)))*(1+V_dMat)/(1-V_Merma)</f>
        <v>127260</v>
      </c>
      <c r="AR230" s="48">
        <f>SUMPRODUCT(AR177:AR201,(39&gt;Corte)*(39&lt;=Corte+n_Ventana)*ISNUMBER(Detalle_24m!AR$98:AR$122)*Detalle_24m!AR$98:AR$122+(1-(39&gt;Corte)*(39&lt;=Corte+n_Ventana)*ISNUMBER(Detalle_24m!AR$98:AR$122))*INS_V*INDEX(IdxOV_V,1,MIN(10,AR$173)))*(1+V_dMat)/(1-V_Merma)</f>
        <v>127260</v>
      </c>
      <c r="AS230" s="48">
        <f>SUMPRODUCT(AS177:AS201,(40&gt;Corte)*(40&lt;=Corte+n_Ventana)*ISNUMBER(Detalle_24m!AS$98:AS$122)*Detalle_24m!AS$98:AS$122+(1-(40&gt;Corte)*(40&lt;=Corte+n_Ventana)*ISNUMBER(Detalle_24m!AS$98:AS$122))*INS_V*INDEX(IdxOV_V,1,MIN(10,AS$173)))*(1+V_dMat)/(1-V_Merma)</f>
        <v>127260</v>
      </c>
      <c r="AT230" s="48">
        <f>SUMPRODUCT(AT177:AT201,(41&gt;Corte)*(41&lt;=Corte+n_Ventana)*ISNUMBER(Detalle_24m!AT$98:AT$122)*Detalle_24m!AT$98:AT$122+(1-(41&gt;Corte)*(41&lt;=Corte+n_Ventana)*ISNUMBER(Detalle_24m!AT$98:AT$122))*INS_V*INDEX(IdxOV_V,1,MIN(10,AT$173)))*(1+V_dMat)/(1-V_Merma)</f>
        <v>127260</v>
      </c>
      <c r="AU230" s="48">
        <f>SUMPRODUCT(AU177:AU201,(42&gt;Corte)*(42&lt;=Corte+n_Ventana)*ISNUMBER(Detalle_24m!AU$98:AU$122)*Detalle_24m!AU$98:AU$122+(1-(42&gt;Corte)*(42&lt;=Corte+n_Ventana)*ISNUMBER(Detalle_24m!AU$98:AU$122))*INS_V*INDEX(IdxOV_V,1,MIN(10,AU$173)))*(1+V_dMat)/(1-V_Merma)</f>
        <v>127260</v>
      </c>
      <c r="AV230" s="48">
        <f>SUMPRODUCT(AV177:AV201,(43&gt;Corte)*(43&lt;=Corte+n_Ventana)*ISNUMBER(Detalle_24m!AV$98:AV$122)*Detalle_24m!AV$98:AV$122+(1-(43&gt;Corte)*(43&lt;=Corte+n_Ventana)*ISNUMBER(Detalle_24m!AV$98:AV$122))*INS_V*INDEX(IdxOV_V,1,MIN(10,AV$173)))*(1+V_dMat)/(1-V_Merma)</f>
        <v>127260</v>
      </c>
      <c r="AW230" s="48">
        <f>SUMPRODUCT(AW177:AW201,(44&gt;Corte)*(44&lt;=Corte+n_Ventana)*ISNUMBER(Detalle_24m!AW$98:AW$122)*Detalle_24m!AW$98:AW$122+(1-(44&gt;Corte)*(44&lt;=Corte+n_Ventana)*ISNUMBER(Detalle_24m!AW$98:AW$122))*INS_V*INDEX(IdxOV_V,1,MIN(10,AW$173)))*(1+V_dMat)/(1-V_Merma)</f>
        <v>127260</v>
      </c>
      <c r="AX230" s="48">
        <f>SUMPRODUCT(AX177:AX201,(45&gt;Corte)*(45&lt;=Corte+n_Ventana)*ISNUMBER(Detalle_24m!AX$98:AX$122)*Detalle_24m!AX$98:AX$122+(1-(45&gt;Corte)*(45&lt;=Corte+n_Ventana)*ISNUMBER(Detalle_24m!AX$98:AX$122))*INS_V*INDEX(IdxOV_V,1,MIN(10,AX$173)))*(1+V_dMat)/(1-V_Merma)</f>
        <v>127260</v>
      </c>
      <c r="AY230" s="48">
        <f>SUMPRODUCT(AY177:AY201,(46&gt;Corte)*(46&lt;=Corte+n_Ventana)*ISNUMBER(Detalle_24m!AY$98:AY$122)*Detalle_24m!AY$98:AY$122+(1-(46&gt;Corte)*(46&lt;=Corte+n_Ventana)*ISNUMBER(Detalle_24m!AY$98:AY$122))*INS_V*INDEX(IdxOV_V,1,MIN(10,AY$173)))*(1+V_dMat)/(1-V_Merma)</f>
        <v>127260</v>
      </c>
      <c r="AZ230" s="48">
        <f>SUMPRODUCT(AZ177:AZ201,(47&gt;Corte)*(47&lt;=Corte+n_Ventana)*ISNUMBER(Detalle_24m!AZ$98:AZ$122)*Detalle_24m!AZ$98:AZ$122+(1-(47&gt;Corte)*(47&lt;=Corte+n_Ventana)*ISNUMBER(Detalle_24m!AZ$98:AZ$122))*INS_V*INDEX(IdxOV_V,1,MIN(10,AZ$173)))*(1+V_dMat)/(1-V_Merma)</f>
        <v>127260</v>
      </c>
      <c r="BA230" s="48">
        <f>SUMPRODUCT(BA177:BA201,(48&gt;Corte)*(48&lt;=Corte+n_Ventana)*ISNUMBER(Detalle_24m!BA$98:BA$122)*Detalle_24m!BA$98:BA$122+(1-(48&gt;Corte)*(48&lt;=Corte+n_Ventana)*ISNUMBER(Detalle_24m!BA$98:BA$122))*INS_V*INDEX(IdxOV_V,1,MIN(10,BA$173)))*(1+V_dMat)/(1-V_Merma)</f>
        <v>127260</v>
      </c>
      <c r="BB230" s="48">
        <f>SUMPRODUCT(BB177:BB201,(49&gt;Corte)*(49&lt;=Corte+n_Ventana)*ISNUMBER(Detalle_24m!BB$98:BB$122)*Detalle_24m!BB$98:BB$122+(1-(49&gt;Corte)*(49&lt;=Corte+n_Ventana)*ISNUMBER(Detalle_24m!BB$98:BB$122))*INS_V*INDEX(IdxOV_V,1,MIN(10,BB$173)))*(1+V_dMat)/(1-V_Merma)</f>
        <v>127260</v>
      </c>
      <c r="BC230" s="48">
        <f>SUMPRODUCT(BC177:BC201,(50&gt;Corte)*(50&lt;=Corte+n_Ventana)*ISNUMBER(Detalle_24m!BC$98:BC$122)*Detalle_24m!BC$98:BC$122+(1-(50&gt;Corte)*(50&lt;=Corte+n_Ventana)*ISNUMBER(Detalle_24m!BC$98:BC$122))*INS_V*INDEX(IdxOV_V,1,MIN(10,BC$173)))*(1+V_dMat)/(1-V_Merma)</f>
        <v>127260</v>
      </c>
      <c r="BD230" s="48">
        <f>SUMPRODUCT(BD177:BD201,(51&gt;Corte)*(51&lt;=Corte+n_Ventana)*ISNUMBER(Detalle_24m!BD$98:BD$122)*Detalle_24m!BD$98:BD$122+(1-(51&gt;Corte)*(51&lt;=Corte+n_Ventana)*ISNUMBER(Detalle_24m!BD$98:BD$122))*INS_V*INDEX(IdxOV_V,1,MIN(10,BD$173)))*(1+V_dMat)/(1-V_Merma)</f>
        <v>127260</v>
      </c>
      <c r="BE230" s="48">
        <f>SUMPRODUCT(BE177:BE201,(52&gt;Corte)*(52&lt;=Corte+n_Ventana)*ISNUMBER(Detalle_24m!BE$98:BE$122)*Detalle_24m!BE$98:BE$122+(1-(52&gt;Corte)*(52&lt;=Corte+n_Ventana)*ISNUMBER(Detalle_24m!BE$98:BE$122))*INS_V*INDEX(IdxOV_V,1,MIN(10,BE$173)))*(1+V_dMat)/(1-V_Merma)</f>
        <v>127260</v>
      </c>
      <c r="BF230" s="48">
        <f>SUMPRODUCT(BF177:BF201,(53&gt;Corte)*(53&lt;=Corte+n_Ventana)*ISNUMBER(Detalle_24m!BF$98:BF$122)*Detalle_24m!BF$98:BF$122+(1-(53&gt;Corte)*(53&lt;=Corte+n_Ventana)*ISNUMBER(Detalle_24m!BF$98:BF$122))*INS_V*INDEX(IdxOV_V,1,MIN(10,BF$173)))*(1+V_dMat)/(1-V_Merma)</f>
        <v>127260</v>
      </c>
      <c r="BG230" s="48">
        <f>SUMPRODUCT(BG177:BG201,(54&gt;Corte)*(54&lt;=Corte+n_Ventana)*ISNUMBER(Detalle_24m!BG$98:BG$122)*Detalle_24m!BG$98:BG$122+(1-(54&gt;Corte)*(54&lt;=Corte+n_Ventana)*ISNUMBER(Detalle_24m!BG$98:BG$122))*INS_V*INDEX(IdxOV_V,1,MIN(10,BG$173)))*(1+V_dMat)/(1-V_Merma)</f>
        <v>127260</v>
      </c>
      <c r="BH230" s="48">
        <f>SUMPRODUCT(BH177:BH201,(55&gt;Corte)*(55&lt;=Corte+n_Ventana)*ISNUMBER(Detalle_24m!BH$98:BH$122)*Detalle_24m!BH$98:BH$122+(1-(55&gt;Corte)*(55&lt;=Corte+n_Ventana)*ISNUMBER(Detalle_24m!BH$98:BH$122))*INS_V*INDEX(IdxOV_V,1,MIN(10,BH$173)))*(1+V_dMat)/(1-V_Merma)</f>
        <v>127260</v>
      </c>
      <c r="BI230" s="48">
        <f>SUMPRODUCT(BI177:BI201,(56&gt;Corte)*(56&lt;=Corte+n_Ventana)*ISNUMBER(Detalle_24m!BI$98:BI$122)*Detalle_24m!BI$98:BI$122+(1-(56&gt;Corte)*(56&lt;=Corte+n_Ventana)*ISNUMBER(Detalle_24m!BI$98:BI$122))*INS_V*INDEX(IdxOV_V,1,MIN(10,BI$173)))*(1+V_dMat)/(1-V_Merma)</f>
        <v>127260</v>
      </c>
      <c r="BJ230" s="48">
        <f>SUMPRODUCT(BJ177:BJ201,(57&gt;Corte)*(57&lt;=Corte+n_Ventana)*ISNUMBER(Detalle_24m!BJ$98:BJ$122)*Detalle_24m!BJ$98:BJ$122+(1-(57&gt;Corte)*(57&lt;=Corte+n_Ventana)*ISNUMBER(Detalle_24m!BJ$98:BJ$122))*INS_V*INDEX(IdxOV_V,1,MIN(10,BJ$173)))*(1+V_dMat)/(1-V_Merma)</f>
        <v>127260</v>
      </c>
      <c r="BK230" s="48">
        <f>SUMPRODUCT(BK177:BK201,(58&gt;Corte)*(58&lt;=Corte+n_Ventana)*ISNUMBER(Detalle_24m!BK$98:BK$122)*Detalle_24m!BK$98:BK$122+(1-(58&gt;Corte)*(58&lt;=Corte+n_Ventana)*ISNUMBER(Detalle_24m!BK$98:BK$122))*INS_V*INDEX(IdxOV_V,1,MIN(10,BK$173)))*(1+V_dMat)/(1-V_Merma)</f>
        <v>127260</v>
      </c>
      <c r="BL230" s="48">
        <f>SUMPRODUCT(BL177:BL201,(59&gt;Corte)*(59&lt;=Corte+n_Ventana)*ISNUMBER(Detalle_24m!BL$98:BL$122)*Detalle_24m!BL$98:BL$122+(1-(59&gt;Corte)*(59&lt;=Corte+n_Ventana)*ISNUMBER(Detalle_24m!BL$98:BL$122))*INS_V*INDEX(IdxOV_V,1,MIN(10,BL$173)))*(1+V_dMat)/(1-V_Merma)</f>
        <v>127260</v>
      </c>
      <c r="BM230" s="48">
        <f>SUMPRODUCT(BM177:BM201,(60&gt;Corte)*(60&lt;=Corte+n_Ventana)*ISNUMBER(Detalle_24m!BM$98:BM$122)*Detalle_24m!BM$98:BM$122+(1-(60&gt;Corte)*(60&lt;=Corte+n_Ventana)*ISNUMBER(Detalle_24m!BM$98:BM$122))*INS_V*INDEX(IdxOV_V,1,MIN(10,BM$173)))*(1+V_dMat)/(1-V_Merma)</f>
        <v>127260</v>
      </c>
      <c r="BN230" s="48">
        <f>SUMPRODUCT(BN177:BN201,(61&gt;Corte)*(61&lt;=Corte+n_Ventana)*ISNUMBER(Detalle_24m!BN$98:BN$122)*Detalle_24m!BN$98:BN$122+(1-(61&gt;Corte)*(61&lt;=Corte+n_Ventana)*ISNUMBER(Detalle_24m!BN$98:BN$122))*INS_V*INDEX(IdxOV_V,1,MIN(10,BN$173)))*(1+V_dMat)/(1-V_Merma)</f>
        <v>127260</v>
      </c>
      <c r="BO230" s="48">
        <f>SUMPRODUCT(BO177:BO201,(62&gt;Corte)*(62&lt;=Corte+n_Ventana)*ISNUMBER(Detalle_24m!BO$98:BO$122)*Detalle_24m!BO$98:BO$122+(1-(62&gt;Corte)*(62&lt;=Corte+n_Ventana)*ISNUMBER(Detalle_24m!BO$98:BO$122))*INS_V*INDEX(IdxOV_V,1,MIN(10,BO$173)))*(1+V_dMat)/(1-V_Merma)</f>
        <v>127260</v>
      </c>
      <c r="BP230" s="48">
        <f>SUMPRODUCT(BP177:BP201,(63&gt;Corte)*(63&lt;=Corte+n_Ventana)*ISNUMBER(Detalle_24m!BP$98:BP$122)*Detalle_24m!BP$98:BP$122+(1-(63&gt;Corte)*(63&lt;=Corte+n_Ventana)*ISNUMBER(Detalle_24m!BP$98:BP$122))*INS_V*INDEX(IdxOV_V,1,MIN(10,BP$173)))*(1+V_dMat)/(1-V_Merma)</f>
        <v>127260</v>
      </c>
      <c r="BQ230" s="48">
        <f>SUMPRODUCT(BQ177:BQ201,(64&gt;Corte)*(64&lt;=Corte+n_Ventana)*ISNUMBER(Detalle_24m!BQ$98:BQ$122)*Detalle_24m!BQ$98:BQ$122+(1-(64&gt;Corte)*(64&lt;=Corte+n_Ventana)*ISNUMBER(Detalle_24m!BQ$98:BQ$122))*INS_V*INDEX(IdxOV_V,1,MIN(10,BQ$173)))*(1+V_dMat)/(1-V_Merma)</f>
        <v>127260</v>
      </c>
      <c r="BR230" s="48">
        <f>SUMPRODUCT(BR177:BR201,(65&gt;Corte)*(65&lt;=Corte+n_Ventana)*ISNUMBER(Detalle_24m!BR$98:BR$122)*Detalle_24m!BR$98:BR$122+(1-(65&gt;Corte)*(65&lt;=Corte+n_Ventana)*ISNUMBER(Detalle_24m!BR$98:BR$122))*INS_V*INDEX(IdxOV_V,1,MIN(10,BR$173)))*(1+V_dMat)/(1-V_Merma)</f>
        <v>127260</v>
      </c>
      <c r="BS230" s="48">
        <f>SUMPRODUCT(BS177:BS201,(66&gt;Corte)*(66&lt;=Corte+n_Ventana)*ISNUMBER(Detalle_24m!BS$98:BS$122)*Detalle_24m!BS$98:BS$122+(1-(66&gt;Corte)*(66&lt;=Corte+n_Ventana)*ISNUMBER(Detalle_24m!BS$98:BS$122))*INS_V*INDEX(IdxOV_V,1,MIN(10,BS$173)))*(1+V_dMat)/(1-V_Merma)</f>
        <v>127260</v>
      </c>
      <c r="BT230" s="48">
        <f>SUMPRODUCT(BT177:BT201,(67&gt;Corte)*(67&lt;=Corte+n_Ventana)*ISNUMBER(Detalle_24m!BT$98:BT$122)*Detalle_24m!BT$98:BT$122+(1-(67&gt;Corte)*(67&lt;=Corte+n_Ventana)*ISNUMBER(Detalle_24m!BT$98:BT$122))*INS_V*INDEX(IdxOV_V,1,MIN(10,BT$173)))*(1+V_dMat)/(1-V_Merma)</f>
        <v>127260</v>
      </c>
      <c r="BU230" s="48">
        <f>SUMPRODUCT(BU177:BU201,(68&gt;Corte)*(68&lt;=Corte+n_Ventana)*ISNUMBER(Detalle_24m!BU$98:BU$122)*Detalle_24m!BU$98:BU$122+(1-(68&gt;Corte)*(68&lt;=Corte+n_Ventana)*ISNUMBER(Detalle_24m!BU$98:BU$122))*INS_V*INDEX(IdxOV_V,1,MIN(10,BU$173)))*(1+V_dMat)/(1-V_Merma)</f>
        <v>127260</v>
      </c>
      <c r="BV230" s="48">
        <f>SUMPRODUCT(BV177:BV201,(69&gt;Corte)*(69&lt;=Corte+n_Ventana)*ISNUMBER(Detalle_24m!BV$98:BV$122)*Detalle_24m!BV$98:BV$122+(1-(69&gt;Corte)*(69&lt;=Corte+n_Ventana)*ISNUMBER(Detalle_24m!BV$98:BV$122))*INS_V*INDEX(IdxOV_V,1,MIN(10,BV$173)))*(1+V_dMat)/(1-V_Merma)</f>
        <v>127260</v>
      </c>
      <c r="BW230" s="48">
        <f>SUMPRODUCT(BW177:BW201,(70&gt;Corte)*(70&lt;=Corte+n_Ventana)*ISNUMBER(Detalle_24m!BW$98:BW$122)*Detalle_24m!BW$98:BW$122+(1-(70&gt;Corte)*(70&lt;=Corte+n_Ventana)*ISNUMBER(Detalle_24m!BW$98:BW$122))*INS_V*INDEX(IdxOV_V,1,MIN(10,BW$173)))*(1+V_dMat)/(1-V_Merma)</f>
        <v>127260</v>
      </c>
      <c r="BX230" s="48">
        <f>SUMPRODUCT(BX177:BX201,(71&gt;Corte)*(71&lt;=Corte+n_Ventana)*ISNUMBER(Detalle_24m!BX$98:BX$122)*Detalle_24m!BX$98:BX$122+(1-(71&gt;Corte)*(71&lt;=Corte+n_Ventana)*ISNUMBER(Detalle_24m!BX$98:BX$122))*INS_V*INDEX(IdxOV_V,1,MIN(10,BX$173)))*(1+V_dMat)/(1-V_Merma)</f>
        <v>127260</v>
      </c>
      <c r="BY230" s="48">
        <f>SUMPRODUCT(BY177:BY201,(72&gt;Corte)*(72&lt;=Corte+n_Ventana)*ISNUMBER(Detalle_24m!BY$98:BY$122)*Detalle_24m!BY$98:BY$122+(1-(72&gt;Corte)*(72&lt;=Corte+n_Ventana)*ISNUMBER(Detalle_24m!BY$98:BY$122))*INS_V*INDEX(IdxOV_V,1,MIN(10,BY$173)))*(1+V_dMat)/(1-V_Merma)</f>
        <v>127260</v>
      </c>
      <c r="BZ230" s="48">
        <f>SUMPRODUCT(BZ177:BZ201,(73&gt;Corte)*(73&lt;=Corte+n_Ventana)*ISNUMBER(Detalle_24m!BZ$98:BZ$122)*Detalle_24m!BZ$98:BZ$122+(1-(73&gt;Corte)*(73&lt;=Corte+n_Ventana)*ISNUMBER(Detalle_24m!BZ$98:BZ$122))*INS_V*INDEX(IdxOV_V,1,MIN(10,BZ$173)))*(1+V_dMat)/(1-V_Merma)</f>
        <v>127260</v>
      </c>
      <c r="CA230" s="48">
        <f>SUMPRODUCT(CA177:CA201,(74&gt;Corte)*(74&lt;=Corte+n_Ventana)*ISNUMBER(Detalle_24m!CA$98:CA$122)*Detalle_24m!CA$98:CA$122+(1-(74&gt;Corte)*(74&lt;=Corte+n_Ventana)*ISNUMBER(Detalle_24m!CA$98:CA$122))*INS_V*INDEX(IdxOV_V,1,MIN(10,CA$173)))*(1+V_dMat)/(1-V_Merma)</f>
        <v>127260</v>
      </c>
      <c r="CB230" s="48">
        <f>SUMPRODUCT(CB177:CB201,(75&gt;Corte)*(75&lt;=Corte+n_Ventana)*ISNUMBER(Detalle_24m!CB$98:CB$122)*Detalle_24m!CB$98:CB$122+(1-(75&gt;Corte)*(75&lt;=Corte+n_Ventana)*ISNUMBER(Detalle_24m!CB$98:CB$122))*INS_V*INDEX(IdxOV_V,1,MIN(10,CB$173)))*(1+V_dMat)/(1-V_Merma)</f>
        <v>127260</v>
      </c>
      <c r="CC230" s="48">
        <f>SUMPRODUCT(CC177:CC201,(76&gt;Corte)*(76&lt;=Corte+n_Ventana)*ISNUMBER(Detalle_24m!CC$98:CC$122)*Detalle_24m!CC$98:CC$122+(1-(76&gt;Corte)*(76&lt;=Corte+n_Ventana)*ISNUMBER(Detalle_24m!CC$98:CC$122))*INS_V*INDEX(IdxOV_V,1,MIN(10,CC$173)))*(1+V_dMat)/(1-V_Merma)</f>
        <v>127260</v>
      </c>
      <c r="CD230" s="48">
        <f>SUMPRODUCT(CD177:CD201,(77&gt;Corte)*(77&lt;=Corte+n_Ventana)*ISNUMBER(Detalle_24m!CD$98:CD$122)*Detalle_24m!CD$98:CD$122+(1-(77&gt;Corte)*(77&lt;=Corte+n_Ventana)*ISNUMBER(Detalle_24m!CD$98:CD$122))*INS_V*INDEX(IdxOV_V,1,MIN(10,CD$173)))*(1+V_dMat)/(1-V_Merma)</f>
        <v>127260</v>
      </c>
      <c r="CE230" s="48">
        <f>SUMPRODUCT(CE177:CE201,(78&gt;Corte)*(78&lt;=Corte+n_Ventana)*ISNUMBER(Detalle_24m!CE$98:CE$122)*Detalle_24m!CE$98:CE$122+(1-(78&gt;Corte)*(78&lt;=Corte+n_Ventana)*ISNUMBER(Detalle_24m!CE$98:CE$122))*INS_V*INDEX(IdxOV_V,1,MIN(10,CE$173)))*(1+V_dMat)/(1-V_Merma)</f>
        <v>127260</v>
      </c>
      <c r="CF230" s="48">
        <f>SUMPRODUCT(CF177:CF201,(79&gt;Corte)*(79&lt;=Corte+n_Ventana)*ISNUMBER(Detalle_24m!CF$98:CF$122)*Detalle_24m!CF$98:CF$122+(1-(79&gt;Corte)*(79&lt;=Corte+n_Ventana)*ISNUMBER(Detalle_24m!CF$98:CF$122))*INS_V*INDEX(IdxOV_V,1,MIN(10,CF$173)))*(1+V_dMat)/(1-V_Merma)</f>
        <v>127260</v>
      </c>
      <c r="CG230" s="48">
        <f>SUMPRODUCT(CG177:CG201,(80&gt;Corte)*(80&lt;=Corte+n_Ventana)*ISNUMBER(Detalle_24m!CG$98:CG$122)*Detalle_24m!CG$98:CG$122+(1-(80&gt;Corte)*(80&lt;=Corte+n_Ventana)*ISNUMBER(Detalle_24m!CG$98:CG$122))*INS_V*INDEX(IdxOV_V,1,MIN(10,CG$173)))*(1+V_dMat)/(1-V_Merma)</f>
        <v>127260</v>
      </c>
      <c r="CH230" s="48">
        <f>SUMPRODUCT(CH177:CH201,(81&gt;Corte)*(81&lt;=Corte+n_Ventana)*ISNUMBER(Detalle_24m!CH$98:CH$122)*Detalle_24m!CH$98:CH$122+(1-(81&gt;Corte)*(81&lt;=Corte+n_Ventana)*ISNUMBER(Detalle_24m!CH$98:CH$122))*INS_V*INDEX(IdxOV_V,1,MIN(10,CH$173)))*(1+V_dMat)/(1-V_Merma)</f>
        <v>127260</v>
      </c>
      <c r="CI230" s="48">
        <f>SUMPRODUCT(CI177:CI201,(82&gt;Corte)*(82&lt;=Corte+n_Ventana)*ISNUMBER(Detalle_24m!CI$98:CI$122)*Detalle_24m!CI$98:CI$122+(1-(82&gt;Corte)*(82&lt;=Corte+n_Ventana)*ISNUMBER(Detalle_24m!CI$98:CI$122))*INS_V*INDEX(IdxOV_V,1,MIN(10,CI$173)))*(1+V_dMat)/(1-V_Merma)</f>
        <v>127260</v>
      </c>
      <c r="CJ230" s="48">
        <f>SUMPRODUCT(CJ177:CJ201,(83&gt;Corte)*(83&lt;=Corte+n_Ventana)*ISNUMBER(Detalle_24m!CJ$98:CJ$122)*Detalle_24m!CJ$98:CJ$122+(1-(83&gt;Corte)*(83&lt;=Corte+n_Ventana)*ISNUMBER(Detalle_24m!CJ$98:CJ$122))*INS_V*INDEX(IdxOV_V,1,MIN(10,CJ$173)))*(1+V_dMat)/(1-V_Merma)</f>
        <v>127260</v>
      </c>
      <c r="CK230" s="48">
        <f>SUMPRODUCT(CK177:CK201,(84&gt;Corte)*(84&lt;=Corte+n_Ventana)*ISNUMBER(Detalle_24m!CK$98:CK$122)*Detalle_24m!CK$98:CK$122+(1-(84&gt;Corte)*(84&lt;=Corte+n_Ventana)*ISNUMBER(Detalle_24m!CK$98:CK$122))*INS_V*INDEX(IdxOV_V,1,MIN(10,CK$173)))*(1+V_dMat)/(1-V_Merma)</f>
        <v>127260</v>
      </c>
      <c r="CL230" s="48">
        <f>SUMPRODUCT(CL177:CL201,(85&gt;Corte)*(85&lt;=Corte+n_Ventana)*ISNUMBER(Detalle_24m!CL$98:CL$122)*Detalle_24m!CL$98:CL$122+(1-(85&gt;Corte)*(85&lt;=Corte+n_Ventana)*ISNUMBER(Detalle_24m!CL$98:CL$122))*INS_V*INDEX(IdxOV_V,1,MIN(10,CL$173)))*(1+V_dMat)/(1-V_Merma)</f>
        <v>127260</v>
      </c>
      <c r="CM230" s="48">
        <f>SUMPRODUCT(CM177:CM201,(86&gt;Corte)*(86&lt;=Corte+n_Ventana)*ISNUMBER(Detalle_24m!CM$98:CM$122)*Detalle_24m!CM$98:CM$122+(1-(86&gt;Corte)*(86&lt;=Corte+n_Ventana)*ISNUMBER(Detalle_24m!CM$98:CM$122))*INS_V*INDEX(IdxOV_V,1,MIN(10,CM$173)))*(1+V_dMat)/(1-V_Merma)</f>
        <v>127260</v>
      </c>
      <c r="CN230" s="48">
        <f>SUMPRODUCT(CN177:CN201,(87&gt;Corte)*(87&lt;=Corte+n_Ventana)*ISNUMBER(Detalle_24m!CN$98:CN$122)*Detalle_24m!CN$98:CN$122+(1-(87&gt;Corte)*(87&lt;=Corte+n_Ventana)*ISNUMBER(Detalle_24m!CN$98:CN$122))*INS_V*INDEX(IdxOV_V,1,MIN(10,CN$173)))*(1+V_dMat)/(1-V_Merma)</f>
        <v>127260</v>
      </c>
      <c r="CO230" s="48">
        <f>SUMPRODUCT(CO177:CO201,(88&gt;Corte)*(88&lt;=Corte+n_Ventana)*ISNUMBER(Detalle_24m!CO$98:CO$122)*Detalle_24m!CO$98:CO$122+(1-(88&gt;Corte)*(88&lt;=Corte+n_Ventana)*ISNUMBER(Detalle_24m!CO$98:CO$122))*INS_V*INDEX(IdxOV_V,1,MIN(10,CO$173)))*(1+V_dMat)/(1-V_Merma)</f>
        <v>127260</v>
      </c>
      <c r="CP230" s="48">
        <f>SUMPRODUCT(CP177:CP201,(89&gt;Corte)*(89&lt;=Corte+n_Ventana)*ISNUMBER(Detalle_24m!CP$98:CP$122)*Detalle_24m!CP$98:CP$122+(1-(89&gt;Corte)*(89&lt;=Corte+n_Ventana)*ISNUMBER(Detalle_24m!CP$98:CP$122))*INS_V*INDEX(IdxOV_V,1,MIN(10,CP$173)))*(1+V_dMat)/(1-V_Merma)</f>
        <v>127260</v>
      </c>
      <c r="CQ230" s="48">
        <f>SUMPRODUCT(CQ177:CQ201,(90&gt;Corte)*(90&lt;=Corte+n_Ventana)*ISNUMBER(Detalle_24m!CQ$98:CQ$122)*Detalle_24m!CQ$98:CQ$122+(1-(90&gt;Corte)*(90&lt;=Corte+n_Ventana)*ISNUMBER(Detalle_24m!CQ$98:CQ$122))*INS_V*INDEX(IdxOV_V,1,MIN(10,CQ$173)))*(1+V_dMat)/(1-V_Merma)</f>
        <v>127260</v>
      </c>
      <c r="CR230" s="48">
        <f>SUMPRODUCT(CR177:CR201,(91&gt;Corte)*(91&lt;=Corte+n_Ventana)*ISNUMBER(Detalle_24m!CR$98:CR$122)*Detalle_24m!CR$98:CR$122+(1-(91&gt;Corte)*(91&lt;=Corte+n_Ventana)*ISNUMBER(Detalle_24m!CR$98:CR$122))*INS_V*INDEX(IdxOV_V,1,MIN(10,CR$173)))*(1+V_dMat)/(1-V_Merma)</f>
        <v>127260</v>
      </c>
      <c r="CS230" s="48">
        <f>SUMPRODUCT(CS177:CS201,(92&gt;Corte)*(92&lt;=Corte+n_Ventana)*ISNUMBER(Detalle_24m!CS$98:CS$122)*Detalle_24m!CS$98:CS$122+(1-(92&gt;Corte)*(92&lt;=Corte+n_Ventana)*ISNUMBER(Detalle_24m!CS$98:CS$122))*INS_V*INDEX(IdxOV_V,1,MIN(10,CS$173)))*(1+V_dMat)/(1-V_Merma)</f>
        <v>127260</v>
      </c>
      <c r="CT230" s="48">
        <f>SUMPRODUCT(CT177:CT201,(93&gt;Corte)*(93&lt;=Corte+n_Ventana)*ISNUMBER(Detalle_24m!CT$98:CT$122)*Detalle_24m!CT$98:CT$122+(1-(93&gt;Corte)*(93&lt;=Corte+n_Ventana)*ISNUMBER(Detalle_24m!CT$98:CT$122))*INS_V*INDEX(IdxOV_V,1,MIN(10,CT$173)))*(1+V_dMat)/(1-V_Merma)</f>
        <v>127260</v>
      </c>
      <c r="CU230" s="48">
        <f>SUMPRODUCT(CU177:CU201,(94&gt;Corte)*(94&lt;=Corte+n_Ventana)*ISNUMBER(Detalle_24m!CU$98:CU$122)*Detalle_24m!CU$98:CU$122+(1-(94&gt;Corte)*(94&lt;=Corte+n_Ventana)*ISNUMBER(Detalle_24m!CU$98:CU$122))*INS_V*INDEX(IdxOV_V,1,MIN(10,CU$173)))*(1+V_dMat)/(1-V_Merma)</f>
        <v>127260</v>
      </c>
      <c r="CV230" s="48">
        <f>SUMPRODUCT(CV177:CV201,(95&gt;Corte)*(95&lt;=Corte+n_Ventana)*ISNUMBER(Detalle_24m!CV$98:CV$122)*Detalle_24m!CV$98:CV$122+(1-(95&gt;Corte)*(95&lt;=Corte+n_Ventana)*ISNUMBER(Detalle_24m!CV$98:CV$122))*INS_V*INDEX(IdxOV_V,1,MIN(10,CV$173)))*(1+V_dMat)/(1-V_Merma)</f>
        <v>127260</v>
      </c>
      <c r="CW230" s="48">
        <f>SUMPRODUCT(CW177:CW201,(96&gt;Corte)*(96&lt;=Corte+n_Ventana)*ISNUMBER(Detalle_24m!CW$98:CW$122)*Detalle_24m!CW$98:CW$122+(1-(96&gt;Corte)*(96&lt;=Corte+n_Ventana)*ISNUMBER(Detalle_24m!CW$98:CW$122))*INS_V*INDEX(IdxOV_V,1,MIN(10,CW$173)))*(1+V_dMat)/(1-V_Merma)</f>
        <v>127260</v>
      </c>
      <c r="CX230" s="48">
        <f>SUMPRODUCT(CX177:CX201,(97&gt;Corte)*(97&lt;=Corte+n_Ventana)*ISNUMBER(Detalle_24m!CX$98:CX$122)*Detalle_24m!CX$98:CX$122+(1-(97&gt;Corte)*(97&lt;=Corte+n_Ventana)*ISNUMBER(Detalle_24m!CX$98:CX$122))*INS_V*INDEX(IdxOV_V,1,MIN(10,CX$173)))*(1+V_dMat)/(1-V_Merma)</f>
        <v>127260</v>
      </c>
      <c r="CY230" s="48">
        <f>SUMPRODUCT(CY177:CY201,(98&gt;Corte)*(98&lt;=Corte+n_Ventana)*ISNUMBER(Detalle_24m!CY$98:CY$122)*Detalle_24m!CY$98:CY$122+(1-(98&gt;Corte)*(98&lt;=Corte+n_Ventana)*ISNUMBER(Detalle_24m!CY$98:CY$122))*INS_V*INDEX(IdxOV_V,1,MIN(10,CY$173)))*(1+V_dMat)/(1-V_Merma)</f>
        <v>127260</v>
      </c>
      <c r="CZ230" s="48">
        <f>SUMPRODUCT(CZ177:CZ201,(99&gt;Corte)*(99&lt;=Corte+n_Ventana)*ISNUMBER(Detalle_24m!CZ$98:CZ$122)*Detalle_24m!CZ$98:CZ$122+(1-(99&gt;Corte)*(99&lt;=Corte+n_Ventana)*ISNUMBER(Detalle_24m!CZ$98:CZ$122))*INS_V*INDEX(IdxOV_V,1,MIN(10,CZ$173)))*(1+V_dMat)/(1-V_Merma)</f>
        <v>127260</v>
      </c>
      <c r="DA230" s="48">
        <f>SUMPRODUCT(DA177:DA201,(100&gt;Corte)*(100&lt;=Corte+n_Ventana)*ISNUMBER(Detalle_24m!DA$98:DA$122)*Detalle_24m!DA$98:DA$122+(1-(100&gt;Corte)*(100&lt;=Corte+n_Ventana)*ISNUMBER(Detalle_24m!DA$98:DA$122))*INS_V*INDEX(IdxOV_V,1,MIN(10,DA$173)))*(1+V_dMat)/(1-V_Merma)</f>
        <v>127260</v>
      </c>
      <c r="DB230" s="48">
        <f>SUMPRODUCT(DB177:DB201,(101&gt;Corte)*(101&lt;=Corte+n_Ventana)*ISNUMBER(Detalle_24m!DB$98:DB$122)*Detalle_24m!DB$98:DB$122+(1-(101&gt;Corte)*(101&lt;=Corte+n_Ventana)*ISNUMBER(Detalle_24m!DB$98:DB$122))*INS_V*INDEX(IdxOV_V,1,MIN(10,DB$173)))*(1+V_dMat)/(1-V_Merma)</f>
        <v>127260</v>
      </c>
      <c r="DC230" s="48">
        <f>SUMPRODUCT(DC177:DC201,(102&gt;Corte)*(102&lt;=Corte+n_Ventana)*ISNUMBER(Detalle_24m!DC$98:DC$122)*Detalle_24m!DC$98:DC$122+(1-(102&gt;Corte)*(102&lt;=Corte+n_Ventana)*ISNUMBER(Detalle_24m!DC$98:DC$122))*INS_V*INDEX(IdxOV_V,1,MIN(10,DC$173)))*(1+V_dMat)/(1-V_Merma)</f>
        <v>127260</v>
      </c>
      <c r="DD230" s="48">
        <f>SUMPRODUCT(DD177:DD201,(103&gt;Corte)*(103&lt;=Corte+n_Ventana)*ISNUMBER(Detalle_24m!DD$98:DD$122)*Detalle_24m!DD$98:DD$122+(1-(103&gt;Corte)*(103&lt;=Corte+n_Ventana)*ISNUMBER(Detalle_24m!DD$98:DD$122))*INS_V*INDEX(IdxOV_V,1,MIN(10,DD$173)))*(1+V_dMat)/(1-V_Merma)</f>
        <v>127260</v>
      </c>
      <c r="DE230" s="48">
        <f>SUMPRODUCT(DE177:DE201,(104&gt;Corte)*(104&lt;=Corte+n_Ventana)*ISNUMBER(Detalle_24m!DE$98:DE$122)*Detalle_24m!DE$98:DE$122+(1-(104&gt;Corte)*(104&lt;=Corte+n_Ventana)*ISNUMBER(Detalle_24m!DE$98:DE$122))*INS_V*INDEX(IdxOV_V,1,MIN(10,DE$173)))*(1+V_dMat)/(1-V_Merma)</f>
        <v>127260</v>
      </c>
      <c r="DF230" s="48">
        <f>SUMPRODUCT(DF177:DF201,(105&gt;Corte)*(105&lt;=Corte+n_Ventana)*ISNUMBER(Detalle_24m!DF$98:DF$122)*Detalle_24m!DF$98:DF$122+(1-(105&gt;Corte)*(105&lt;=Corte+n_Ventana)*ISNUMBER(Detalle_24m!DF$98:DF$122))*INS_V*INDEX(IdxOV_V,1,MIN(10,DF$173)))*(1+V_dMat)/(1-V_Merma)</f>
        <v>127260</v>
      </c>
      <c r="DG230" s="48">
        <f>SUMPRODUCT(DG177:DG201,(106&gt;Corte)*(106&lt;=Corte+n_Ventana)*ISNUMBER(Detalle_24m!DG$98:DG$122)*Detalle_24m!DG$98:DG$122+(1-(106&gt;Corte)*(106&lt;=Corte+n_Ventana)*ISNUMBER(Detalle_24m!DG$98:DG$122))*INS_V*INDEX(IdxOV_V,1,MIN(10,DG$173)))*(1+V_dMat)/(1-V_Merma)</f>
        <v>127260</v>
      </c>
      <c r="DH230" s="48">
        <f>SUMPRODUCT(DH177:DH201,(107&gt;Corte)*(107&lt;=Corte+n_Ventana)*ISNUMBER(Detalle_24m!DH$98:DH$122)*Detalle_24m!DH$98:DH$122+(1-(107&gt;Corte)*(107&lt;=Corte+n_Ventana)*ISNUMBER(Detalle_24m!DH$98:DH$122))*INS_V*INDEX(IdxOV_V,1,MIN(10,DH$173)))*(1+V_dMat)/(1-V_Merma)</f>
        <v>127260</v>
      </c>
      <c r="DI230" s="48">
        <f>SUMPRODUCT(DI177:DI201,(108&gt;Corte)*(108&lt;=Corte+n_Ventana)*ISNUMBER(Detalle_24m!DI$98:DI$122)*Detalle_24m!DI$98:DI$122+(1-(108&gt;Corte)*(108&lt;=Corte+n_Ventana)*ISNUMBER(Detalle_24m!DI$98:DI$122))*INS_V*INDEX(IdxOV_V,1,MIN(10,DI$173)))*(1+V_dMat)/(1-V_Merma)</f>
        <v>127260</v>
      </c>
      <c r="DJ230" s="48">
        <f>SUMPRODUCT(DJ177:DJ201,(109&gt;Corte)*(109&lt;=Corte+n_Ventana)*ISNUMBER(Detalle_24m!DJ$98:DJ$122)*Detalle_24m!DJ$98:DJ$122+(1-(109&gt;Corte)*(109&lt;=Corte+n_Ventana)*ISNUMBER(Detalle_24m!DJ$98:DJ$122))*INS_V*INDEX(IdxOV_V,1,MIN(10,DJ$173)))*(1+V_dMat)/(1-V_Merma)</f>
        <v>127260</v>
      </c>
      <c r="DK230" s="48">
        <f>SUMPRODUCT(DK177:DK201,(110&gt;Corte)*(110&lt;=Corte+n_Ventana)*ISNUMBER(Detalle_24m!DK$98:DK$122)*Detalle_24m!DK$98:DK$122+(1-(110&gt;Corte)*(110&lt;=Corte+n_Ventana)*ISNUMBER(Detalle_24m!DK$98:DK$122))*INS_V*INDEX(IdxOV_V,1,MIN(10,DK$173)))*(1+V_dMat)/(1-V_Merma)</f>
        <v>127260</v>
      </c>
      <c r="DL230" s="48">
        <f>SUMPRODUCT(DL177:DL201,(111&gt;Corte)*(111&lt;=Corte+n_Ventana)*ISNUMBER(Detalle_24m!DL$98:DL$122)*Detalle_24m!DL$98:DL$122+(1-(111&gt;Corte)*(111&lt;=Corte+n_Ventana)*ISNUMBER(Detalle_24m!DL$98:DL$122))*INS_V*INDEX(IdxOV_V,1,MIN(10,DL$173)))*(1+V_dMat)/(1-V_Merma)</f>
        <v>127260</v>
      </c>
      <c r="DM230" s="48">
        <f>SUMPRODUCT(DM177:DM201,(112&gt;Corte)*(112&lt;=Corte+n_Ventana)*ISNUMBER(Detalle_24m!DM$98:DM$122)*Detalle_24m!DM$98:DM$122+(1-(112&gt;Corte)*(112&lt;=Corte+n_Ventana)*ISNUMBER(Detalle_24m!DM$98:DM$122))*INS_V*INDEX(IdxOV_V,1,MIN(10,DM$173)))*(1+V_dMat)/(1-V_Merma)</f>
        <v>127260</v>
      </c>
      <c r="DN230" s="48">
        <f>SUMPRODUCT(DN177:DN201,(113&gt;Corte)*(113&lt;=Corte+n_Ventana)*ISNUMBER(Detalle_24m!DN$98:DN$122)*Detalle_24m!DN$98:DN$122+(1-(113&gt;Corte)*(113&lt;=Corte+n_Ventana)*ISNUMBER(Detalle_24m!DN$98:DN$122))*INS_V*INDEX(IdxOV_V,1,MIN(10,DN$173)))*(1+V_dMat)/(1-V_Merma)</f>
        <v>127260</v>
      </c>
      <c r="DO230" s="48">
        <f>SUMPRODUCT(DO177:DO201,(114&gt;Corte)*(114&lt;=Corte+n_Ventana)*ISNUMBER(Detalle_24m!DO$98:DO$122)*Detalle_24m!DO$98:DO$122+(1-(114&gt;Corte)*(114&lt;=Corte+n_Ventana)*ISNUMBER(Detalle_24m!DO$98:DO$122))*INS_V*INDEX(IdxOV_V,1,MIN(10,DO$173)))*(1+V_dMat)/(1-V_Merma)</f>
        <v>127260</v>
      </c>
      <c r="DP230" s="48">
        <f>SUMPRODUCT(DP177:DP201,(115&gt;Corte)*(115&lt;=Corte+n_Ventana)*ISNUMBER(Detalle_24m!DP$98:DP$122)*Detalle_24m!DP$98:DP$122+(1-(115&gt;Corte)*(115&lt;=Corte+n_Ventana)*ISNUMBER(Detalle_24m!DP$98:DP$122))*INS_V*INDEX(IdxOV_V,1,MIN(10,DP$173)))*(1+V_dMat)/(1-V_Merma)</f>
        <v>127260</v>
      </c>
      <c r="DQ230" s="48">
        <f>SUMPRODUCT(DQ177:DQ201,(116&gt;Corte)*(116&lt;=Corte+n_Ventana)*ISNUMBER(Detalle_24m!DQ$98:DQ$122)*Detalle_24m!DQ$98:DQ$122+(1-(116&gt;Corte)*(116&lt;=Corte+n_Ventana)*ISNUMBER(Detalle_24m!DQ$98:DQ$122))*INS_V*INDEX(IdxOV_V,1,MIN(10,DQ$173)))*(1+V_dMat)/(1-V_Merma)</f>
        <v>127260</v>
      </c>
      <c r="DR230" s="48">
        <f>SUMPRODUCT(DR177:DR201,(117&gt;Corte)*(117&lt;=Corte+n_Ventana)*ISNUMBER(Detalle_24m!DR$98:DR$122)*Detalle_24m!DR$98:DR$122+(1-(117&gt;Corte)*(117&lt;=Corte+n_Ventana)*ISNUMBER(Detalle_24m!DR$98:DR$122))*INS_V*INDEX(IdxOV_V,1,MIN(10,DR$173)))*(1+V_dMat)/(1-V_Merma)</f>
        <v>127260</v>
      </c>
      <c r="DS230" s="48">
        <f>SUMPRODUCT(DS177:DS201,(118&gt;Corte)*(118&lt;=Corte+n_Ventana)*ISNUMBER(Detalle_24m!DS$98:DS$122)*Detalle_24m!DS$98:DS$122+(1-(118&gt;Corte)*(118&lt;=Corte+n_Ventana)*ISNUMBER(Detalle_24m!DS$98:DS$122))*INS_V*INDEX(IdxOV_V,1,MIN(10,DS$173)))*(1+V_dMat)/(1-V_Merma)</f>
        <v>127260</v>
      </c>
      <c r="DT230" s="48">
        <f>SUMPRODUCT(DT177:DT201,(119&gt;Corte)*(119&lt;=Corte+n_Ventana)*ISNUMBER(Detalle_24m!DT$98:DT$122)*Detalle_24m!DT$98:DT$122+(1-(119&gt;Corte)*(119&lt;=Corte+n_Ventana)*ISNUMBER(Detalle_24m!DT$98:DT$122))*INS_V*INDEX(IdxOV_V,1,MIN(10,DT$173)))*(1+V_dMat)/(1-V_Merma)</f>
        <v>127260</v>
      </c>
      <c r="DU230" s="48">
        <f>SUMPRODUCT(DU177:DU201,(120&gt;Corte)*(120&lt;=Corte+n_Ventana)*ISNUMBER(Detalle_24m!DU$98:DU$122)*Detalle_24m!DU$98:DU$122+(1-(120&gt;Corte)*(120&lt;=Corte+n_Ventana)*ISNUMBER(Detalle_24m!DU$98:DU$122))*INS_V*INDEX(IdxOV_V,1,MIN(10,DU$173)))*(1+V_dMat)/(1-V_Merma)</f>
        <v>127260</v>
      </c>
      <c r="DV230" s="48">
        <f>SUMPRODUCT(DV177:DV201,(121&gt;Corte)*(121&lt;=Corte+n_Ventana)*ISNUMBER(Detalle_24m!DV$98:DV$122)*Detalle_24m!DV$98:DV$122+(1-(121&gt;Corte)*(121&lt;=Corte+n_Ventana)*ISNUMBER(Detalle_24m!DV$98:DV$122))*INS_V*INDEX(IdxOV_V,1,MIN(10,DV$173)))*(1+V_dMat)/(1-V_Merma)</f>
        <v>0</v>
      </c>
      <c r="DW230" s="48">
        <f>SUMPRODUCT(DW177:DW201,(122&gt;Corte)*(122&lt;=Corte+n_Ventana)*ISNUMBER(Detalle_24m!DW$98:DW$122)*Detalle_24m!DW$98:DW$122+(1-(122&gt;Corte)*(122&lt;=Corte+n_Ventana)*ISNUMBER(Detalle_24m!DW$98:DW$122))*INS_V*INDEX(IdxOV_V,1,MIN(10,DW$173)))*(1+V_dMat)/(1-V_Merma)</f>
        <v>0</v>
      </c>
      <c r="DX230" s="48">
        <f>SUMPRODUCT(DX177:DX201,(123&gt;Corte)*(123&lt;=Corte+n_Ventana)*ISNUMBER(Detalle_24m!DX$98:DX$122)*Detalle_24m!DX$98:DX$122+(1-(123&gt;Corte)*(123&lt;=Corte+n_Ventana)*ISNUMBER(Detalle_24m!DX$98:DX$122))*INS_V*INDEX(IdxOV_V,1,MIN(10,DX$173)))*(1+V_dMat)/(1-V_Merma)</f>
        <v>0</v>
      </c>
      <c r="DY230" s="48">
        <f>SUMPRODUCT(DY177:DY201,(124&gt;Corte)*(124&lt;=Corte+n_Ventana)*ISNUMBER(Detalle_24m!DY$98:DY$122)*Detalle_24m!DY$98:DY$122+(1-(124&gt;Corte)*(124&lt;=Corte+n_Ventana)*ISNUMBER(Detalle_24m!DY$98:DY$122))*INS_V*INDEX(IdxOV_V,1,MIN(10,DY$173)))*(1+V_dMat)/(1-V_Merma)</f>
        <v>0</v>
      </c>
      <c r="DZ230" s="48">
        <f>SUMPRODUCT(DZ177:DZ201,(125&gt;Corte)*(125&lt;=Corte+n_Ventana)*ISNUMBER(Detalle_24m!DZ$98:DZ$122)*Detalle_24m!DZ$98:DZ$122+(1-(125&gt;Corte)*(125&lt;=Corte+n_Ventana)*ISNUMBER(Detalle_24m!DZ$98:DZ$122))*INS_V*INDEX(IdxOV_V,1,MIN(10,DZ$173)))*(1+V_dMat)/(1-V_Merma)</f>
        <v>0</v>
      </c>
      <c r="EA230" s="48">
        <f>SUMPRODUCT(EA177:EA201,(126&gt;Corte)*(126&lt;=Corte+n_Ventana)*ISNUMBER(Detalle_24m!EA$98:EA$122)*Detalle_24m!EA$98:EA$122+(1-(126&gt;Corte)*(126&lt;=Corte+n_Ventana)*ISNUMBER(Detalle_24m!EA$98:EA$122))*INS_V*INDEX(IdxOV_V,1,MIN(10,EA$173)))*(1+V_dMat)/(1-V_Merma)</f>
        <v>0</v>
      </c>
      <c r="EB230" s="48">
        <f>SUMPRODUCT(EB177:EB201,(127&gt;Corte)*(127&lt;=Corte+n_Ventana)*ISNUMBER(Detalle_24m!EB$98:EB$122)*Detalle_24m!EB$98:EB$122+(1-(127&gt;Corte)*(127&lt;=Corte+n_Ventana)*ISNUMBER(Detalle_24m!EB$98:EB$122))*INS_V*INDEX(IdxOV_V,1,MIN(10,EB$173)))*(1+V_dMat)/(1-V_Merma)</f>
        <v>0</v>
      </c>
      <c r="EC230" s="48">
        <f>SUMPRODUCT(EC177:EC201,(128&gt;Corte)*(128&lt;=Corte+n_Ventana)*ISNUMBER(Detalle_24m!EC$98:EC$122)*Detalle_24m!EC$98:EC$122+(1-(128&gt;Corte)*(128&lt;=Corte+n_Ventana)*ISNUMBER(Detalle_24m!EC$98:EC$122))*INS_V*INDEX(IdxOV_V,1,MIN(10,EC$173)))*(1+V_dMat)/(1-V_Merma)</f>
        <v>0</v>
      </c>
      <c r="ED230" s="48">
        <f>SUMPRODUCT(ED177:ED201,(129&gt;Corte)*(129&lt;=Corte+n_Ventana)*ISNUMBER(Detalle_24m!ED$98:ED$122)*Detalle_24m!ED$98:ED$122+(1-(129&gt;Corte)*(129&lt;=Corte+n_Ventana)*ISNUMBER(Detalle_24m!ED$98:ED$122))*INS_V*INDEX(IdxOV_V,1,MIN(10,ED$173)))*(1+V_dMat)/(1-V_Merma)</f>
        <v>0</v>
      </c>
      <c r="EE230" s="48">
        <f>SUMPRODUCT(EE177:EE201,(130&gt;Corte)*(130&lt;=Corte+n_Ventana)*ISNUMBER(Detalle_24m!EE$98:EE$122)*Detalle_24m!EE$98:EE$122+(1-(130&gt;Corte)*(130&lt;=Corte+n_Ventana)*ISNUMBER(Detalle_24m!EE$98:EE$122))*INS_V*INDEX(IdxOV_V,1,MIN(10,EE$173)))*(1+V_dMat)/(1-V_Merma)</f>
        <v>0</v>
      </c>
      <c r="EF230" s="48">
        <f>SUMPRODUCT(EF177:EF201,(131&gt;Corte)*(131&lt;=Corte+n_Ventana)*ISNUMBER(Detalle_24m!EF$98:EF$122)*Detalle_24m!EF$98:EF$122+(1-(131&gt;Corte)*(131&lt;=Corte+n_Ventana)*ISNUMBER(Detalle_24m!EF$98:EF$122))*INS_V*INDEX(IdxOV_V,1,MIN(10,EF$173)))*(1+V_dMat)/(1-V_Merma)</f>
        <v>0</v>
      </c>
      <c r="EG230" s="48">
        <f>SUMPRODUCT(EG177:EG201,(132&gt;Corte)*(132&lt;=Corte+n_Ventana)*ISNUMBER(Detalle_24m!EG$98:EG$122)*Detalle_24m!EG$98:EG$122+(1-(132&gt;Corte)*(132&lt;=Corte+n_Ventana)*ISNUMBER(Detalle_24m!EG$98:EG$122))*INS_V*INDEX(IdxOV_V,1,MIN(10,EG$173)))*(1+V_dMat)/(1-V_Merma)</f>
        <v>0</v>
      </c>
      <c r="EH230" s="48">
        <f>SUMPRODUCT(EH177:EH201,(133&gt;Corte)*(133&lt;=Corte+n_Ventana)*ISNUMBER(Detalle_24m!EH$98:EH$122)*Detalle_24m!EH$98:EH$122+(1-(133&gt;Corte)*(133&lt;=Corte+n_Ventana)*ISNUMBER(Detalle_24m!EH$98:EH$122))*INS_V*INDEX(IdxOV_V,1,MIN(10,EH$173)))*(1+V_dMat)/(1-V_Merma)</f>
        <v>0</v>
      </c>
      <c r="EI230" s="48">
        <f>SUMPRODUCT(EI177:EI201,(134&gt;Corte)*(134&lt;=Corte+n_Ventana)*ISNUMBER(Detalle_24m!EI$98:EI$122)*Detalle_24m!EI$98:EI$122+(1-(134&gt;Corte)*(134&lt;=Corte+n_Ventana)*ISNUMBER(Detalle_24m!EI$98:EI$122))*INS_V*INDEX(IdxOV_V,1,MIN(10,EI$173)))*(1+V_dMat)/(1-V_Merma)</f>
        <v>0</v>
      </c>
      <c r="EJ230" s="48">
        <f>SUMPRODUCT(EJ177:EJ201,(135&gt;Corte)*(135&lt;=Corte+n_Ventana)*ISNUMBER(Detalle_24m!EJ$98:EJ$122)*Detalle_24m!EJ$98:EJ$122+(1-(135&gt;Corte)*(135&lt;=Corte+n_Ventana)*ISNUMBER(Detalle_24m!EJ$98:EJ$122))*INS_V*INDEX(IdxOV_V,1,MIN(10,EJ$173)))*(1+V_dMat)/(1-V_Merma)</f>
        <v>0</v>
      </c>
      <c r="EK230" s="48">
        <f>SUMPRODUCT(EK177:EK201,(136&gt;Corte)*(136&lt;=Corte+n_Ventana)*ISNUMBER(Detalle_24m!EK$98:EK$122)*Detalle_24m!EK$98:EK$122+(1-(136&gt;Corte)*(136&lt;=Corte+n_Ventana)*ISNUMBER(Detalle_24m!EK$98:EK$122))*INS_V*INDEX(IdxOV_V,1,MIN(10,EK$173)))*(1+V_dMat)/(1-V_Merma)</f>
        <v>0</v>
      </c>
      <c r="EL230" s="48">
        <f>SUMPRODUCT(EL177:EL201,(137&gt;Corte)*(137&lt;=Corte+n_Ventana)*ISNUMBER(Detalle_24m!EL$98:EL$122)*Detalle_24m!EL$98:EL$122+(1-(137&gt;Corte)*(137&lt;=Corte+n_Ventana)*ISNUMBER(Detalle_24m!EL$98:EL$122))*INS_V*INDEX(IdxOV_V,1,MIN(10,EL$173)))*(1+V_dMat)/(1-V_Merma)</f>
        <v>0</v>
      </c>
      <c r="EM230" s="48">
        <f>SUMPRODUCT(EM177:EM201,(138&gt;Corte)*(138&lt;=Corte+n_Ventana)*ISNUMBER(Detalle_24m!EM$98:EM$122)*Detalle_24m!EM$98:EM$122+(1-(138&gt;Corte)*(138&lt;=Corte+n_Ventana)*ISNUMBER(Detalle_24m!EM$98:EM$122))*INS_V*INDEX(IdxOV_V,1,MIN(10,EM$173)))*(1+V_dMat)/(1-V_Merma)</f>
        <v>0</v>
      </c>
      <c r="EN230" s="48">
        <f>SUMPRODUCT(EN177:EN201,(139&gt;Corte)*(139&lt;=Corte+n_Ventana)*ISNUMBER(Detalle_24m!EN$98:EN$122)*Detalle_24m!EN$98:EN$122+(1-(139&gt;Corte)*(139&lt;=Corte+n_Ventana)*ISNUMBER(Detalle_24m!EN$98:EN$122))*INS_V*INDEX(IdxOV_V,1,MIN(10,EN$173)))*(1+V_dMat)/(1-V_Merma)</f>
        <v>0</v>
      </c>
      <c r="EO230" s="48">
        <f>SUMPRODUCT(EO177:EO201,(140&gt;Corte)*(140&lt;=Corte+n_Ventana)*ISNUMBER(Detalle_24m!EO$98:EO$122)*Detalle_24m!EO$98:EO$122+(1-(140&gt;Corte)*(140&lt;=Corte+n_Ventana)*ISNUMBER(Detalle_24m!EO$98:EO$122))*INS_V*INDEX(IdxOV_V,1,MIN(10,EO$173)))*(1+V_dMat)/(1-V_Merma)</f>
        <v>0</v>
      </c>
      <c r="EP230" s="48">
        <f>SUMPRODUCT(EP177:EP201,(141&gt;Corte)*(141&lt;=Corte+n_Ventana)*ISNUMBER(Detalle_24m!EP$98:EP$122)*Detalle_24m!EP$98:EP$122+(1-(141&gt;Corte)*(141&lt;=Corte+n_Ventana)*ISNUMBER(Detalle_24m!EP$98:EP$122))*INS_V*INDEX(IdxOV_V,1,MIN(10,EP$173)))*(1+V_dMat)/(1-V_Merma)</f>
        <v>0</v>
      </c>
      <c r="EQ230" s="48">
        <f>SUMPRODUCT(EQ177:EQ201,(142&gt;Corte)*(142&lt;=Corte+n_Ventana)*ISNUMBER(Detalle_24m!EQ$98:EQ$122)*Detalle_24m!EQ$98:EQ$122+(1-(142&gt;Corte)*(142&lt;=Corte+n_Ventana)*ISNUMBER(Detalle_24m!EQ$98:EQ$122))*INS_V*INDEX(IdxOV_V,1,MIN(10,EQ$173)))*(1+V_dMat)/(1-V_Merma)</f>
        <v>0</v>
      </c>
      <c r="ER230" s="48">
        <f>SUMPRODUCT(ER177:ER201,(143&gt;Corte)*(143&lt;=Corte+n_Ventana)*ISNUMBER(Detalle_24m!ER$98:ER$122)*Detalle_24m!ER$98:ER$122+(1-(143&gt;Corte)*(143&lt;=Corte+n_Ventana)*ISNUMBER(Detalle_24m!ER$98:ER$122))*INS_V*INDEX(IdxOV_V,1,MIN(10,ER$173)))*(1+V_dMat)/(1-V_Merma)</f>
        <v>0</v>
      </c>
      <c r="ES230" s="48">
        <f>SUMPRODUCT(ES177:ES201,(144&gt;Corte)*(144&lt;=Corte+n_Ventana)*ISNUMBER(Detalle_24m!ES$98:ES$122)*Detalle_24m!ES$98:ES$122+(1-(144&gt;Corte)*(144&lt;=Corte+n_Ventana)*ISNUMBER(Detalle_24m!ES$98:ES$122))*INS_V*INDEX(IdxOV_V,1,MIN(10,ES$173)))*(1+V_dMat)/(1-V_Merma)</f>
        <v>0</v>
      </c>
    </row>
    <row r="231" spans="1:149" x14ac:dyDescent="0.3">
      <c r="A231" s="14" t="s">
        <v>1285</v>
      </c>
      <c r="B231" s="18" t="s">
        <v>1056</v>
      </c>
      <c r="C231" s="18" t="s">
        <v>439</v>
      </c>
      <c r="E231" s="54">
        <f>SUM(F231:ES231)</f>
        <v>8388891.9360000025</v>
      </c>
      <c r="F231" s="48">
        <f>SUMPRODUCT(F177:F201,(1&gt;Corte)*(1&lt;=Corte+n_Ventana)*ISNUMBER(Detalle_24m!F$126:F$150)*Detalle_24m!F$126:F$150+(1-(1&gt;Corte)*(1&lt;=Corte+n_Ventana)*ISNUMBER(Detalle_24m!F$126:F$150))*OV_V*INDEX(IdxOV_V,1,MIN(10,F$173)))*(1+V_dMat)/(1-V_Merma)</f>
        <v>43834.332999999999</v>
      </c>
      <c r="G231" s="48">
        <f>SUMPRODUCT(G177:G201,(2&gt;Corte)*(2&lt;=Corte+n_Ventana)*ISNUMBER(Detalle_24m!G$126:G$150)*Detalle_24m!G$126:G$150+(1-(2&gt;Corte)*(2&lt;=Corte+n_Ventana)*ISNUMBER(Detalle_24m!G$126:G$150))*OV_V*INDEX(IdxOV_V,1,MIN(10,G$173)))*(1+V_dMat)/(1-V_Merma)</f>
        <v>43834.332999999999</v>
      </c>
      <c r="H231" s="48">
        <f>SUMPRODUCT(H177:H201,(3&gt;Corte)*(3&lt;=Corte+n_Ventana)*ISNUMBER(Detalle_24m!H$126:H$150)*Detalle_24m!H$126:H$150+(1-(3&gt;Corte)*(3&lt;=Corte+n_Ventana)*ISNUMBER(Detalle_24m!H$126:H$150))*OV_V*INDEX(IdxOV_V,1,MIN(10,H$173)))*(1+V_dMat)/(1-V_Merma)</f>
        <v>43834.332999999999</v>
      </c>
      <c r="I231" s="48">
        <f>SUMPRODUCT(I177:I201,(4&gt;Corte)*(4&lt;=Corte+n_Ventana)*ISNUMBER(Detalle_24m!I$126:I$150)*Detalle_24m!I$126:I$150+(1-(4&gt;Corte)*(4&lt;=Corte+n_Ventana)*ISNUMBER(Detalle_24m!I$126:I$150))*OV_V*INDEX(IdxOV_V,1,MIN(10,I$173)))*(1+V_dMat)/(1-V_Merma)</f>
        <v>43834.332999999999</v>
      </c>
      <c r="J231" s="48">
        <f>SUMPRODUCT(J177:J201,(5&gt;Corte)*(5&lt;=Corte+n_Ventana)*ISNUMBER(Detalle_24m!J$126:J$150)*Detalle_24m!J$126:J$150+(1-(5&gt;Corte)*(5&lt;=Corte+n_Ventana)*ISNUMBER(Detalle_24m!J$126:J$150))*OV_V*INDEX(IdxOV_V,1,MIN(10,J$173)))*(1+V_dMat)/(1-V_Merma)</f>
        <v>43834.332999999999</v>
      </c>
      <c r="K231" s="48">
        <f>SUMPRODUCT(K177:K201,(6&gt;Corte)*(6&lt;=Corte+n_Ventana)*ISNUMBER(Detalle_24m!K$126:K$150)*Detalle_24m!K$126:K$150+(1-(6&gt;Corte)*(6&lt;=Corte+n_Ventana)*ISNUMBER(Detalle_24m!K$126:K$150))*OV_V*INDEX(IdxOV_V,1,MIN(10,K$173)))*(1+V_dMat)/(1-V_Merma)</f>
        <v>43834.332999999999</v>
      </c>
      <c r="L231" s="48">
        <f>SUMPRODUCT(L177:L201,(7&gt;Corte)*(7&lt;=Corte+n_Ventana)*ISNUMBER(Detalle_24m!L$126:L$150)*Detalle_24m!L$126:L$150+(1-(7&gt;Corte)*(7&lt;=Corte+n_Ventana)*ISNUMBER(Detalle_24m!L$126:L$150))*OV_V*INDEX(IdxOV_V,1,MIN(10,L$173)))*(1+V_dMat)/(1-V_Merma)</f>
        <v>43834.332999999999</v>
      </c>
      <c r="M231" s="48">
        <f>SUMPRODUCT(M177:M201,(8&gt;Corte)*(8&lt;=Corte+n_Ventana)*ISNUMBER(Detalle_24m!M$126:M$150)*Detalle_24m!M$126:M$150+(1-(8&gt;Corte)*(8&lt;=Corte+n_Ventana)*ISNUMBER(Detalle_24m!M$126:M$150))*OV_V*INDEX(IdxOV_V,1,MIN(10,M$173)))*(1+V_dMat)/(1-V_Merma)</f>
        <v>43834.332999999999</v>
      </c>
      <c r="N231" s="48">
        <f>SUMPRODUCT(N177:N201,(9&gt;Corte)*(9&lt;=Corte+n_Ventana)*ISNUMBER(Detalle_24m!N$126:N$150)*Detalle_24m!N$126:N$150+(1-(9&gt;Corte)*(9&lt;=Corte+n_Ventana)*ISNUMBER(Detalle_24m!N$126:N$150))*OV_V*INDEX(IdxOV_V,1,MIN(10,N$173)))*(1+V_dMat)/(1-V_Merma)</f>
        <v>43834.332999999999</v>
      </c>
      <c r="O231" s="48">
        <f>SUMPRODUCT(O177:O201,(10&gt;Corte)*(10&lt;=Corte+n_Ventana)*ISNUMBER(Detalle_24m!O$126:O$150)*Detalle_24m!O$126:O$150+(1-(10&gt;Corte)*(10&lt;=Corte+n_Ventana)*ISNUMBER(Detalle_24m!O$126:O$150))*OV_V*INDEX(IdxOV_V,1,MIN(10,O$173)))*(1+V_dMat)/(1-V_Merma)</f>
        <v>43834.332999999999</v>
      </c>
      <c r="P231" s="48">
        <f>SUMPRODUCT(P177:P201,(11&gt;Corte)*(11&lt;=Corte+n_Ventana)*ISNUMBER(Detalle_24m!P$126:P$150)*Detalle_24m!P$126:P$150+(1-(11&gt;Corte)*(11&lt;=Corte+n_Ventana)*ISNUMBER(Detalle_24m!P$126:P$150))*OV_V*INDEX(IdxOV_V,1,MIN(10,P$173)))*(1+V_dMat)/(1-V_Merma)</f>
        <v>43834.332999999999</v>
      </c>
      <c r="Q231" s="48">
        <f>SUMPRODUCT(Q177:Q201,(12&gt;Corte)*(12&lt;=Corte+n_Ventana)*ISNUMBER(Detalle_24m!Q$126:Q$150)*Detalle_24m!Q$126:Q$150+(1-(12&gt;Corte)*(12&lt;=Corte+n_Ventana)*ISNUMBER(Detalle_24m!Q$126:Q$150))*OV_V*INDEX(IdxOV_V,1,MIN(10,Q$173)))*(1+V_dMat)/(1-V_Merma)</f>
        <v>43834.332999999999</v>
      </c>
      <c r="R231" s="48">
        <f>SUMPRODUCT(R177:R201,(13&gt;Corte)*(13&lt;=Corte+n_Ventana)*ISNUMBER(Detalle_24m!R$126:R$150)*Detalle_24m!R$126:R$150+(1-(13&gt;Corte)*(13&lt;=Corte+n_Ventana)*ISNUMBER(Detalle_24m!R$126:R$150))*OV_V*INDEX(IdxOV_V,1,MIN(10,R$173)))*(1+V_dMat)/(1-V_Merma)</f>
        <v>55361.666250000002</v>
      </c>
      <c r="S231" s="48">
        <f>SUMPRODUCT(S177:S201,(14&gt;Corte)*(14&lt;=Corte+n_Ventana)*ISNUMBER(Detalle_24m!S$126:S$150)*Detalle_24m!S$126:S$150+(1-(14&gt;Corte)*(14&lt;=Corte+n_Ventana)*ISNUMBER(Detalle_24m!S$126:S$150))*OV_V*INDEX(IdxOV_V,1,MIN(10,S$173)))*(1+V_dMat)/(1-V_Merma)</f>
        <v>55361.666250000002</v>
      </c>
      <c r="T231" s="48">
        <f>SUMPRODUCT(T177:T201,(15&gt;Corte)*(15&lt;=Corte+n_Ventana)*ISNUMBER(Detalle_24m!T$126:T$150)*Detalle_24m!T$126:T$150+(1-(15&gt;Corte)*(15&lt;=Corte+n_Ventana)*ISNUMBER(Detalle_24m!T$126:T$150))*OV_V*INDEX(IdxOV_V,1,MIN(10,T$173)))*(1+V_dMat)/(1-V_Merma)</f>
        <v>55361.666250000002</v>
      </c>
      <c r="U231" s="48">
        <f>SUMPRODUCT(U177:U201,(16&gt;Corte)*(16&lt;=Corte+n_Ventana)*ISNUMBER(Detalle_24m!U$126:U$150)*Detalle_24m!U$126:U$150+(1-(16&gt;Corte)*(16&lt;=Corte+n_Ventana)*ISNUMBER(Detalle_24m!U$126:U$150))*OV_V*INDEX(IdxOV_V,1,MIN(10,U$173)))*(1+V_dMat)/(1-V_Merma)</f>
        <v>55361.666250000002</v>
      </c>
      <c r="V231" s="48">
        <f>SUMPRODUCT(V177:V201,(17&gt;Corte)*(17&lt;=Corte+n_Ventana)*ISNUMBER(Detalle_24m!V$126:V$150)*Detalle_24m!V$126:V$150+(1-(17&gt;Corte)*(17&lt;=Corte+n_Ventana)*ISNUMBER(Detalle_24m!V$126:V$150))*OV_V*INDEX(IdxOV_V,1,MIN(10,V$173)))*(1+V_dMat)/(1-V_Merma)</f>
        <v>55361.666250000002</v>
      </c>
      <c r="W231" s="48">
        <f>SUMPRODUCT(W177:W201,(18&gt;Corte)*(18&lt;=Corte+n_Ventana)*ISNUMBER(Detalle_24m!W$126:W$150)*Detalle_24m!W$126:W$150+(1-(18&gt;Corte)*(18&lt;=Corte+n_Ventana)*ISNUMBER(Detalle_24m!W$126:W$150))*OV_V*INDEX(IdxOV_V,1,MIN(10,W$173)))*(1+V_dMat)/(1-V_Merma)</f>
        <v>55361.666250000002</v>
      </c>
      <c r="X231" s="48">
        <f>SUMPRODUCT(X177:X201,(19&gt;Corte)*(19&lt;=Corte+n_Ventana)*ISNUMBER(Detalle_24m!X$126:X$150)*Detalle_24m!X$126:X$150+(1-(19&gt;Corte)*(19&lt;=Corte+n_Ventana)*ISNUMBER(Detalle_24m!X$126:X$150))*OV_V*INDEX(IdxOV_V,1,MIN(10,X$173)))*(1+V_dMat)/(1-V_Merma)</f>
        <v>55361.666250000002</v>
      </c>
      <c r="Y231" s="48">
        <f>SUMPRODUCT(Y177:Y201,(20&gt;Corte)*(20&lt;=Corte+n_Ventana)*ISNUMBER(Detalle_24m!Y$126:Y$150)*Detalle_24m!Y$126:Y$150+(1-(20&gt;Corte)*(20&lt;=Corte+n_Ventana)*ISNUMBER(Detalle_24m!Y$126:Y$150))*OV_V*INDEX(IdxOV_V,1,MIN(10,Y$173)))*(1+V_dMat)/(1-V_Merma)</f>
        <v>55361.666250000002</v>
      </c>
      <c r="Z231" s="48">
        <f>SUMPRODUCT(Z177:Z201,(21&gt;Corte)*(21&lt;=Corte+n_Ventana)*ISNUMBER(Detalle_24m!Z$126:Z$150)*Detalle_24m!Z$126:Z$150+(1-(21&gt;Corte)*(21&lt;=Corte+n_Ventana)*ISNUMBER(Detalle_24m!Z$126:Z$150))*OV_V*INDEX(IdxOV_V,1,MIN(10,Z$173)))*(1+V_dMat)/(1-V_Merma)</f>
        <v>55361.666250000002</v>
      </c>
      <c r="AA231" s="48">
        <f>SUMPRODUCT(AA177:AA201,(22&gt;Corte)*(22&lt;=Corte+n_Ventana)*ISNUMBER(Detalle_24m!AA$126:AA$150)*Detalle_24m!AA$126:AA$150+(1-(22&gt;Corte)*(22&lt;=Corte+n_Ventana)*ISNUMBER(Detalle_24m!AA$126:AA$150))*OV_V*INDEX(IdxOV_V,1,MIN(10,AA$173)))*(1+V_dMat)/(1-V_Merma)</f>
        <v>55361.666250000002</v>
      </c>
      <c r="AB231" s="48">
        <f>SUMPRODUCT(AB177:AB201,(23&gt;Corte)*(23&lt;=Corte+n_Ventana)*ISNUMBER(Detalle_24m!AB$126:AB$150)*Detalle_24m!AB$126:AB$150+(1-(23&gt;Corte)*(23&lt;=Corte+n_Ventana)*ISNUMBER(Detalle_24m!AB$126:AB$150))*OV_V*INDEX(IdxOV_V,1,MIN(10,AB$173)))*(1+V_dMat)/(1-V_Merma)</f>
        <v>55361.666250000002</v>
      </c>
      <c r="AC231" s="48">
        <f>SUMPRODUCT(AC177:AC201,(24&gt;Corte)*(24&lt;=Corte+n_Ventana)*ISNUMBER(Detalle_24m!AC$126:AC$150)*Detalle_24m!AC$126:AC$150+(1-(24&gt;Corte)*(24&lt;=Corte+n_Ventana)*ISNUMBER(Detalle_24m!AC$126:AC$150))*OV_V*INDEX(IdxOV_V,1,MIN(10,AC$173)))*(1+V_dMat)/(1-V_Merma)</f>
        <v>55361.666250000002</v>
      </c>
      <c r="AD231" s="48">
        <f>SUMPRODUCT(AD177:AD201,(25&gt;Corte)*(25&lt;=Corte+n_Ventana)*ISNUMBER(Detalle_24m!AD$126:AD$150)*Detalle_24m!AD$126:AD$150+(1-(25&gt;Corte)*(25&lt;=Corte+n_Ventana)*ISNUMBER(Detalle_24m!AD$126:AD$150))*OV_V*INDEX(IdxOV_V,1,MIN(10,AD$173)))*(1+V_dMat)/(1-V_Merma)</f>
        <v>66888.999500000005</v>
      </c>
      <c r="AE231" s="48">
        <f>SUMPRODUCT(AE177:AE201,(26&gt;Corte)*(26&lt;=Corte+n_Ventana)*ISNUMBER(Detalle_24m!AE$126:AE$150)*Detalle_24m!AE$126:AE$150+(1-(26&gt;Corte)*(26&lt;=Corte+n_Ventana)*ISNUMBER(Detalle_24m!AE$126:AE$150))*OV_V*INDEX(IdxOV_V,1,MIN(10,AE$173)))*(1+V_dMat)/(1-V_Merma)</f>
        <v>66888.999500000005</v>
      </c>
      <c r="AF231" s="48">
        <f>SUMPRODUCT(AF177:AF201,(27&gt;Corte)*(27&lt;=Corte+n_Ventana)*ISNUMBER(Detalle_24m!AF$126:AF$150)*Detalle_24m!AF$126:AF$150+(1-(27&gt;Corte)*(27&lt;=Corte+n_Ventana)*ISNUMBER(Detalle_24m!AF$126:AF$150))*OV_V*INDEX(IdxOV_V,1,MIN(10,AF$173)))*(1+V_dMat)/(1-V_Merma)</f>
        <v>66888.999500000005</v>
      </c>
      <c r="AG231" s="48">
        <f>SUMPRODUCT(AG177:AG201,(28&gt;Corte)*(28&lt;=Corte+n_Ventana)*ISNUMBER(Detalle_24m!AG$126:AG$150)*Detalle_24m!AG$126:AG$150+(1-(28&gt;Corte)*(28&lt;=Corte+n_Ventana)*ISNUMBER(Detalle_24m!AG$126:AG$150))*OV_V*INDEX(IdxOV_V,1,MIN(10,AG$173)))*(1+V_dMat)/(1-V_Merma)</f>
        <v>66888.999500000005</v>
      </c>
      <c r="AH231" s="48">
        <f>SUMPRODUCT(AH177:AH201,(29&gt;Corte)*(29&lt;=Corte+n_Ventana)*ISNUMBER(Detalle_24m!AH$126:AH$150)*Detalle_24m!AH$126:AH$150+(1-(29&gt;Corte)*(29&lt;=Corte+n_Ventana)*ISNUMBER(Detalle_24m!AH$126:AH$150))*OV_V*INDEX(IdxOV_V,1,MIN(10,AH$173)))*(1+V_dMat)/(1-V_Merma)</f>
        <v>66888.999500000005</v>
      </c>
      <c r="AI231" s="48">
        <f>SUMPRODUCT(AI177:AI201,(30&gt;Corte)*(30&lt;=Corte+n_Ventana)*ISNUMBER(Detalle_24m!AI$126:AI$150)*Detalle_24m!AI$126:AI$150+(1-(30&gt;Corte)*(30&lt;=Corte+n_Ventana)*ISNUMBER(Detalle_24m!AI$126:AI$150))*OV_V*INDEX(IdxOV_V,1,MIN(10,AI$173)))*(1+V_dMat)/(1-V_Merma)</f>
        <v>66888.999500000005</v>
      </c>
      <c r="AJ231" s="48">
        <f>SUMPRODUCT(AJ177:AJ201,(31&gt;Corte)*(31&lt;=Corte+n_Ventana)*ISNUMBER(Detalle_24m!AJ$126:AJ$150)*Detalle_24m!AJ$126:AJ$150+(1-(31&gt;Corte)*(31&lt;=Corte+n_Ventana)*ISNUMBER(Detalle_24m!AJ$126:AJ$150))*OV_V*INDEX(IdxOV_V,1,MIN(10,AJ$173)))*(1+V_dMat)/(1-V_Merma)</f>
        <v>66888.999500000005</v>
      </c>
      <c r="AK231" s="48">
        <f>SUMPRODUCT(AK177:AK201,(32&gt;Corte)*(32&lt;=Corte+n_Ventana)*ISNUMBER(Detalle_24m!AK$126:AK$150)*Detalle_24m!AK$126:AK$150+(1-(32&gt;Corte)*(32&lt;=Corte+n_Ventana)*ISNUMBER(Detalle_24m!AK$126:AK$150))*OV_V*INDEX(IdxOV_V,1,MIN(10,AK$173)))*(1+V_dMat)/(1-V_Merma)</f>
        <v>66888.999500000005</v>
      </c>
      <c r="AL231" s="48">
        <f>SUMPRODUCT(AL177:AL201,(33&gt;Corte)*(33&lt;=Corte+n_Ventana)*ISNUMBER(Detalle_24m!AL$126:AL$150)*Detalle_24m!AL$126:AL$150+(1-(33&gt;Corte)*(33&lt;=Corte+n_Ventana)*ISNUMBER(Detalle_24m!AL$126:AL$150))*OV_V*INDEX(IdxOV_V,1,MIN(10,AL$173)))*(1+V_dMat)/(1-V_Merma)</f>
        <v>66888.999500000005</v>
      </c>
      <c r="AM231" s="48">
        <f>SUMPRODUCT(AM177:AM201,(34&gt;Corte)*(34&lt;=Corte+n_Ventana)*ISNUMBER(Detalle_24m!AM$126:AM$150)*Detalle_24m!AM$126:AM$150+(1-(34&gt;Corte)*(34&lt;=Corte+n_Ventana)*ISNUMBER(Detalle_24m!AM$126:AM$150))*OV_V*INDEX(IdxOV_V,1,MIN(10,AM$173)))*(1+V_dMat)/(1-V_Merma)</f>
        <v>66888.999500000005</v>
      </c>
      <c r="AN231" s="48">
        <f>SUMPRODUCT(AN177:AN201,(35&gt;Corte)*(35&lt;=Corte+n_Ventana)*ISNUMBER(Detalle_24m!AN$126:AN$150)*Detalle_24m!AN$126:AN$150+(1-(35&gt;Corte)*(35&lt;=Corte+n_Ventana)*ISNUMBER(Detalle_24m!AN$126:AN$150))*OV_V*INDEX(IdxOV_V,1,MIN(10,AN$173)))*(1+V_dMat)/(1-V_Merma)</f>
        <v>66888.999500000005</v>
      </c>
      <c r="AO231" s="48">
        <f>SUMPRODUCT(AO177:AO201,(36&gt;Corte)*(36&lt;=Corte+n_Ventana)*ISNUMBER(Detalle_24m!AO$126:AO$150)*Detalle_24m!AO$126:AO$150+(1-(36&gt;Corte)*(36&lt;=Corte+n_Ventana)*ISNUMBER(Detalle_24m!AO$126:AO$150))*OV_V*INDEX(IdxOV_V,1,MIN(10,AO$173)))*(1+V_dMat)/(1-V_Merma)</f>
        <v>66888.999500000005</v>
      </c>
      <c r="AP231" s="48">
        <f>SUMPRODUCT(AP177:AP201,(37&gt;Corte)*(37&lt;=Corte+n_Ventana)*ISNUMBER(Detalle_24m!AP$126:AP$150)*Detalle_24m!AP$126:AP$150+(1-(37&gt;Corte)*(37&lt;=Corte+n_Ventana)*ISNUMBER(Detalle_24m!AP$126:AP$150))*OV_V*INDEX(IdxOV_V,1,MIN(10,AP$173)))*(1+V_dMat)/(1-V_Merma)</f>
        <v>76141.332750000001</v>
      </c>
      <c r="AQ231" s="48">
        <f>SUMPRODUCT(AQ177:AQ201,(38&gt;Corte)*(38&lt;=Corte+n_Ventana)*ISNUMBER(Detalle_24m!AQ$126:AQ$150)*Detalle_24m!AQ$126:AQ$150+(1-(38&gt;Corte)*(38&lt;=Corte+n_Ventana)*ISNUMBER(Detalle_24m!AQ$126:AQ$150))*OV_V*INDEX(IdxOV_V,1,MIN(10,AQ$173)))*(1+V_dMat)/(1-V_Merma)</f>
        <v>76141.332750000001</v>
      </c>
      <c r="AR231" s="48">
        <f>SUMPRODUCT(AR177:AR201,(39&gt;Corte)*(39&lt;=Corte+n_Ventana)*ISNUMBER(Detalle_24m!AR$126:AR$150)*Detalle_24m!AR$126:AR$150+(1-(39&gt;Corte)*(39&lt;=Corte+n_Ventana)*ISNUMBER(Detalle_24m!AR$126:AR$150))*OV_V*INDEX(IdxOV_V,1,MIN(10,AR$173)))*(1+V_dMat)/(1-V_Merma)</f>
        <v>76141.332750000001</v>
      </c>
      <c r="AS231" s="48">
        <f>SUMPRODUCT(AS177:AS201,(40&gt;Corte)*(40&lt;=Corte+n_Ventana)*ISNUMBER(Detalle_24m!AS$126:AS$150)*Detalle_24m!AS$126:AS$150+(1-(40&gt;Corte)*(40&lt;=Corte+n_Ventana)*ISNUMBER(Detalle_24m!AS$126:AS$150))*OV_V*INDEX(IdxOV_V,1,MIN(10,AS$173)))*(1+V_dMat)/(1-V_Merma)</f>
        <v>76141.332750000001</v>
      </c>
      <c r="AT231" s="48">
        <f>SUMPRODUCT(AT177:AT201,(41&gt;Corte)*(41&lt;=Corte+n_Ventana)*ISNUMBER(Detalle_24m!AT$126:AT$150)*Detalle_24m!AT$126:AT$150+(1-(41&gt;Corte)*(41&lt;=Corte+n_Ventana)*ISNUMBER(Detalle_24m!AT$126:AT$150))*OV_V*INDEX(IdxOV_V,1,MIN(10,AT$173)))*(1+V_dMat)/(1-V_Merma)</f>
        <v>76141.332750000001</v>
      </c>
      <c r="AU231" s="48">
        <f>SUMPRODUCT(AU177:AU201,(42&gt;Corte)*(42&lt;=Corte+n_Ventana)*ISNUMBER(Detalle_24m!AU$126:AU$150)*Detalle_24m!AU$126:AU$150+(1-(42&gt;Corte)*(42&lt;=Corte+n_Ventana)*ISNUMBER(Detalle_24m!AU$126:AU$150))*OV_V*INDEX(IdxOV_V,1,MIN(10,AU$173)))*(1+V_dMat)/(1-V_Merma)</f>
        <v>76141.332750000001</v>
      </c>
      <c r="AV231" s="48">
        <f>SUMPRODUCT(AV177:AV201,(43&gt;Corte)*(43&lt;=Corte+n_Ventana)*ISNUMBER(Detalle_24m!AV$126:AV$150)*Detalle_24m!AV$126:AV$150+(1-(43&gt;Corte)*(43&lt;=Corte+n_Ventana)*ISNUMBER(Detalle_24m!AV$126:AV$150))*OV_V*INDEX(IdxOV_V,1,MIN(10,AV$173)))*(1+V_dMat)/(1-V_Merma)</f>
        <v>76141.332750000001</v>
      </c>
      <c r="AW231" s="48">
        <f>SUMPRODUCT(AW177:AW201,(44&gt;Corte)*(44&lt;=Corte+n_Ventana)*ISNUMBER(Detalle_24m!AW$126:AW$150)*Detalle_24m!AW$126:AW$150+(1-(44&gt;Corte)*(44&lt;=Corte+n_Ventana)*ISNUMBER(Detalle_24m!AW$126:AW$150))*OV_V*INDEX(IdxOV_V,1,MIN(10,AW$173)))*(1+V_dMat)/(1-V_Merma)</f>
        <v>76141.332750000001</v>
      </c>
      <c r="AX231" s="48">
        <f>SUMPRODUCT(AX177:AX201,(45&gt;Corte)*(45&lt;=Corte+n_Ventana)*ISNUMBER(Detalle_24m!AX$126:AX$150)*Detalle_24m!AX$126:AX$150+(1-(45&gt;Corte)*(45&lt;=Corte+n_Ventana)*ISNUMBER(Detalle_24m!AX$126:AX$150))*OV_V*INDEX(IdxOV_V,1,MIN(10,AX$173)))*(1+V_dMat)/(1-V_Merma)</f>
        <v>76141.332750000001</v>
      </c>
      <c r="AY231" s="48">
        <f>SUMPRODUCT(AY177:AY201,(46&gt;Corte)*(46&lt;=Corte+n_Ventana)*ISNUMBER(Detalle_24m!AY$126:AY$150)*Detalle_24m!AY$126:AY$150+(1-(46&gt;Corte)*(46&lt;=Corte+n_Ventana)*ISNUMBER(Detalle_24m!AY$126:AY$150))*OV_V*INDEX(IdxOV_V,1,MIN(10,AY$173)))*(1+V_dMat)/(1-V_Merma)</f>
        <v>76141.332750000001</v>
      </c>
      <c r="AZ231" s="48">
        <f>SUMPRODUCT(AZ177:AZ201,(47&gt;Corte)*(47&lt;=Corte+n_Ventana)*ISNUMBER(Detalle_24m!AZ$126:AZ$150)*Detalle_24m!AZ$126:AZ$150+(1-(47&gt;Corte)*(47&lt;=Corte+n_Ventana)*ISNUMBER(Detalle_24m!AZ$126:AZ$150))*OV_V*INDEX(IdxOV_V,1,MIN(10,AZ$173)))*(1+V_dMat)/(1-V_Merma)</f>
        <v>76141.332750000001</v>
      </c>
      <c r="BA231" s="48">
        <f>SUMPRODUCT(BA177:BA201,(48&gt;Corte)*(48&lt;=Corte+n_Ventana)*ISNUMBER(Detalle_24m!BA$126:BA$150)*Detalle_24m!BA$126:BA$150+(1-(48&gt;Corte)*(48&lt;=Corte+n_Ventana)*ISNUMBER(Detalle_24m!BA$126:BA$150))*OV_V*INDEX(IdxOV_V,1,MIN(10,BA$173)))*(1+V_dMat)/(1-V_Merma)</f>
        <v>76141.332750000001</v>
      </c>
      <c r="BB231" s="48">
        <f>SUMPRODUCT(BB177:BB201,(49&gt;Corte)*(49&lt;=Corte+n_Ventana)*ISNUMBER(Detalle_24m!BB$126:BB$150)*Detalle_24m!BB$126:BB$150+(1-(49&gt;Corte)*(49&lt;=Corte+n_Ventana)*ISNUMBER(Detalle_24m!BB$126:BB$150))*OV_V*INDEX(IdxOV_V,1,MIN(10,BB$173)))*(1+V_dMat)/(1-V_Merma)</f>
        <v>76141.332750000001</v>
      </c>
      <c r="BC231" s="48">
        <f>SUMPRODUCT(BC177:BC201,(50&gt;Corte)*(50&lt;=Corte+n_Ventana)*ISNUMBER(Detalle_24m!BC$126:BC$150)*Detalle_24m!BC$126:BC$150+(1-(50&gt;Corte)*(50&lt;=Corte+n_Ventana)*ISNUMBER(Detalle_24m!BC$126:BC$150))*OV_V*INDEX(IdxOV_V,1,MIN(10,BC$173)))*(1+V_dMat)/(1-V_Merma)</f>
        <v>76141.332750000001</v>
      </c>
      <c r="BD231" s="48">
        <f>SUMPRODUCT(BD177:BD201,(51&gt;Corte)*(51&lt;=Corte+n_Ventana)*ISNUMBER(Detalle_24m!BD$126:BD$150)*Detalle_24m!BD$126:BD$150+(1-(51&gt;Corte)*(51&lt;=Corte+n_Ventana)*ISNUMBER(Detalle_24m!BD$126:BD$150))*OV_V*INDEX(IdxOV_V,1,MIN(10,BD$173)))*(1+V_dMat)/(1-V_Merma)</f>
        <v>76141.332750000001</v>
      </c>
      <c r="BE231" s="48">
        <f>SUMPRODUCT(BE177:BE201,(52&gt;Corte)*(52&lt;=Corte+n_Ventana)*ISNUMBER(Detalle_24m!BE$126:BE$150)*Detalle_24m!BE$126:BE$150+(1-(52&gt;Corte)*(52&lt;=Corte+n_Ventana)*ISNUMBER(Detalle_24m!BE$126:BE$150))*OV_V*INDEX(IdxOV_V,1,MIN(10,BE$173)))*(1+V_dMat)/(1-V_Merma)</f>
        <v>76141.332750000001</v>
      </c>
      <c r="BF231" s="48">
        <f>SUMPRODUCT(BF177:BF201,(53&gt;Corte)*(53&lt;=Corte+n_Ventana)*ISNUMBER(Detalle_24m!BF$126:BF$150)*Detalle_24m!BF$126:BF$150+(1-(53&gt;Corte)*(53&lt;=Corte+n_Ventana)*ISNUMBER(Detalle_24m!BF$126:BF$150))*OV_V*INDEX(IdxOV_V,1,MIN(10,BF$173)))*(1+V_dMat)/(1-V_Merma)</f>
        <v>76141.332750000001</v>
      </c>
      <c r="BG231" s="48">
        <f>SUMPRODUCT(BG177:BG201,(54&gt;Corte)*(54&lt;=Corte+n_Ventana)*ISNUMBER(Detalle_24m!BG$126:BG$150)*Detalle_24m!BG$126:BG$150+(1-(54&gt;Corte)*(54&lt;=Corte+n_Ventana)*ISNUMBER(Detalle_24m!BG$126:BG$150))*OV_V*INDEX(IdxOV_V,1,MIN(10,BG$173)))*(1+V_dMat)/(1-V_Merma)</f>
        <v>76141.332750000001</v>
      </c>
      <c r="BH231" s="48">
        <f>SUMPRODUCT(BH177:BH201,(55&gt;Corte)*(55&lt;=Corte+n_Ventana)*ISNUMBER(Detalle_24m!BH$126:BH$150)*Detalle_24m!BH$126:BH$150+(1-(55&gt;Corte)*(55&lt;=Corte+n_Ventana)*ISNUMBER(Detalle_24m!BH$126:BH$150))*OV_V*INDEX(IdxOV_V,1,MIN(10,BH$173)))*(1+V_dMat)/(1-V_Merma)</f>
        <v>76141.332750000001</v>
      </c>
      <c r="BI231" s="48">
        <f>SUMPRODUCT(BI177:BI201,(56&gt;Corte)*(56&lt;=Corte+n_Ventana)*ISNUMBER(Detalle_24m!BI$126:BI$150)*Detalle_24m!BI$126:BI$150+(1-(56&gt;Corte)*(56&lt;=Corte+n_Ventana)*ISNUMBER(Detalle_24m!BI$126:BI$150))*OV_V*INDEX(IdxOV_V,1,MIN(10,BI$173)))*(1+V_dMat)/(1-V_Merma)</f>
        <v>76141.332750000001</v>
      </c>
      <c r="BJ231" s="48">
        <f>SUMPRODUCT(BJ177:BJ201,(57&gt;Corte)*(57&lt;=Corte+n_Ventana)*ISNUMBER(Detalle_24m!BJ$126:BJ$150)*Detalle_24m!BJ$126:BJ$150+(1-(57&gt;Corte)*(57&lt;=Corte+n_Ventana)*ISNUMBER(Detalle_24m!BJ$126:BJ$150))*OV_V*INDEX(IdxOV_V,1,MIN(10,BJ$173)))*(1+V_dMat)/(1-V_Merma)</f>
        <v>76141.332750000001</v>
      </c>
      <c r="BK231" s="48">
        <f>SUMPRODUCT(BK177:BK201,(58&gt;Corte)*(58&lt;=Corte+n_Ventana)*ISNUMBER(Detalle_24m!BK$126:BK$150)*Detalle_24m!BK$126:BK$150+(1-(58&gt;Corte)*(58&lt;=Corte+n_Ventana)*ISNUMBER(Detalle_24m!BK$126:BK$150))*OV_V*INDEX(IdxOV_V,1,MIN(10,BK$173)))*(1+V_dMat)/(1-V_Merma)</f>
        <v>76141.332750000001</v>
      </c>
      <c r="BL231" s="48">
        <f>SUMPRODUCT(BL177:BL201,(59&gt;Corte)*(59&lt;=Corte+n_Ventana)*ISNUMBER(Detalle_24m!BL$126:BL$150)*Detalle_24m!BL$126:BL$150+(1-(59&gt;Corte)*(59&lt;=Corte+n_Ventana)*ISNUMBER(Detalle_24m!BL$126:BL$150))*OV_V*INDEX(IdxOV_V,1,MIN(10,BL$173)))*(1+V_dMat)/(1-V_Merma)</f>
        <v>76141.332750000001</v>
      </c>
      <c r="BM231" s="48">
        <f>SUMPRODUCT(BM177:BM201,(60&gt;Corte)*(60&lt;=Corte+n_Ventana)*ISNUMBER(Detalle_24m!BM$126:BM$150)*Detalle_24m!BM$126:BM$150+(1-(60&gt;Corte)*(60&lt;=Corte+n_Ventana)*ISNUMBER(Detalle_24m!BM$126:BM$150))*OV_V*INDEX(IdxOV_V,1,MIN(10,BM$173)))*(1+V_dMat)/(1-V_Merma)</f>
        <v>76141.332750000001</v>
      </c>
      <c r="BN231" s="48">
        <f>SUMPRODUCT(BN177:BN201,(61&gt;Corte)*(61&lt;=Corte+n_Ventana)*ISNUMBER(Detalle_24m!BN$126:BN$150)*Detalle_24m!BN$126:BN$150+(1-(61&gt;Corte)*(61&lt;=Corte+n_Ventana)*ISNUMBER(Detalle_24m!BN$126:BN$150))*OV_V*INDEX(IdxOV_V,1,MIN(10,BN$173)))*(1+V_dMat)/(1-V_Merma)</f>
        <v>76141.332750000001</v>
      </c>
      <c r="BO231" s="48">
        <f>SUMPRODUCT(BO177:BO201,(62&gt;Corte)*(62&lt;=Corte+n_Ventana)*ISNUMBER(Detalle_24m!BO$126:BO$150)*Detalle_24m!BO$126:BO$150+(1-(62&gt;Corte)*(62&lt;=Corte+n_Ventana)*ISNUMBER(Detalle_24m!BO$126:BO$150))*OV_V*INDEX(IdxOV_V,1,MIN(10,BO$173)))*(1+V_dMat)/(1-V_Merma)</f>
        <v>76141.332750000001</v>
      </c>
      <c r="BP231" s="48">
        <f>SUMPRODUCT(BP177:BP201,(63&gt;Corte)*(63&lt;=Corte+n_Ventana)*ISNUMBER(Detalle_24m!BP$126:BP$150)*Detalle_24m!BP$126:BP$150+(1-(63&gt;Corte)*(63&lt;=Corte+n_Ventana)*ISNUMBER(Detalle_24m!BP$126:BP$150))*OV_V*INDEX(IdxOV_V,1,MIN(10,BP$173)))*(1+V_dMat)/(1-V_Merma)</f>
        <v>76141.332750000001</v>
      </c>
      <c r="BQ231" s="48">
        <f>SUMPRODUCT(BQ177:BQ201,(64&gt;Corte)*(64&lt;=Corte+n_Ventana)*ISNUMBER(Detalle_24m!BQ$126:BQ$150)*Detalle_24m!BQ$126:BQ$150+(1-(64&gt;Corte)*(64&lt;=Corte+n_Ventana)*ISNUMBER(Detalle_24m!BQ$126:BQ$150))*OV_V*INDEX(IdxOV_V,1,MIN(10,BQ$173)))*(1+V_dMat)/(1-V_Merma)</f>
        <v>76141.332750000001</v>
      </c>
      <c r="BR231" s="48">
        <f>SUMPRODUCT(BR177:BR201,(65&gt;Corte)*(65&lt;=Corte+n_Ventana)*ISNUMBER(Detalle_24m!BR$126:BR$150)*Detalle_24m!BR$126:BR$150+(1-(65&gt;Corte)*(65&lt;=Corte+n_Ventana)*ISNUMBER(Detalle_24m!BR$126:BR$150))*OV_V*INDEX(IdxOV_V,1,MIN(10,BR$173)))*(1+V_dMat)/(1-V_Merma)</f>
        <v>76141.332750000001</v>
      </c>
      <c r="BS231" s="48">
        <f>SUMPRODUCT(BS177:BS201,(66&gt;Corte)*(66&lt;=Corte+n_Ventana)*ISNUMBER(Detalle_24m!BS$126:BS$150)*Detalle_24m!BS$126:BS$150+(1-(66&gt;Corte)*(66&lt;=Corte+n_Ventana)*ISNUMBER(Detalle_24m!BS$126:BS$150))*OV_V*INDEX(IdxOV_V,1,MIN(10,BS$173)))*(1+V_dMat)/(1-V_Merma)</f>
        <v>76141.332750000001</v>
      </c>
      <c r="BT231" s="48">
        <f>SUMPRODUCT(BT177:BT201,(67&gt;Corte)*(67&lt;=Corte+n_Ventana)*ISNUMBER(Detalle_24m!BT$126:BT$150)*Detalle_24m!BT$126:BT$150+(1-(67&gt;Corte)*(67&lt;=Corte+n_Ventana)*ISNUMBER(Detalle_24m!BT$126:BT$150))*OV_V*INDEX(IdxOV_V,1,MIN(10,BT$173)))*(1+V_dMat)/(1-V_Merma)</f>
        <v>76141.332750000001</v>
      </c>
      <c r="BU231" s="48">
        <f>SUMPRODUCT(BU177:BU201,(68&gt;Corte)*(68&lt;=Corte+n_Ventana)*ISNUMBER(Detalle_24m!BU$126:BU$150)*Detalle_24m!BU$126:BU$150+(1-(68&gt;Corte)*(68&lt;=Corte+n_Ventana)*ISNUMBER(Detalle_24m!BU$126:BU$150))*OV_V*INDEX(IdxOV_V,1,MIN(10,BU$173)))*(1+V_dMat)/(1-V_Merma)</f>
        <v>76141.332750000001</v>
      </c>
      <c r="BV231" s="48">
        <f>SUMPRODUCT(BV177:BV201,(69&gt;Corte)*(69&lt;=Corte+n_Ventana)*ISNUMBER(Detalle_24m!BV$126:BV$150)*Detalle_24m!BV$126:BV$150+(1-(69&gt;Corte)*(69&lt;=Corte+n_Ventana)*ISNUMBER(Detalle_24m!BV$126:BV$150))*OV_V*INDEX(IdxOV_V,1,MIN(10,BV$173)))*(1+V_dMat)/(1-V_Merma)</f>
        <v>76141.332750000001</v>
      </c>
      <c r="BW231" s="48">
        <f>SUMPRODUCT(BW177:BW201,(70&gt;Corte)*(70&lt;=Corte+n_Ventana)*ISNUMBER(Detalle_24m!BW$126:BW$150)*Detalle_24m!BW$126:BW$150+(1-(70&gt;Corte)*(70&lt;=Corte+n_Ventana)*ISNUMBER(Detalle_24m!BW$126:BW$150))*OV_V*INDEX(IdxOV_V,1,MIN(10,BW$173)))*(1+V_dMat)/(1-V_Merma)</f>
        <v>76141.332750000001</v>
      </c>
      <c r="BX231" s="48">
        <f>SUMPRODUCT(BX177:BX201,(71&gt;Corte)*(71&lt;=Corte+n_Ventana)*ISNUMBER(Detalle_24m!BX$126:BX$150)*Detalle_24m!BX$126:BX$150+(1-(71&gt;Corte)*(71&lt;=Corte+n_Ventana)*ISNUMBER(Detalle_24m!BX$126:BX$150))*OV_V*INDEX(IdxOV_V,1,MIN(10,BX$173)))*(1+V_dMat)/(1-V_Merma)</f>
        <v>76141.332750000001</v>
      </c>
      <c r="BY231" s="48">
        <f>SUMPRODUCT(BY177:BY201,(72&gt;Corte)*(72&lt;=Corte+n_Ventana)*ISNUMBER(Detalle_24m!BY$126:BY$150)*Detalle_24m!BY$126:BY$150+(1-(72&gt;Corte)*(72&lt;=Corte+n_Ventana)*ISNUMBER(Detalle_24m!BY$126:BY$150))*OV_V*INDEX(IdxOV_V,1,MIN(10,BY$173)))*(1+V_dMat)/(1-V_Merma)</f>
        <v>76141.332750000001</v>
      </c>
      <c r="BZ231" s="48">
        <f>SUMPRODUCT(BZ177:BZ201,(73&gt;Corte)*(73&lt;=Corte+n_Ventana)*ISNUMBER(Detalle_24m!BZ$126:BZ$150)*Detalle_24m!BZ$126:BZ$150+(1-(73&gt;Corte)*(73&lt;=Corte+n_Ventana)*ISNUMBER(Detalle_24m!BZ$126:BZ$150))*OV_V*INDEX(IdxOV_V,1,MIN(10,BZ$173)))*(1+V_dMat)/(1-V_Merma)</f>
        <v>76141.332750000001</v>
      </c>
      <c r="CA231" s="48">
        <f>SUMPRODUCT(CA177:CA201,(74&gt;Corte)*(74&lt;=Corte+n_Ventana)*ISNUMBER(Detalle_24m!CA$126:CA$150)*Detalle_24m!CA$126:CA$150+(1-(74&gt;Corte)*(74&lt;=Corte+n_Ventana)*ISNUMBER(Detalle_24m!CA$126:CA$150))*OV_V*INDEX(IdxOV_V,1,MIN(10,CA$173)))*(1+V_dMat)/(1-V_Merma)</f>
        <v>76141.332750000001</v>
      </c>
      <c r="CB231" s="48">
        <f>SUMPRODUCT(CB177:CB201,(75&gt;Corte)*(75&lt;=Corte+n_Ventana)*ISNUMBER(Detalle_24m!CB$126:CB$150)*Detalle_24m!CB$126:CB$150+(1-(75&gt;Corte)*(75&lt;=Corte+n_Ventana)*ISNUMBER(Detalle_24m!CB$126:CB$150))*OV_V*INDEX(IdxOV_V,1,MIN(10,CB$173)))*(1+V_dMat)/(1-V_Merma)</f>
        <v>76141.332750000001</v>
      </c>
      <c r="CC231" s="48">
        <f>SUMPRODUCT(CC177:CC201,(76&gt;Corte)*(76&lt;=Corte+n_Ventana)*ISNUMBER(Detalle_24m!CC$126:CC$150)*Detalle_24m!CC$126:CC$150+(1-(76&gt;Corte)*(76&lt;=Corte+n_Ventana)*ISNUMBER(Detalle_24m!CC$126:CC$150))*OV_V*INDEX(IdxOV_V,1,MIN(10,CC$173)))*(1+V_dMat)/(1-V_Merma)</f>
        <v>76141.332750000001</v>
      </c>
      <c r="CD231" s="48">
        <f>SUMPRODUCT(CD177:CD201,(77&gt;Corte)*(77&lt;=Corte+n_Ventana)*ISNUMBER(Detalle_24m!CD$126:CD$150)*Detalle_24m!CD$126:CD$150+(1-(77&gt;Corte)*(77&lt;=Corte+n_Ventana)*ISNUMBER(Detalle_24m!CD$126:CD$150))*OV_V*INDEX(IdxOV_V,1,MIN(10,CD$173)))*(1+V_dMat)/(1-V_Merma)</f>
        <v>76141.332750000001</v>
      </c>
      <c r="CE231" s="48">
        <f>SUMPRODUCT(CE177:CE201,(78&gt;Corte)*(78&lt;=Corte+n_Ventana)*ISNUMBER(Detalle_24m!CE$126:CE$150)*Detalle_24m!CE$126:CE$150+(1-(78&gt;Corte)*(78&lt;=Corte+n_Ventana)*ISNUMBER(Detalle_24m!CE$126:CE$150))*OV_V*INDEX(IdxOV_V,1,MIN(10,CE$173)))*(1+V_dMat)/(1-V_Merma)</f>
        <v>76141.332750000001</v>
      </c>
      <c r="CF231" s="48">
        <f>SUMPRODUCT(CF177:CF201,(79&gt;Corte)*(79&lt;=Corte+n_Ventana)*ISNUMBER(Detalle_24m!CF$126:CF$150)*Detalle_24m!CF$126:CF$150+(1-(79&gt;Corte)*(79&lt;=Corte+n_Ventana)*ISNUMBER(Detalle_24m!CF$126:CF$150))*OV_V*INDEX(IdxOV_V,1,MIN(10,CF$173)))*(1+V_dMat)/(1-V_Merma)</f>
        <v>76141.332750000001</v>
      </c>
      <c r="CG231" s="48">
        <f>SUMPRODUCT(CG177:CG201,(80&gt;Corte)*(80&lt;=Corte+n_Ventana)*ISNUMBER(Detalle_24m!CG$126:CG$150)*Detalle_24m!CG$126:CG$150+(1-(80&gt;Corte)*(80&lt;=Corte+n_Ventana)*ISNUMBER(Detalle_24m!CG$126:CG$150))*OV_V*INDEX(IdxOV_V,1,MIN(10,CG$173)))*(1+V_dMat)/(1-V_Merma)</f>
        <v>76141.332750000001</v>
      </c>
      <c r="CH231" s="48">
        <f>SUMPRODUCT(CH177:CH201,(81&gt;Corte)*(81&lt;=Corte+n_Ventana)*ISNUMBER(Detalle_24m!CH$126:CH$150)*Detalle_24m!CH$126:CH$150+(1-(81&gt;Corte)*(81&lt;=Corte+n_Ventana)*ISNUMBER(Detalle_24m!CH$126:CH$150))*OV_V*INDEX(IdxOV_V,1,MIN(10,CH$173)))*(1+V_dMat)/(1-V_Merma)</f>
        <v>76141.332750000001</v>
      </c>
      <c r="CI231" s="48">
        <f>SUMPRODUCT(CI177:CI201,(82&gt;Corte)*(82&lt;=Corte+n_Ventana)*ISNUMBER(Detalle_24m!CI$126:CI$150)*Detalle_24m!CI$126:CI$150+(1-(82&gt;Corte)*(82&lt;=Corte+n_Ventana)*ISNUMBER(Detalle_24m!CI$126:CI$150))*OV_V*INDEX(IdxOV_V,1,MIN(10,CI$173)))*(1+V_dMat)/(1-V_Merma)</f>
        <v>76141.332750000001</v>
      </c>
      <c r="CJ231" s="48">
        <f>SUMPRODUCT(CJ177:CJ201,(83&gt;Corte)*(83&lt;=Corte+n_Ventana)*ISNUMBER(Detalle_24m!CJ$126:CJ$150)*Detalle_24m!CJ$126:CJ$150+(1-(83&gt;Corte)*(83&lt;=Corte+n_Ventana)*ISNUMBER(Detalle_24m!CJ$126:CJ$150))*OV_V*INDEX(IdxOV_V,1,MIN(10,CJ$173)))*(1+V_dMat)/(1-V_Merma)</f>
        <v>76141.332750000001</v>
      </c>
      <c r="CK231" s="48">
        <f>SUMPRODUCT(CK177:CK201,(84&gt;Corte)*(84&lt;=Corte+n_Ventana)*ISNUMBER(Detalle_24m!CK$126:CK$150)*Detalle_24m!CK$126:CK$150+(1-(84&gt;Corte)*(84&lt;=Corte+n_Ventana)*ISNUMBER(Detalle_24m!CK$126:CK$150))*OV_V*INDEX(IdxOV_V,1,MIN(10,CK$173)))*(1+V_dMat)/(1-V_Merma)</f>
        <v>76141.332750000001</v>
      </c>
      <c r="CL231" s="48">
        <f>SUMPRODUCT(CL177:CL201,(85&gt;Corte)*(85&lt;=Corte+n_Ventana)*ISNUMBER(Detalle_24m!CL$126:CL$150)*Detalle_24m!CL$126:CL$150+(1-(85&gt;Corte)*(85&lt;=Corte+n_Ventana)*ISNUMBER(Detalle_24m!CL$126:CL$150))*OV_V*INDEX(IdxOV_V,1,MIN(10,CL$173)))*(1+V_dMat)/(1-V_Merma)</f>
        <v>76141.332750000001</v>
      </c>
      <c r="CM231" s="48">
        <f>SUMPRODUCT(CM177:CM201,(86&gt;Corte)*(86&lt;=Corte+n_Ventana)*ISNUMBER(Detalle_24m!CM$126:CM$150)*Detalle_24m!CM$126:CM$150+(1-(86&gt;Corte)*(86&lt;=Corte+n_Ventana)*ISNUMBER(Detalle_24m!CM$126:CM$150))*OV_V*INDEX(IdxOV_V,1,MIN(10,CM$173)))*(1+V_dMat)/(1-V_Merma)</f>
        <v>76141.332750000001</v>
      </c>
      <c r="CN231" s="48">
        <f>SUMPRODUCT(CN177:CN201,(87&gt;Corte)*(87&lt;=Corte+n_Ventana)*ISNUMBER(Detalle_24m!CN$126:CN$150)*Detalle_24m!CN$126:CN$150+(1-(87&gt;Corte)*(87&lt;=Corte+n_Ventana)*ISNUMBER(Detalle_24m!CN$126:CN$150))*OV_V*INDEX(IdxOV_V,1,MIN(10,CN$173)))*(1+V_dMat)/(1-V_Merma)</f>
        <v>76141.332750000001</v>
      </c>
      <c r="CO231" s="48">
        <f>SUMPRODUCT(CO177:CO201,(88&gt;Corte)*(88&lt;=Corte+n_Ventana)*ISNUMBER(Detalle_24m!CO$126:CO$150)*Detalle_24m!CO$126:CO$150+(1-(88&gt;Corte)*(88&lt;=Corte+n_Ventana)*ISNUMBER(Detalle_24m!CO$126:CO$150))*OV_V*INDEX(IdxOV_V,1,MIN(10,CO$173)))*(1+V_dMat)/(1-V_Merma)</f>
        <v>76141.332750000001</v>
      </c>
      <c r="CP231" s="48">
        <f>SUMPRODUCT(CP177:CP201,(89&gt;Corte)*(89&lt;=Corte+n_Ventana)*ISNUMBER(Detalle_24m!CP$126:CP$150)*Detalle_24m!CP$126:CP$150+(1-(89&gt;Corte)*(89&lt;=Corte+n_Ventana)*ISNUMBER(Detalle_24m!CP$126:CP$150))*OV_V*INDEX(IdxOV_V,1,MIN(10,CP$173)))*(1+V_dMat)/(1-V_Merma)</f>
        <v>76141.332750000001</v>
      </c>
      <c r="CQ231" s="48">
        <f>SUMPRODUCT(CQ177:CQ201,(90&gt;Corte)*(90&lt;=Corte+n_Ventana)*ISNUMBER(Detalle_24m!CQ$126:CQ$150)*Detalle_24m!CQ$126:CQ$150+(1-(90&gt;Corte)*(90&lt;=Corte+n_Ventana)*ISNUMBER(Detalle_24m!CQ$126:CQ$150))*OV_V*INDEX(IdxOV_V,1,MIN(10,CQ$173)))*(1+V_dMat)/(1-V_Merma)</f>
        <v>76141.332750000001</v>
      </c>
      <c r="CR231" s="48">
        <f>SUMPRODUCT(CR177:CR201,(91&gt;Corte)*(91&lt;=Corte+n_Ventana)*ISNUMBER(Detalle_24m!CR$126:CR$150)*Detalle_24m!CR$126:CR$150+(1-(91&gt;Corte)*(91&lt;=Corte+n_Ventana)*ISNUMBER(Detalle_24m!CR$126:CR$150))*OV_V*INDEX(IdxOV_V,1,MIN(10,CR$173)))*(1+V_dMat)/(1-V_Merma)</f>
        <v>76141.332750000001</v>
      </c>
      <c r="CS231" s="48">
        <f>SUMPRODUCT(CS177:CS201,(92&gt;Corte)*(92&lt;=Corte+n_Ventana)*ISNUMBER(Detalle_24m!CS$126:CS$150)*Detalle_24m!CS$126:CS$150+(1-(92&gt;Corte)*(92&lt;=Corte+n_Ventana)*ISNUMBER(Detalle_24m!CS$126:CS$150))*OV_V*INDEX(IdxOV_V,1,MIN(10,CS$173)))*(1+V_dMat)/(1-V_Merma)</f>
        <v>76141.332750000001</v>
      </c>
      <c r="CT231" s="48">
        <f>SUMPRODUCT(CT177:CT201,(93&gt;Corte)*(93&lt;=Corte+n_Ventana)*ISNUMBER(Detalle_24m!CT$126:CT$150)*Detalle_24m!CT$126:CT$150+(1-(93&gt;Corte)*(93&lt;=Corte+n_Ventana)*ISNUMBER(Detalle_24m!CT$126:CT$150))*OV_V*INDEX(IdxOV_V,1,MIN(10,CT$173)))*(1+V_dMat)/(1-V_Merma)</f>
        <v>76141.332750000001</v>
      </c>
      <c r="CU231" s="48">
        <f>SUMPRODUCT(CU177:CU201,(94&gt;Corte)*(94&lt;=Corte+n_Ventana)*ISNUMBER(Detalle_24m!CU$126:CU$150)*Detalle_24m!CU$126:CU$150+(1-(94&gt;Corte)*(94&lt;=Corte+n_Ventana)*ISNUMBER(Detalle_24m!CU$126:CU$150))*OV_V*INDEX(IdxOV_V,1,MIN(10,CU$173)))*(1+V_dMat)/(1-V_Merma)</f>
        <v>76141.332750000001</v>
      </c>
      <c r="CV231" s="48">
        <f>SUMPRODUCT(CV177:CV201,(95&gt;Corte)*(95&lt;=Corte+n_Ventana)*ISNUMBER(Detalle_24m!CV$126:CV$150)*Detalle_24m!CV$126:CV$150+(1-(95&gt;Corte)*(95&lt;=Corte+n_Ventana)*ISNUMBER(Detalle_24m!CV$126:CV$150))*OV_V*INDEX(IdxOV_V,1,MIN(10,CV$173)))*(1+V_dMat)/(1-V_Merma)</f>
        <v>76141.332750000001</v>
      </c>
      <c r="CW231" s="48">
        <f>SUMPRODUCT(CW177:CW201,(96&gt;Corte)*(96&lt;=Corte+n_Ventana)*ISNUMBER(Detalle_24m!CW$126:CW$150)*Detalle_24m!CW$126:CW$150+(1-(96&gt;Corte)*(96&lt;=Corte+n_Ventana)*ISNUMBER(Detalle_24m!CW$126:CW$150))*OV_V*INDEX(IdxOV_V,1,MIN(10,CW$173)))*(1+V_dMat)/(1-V_Merma)</f>
        <v>76141.332750000001</v>
      </c>
      <c r="CX231" s="48">
        <f>SUMPRODUCT(CX177:CX201,(97&gt;Corte)*(97&lt;=Corte+n_Ventana)*ISNUMBER(Detalle_24m!CX$126:CX$150)*Detalle_24m!CX$126:CX$150+(1-(97&gt;Corte)*(97&lt;=Corte+n_Ventana)*ISNUMBER(Detalle_24m!CX$126:CX$150))*OV_V*INDEX(IdxOV_V,1,MIN(10,CX$173)))*(1+V_dMat)/(1-V_Merma)</f>
        <v>76141.332750000001</v>
      </c>
      <c r="CY231" s="48">
        <f>SUMPRODUCT(CY177:CY201,(98&gt;Corte)*(98&lt;=Corte+n_Ventana)*ISNUMBER(Detalle_24m!CY$126:CY$150)*Detalle_24m!CY$126:CY$150+(1-(98&gt;Corte)*(98&lt;=Corte+n_Ventana)*ISNUMBER(Detalle_24m!CY$126:CY$150))*OV_V*INDEX(IdxOV_V,1,MIN(10,CY$173)))*(1+V_dMat)/(1-V_Merma)</f>
        <v>76141.332750000001</v>
      </c>
      <c r="CZ231" s="48">
        <f>SUMPRODUCT(CZ177:CZ201,(99&gt;Corte)*(99&lt;=Corte+n_Ventana)*ISNUMBER(Detalle_24m!CZ$126:CZ$150)*Detalle_24m!CZ$126:CZ$150+(1-(99&gt;Corte)*(99&lt;=Corte+n_Ventana)*ISNUMBER(Detalle_24m!CZ$126:CZ$150))*OV_V*INDEX(IdxOV_V,1,MIN(10,CZ$173)))*(1+V_dMat)/(1-V_Merma)</f>
        <v>76141.332750000001</v>
      </c>
      <c r="DA231" s="48">
        <f>SUMPRODUCT(DA177:DA201,(100&gt;Corte)*(100&lt;=Corte+n_Ventana)*ISNUMBER(Detalle_24m!DA$126:DA$150)*Detalle_24m!DA$126:DA$150+(1-(100&gt;Corte)*(100&lt;=Corte+n_Ventana)*ISNUMBER(Detalle_24m!DA$126:DA$150))*OV_V*INDEX(IdxOV_V,1,MIN(10,DA$173)))*(1+V_dMat)/(1-V_Merma)</f>
        <v>76141.332750000001</v>
      </c>
      <c r="DB231" s="48">
        <f>SUMPRODUCT(DB177:DB201,(101&gt;Corte)*(101&lt;=Corte+n_Ventana)*ISNUMBER(Detalle_24m!DB$126:DB$150)*Detalle_24m!DB$126:DB$150+(1-(101&gt;Corte)*(101&lt;=Corte+n_Ventana)*ISNUMBER(Detalle_24m!DB$126:DB$150))*OV_V*INDEX(IdxOV_V,1,MIN(10,DB$173)))*(1+V_dMat)/(1-V_Merma)</f>
        <v>76141.332750000001</v>
      </c>
      <c r="DC231" s="48">
        <f>SUMPRODUCT(DC177:DC201,(102&gt;Corte)*(102&lt;=Corte+n_Ventana)*ISNUMBER(Detalle_24m!DC$126:DC$150)*Detalle_24m!DC$126:DC$150+(1-(102&gt;Corte)*(102&lt;=Corte+n_Ventana)*ISNUMBER(Detalle_24m!DC$126:DC$150))*OV_V*INDEX(IdxOV_V,1,MIN(10,DC$173)))*(1+V_dMat)/(1-V_Merma)</f>
        <v>76141.332750000001</v>
      </c>
      <c r="DD231" s="48">
        <f>SUMPRODUCT(DD177:DD201,(103&gt;Corte)*(103&lt;=Corte+n_Ventana)*ISNUMBER(Detalle_24m!DD$126:DD$150)*Detalle_24m!DD$126:DD$150+(1-(103&gt;Corte)*(103&lt;=Corte+n_Ventana)*ISNUMBER(Detalle_24m!DD$126:DD$150))*OV_V*INDEX(IdxOV_V,1,MIN(10,DD$173)))*(1+V_dMat)/(1-V_Merma)</f>
        <v>76141.332750000001</v>
      </c>
      <c r="DE231" s="48">
        <f>SUMPRODUCT(DE177:DE201,(104&gt;Corte)*(104&lt;=Corte+n_Ventana)*ISNUMBER(Detalle_24m!DE$126:DE$150)*Detalle_24m!DE$126:DE$150+(1-(104&gt;Corte)*(104&lt;=Corte+n_Ventana)*ISNUMBER(Detalle_24m!DE$126:DE$150))*OV_V*INDEX(IdxOV_V,1,MIN(10,DE$173)))*(1+V_dMat)/(1-V_Merma)</f>
        <v>76141.332750000001</v>
      </c>
      <c r="DF231" s="48">
        <f>SUMPRODUCT(DF177:DF201,(105&gt;Corte)*(105&lt;=Corte+n_Ventana)*ISNUMBER(Detalle_24m!DF$126:DF$150)*Detalle_24m!DF$126:DF$150+(1-(105&gt;Corte)*(105&lt;=Corte+n_Ventana)*ISNUMBER(Detalle_24m!DF$126:DF$150))*OV_V*INDEX(IdxOV_V,1,MIN(10,DF$173)))*(1+V_dMat)/(1-V_Merma)</f>
        <v>76141.332750000001</v>
      </c>
      <c r="DG231" s="48">
        <f>SUMPRODUCT(DG177:DG201,(106&gt;Corte)*(106&lt;=Corte+n_Ventana)*ISNUMBER(Detalle_24m!DG$126:DG$150)*Detalle_24m!DG$126:DG$150+(1-(106&gt;Corte)*(106&lt;=Corte+n_Ventana)*ISNUMBER(Detalle_24m!DG$126:DG$150))*OV_V*INDEX(IdxOV_V,1,MIN(10,DG$173)))*(1+V_dMat)/(1-V_Merma)</f>
        <v>76141.332750000001</v>
      </c>
      <c r="DH231" s="48">
        <f>SUMPRODUCT(DH177:DH201,(107&gt;Corte)*(107&lt;=Corte+n_Ventana)*ISNUMBER(Detalle_24m!DH$126:DH$150)*Detalle_24m!DH$126:DH$150+(1-(107&gt;Corte)*(107&lt;=Corte+n_Ventana)*ISNUMBER(Detalle_24m!DH$126:DH$150))*OV_V*INDEX(IdxOV_V,1,MIN(10,DH$173)))*(1+V_dMat)/(1-V_Merma)</f>
        <v>76141.332750000001</v>
      </c>
      <c r="DI231" s="48">
        <f>SUMPRODUCT(DI177:DI201,(108&gt;Corte)*(108&lt;=Corte+n_Ventana)*ISNUMBER(Detalle_24m!DI$126:DI$150)*Detalle_24m!DI$126:DI$150+(1-(108&gt;Corte)*(108&lt;=Corte+n_Ventana)*ISNUMBER(Detalle_24m!DI$126:DI$150))*OV_V*INDEX(IdxOV_V,1,MIN(10,DI$173)))*(1+V_dMat)/(1-V_Merma)</f>
        <v>76141.332750000001</v>
      </c>
      <c r="DJ231" s="48">
        <f>SUMPRODUCT(DJ177:DJ201,(109&gt;Corte)*(109&lt;=Corte+n_Ventana)*ISNUMBER(Detalle_24m!DJ$126:DJ$150)*Detalle_24m!DJ$126:DJ$150+(1-(109&gt;Corte)*(109&lt;=Corte+n_Ventana)*ISNUMBER(Detalle_24m!DJ$126:DJ$150))*OV_V*INDEX(IdxOV_V,1,MIN(10,DJ$173)))*(1+V_dMat)/(1-V_Merma)</f>
        <v>76141.332750000001</v>
      </c>
      <c r="DK231" s="48">
        <f>SUMPRODUCT(DK177:DK201,(110&gt;Corte)*(110&lt;=Corte+n_Ventana)*ISNUMBER(Detalle_24m!DK$126:DK$150)*Detalle_24m!DK$126:DK$150+(1-(110&gt;Corte)*(110&lt;=Corte+n_Ventana)*ISNUMBER(Detalle_24m!DK$126:DK$150))*OV_V*INDEX(IdxOV_V,1,MIN(10,DK$173)))*(1+V_dMat)/(1-V_Merma)</f>
        <v>76141.332750000001</v>
      </c>
      <c r="DL231" s="48">
        <f>SUMPRODUCT(DL177:DL201,(111&gt;Corte)*(111&lt;=Corte+n_Ventana)*ISNUMBER(Detalle_24m!DL$126:DL$150)*Detalle_24m!DL$126:DL$150+(1-(111&gt;Corte)*(111&lt;=Corte+n_Ventana)*ISNUMBER(Detalle_24m!DL$126:DL$150))*OV_V*INDEX(IdxOV_V,1,MIN(10,DL$173)))*(1+V_dMat)/(1-V_Merma)</f>
        <v>76141.332750000001</v>
      </c>
      <c r="DM231" s="48">
        <f>SUMPRODUCT(DM177:DM201,(112&gt;Corte)*(112&lt;=Corte+n_Ventana)*ISNUMBER(Detalle_24m!DM$126:DM$150)*Detalle_24m!DM$126:DM$150+(1-(112&gt;Corte)*(112&lt;=Corte+n_Ventana)*ISNUMBER(Detalle_24m!DM$126:DM$150))*OV_V*INDEX(IdxOV_V,1,MIN(10,DM$173)))*(1+V_dMat)/(1-V_Merma)</f>
        <v>76141.332750000001</v>
      </c>
      <c r="DN231" s="48">
        <f>SUMPRODUCT(DN177:DN201,(113&gt;Corte)*(113&lt;=Corte+n_Ventana)*ISNUMBER(Detalle_24m!DN$126:DN$150)*Detalle_24m!DN$126:DN$150+(1-(113&gt;Corte)*(113&lt;=Corte+n_Ventana)*ISNUMBER(Detalle_24m!DN$126:DN$150))*OV_V*INDEX(IdxOV_V,1,MIN(10,DN$173)))*(1+V_dMat)/(1-V_Merma)</f>
        <v>76141.332750000001</v>
      </c>
      <c r="DO231" s="48">
        <f>SUMPRODUCT(DO177:DO201,(114&gt;Corte)*(114&lt;=Corte+n_Ventana)*ISNUMBER(Detalle_24m!DO$126:DO$150)*Detalle_24m!DO$126:DO$150+(1-(114&gt;Corte)*(114&lt;=Corte+n_Ventana)*ISNUMBER(Detalle_24m!DO$126:DO$150))*OV_V*INDEX(IdxOV_V,1,MIN(10,DO$173)))*(1+V_dMat)/(1-V_Merma)</f>
        <v>76141.332750000001</v>
      </c>
      <c r="DP231" s="48">
        <f>SUMPRODUCT(DP177:DP201,(115&gt;Corte)*(115&lt;=Corte+n_Ventana)*ISNUMBER(Detalle_24m!DP$126:DP$150)*Detalle_24m!DP$126:DP$150+(1-(115&gt;Corte)*(115&lt;=Corte+n_Ventana)*ISNUMBER(Detalle_24m!DP$126:DP$150))*OV_V*INDEX(IdxOV_V,1,MIN(10,DP$173)))*(1+V_dMat)/(1-V_Merma)</f>
        <v>76141.332750000001</v>
      </c>
      <c r="DQ231" s="48">
        <f>SUMPRODUCT(DQ177:DQ201,(116&gt;Corte)*(116&lt;=Corte+n_Ventana)*ISNUMBER(Detalle_24m!DQ$126:DQ$150)*Detalle_24m!DQ$126:DQ$150+(1-(116&gt;Corte)*(116&lt;=Corte+n_Ventana)*ISNUMBER(Detalle_24m!DQ$126:DQ$150))*OV_V*INDEX(IdxOV_V,1,MIN(10,DQ$173)))*(1+V_dMat)/(1-V_Merma)</f>
        <v>76141.332750000001</v>
      </c>
      <c r="DR231" s="48">
        <f>SUMPRODUCT(DR177:DR201,(117&gt;Corte)*(117&lt;=Corte+n_Ventana)*ISNUMBER(Detalle_24m!DR$126:DR$150)*Detalle_24m!DR$126:DR$150+(1-(117&gt;Corte)*(117&lt;=Corte+n_Ventana)*ISNUMBER(Detalle_24m!DR$126:DR$150))*OV_V*INDEX(IdxOV_V,1,MIN(10,DR$173)))*(1+V_dMat)/(1-V_Merma)</f>
        <v>76141.332750000001</v>
      </c>
      <c r="DS231" s="48">
        <f>SUMPRODUCT(DS177:DS201,(118&gt;Corte)*(118&lt;=Corte+n_Ventana)*ISNUMBER(Detalle_24m!DS$126:DS$150)*Detalle_24m!DS$126:DS$150+(1-(118&gt;Corte)*(118&lt;=Corte+n_Ventana)*ISNUMBER(Detalle_24m!DS$126:DS$150))*OV_V*INDEX(IdxOV_V,1,MIN(10,DS$173)))*(1+V_dMat)/(1-V_Merma)</f>
        <v>76141.332750000001</v>
      </c>
      <c r="DT231" s="48">
        <f>SUMPRODUCT(DT177:DT201,(119&gt;Corte)*(119&lt;=Corte+n_Ventana)*ISNUMBER(Detalle_24m!DT$126:DT$150)*Detalle_24m!DT$126:DT$150+(1-(119&gt;Corte)*(119&lt;=Corte+n_Ventana)*ISNUMBER(Detalle_24m!DT$126:DT$150))*OV_V*INDEX(IdxOV_V,1,MIN(10,DT$173)))*(1+V_dMat)/(1-V_Merma)</f>
        <v>76141.332750000001</v>
      </c>
      <c r="DU231" s="48">
        <f>SUMPRODUCT(DU177:DU201,(120&gt;Corte)*(120&lt;=Corte+n_Ventana)*ISNUMBER(Detalle_24m!DU$126:DU$150)*Detalle_24m!DU$126:DU$150+(1-(120&gt;Corte)*(120&lt;=Corte+n_Ventana)*ISNUMBER(Detalle_24m!DU$126:DU$150))*OV_V*INDEX(IdxOV_V,1,MIN(10,DU$173)))*(1+V_dMat)/(1-V_Merma)</f>
        <v>76141.332750000001</v>
      </c>
      <c r="DV231" s="48">
        <f>SUMPRODUCT(DV177:DV201,(121&gt;Corte)*(121&lt;=Corte+n_Ventana)*ISNUMBER(Detalle_24m!DV$126:DV$150)*Detalle_24m!DV$126:DV$150+(1-(121&gt;Corte)*(121&lt;=Corte+n_Ventana)*ISNUMBER(Detalle_24m!DV$126:DV$150))*OV_V*INDEX(IdxOV_V,1,MIN(10,DV$173)))*(1+V_dMat)/(1-V_Merma)</f>
        <v>0</v>
      </c>
      <c r="DW231" s="48">
        <f>SUMPRODUCT(DW177:DW201,(122&gt;Corte)*(122&lt;=Corte+n_Ventana)*ISNUMBER(Detalle_24m!DW$126:DW$150)*Detalle_24m!DW$126:DW$150+(1-(122&gt;Corte)*(122&lt;=Corte+n_Ventana)*ISNUMBER(Detalle_24m!DW$126:DW$150))*OV_V*INDEX(IdxOV_V,1,MIN(10,DW$173)))*(1+V_dMat)/(1-V_Merma)</f>
        <v>0</v>
      </c>
      <c r="DX231" s="48">
        <f>SUMPRODUCT(DX177:DX201,(123&gt;Corte)*(123&lt;=Corte+n_Ventana)*ISNUMBER(Detalle_24m!DX$126:DX$150)*Detalle_24m!DX$126:DX$150+(1-(123&gt;Corte)*(123&lt;=Corte+n_Ventana)*ISNUMBER(Detalle_24m!DX$126:DX$150))*OV_V*INDEX(IdxOV_V,1,MIN(10,DX$173)))*(1+V_dMat)/(1-V_Merma)</f>
        <v>0</v>
      </c>
      <c r="DY231" s="48">
        <f>SUMPRODUCT(DY177:DY201,(124&gt;Corte)*(124&lt;=Corte+n_Ventana)*ISNUMBER(Detalle_24m!DY$126:DY$150)*Detalle_24m!DY$126:DY$150+(1-(124&gt;Corte)*(124&lt;=Corte+n_Ventana)*ISNUMBER(Detalle_24m!DY$126:DY$150))*OV_V*INDEX(IdxOV_V,1,MIN(10,DY$173)))*(1+V_dMat)/(1-V_Merma)</f>
        <v>0</v>
      </c>
      <c r="DZ231" s="48">
        <f>SUMPRODUCT(DZ177:DZ201,(125&gt;Corte)*(125&lt;=Corte+n_Ventana)*ISNUMBER(Detalle_24m!DZ$126:DZ$150)*Detalle_24m!DZ$126:DZ$150+(1-(125&gt;Corte)*(125&lt;=Corte+n_Ventana)*ISNUMBER(Detalle_24m!DZ$126:DZ$150))*OV_V*INDEX(IdxOV_V,1,MIN(10,DZ$173)))*(1+V_dMat)/(1-V_Merma)</f>
        <v>0</v>
      </c>
      <c r="EA231" s="48">
        <f>SUMPRODUCT(EA177:EA201,(126&gt;Corte)*(126&lt;=Corte+n_Ventana)*ISNUMBER(Detalle_24m!EA$126:EA$150)*Detalle_24m!EA$126:EA$150+(1-(126&gt;Corte)*(126&lt;=Corte+n_Ventana)*ISNUMBER(Detalle_24m!EA$126:EA$150))*OV_V*INDEX(IdxOV_V,1,MIN(10,EA$173)))*(1+V_dMat)/(1-V_Merma)</f>
        <v>0</v>
      </c>
      <c r="EB231" s="48">
        <f>SUMPRODUCT(EB177:EB201,(127&gt;Corte)*(127&lt;=Corte+n_Ventana)*ISNUMBER(Detalle_24m!EB$126:EB$150)*Detalle_24m!EB$126:EB$150+(1-(127&gt;Corte)*(127&lt;=Corte+n_Ventana)*ISNUMBER(Detalle_24m!EB$126:EB$150))*OV_V*INDEX(IdxOV_V,1,MIN(10,EB$173)))*(1+V_dMat)/(1-V_Merma)</f>
        <v>0</v>
      </c>
      <c r="EC231" s="48">
        <f>SUMPRODUCT(EC177:EC201,(128&gt;Corte)*(128&lt;=Corte+n_Ventana)*ISNUMBER(Detalle_24m!EC$126:EC$150)*Detalle_24m!EC$126:EC$150+(1-(128&gt;Corte)*(128&lt;=Corte+n_Ventana)*ISNUMBER(Detalle_24m!EC$126:EC$150))*OV_V*INDEX(IdxOV_V,1,MIN(10,EC$173)))*(1+V_dMat)/(1-V_Merma)</f>
        <v>0</v>
      </c>
      <c r="ED231" s="48">
        <f>SUMPRODUCT(ED177:ED201,(129&gt;Corte)*(129&lt;=Corte+n_Ventana)*ISNUMBER(Detalle_24m!ED$126:ED$150)*Detalle_24m!ED$126:ED$150+(1-(129&gt;Corte)*(129&lt;=Corte+n_Ventana)*ISNUMBER(Detalle_24m!ED$126:ED$150))*OV_V*INDEX(IdxOV_V,1,MIN(10,ED$173)))*(1+V_dMat)/(1-V_Merma)</f>
        <v>0</v>
      </c>
      <c r="EE231" s="48">
        <f>SUMPRODUCT(EE177:EE201,(130&gt;Corte)*(130&lt;=Corte+n_Ventana)*ISNUMBER(Detalle_24m!EE$126:EE$150)*Detalle_24m!EE$126:EE$150+(1-(130&gt;Corte)*(130&lt;=Corte+n_Ventana)*ISNUMBER(Detalle_24m!EE$126:EE$150))*OV_V*INDEX(IdxOV_V,1,MIN(10,EE$173)))*(1+V_dMat)/(1-V_Merma)</f>
        <v>0</v>
      </c>
      <c r="EF231" s="48">
        <f>SUMPRODUCT(EF177:EF201,(131&gt;Corte)*(131&lt;=Corte+n_Ventana)*ISNUMBER(Detalle_24m!EF$126:EF$150)*Detalle_24m!EF$126:EF$150+(1-(131&gt;Corte)*(131&lt;=Corte+n_Ventana)*ISNUMBER(Detalle_24m!EF$126:EF$150))*OV_V*INDEX(IdxOV_V,1,MIN(10,EF$173)))*(1+V_dMat)/(1-V_Merma)</f>
        <v>0</v>
      </c>
      <c r="EG231" s="48">
        <f>SUMPRODUCT(EG177:EG201,(132&gt;Corte)*(132&lt;=Corte+n_Ventana)*ISNUMBER(Detalle_24m!EG$126:EG$150)*Detalle_24m!EG$126:EG$150+(1-(132&gt;Corte)*(132&lt;=Corte+n_Ventana)*ISNUMBER(Detalle_24m!EG$126:EG$150))*OV_V*INDEX(IdxOV_V,1,MIN(10,EG$173)))*(1+V_dMat)/(1-V_Merma)</f>
        <v>0</v>
      </c>
      <c r="EH231" s="48">
        <f>SUMPRODUCT(EH177:EH201,(133&gt;Corte)*(133&lt;=Corte+n_Ventana)*ISNUMBER(Detalle_24m!EH$126:EH$150)*Detalle_24m!EH$126:EH$150+(1-(133&gt;Corte)*(133&lt;=Corte+n_Ventana)*ISNUMBER(Detalle_24m!EH$126:EH$150))*OV_V*INDEX(IdxOV_V,1,MIN(10,EH$173)))*(1+V_dMat)/(1-V_Merma)</f>
        <v>0</v>
      </c>
      <c r="EI231" s="48">
        <f>SUMPRODUCT(EI177:EI201,(134&gt;Corte)*(134&lt;=Corte+n_Ventana)*ISNUMBER(Detalle_24m!EI$126:EI$150)*Detalle_24m!EI$126:EI$150+(1-(134&gt;Corte)*(134&lt;=Corte+n_Ventana)*ISNUMBER(Detalle_24m!EI$126:EI$150))*OV_V*INDEX(IdxOV_V,1,MIN(10,EI$173)))*(1+V_dMat)/(1-V_Merma)</f>
        <v>0</v>
      </c>
      <c r="EJ231" s="48">
        <f>SUMPRODUCT(EJ177:EJ201,(135&gt;Corte)*(135&lt;=Corte+n_Ventana)*ISNUMBER(Detalle_24m!EJ$126:EJ$150)*Detalle_24m!EJ$126:EJ$150+(1-(135&gt;Corte)*(135&lt;=Corte+n_Ventana)*ISNUMBER(Detalle_24m!EJ$126:EJ$150))*OV_V*INDEX(IdxOV_V,1,MIN(10,EJ$173)))*(1+V_dMat)/(1-V_Merma)</f>
        <v>0</v>
      </c>
      <c r="EK231" s="48">
        <f>SUMPRODUCT(EK177:EK201,(136&gt;Corte)*(136&lt;=Corte+n_Ventana)*ISNUMBER(Detalle_24m!EK$126:EK$150)*Detalle_24m!EK$126:EK$150+(1-(136&gt;Corte)*(136&lt;=Corte+n_Ventana)*ISNUMBER(Detalle_24m!EK$126:EK$150))*OV_V*INDEX(IdxOV_V,1,MIN(10,EK$173)))*(1+V_dMat)/(1-V_Merma)</f>
        <v>0</v>
      </c>
      <c r="EL231" s="48">
        <f>SUMPRODUCT(EL177:EL201,(137&gt;Corte)*(137&lt;=Corte+n_Ventana)*ISNUMBER(Detalle_24m!EL$126:EL$150)*Detalle_24m!EL$126:EL$150+(1-(137&gt;Corte)*(137&lt;=Corte+n_Ventana)*ISNUMBER(Detalle_24m!EL$126:EL$150))*OV_V*INDEX(IdxOV_V,1,MIN(10,EL$173)))*(1+V_dMat)/(1-V_Merma)</f>
        <v>0</v>
      </c>
      <c r="EM231" s="48">
        <f>SUMPRODUCT(EM177:EM201,(138&gt;Corte)*(138&lt;=Corte+n_Ventana)*ISNUMBER(Detalle_24m!EM$126:EM$150)*Detalle_24m!EM$126:EM$150+(1-(138&gt;Corte)*(138&lt;=Corte+n_Ventana)*ISNUMBER(Detalle_24m!EM$126:EM$150))*OV_V*INDEX(IdxOV_V,1,MIN(10,EM$173)))*(1+V_dMat)/(1-V_Merma)</f>
        <v>0</v>
      </c>
      <c r="EN231" s="48">
        <f>SUMPRODUCT(EN177:EN201,(139&gt;Corte)*(139&lt;=Corte+n_Ventana)*ISNUMBER(Detalle_24m!EN$126:EN$150)*Detalle_24m!EN$126:EN$150+(1-(139&gt;Corte)*(139&lt;=Corte+n_Ventana)*ISNUMBER(Detalle_24m!EN$126:EN$150))*OV_V*INDEX(IdxOV_V,1,MIN(10,EN$173)))*(1+V_dMat)/(1-V_Merma)</f>
        <v>0</v>
      </c>
      <c r="EO231" s="48">
        <f>SUMPRODUCT(EO177:EO201,(140&gt;Corte)*(140&lt;=Corte+n_Ventana)*ISNUMBER(Detalle_24m!EO$126:EO$150)*Detalle_24m!EO$126:EO$150+(1-(140&gt;Corte)*(140&lt;=Corte+n_Ventana)*ISNUMBER(Detalle_24m!EO$126:EO$150))*OV_V*INDEX(IdxOV_V,1,MIN(10,EO$173)))*(1+V_dMat)/(1-V_Merma)</f>
        <v>0</v>
      </c>
      <c r="EP231" s="48">
        <f>SUMPRODUCT(EP177:EP201,(141&gt;Corte)*(141&lt;=Corte+n_Ventana)*ISNUMBER(Detalle_24m!EP$126:EP$150)*Detalle_24m!EP$126:EP$150+(1-(141&gt;Corte)*(141&lt;=Corte+n_Ventana)*ISNUMBER(Detalle_24m!EP$126:EP$150))*OV_V*INDEX(IdxOV_V,1,MIN(10,EP$173)))*(1+V_dMat)/(1-V_Merma)</f>
        <v>0</v>
      </c>
      <c r="EQ231" s="48">
        <f>SUMPRODUCT(EQ177:EQ201,(142&gt;Corte)*(142&lt;=Corte+n_Ventana)*ISNUMBER(Detalle_24m!EQ$126:EQ$150)*Detalle_24m!EQ$126:EQ$150+(1-(142&gt;Corte)*(142&lt;=Corte+n_Ventana)*ISNUMBER(Detalle_24m!EQ$126:EQ$150))*OV_V*INDEX(IdxOV_V,1,MIN(10,EQ$173)))*(1+V_dMat)/(1-V_Merma)</f>
        <v>0</v>
      </c>
      <c r="ER231" s="48">
        <f>SUMPRODUCT(ER177:ER201,(143&gt;Corte)*(143&lt;=Corte+n_Ventana)*ISNUMBER(Detalle_24m!ER$126:ER$150)*Detalle_24m!ER$126:ER$150+(1-(143&gt;Corte)*(143&lt;=Corte+n_Ventana)*ISNUMBER(Detalle_24m!ER$126:ER$150))*OV_V*INDEX(IdxOV_V,1,MIN(10,ER$173)))*(1+V_dMat)/(1-V_Merma)</f>
        <v>0</v>
      </c>
      <c r="ES231" s="48">
        <f>SUMPRODUCT(ES177:ES201,(144&gt;Corte)*(144&lt;=Corte+n_Ventana)*ISNUMBER(Detalle_24m!ES$126:ES$150)*Detalle_24m!ES$126:ES$150+(1-(144&gt;Corte)*(144&lt;=Corte+n_Ventana)*ISNUMBER(Detalle_24m!ES$126:ES$150))*OV_V*INDEX(IdxOV_V,1,MIN(10,ES$173)))*(1+V_dMat)/(1-V_Merma)</f>
        <v>0</v>
      </c>
    </row>
    <row r="232" spans="1:149" x14ac:dyDescent="0.3">
      <c r="A232" s="14" t="s">
        <v>1286</v>
      </c>
      <c r="B232" s="18" t="s">
        <v>1058</v>
      </c>
      <c r="C232" s="18" t="s">
        <v>439</v>
      </c>
      <c r="E232" s="54">
        <f>SUM(F232:ES232)</f>
        <v>1179542.8015068008</v>
      </c>
      <c r="F232" s="48">
        <f t="shared" ref="F232:AK232" si="611">V_Desp*(F$229+F$230)</f>
        <v>5975.1750000000002</v>
      </c>
      <c r="G232" s="48">
        <f t="shared" si="611"/>
        <v>5975.1750000000002</v>
      </c>
      <c r="H232" s="48">
        <f t="shared" si="611"/>
        <v>5975.1750000000002</v>
      </c>
      <c r="I232" s="48">
        <f t="shared" si="611"/>
        <v>5975.1750000000002</v>
      </c>
      <c r="J232" s="48">
        <f t="shared" si="611"/>
        <v>5975.1750000000002</v>
      </c>
      <c r="K232" s="48">
        <f t="shared" si="611"/>
        <v>5975.1750000000002</v>
      </c>
      <c r="L232" s="48">
        <f t="shared" si="611"/>
        <v>5975.1750000000002</v>
      </c>
      <c r="M232" s="48">
        <f t="shared" si="611"/>
        <v>5975.1750000000002</v>
      </c>
      <c r="N232" s="48">
        <f t="shared" si="611"/>
        <v>5975.1750000000002</v>
      </c>
      <c r="O232" s="48">
        <f t="shared" si="611"/>
        <v>5975.1750000000002</v>
      </c>
      <c r="P232" s="48">
        <f t="shared" si="611"/>
        <v>5975.1750000000002</v>
      </c>
      <c r="Q232" s="48">
        <f t="shared" si="611"/>
        <v>5975.1750000000002</v>
      </c>
      <c r="R232" s="48">
        <f t="shared" si="611"/>
        <v>7593.2662499999997</v>
      </c>
      <c r="S232" s="48">
        <f t="shared" si="611"/>
        <v>7593.2662499999997</v>
      </c>
      <c r="T232" s="48">
        <f t="shared" si="611"/>
        <v>7593.2662499999997</v>
      </c>
      <c r="U232" s="48">
        <f t="shared" si="611"/>
        <v>7593.2662499999997</v>
      </c>
      <c r="V232" s="48">
        <f t="shared" si="611"/>
        <v>7593.2662499999997</v>
      </c>
      <c r="W232" s="48">
        <f t="shared" si="611"/>
        <v>7593.2662499999997</v>
      </c>
      <c r="X232" s="48">
        <f t="shared" si="611"/>
        <v>7593.2662499999997</v>
      </c>
      <c r="Y232" s="48">
        <f t="shared" si="611"/>
        <v>7593.2662499999997</v>
      </c>
      <c r="Z232" s="48">
        <f t="shared" si="611"/>
        <v>7593.2662499999997</v>
      </c>
      <c r="AA232" s="48">
        <f t="shared" si="611"/>
        <v>7593.2662499999997</v>
      </c>
      <c r="AB232" s="48">
        <f t="shared" si="611"/>
        <v>7593.2662499999997</v>
      </c>
      <c r="AC232" s="48">
        <f t="shared" si="611"/>
        <v>7593.2662499999997</v>
      </c>
      <c r="AD232" s="48">
        <f t="shared" si="611"/>
        <v>9231.7407000000003</v>
      </c>
      <c r="AE232" s="48">
        <f t="shared" si="611"/>
        <v>9231.7407000000003</v>
      </c>
      <c r="AF232" s="48">
        <f t="shared" si="611"/>
        <v>9231.7407000000003</v>
      </c>
      <c r="AG232" s="48">
        <f t="shared" si="611"/>
        <v>9231.7407000000003</v>
      </c>
      <c r="AH232" s="48">
        <f t="shared" si="611"/>
        <v>9231.7407000000003</v>
      </c>
      <c r="AI232" s="48">
        <f t="shared" si="611"/>
        <v>9231.7407000000003</v>
      </c>
      <c r="AJ232" s="48">
        <f t="shared" si="611"/>
        <v>9231.7407000000003</v>
      </c>
      <c r="AK232" s="48">
        <f t="shared" si="611"/>
        <v>9231.7407000000003</v>
      </c>
      <c r="AL232" s="48">
        <f t="shared" ref="AL232:BQ232" si="612">V_Desp*(AL$229+AL$230)</f>
        <v>9231.7407000000003</v>
      </c>
      <c r="AM232" s="48">
        <f t="shared" si="612"/>
        <v>9231.7407000000003</v>
      </c>
      <c r="AN232" s="48">
        <f t="shared" si="612"/>
        <v>9231.7407000000003</v>
      </c>
      <c r="AO232" s="48">
        <f t="shared" si="612"/>
        <v>9231.7407000000003</v>
      </c>
      <c r="AP232" s="48">
        <f t="shared" si="612"/>
        <v>10578.763949624999</v>
      </c>
      <c r="AQ232" s="48">
        <f t="shared" si="612"/>
        <v>10578.763949624999</v>
      </c>
      <c r="AR232" s="48">
        <f t="shared" si="612"/>
        <v>10578.763949624999</v>
      </c>
      <c r="AS232" s="48">
        <f t="shared" si="612"/>
        <v>10578.763949624999</v>
      </c>
      <c r="AT232" s="48">
        <f t="shared" si="612"/>
        <v>10578.763949624999</v>
      </c>
      <c r="AU232" s="48">
        <f t="shared" si="612"/>
        <v>10578.763949624999</v>
      </c>
      <c r="AV232" s="48">
        <f t="shared" si="612"/>
        <v>10578.763949624999</v>
      </c>
      <c r="AW232" s="48">
        <f t="shared" si="612"/>
        <v>10578.763949624999</v>
      </c>
      <c r="AX232" s="48">
        <f t="shared" si="612"/>
        <v>10578.763949624999</v>
      </c>
      <c r="AY232" s="48">
        <f t="shared" si="612"/>
        <v>10578.763949624999</v>
      </c>
      <c r="AZ232" s="48">
        <f t="shared" si="612"/>
        <v>10578.763949624999</v>
      </c>
      <c r="BA232" s="48">
        <f t="shared" si="612"/>
        <v>10578.763949624999</v>
      </c>
      <c r="BB232" s="48">
        <f t="shared" si="612"/>
        <v>10646.373589121249</v>
      </c>
      <c r="BC232" s="48">
        <f t="shared" si="612"/>
        <v>10646.373589121249</v>
      </c>
      <c r="BD232" s="48">
        <f t="shared" si="612"/>
        <v>10646.373589121249</v>
      </c>
      <c r="BE232" s="48">
        <f t="shared" si="612"/>
        <v>10646.373589121249</v>
      </c>
      <c r="BF232" s="48">
        <f t="shared" si="612"/>
        <v>10646.373589121249</v>
      </c>
      <c r="BG232" s="48">
        <f t="shared" si="612"/>
        <v>10646.373589121249</v>
      </c>
      <c r="BH232" s="48">
        <f t="shared" si="612"/>
        <v>10646.373589121249</v>
      </c>
      <c r="BI232" s="48">
        <f t="shared" si="612"/>
        <v>10646.373589121249</v>
      </c>
      <c r="BJ232" s="48">
        <f t="shared" si="612"/>
        <v>10646.373589121249</v>
      </c>
      <c r="BK232" s="48">
        <f t="shared" si="612"/>
        <v>10646.373589121249</v>
      </c>
      <c r="BL232" s="48">
        <f t="shared" si="612"/>
        <v>10646.373589121249</v>
      </c>
      <c r="BM232" s="48">
        <f t="shared" si="612"/>
        <v>10646.373589121249</v>
      </c>
      <c r="BN232" s="48">
        <f t="shared" si="612"/>
        <v>10714.659325012461</v>
      </c>
      <c r="BO232" s="48">
        <f t="shared" si="612"/>
        <v>10714.659325012461</v>
      </c>
      <c r="BP232" s="48">
        <f t="shared" si="612"/>
        <v>10714.659325012461</v>
      </c>
      <c r="BQ232" s="48">
        <f t="shared" si="612"/>
        <v>10714.659325012461</v>
      </c>
      <c r="BR232" s="48">
        <f t="shared" ref="BR232:CW232" si="613">V_Desp*(BR$229+BR$230)</f>
        <v>10714.659325012461</v>
      </c>
      <c r="BS232" s="48">
        <f t="shared" si="613"/>
        <v>10714.659325012461</v>
      </c>
      <c r="BT232" s="48">
        <f t="shared" si="613"/>
        <v>10714.659325012461</v>
      </c>
      <c r="BU232" s="48">
        <f t="shared" si="613"/>
        <v>10714.659325012461</v>
      </c>
      <c r="BV232" s="48">
        <f t="shared" si="613"/>
        <v>10714.659325012461</v>
      </c>
      <c r="BW232" s="48">
        <f t="shared" si="613"/>
        <v>10714.659325012461</v>
      </c>
      <c r="BX232" s="48">
        <f t="shared" si="613"/>
        <v>10714.659325012461</v>
      </c>
      <c r="BY232" s="48">
        <f t="shared" si="613"/>
        <v>10714.659325012461</v>
      </c>
      <c r="BZ232" s="48">
        <f t="shared" si="613"/>
        <v>10783.627918262588</v>
      </c>
      <c r="CA232" s="48">
        <f t="shared" si="613"/>
        <v>10783.627918262588</v>
      </c>
      <c r="CB232" s="48">
        <f t="shared" si="613"/>
        <v>10783.627918262588</v>
      </c>
      <c r="CC232" s="48">
        <f t="shared" si="613"/>
        <v>10783.627918262588</v>
      </c>
      <c r="CD232" s="48">
        <f t="shared" si="613"/>
        <v>10783.627918262588</v>
      </c>
      <c r="CE232" s="48">
        <f t="shared" si="613"/>
        <v>10783.627918262588</v>
      </c>
      <c r="CF232" s="48">
        <f t="shared" si="613"/>
        <v>10783.627918262588</v>
      </c>
      <c r="CG232" s="48">
        <f t="shared" si="613"/>
        <v>10783.627918262588</v>
      </c>
      <c r="CH232" s="48">
        <f t="shared" si="613"/>
        <v>10783.627918262588</v>
      </c>
      <c r="CI232" s="48">
        <f t="shared" si="613"/>
        <v>10783.627918262588</v>
      </c>
      <c r="CJ232" s="48">
        <f t="shared" si="613"/>
        <v>10783.627918262588</v>
      </c>
      <c r="CK232" s="48">
        <f t="shared" si="613"/>
        <v>10783.627918262588</v>
      </c>
      <c r="CL232" s="48">
        <f t="shared" si="613"/>
        <v>10853.286197445213</v>
      </c>
      <c r="CM232" s="48">
        <f t="shared" si="613"/>
        <v>10853.286197445213</v>
      </c>
      <c r="CN232" s="48">
        <f t="shared" si="613"/>
        <v>10853.286197445213</v>
      </c>
      <c r="CO232" s="48">
        <f t="shared" si="613"/>
        <v>10853.286197445213</v>
      </c>
      <c r="CP232" s="48">
        <f t="shared" si="613"/>
        <v>10853.286197445213</v>
      </c>
      <c r="CQ232" s="48">
        <f t="shared" si="613"/>
        <v>10853.286197445213</v>
      </c>
      <c r="CR232" s="48">
        <f t="shared" si="613"/>
        <v>10853.286197445213</v>
      </c>
      <c r="CS232" s="48">
        <f t="shared" si="613"/>
        <v>10853.286197445213</v>
      </c>
      <c r="CT232" s="48">
        <f t="shared" si="613"/>
        <v>10853.286197445213</v>
      </c>
      <c r="CU232" s="48">
        <f t="shared" si="613"/>
        <v>10853.286197445213</v>
      </c>
      <c r="CV232" s="48">
        <f t="shared" si="613"/>
        <v>10853.286197445213</v>
      </c>
      <c r="CW232" s="48">
        <f t="shared" si="613"/>
        <v>10853.286197445213</v>
      </c>
      <c r="CX232" s="48">
        <f t="shared" ref="CX232:EC232" si="614">V_Desp*(CX$229+CX$230)</f>
        <v>10923.641059419664</v>
      </c>
      <c r="CY232" s="48">
        <f t="shared" si="614"/>
        <v>10923.641059419664</v>
      </c>
      <c r="CZ232" s="48">
        <f t="shared" si="614"/>
        <v>10923.641059419664</v>
      </c>
      <c r="DA232" s="48">
        <f t="shared" si="614"/>
        <v>10923.641059419664</v>
      </c>
      <c r="DB232" s="48">
        <f t="shared" si="614"/>
        <v>10923.641059419664</v>
      </c>
      <c r="DC232" s="48">
        <f t="shared" si="614"/>
        <v>10923.641059419664</v>
      </c>
      <c r="DD232" s="48">
        <f t="shared" si="614"/>
        <v>10923.641059419664</v>
      </c>
      <c r="DE232" s="48">
        <f t="shared" si="614"/>
        <v>10923.641059419664</v>
      </c>
      <c r="DF232" s="48">
        <f t="shared" si="614"/>
        <v>10923.641059419664</v>
      </c>
      <c r="DG232" s="48">
        <f t="shared" si="614"/>
        <v>10923.641059419664</v>
      </c>
      <c r="DH232" s="48">
        <f t="shared" si="614"/>
        <v>10923.641059419664</v>
      </c>
      <c r="DI232" s="48">
        <f t="shared" si="614"/>
        <v>10923.641059419664</v>
      </c>
      <c r="DJ232" s="48">
        <f t="shared" si="614"/>
        <v>10994.699470013862</v>
      </c>
      <c r="DK232" s="48">
        <f t="shared" si="614"/>
        <v>10994.699470013862</v>
      </c>
      <c r="DL232" s="48">
        <f t="shared" si="614"/>
        <v>10994.699470013862</v>
      </c>
      <c r="DM232" s="48">
        <f t="shared" si="614"/>
        <v>10994.699470013862</v>
      </c>
      <c r="DN232" s="48">
        <f t="shared" si="614"/>
        <v>10994.699470013862</v>
      </c>
      <c r="DO232" s="48">
        <f t="shared" si="614"/>
        <v>10994.699470013862</v>
      </c>
      <c r="DP232" s="48">
        <f t="shared" si="614"/>
        <v>10994.699470013862</v>
      </c>
      <c r="DQ232" s="48">
        <f t="shared" si="614"/>
        <v>10994.699470013862</v>
      </c>
      <c r="DR232" s="48">
        <f t="shared" si="614"/>
        <v>10994.699470013862</v>
      </c>
      <c r="DS232" s="48">
        <f t="shared" si="614"/>
        <v>10994.699470013862</v>
      </c>
      <c r="DT232" s="48">
        <f t="shared" si="614"/>
        <v>10994.699470013862</v>
      </c>
      <c r="DU232" s="48">
        <f t="shared" si="614"/>
        <v>10994.699470013862</v>
      </c>
      <c r="DV232" s="48">
        <f t="shared" si="614"/>
        <v>0</v>
      </c>
      <c r="DW232" s="48">
        <f t="shared" si="614"/>
        <v>0</v>
      </c>
      <c r="DX232" s="48">
        <f t="shared" si="614"/>
        <v>0</v>
      </c>
      <c r="DY232" s="48">
        <f t="shared" si="614"/>
        <v>0</v>
      </c>
      <c r="DZ232" s="48">
        <f t="shared" si="614"/>
        <v>0</v>
      </c>
      <c r="EA232" s="48">
        <f t="shared" si="614"/>
        <v>0</v>
      </c>
      <c r="EB232" s="48">
        <f t="shared" si="614"/>
        <v>0</v>
      </c>
      <c r="EC232" s="48">
        <f t="shared" si="614"/>
        <v>0</v>
      </c>
      <c r="ED232" s="48">
        <f t="shared" ref="ED232:ES232" si="615">V_Desp*(ED$229+ED$230)</f>
        <v>0</v>
      </c>
      <c r="EE232" s="48">
        <f t="shared" si="615"/>
        <v>0</v>
      </c>
      <c r="EF232" s="48">
        <f t="shared" si="615"/>
        <v>0</v>
      </c>
      <c r="EG232" s="48">
        <f t="shared" si="615"/>
        <v>0</v>
      </c>
      <c r="EH232" s="48">
        <f t="shared" si="615"/>
        <v>0</v>
      </c>
      <c r="EI232" s="48">
        <f t="shared" si="615"/>
        <v>0</v>
      </c>
      <c r="EJ232" s="48">
        <f t="shared" si="615"/>
        <v>0</v>
      </c>
      <c r="EK232" s="48">
        <f t="shared" si="615"/>
        <v>0</v>
      </c>
      <c r="EL232" s="48">
        <f t="shared" si="615"/>
        <v>0</v>
      </c>
      <c r="EM232" s="48">
        <f t="shared" si="615"/>
        <v>0</v>
      </c>
      <c r="EN232" s="48">
        <f t="shared" si="615"/>
        <v>0</v>
      </c>
      <c r="EO232" s="48">
        <f t="shared" si="615"/>
        <v>0</v>
      </c>
      <c r="EP232" s="48">
        <f t="shared" si="615"/>
        <v>0</v>
      </c>
      <c r="EQ232" s="48">
        <f t="shared" si="615"/>
        <v>0</v>
      </c>
      <c r="ER232" s="48">
        <f t="shared" si="615"/>
        <v>0</v>
      </c>
      <c r="ES232" s="48">
        <f t="shared" si="615"/>
        <v>0</v>
      </c>
    </row>
    <row r="233" spans="1:149" x14ac:dyDescent="0.3">
      <c r="A233" s="14" t="s">
        <v>1287</v>
      </c>
      <c r="B233" s="18" t="s">
        <v>1060</v>
      </c>
      <c r="C233" s="18" t="s">
        <v>785</v>
      </c>
      <c r="F233" s="50">
        <f>SUMPRODUCT((Per_Clase="Directo")*((1&gt;Corte)*(1&lt;=Corte+n_Ventana)*ISNUMBER(Detalle_24m!F$154:F$183)*Detalle_24m!F$154:F$183+(1-(1&gt;Corte)*(1&lt;=Corte+n_Ventana)*ISNUMBER(Detalle_24m!F$154:F$183))*INDEX(Dot_V,0,MIN(10,F$173))*(F$171+F$172*V_PreDir)))</f>
        <v>43</v>
      </c>
      <c r="G233" s="50">
        <f>SUMPRODUCT((Per_Clase="Directo")*((2&gt;Corte)*(2&lt;=Corte+n_Ventana)*ISNUMBER(Detalle_24m!G$154:G$183)*Detalle_24m!G$154:G$183+(1-(2&gt;Corte)*(2&lt;=Corte+n_Ventana)*ISNUMBER(Detalle_24m!G$154:G$183))*INDEX(Dot_V,0,MIN(10,G$173))*(G$171+G$172*V_PreDir)))</f>
        <v>43</v>
      </c>
      <c r="H233" s="50">
        <f>SUMPRODUCT((Per_Clase="Directo")*((3&gt;Corte)*(3&lt;=Corte+n_Ventana)*ISNUMBER(Detalle_24m!H$154:H$183)*Detalle_24m!H$154:H$183+(1-(3&gt;Corte)*(3&lt;=Corte+n_Ventana)*ISNUMBER(Detalle_24m!H$154:H$183))*INDEX(Dot_V,0,MIN(10,H$173))*(H$171+H$172*V_PreDir)))</f>
        <v>43</v>
      </c>
      <c r="I233" s="50">
        <f>SUMPRODUCT((Per_Clase="Directo")*((4&gt;Corte)*(4&lt;=Corte+n_Ventana)*ISNUMBER(Detalle_24m!I$154:I$183)*Detalle_24m!I$154:I$183+(1-(4&gt;Corte)*(4&lt;=Corte+n_Ventana)*ISNUMBER(Detalle_24m!I$154:I$183))*INDEX(Dot_V,0,MIN(10,I$173))*(I$171+I$172*V_PreDir)))</f>
        <v>43</v>
      </c>
      <c r="J233" s="50">
        <f>SUMPRODUCT((Per_Clase="Directo")*((5&gt;Corte)*(5&lt;=Corte+n_Ventana)*ISNUMBER(Detalle_24m!J$154:J$183)*Detalle_24m!J$154:J$183+(1-(5&gt;Corte)*(5&lt;=Corte+n_Ventana)*ISNUMBER(Detalle_24m!J$154:J$183))*INDEX(Dot_V,0,MIN(10,J$173))*(J$171+J$172*V_PreDir)))</f>
        <v>43</v>
      </c>
      <c r="K233" s="50">
        <f>SUMPRODUCT((Per_Clase="Directo")*((6&gt;Corte)*(6&lt;=Corte+n_Ventana)*ISNUMBER(Detalle_24m!K$154:K$183)*Detalle_24m!K$154:K$183+(1-(6&gt;Corte)*(6&lt;=Corte+n_Ventana)*ISNUMBER(Detalle_24m!K$154:K$183))*INDEX(Dot_V,0,MIN(10,K$173))*(K$171+K$172*V_PreDir)))</f>
        <v>43</v>
      </c>
      <c r="L233" s="50">
        <f>SUMPRODUCT((Per_Clase="Directo")*((7&gt;Corte)*(7&lt;=Corte+n_Ventana)*ISNUMBER(Detalle_24m!L$154:L$183)*Detalle_24m!L$154:L$183+(1-(7&gt;Corte)*(7&lt;=Corte+n_Ventana)*ISNUMBER(Detalle_24m!L$154:L$183))*INDEX(Dot_V,0,MIN(10,L$173))*(L$171+L$172*V_PreDir)))</f>
        <v>43</v>
      </c>
      <c r="M233" s="50">
        <f>SUMPRODUCT((Per_Clase="Directo")*((8&gt;Corte)*(8&lt;=Corte+n_Ventana)*ISNUMBER(Detalle_24m!M$154:M$183)*Detalle_24m!M$154:M$183+(1-(8&gt;Corte)*(8&lt;=Corte+n_Ventana)*ISNUMBER(Detalle_24m!M$154:M$183))*INDEX(Dot_V,0,MIN(10,M$173))*(M$171+M$172*V_PreDir)))</f>
        <v>43</v>
      </c>
      <c r="N233" s="50">
        <f>SUMPRODUCT((Per_Clase="Directo")*((9&gt;Corte)*(9&lt;=Corte+n_Ventana)*ISNUMBER(Detalle_24m!N$154:N$183)*Detalle_24m!N$154:N$183+(1-(9&gt;Corte)*(9&lt;=Corte+n_Ventana)*ISNUMBER(Detalle_24m!N$154:N$183))*INDEX(Dot_V,0,MIN(10,N$173))*(N$171+N$172*V_PreDir)))</f>
        <v>43</v>
      </c>
      <c r="O233" s="50">
        <f>SUMPRODUCT((Per_Clase="Directo")*((10&gt;Corte)*(10&lt;=Corte+n_Ventana)*ISNUMBER(Detalle_24m!O$154:O$183)*Detalle_24m!O$154:O$183+(1-(10&gt;Corte)*(10&lt;=Corte+n_Ventana)*ISNUMBER(Detalle_24m!O$154:O$183))*INDEX(Dot_V,0,MIN(10,O$173))*(O$171+O$172*V_PreDir)))</f>
        <v>43</v>
      </c>
      <c r="P233" s="50">
        <f>SUMPRODUCT((Per_Clase="Directo")*((11&gt;Corte)*(11&lt;=Corte+n_Ventana)*ISNUMBER(Detalle_24m!P$154:P$183)*Detalle_24m!P$154:P$183+(1-(11&gt;Corte)*(11&lt;=Corte+n_Ventana)*ISNUMBER(Detalle_24m!P$154:P$183))*INDEX(Dot_V,0,MIN(10,P$173))*(P$171+P$172*V_PreDir)))</f>
        <v>43</v>
      </c>
      <c r="Q233" s="50">
        <f>SUMPRODUCT((Per_Clase="Directo")*((12&gt;Corte)*(12&lt;=Corte+n_Ventana)*ISNUMBER(Detalle_24m!Q$154:Q$183)*Detalle_24m!Q$154:Q$183+(1-(12&gt;Corte)*(12&lt;=Corte+n_Ventana)*ISNUMBER(Detalle_24m!Q$154:Q$183))*INDEX(Dot_V,0,MIN(10,Q$173))*(Q$171+Q$172*V_PreDir)))</f>
        <v>43</v>
      </c>
      <c r="R233" s="50">
        <f>SUMPRODUCT((Per_Clase="Directo")*((13&gt;Corte)*(13&lt;=Corte+n_Ventana)*ISNUMBER(Detalle_24m!R$154:R$183)*Detalle_24m!R$154:R$183+(1-(13&gt;Corte)*(13&lt;=Corte+n_Ventana)*ISNUMBER(Detalle_24m!R$154:R$183))*INDEX(Dot_V,0,MIN(10,R$173))*(R$171+R$172*V_PreDir)))</f>
        <v>43</v>
      </c>
      <c r="S233" s="50">
        <f>SUMPRODUCT((Per_Clase="Directo")*((14&gt;Corte)*(14&lt;=Corte+n_Ventana)*ISNUMBER(Detalle_24m!S$154:S$183)*Detalle_24m!S$154:S$183+(1-(14&gt;Corte)*(14&lt;=Corte+n_Ventana)*ISNUMBER(Detalle_24m!S$154:S$183))*INDEX(Dot_V,0,MIN(10,S$173))*(S$171+S$172*V_PreDir)))</f>
        <v>43</v>
      </c>
      <c r="T233" s="50">
        <f>SUMPRODUCT((Per_Clase="Directo")*((15&gt;Corte)*(15&lt;=Corte+n_Ventana)*ISNUMBER(Detalle_24m!T$154:T$183)*Detalle_24m!T$154:T$183+(1-(15&gt;Corte)*(15&lt;=Corte+n_Ventana)*ISNUMBER(Detalle_24m!T$154:T$183))*INDEX(Dot_V,0,MIN(10,T$173))*(T$171+T$172*V_PreDir)))</f>
        <v>43</v>
      </c>
      <c r="U233" s="50">
        <f>SUMPRODUCT((Per_Clase="Directo")*((16&gt;Corte)*(16&lt;=Corte+n_Ventana)*ISNUMBER(Detalle_24m!U$154:U$183)*Detalle_24m!U$154:U$183+(1-(16&gt;Corte)*(16&lt;=Corte+n_Ventana)*ISNUMBER(Detalle_24m!U$154:U$183))*INDEX(Dot_V,0,MIN(10,U$173))*(U$171+U$172*V_PreDir)))</f>
        <v>43</v>
      </c>
      <c r="V233" s="50">
        <f>SUMPRODUCT((Per_Clase="Directo")*((17&gt;Corte)*(17&lt;=Corte+n_Ventana)*ISNUMBER(Detalle_24m!V$154:V$183)*Detalle_24m!V$154:V$183+(1-(17&gt;Corte)*(17&lt;=Corte+n_Ventana)*ISNUMBER(Detalle_24m!V$154:V$183))*INDEX(Dot_V,0,MIN(10,V$173))*(V$171+V$172*V_PreDir)))</f>
        <v>43</v>
      </c>
      <c r="W233" s="50">
        <f>SUMPRODUCT((Per_Clase="Directo")*((18&gt;Corte)*(18&lt;=Corte+n_Ventana)*ISNUMBER(Detalle_24m!W$154:W$183)*Detalle_24m!W$154:W$183+(1-(18&gt;Corte)*(18&lt;=Corte+n_Ventana)*ISNUMBER(Detalle_24m!W$154:W$183))*INDEX(Dot_V,0,MIN(10,W$173))*(W$171+W$172*V_PreDir)))</f>
        <v>43</v>
      </c>
      <c r="X233" s="50">
        <f>SUMPRODUCT((Per_Clase="Directo")*((19&gt;Corte)*(19&lt;=Corte+n_Ventana)*ISNUMBER(Detalle_24m!X$154:X$183)*Detalle_24m!X$154:X$183+(1-(19&gt;Corte)*(19&lt;=Corte+n_Ventana)*ISNUMBER(Detalle_24m!X$154:X$183))*INDEX(Dot_V,0,MIN(10,X$173))*(X$171+X$172*V_PreDir)))</f>
        <v>43</v>
      </c>
      <c r="Y233" s="50">
        <f>SUMPRODUCT((Per_Clase="Directo")*((20&gt;Corte)*(20&lt;=Corte+n_Ventana)*ISNUMBER(Detalle_24m!Y$154:Y$183)*Detalle_24m!Y$154:Y$183+(1-(20&gt;Corte)*(20&lt;=Corte+n_Ventana)*ISNUMBER(Detalle_24m!Y$154:Y$183))*INDEX(Dot_V,0,MIN(10,Y$173))*(Y$171+Y$172*V_PreDir)))</f>
        <v>43</v>
      </c>
      <c r="Z233" s="50">
        <f>SUMPRODUCT((Per_Clase="Directo")*((21&gt;Corte)*(21&lt;=Corte+n_Ventana)*ISNUMBER(Detalle_24m!Z$154:Z$183)*Detalle_24m!Z$154:Z$183+(1-(21&gt;Corte)*(21&lt;=Corte+n_Ventana)*ISNUMBER(Detalle_24m!Z$154:Z$183))*INDEX(Dot_V,0,MIN(10,Z$173))*(Z$171+Z$172*V_PreDir)))</f>
        <v>43</v>
      </c>
      <c r="AA233" s="50">
        <f>SUMPRODUCT((Per_Clase="Directo")*((22&gt;Corte)*(22&lt;=Corte+n_Ventana)*ISNUMBER(Detalle_24m!AA$154:AA$183)*Detalle_24m!AA$154:AA$183+(1-(22&gt;Corte)*(22&lt;=Corte+n_Ventana)*ISNUMBER(Detalle_24m!AA$154:AA$183))*INDEX(Dot_V,0,MIN(10,AA$173))*(AA$171+AA$172*V_PreDir)))</f>
        <v>43</v>
      </c>
      <c r="AB233" s="50">
        <f>SUMPRODUCT((Per_Clase="Directo")*((23&gt;Corte)*(23&lt;=Corte+n_Ventana)*ISNUMBER(Detalle_24m!AB$154:AB$183)*Detalle_24m!AB$154:AB$183+(1-(23&gt;Corte)*(23&lt;=Corte+n_Ventana)*ISNUMBER(Detalle_24m!AB$154:AB$183))*INDEX(Dot_V,0,MIN(10,AB$173))*(AB$171+AB$172*V_PreDir)))</f>
        <v>43</v>
      </c>
      <c r="AC233" s="50">
        <f>SUMPRODUCT((Per_Clase="Directo")*((24&gt;Corte)*(24&lt;=Corte+n_Ventana)*ISNUMBER(Detalle_24m!AC$154:AC$183)*Detalle_24m!AC$154:AC$183+(1-(24&gt;Corte)*(24&lt;=Corte+n_Ventana)*ISNUMBER(Detalle_24m!AC$154:AC$183))*INDEX(Dot_V,0,MIN(10,AC$173))*(AC$171+AC$172*V_PreDir)))</f>
        <v>43</v>
      </c>
      <c r="AD233" s="50">
        <f>SUMPRODUCT((Per_Clase="Directo")*((25&gt;Corte)*(25&lt;=Corte+n_Ventana)*ISNUMBER(Detalle_24m!AD$154:AD$183)*Detalle_24m!AD$154:AD$183+(1-(25&gt;Corte)*(25&lt;=Corte+n_Ventana)*ISNUMBER(Detalle_24m!AD$154:AD$183))*INDEX(Dot_V,0,MIN(10,AD$173))*(AD$171+AD$172*V_PreDir)))</f>
        <v>46</v>
      </c>
      <c r="AE233" s="50">
        <f>SUMPRODUCT((Per_Clase="Directo")*((26&gt;Corte)*(26&lt;=Corte+n_Ventana)*ISNUMBER(Detalle_24m!AE$154:AE$183)*Detalle_24m!AE$154:AE$183+(1-(26&gt;Corte)*(26&lt;=Corte+n_Ventana)*ISNUMBER(Detalle_24m!AE$154:AE$183))*INDEX(Dot_V,0,MIN(10,AE$173))*(AE$171+AE$172*V_PreDir)))</f>
        <v>46</v>
      </c>
      <c r="AF233" s="50">
        <f>SUMPRODUCT((Per_Clase="Directo")*((27&gt;Corte)*(27&lt;=Corte+n_Ventana)*ISNUMBER(Detalle_24m!AF$154:AF$183)*Detalle_24m!AF$154:AF$183+(1-(27&gt;Corte)*(27&lt;=Corte+n_Ventana)*ISNUMBER(Detalle_24m!AF$154:AF$183))*INDEX(Dot_V,0,MIN(10,AF$173))*(AF$171+AF$172*V_PreDir)))</f>
        <v>46</v>
      </c>
      <c r="AG233" s="50">
        <f>SUMPRODUCT((Per_Clase="Directo")*((28&gt;Corte)*(28&lt;=Corte+n_Ventana)*ISNUMBER(Detalle_24m!AG$154:AG$183)*Detalle_24m!AG$154:AG$183+(1-(28&gt;Corte)*(28&lt;=Corte+n_Ventana)*ISNUMBER(Detalle_24m!AG$154:AG$183))*INDEX(Dot_V,0,MIN(10,AG$173))*(AG$171+AG$172*V_PreDir)))</f>
        <v>46</v>
      </c>
      <c r="AH233" s="50">
        <f>SUMPRODUCT((Per_Clase="Directo")*((29&gt;Corte)*(29&lt;=Corte+n_Ventana)*ISNUMBER(Detalle_24m!AH$154:AH$183)*Detalle_24m!AH$154:AH$183+(1-(29&gt;Corte)*(29&lt;=Corte+n_Ventana)*ISNUMBER(Detalle_24m!AH$154:AH$183))*INDEX(Dot_V,0,MIN(10,AH$173))*(AH$171+AH$172*V_PreDir)))</f>
        <v>46</v>
      </c>
      <c r="AI233" s="50">
        <f>SUMPRODUCT((Per_Clase="Directo")*((30&gt;Corte)*(30&lt;=Corte+n_Ventana)*ISNUMBER(Detalle_24m!AI$154:AI$183)*Detalle_24m!AI$154:AI$183+(1-(30&gt;Corte)*(30&lt;=Corte+n_Ventana)*ISNUMBER(Detalle_24m!AI$154:AI$183))*INDEX(Dot_V,0,MIN(10,AI$173))*(AI$171+AI$172*V_PreDir)))</f>
        <v>46</v>
      </c>
      <c r="AJ233" s="50">
        <f>SUMPRODUCT((Per_Clase="Directo")*((31&gt;Corte)*(31&lt;=Corte+n_Ventana)*ISNUMBER(Detalle_24m!AJ$154:AJ$183)*Detalle_24m!AJ$154:AJ$183+(1-(31&gt;Corte)*(31&lt;=Corte+n_Ventana)*ISNUMBER(Detalle_24m!AJ$154:AJ$183))*INDEX(Dot_V,0,MIN(10,AJ$173))*(AJ$171+AJ$172*V_PreDir)))</f>
        <v>46</v>
      </c>
      <c r="AK233" s="50">
        <f>SUMPRODUCT((Per_Clase="Directo")*((32&gt;Corte)*(32&lt;=Corte+n_Ventana)*ISNUMBER(Detalle_24m!AK$154:AK$183)*Detalle_24m!AK$154:AK$183+(1-(32&gt;Corte)*(32&lt;=Corte+n_Ventana)*ISNUMBER(Detalle_24m!AK$154:AK$183))*INDEX(Dot_V,0,MIN(10,AK$173))*(AK$171+AK$172*V_PreDir)))</f>
        <v>46</v>
      </c>
      <c r="AL233" s="50">
        <f>SUMPRODUCT((Per_Clase="Directo")*((33&gt;Corte)*(33&lt;=Corte+n_Ventana)*ISNUMBER(Detalle_24m!AL$154:AL$183)*Detalle_24m!AL$154:AL$183+(1-(33&gt;Corte)*(33&lt;=Corte+n_Ventana)*ISNUMBER(Detalle_24m!AL$154:AL$183))*INDEX(Dot_V,0,MIN(10,AL$173))*(AL$171+AL$172*V_PreDir)))</f>
        <v>46</v>
      </c>
      <c r="AM233" s="50">
        <f>SUMPRODUCT((Per_Clase="Directo")*((34&gt;Corte)*(34&lt;=Corte+n_Ventana)*ISNUMBER(Detalle_24m!AM$154:AM$183)*Detalle_24m!AM$154:AM$183+(1-(34&gt;Corte)*(34&lt;=Corte+n_Ventana)*ISNUMBER(Detalle_24m!AM$154:AM$183))*INDEX(Dot_V,0,MIN(10,AM$173))*(AM$171+AM$172*V_PreDir)))</f>
        <v>46</v>
      </c>
      <c r="AN233" s="50">
        <f>SUMPRODUCT((Per_Clase="Directo")*((35&gt;Corte)*(35&lt;=Corte+n_Ventana)*ISNUMBER(Detalle_24m!AN$154:AN$183)*Detalle_24m!AN$154:AN$183+(1-(35&gt;Corte)*(35&lt;=Corte+n_Ventana)*ISNUMBER(Detalle_24m!AN$154:AN$183))*INDEX(Dot_V,0,MIN(10,AN$173))*(AN$171+AN$172*V_PreDir)))</f>
        <v>46</v>
      </c>
      <c r="AO233" s="50">
        <f>SUMPRODUCT((Per_Clase="Directo")*((36&gt;Corte)*(36&lt;=Corte+n_Ventana)*ISNUMBER(Detalle_24m!AO$154:AO$183)*Detalle_24m!AO$154:AO$183+(1-(36&gt;Corte)*(36&lt;=Corte+n_Ventana)*ISNUMBER(Detalle_24m!AO$154:AO$183))*INDEX(Dot_V,0,MIN(10,AO$173))*(AO$171+AO$172*V_PreDir)))</f>
        <v>46</v>
      </c>
      <c r="AP233" s="50">
        <f>SUMPRODUCT((Per_Clase="Directo")*((37&gt;Corte)*(37&lt;=Corte+n_Ventana)*ISNUMBER(Detalle_24m!AP$154:AP$183)*Detalle_24m!AP$154:AP$183+(1-(37&gt;Corte)*(37&lt;=Corte+n_Ventana)*ISNUMBER(Detalle_24m!AP$154:AP$183))*INDEX(Dot_V,0,MIN(10,AP$173))*(AP$171+AP$172*V_PreDir)))</f>
        <v>49</v>
      </c>
      <c r="AQ233" s="50">
        <f>SUMPRODUCT((Per_Clase="Directo")*((38&gt;Corte)*(38&lt;=Corte+n_Ventana)*ISNUMBER(Detalle_24m!AQ$154:AQ$183)*Detalle_24m!AQ$154:AQ$183+(1-(38&gt;Corte)*(38&lt;=Corte+n_Ventana)*ISNUMBER(Detalle_24m!AQ$154:AQ$183))*INDEX(Dot_V,0,MIN(10,AQ$173))*(AQ$171+AQ$172*V_PreDir)))</f>
        <v>49</v>
      </c>
      <c r="AR233" s="50">
        <f>SUMPRODUCT((Per_Clase="Directo")*((39&gt;Corte)*(39&lt;=Corte+n_Ventana)*ISNUMBER(Detalle_24m!AR$154:AR$183)*Detalle_24m!AR$154:AR$183+(1-(39&gt;Corte)*(39&lt;=Corte+n_Ventana)*ISNUMBER(Detalle_24m!AR$154:AR$183))*INDEX(Dot_V,0,MIN(10,AR$173))*(AR$171+AR$172*V_PreDir)))</f>
        <v>49</v>
      </c>
      <c r="AS233" s="50">
        <f>SUMPRODUCT((Per_Clase="Directo")*((40&gt;Corte)*(40&lt;=Corte+n_Ventana)*ISNUMBER(Detalle_24m!AS$154:AS$183)*Detalle_24m!AS$154:AS$183+(1-(40&gt;Corte)*(40&lt;=Corte+n_Ventana)*ISNUMBER(Detalle_24m!AS$154:AS$183))*INDEX(Dot_V,0,MIN(10,AS$173))*(AS$171+AS$172*V_PreDir)))</f>
        <v>49</v>
      </c>
      <c r="AT233" s="50">
        <f>SUMPRODUCT((Per_Clase="Directo")*((41&gt;Corte)*(41&lt;=Corte+n_Ventana)*ISNUMBER(Detalle_24m!AT$154:AT$183)*Detalle_24m!AT$154:AT$183+(1-(41&gt;Corte)*(41&lt;=Corte+n_Ventana)*ISNUMBER(Detalle_24m!AT$154:AT$183))*INDEX(Dot_V,0,MIN(10,AT$173))*(AT$171+AT$172*V_PreDir)))</f>
        <v>49</v>
      </c>
      <c r="AU233" s="50">
        <f>SUMPRODUCT((Per_Clase="Directo")*((42&gt;Corte)*(42&lt;=Corte+n_Ventana)*ISNUMBER(Detalle_24m!AU$154:AU$183)*Detalle_24m!AU$154:AU$183+(1-(42&gt;Corte)*(42&lt;=Corte+n_Ventana)*ISNUMBER(Detalle_24m!AU$154:AU$183))*INDEX(Dot_V,0,MIN(10,AU$173))*(AU$171+AU$172*V_PreDir)))</f>
        <v>49</v>
      </c>
      <c r="AV233" s="50">
        <f>SUMPRODUCT((Per_Clase="Directo")*((43&gt;Corte)*(43&lt;=Corte+n_Ventana)*ISNUMBER(Detalle_24m!AV$154:AV$183)*Detalle_24m!AV$154:AV$183+(1-(43&gt;Corte)*(43&lt;=Corte+n_Ventana)*ISNUMBER(Detalle_24m!AV$154:AV$183))*INDEX(Dot_V,0,MIN(10,AV$173))*(AV$171+AV$172*V_PreDir)))</f>
        <v>49</v>
      </c>
      <c r="AW233" s="50">
        <f>SUMPRODUCT((Per_Clase="Directo")*((44&gt;Corte)*(44&lt;=Corte+n_Ventana)*ISNUMBER(Detalle_24m!AW$154:AW$183)*Detalle_24m!AW$154:AW$183+(1-(44&gt;Corte)*(44&lt;=Corte+n_Ventana)*ISNUMBER(Detalle_24m!AW$154:AW$183))*INDEX(Dot_V,0,MIN(10,AW$173))*(AW$171+AW$172*V_PreDir)))</f>
        <v>49</v>
      </c>
      <c r="AX233" s="50">
        <f>SUMPRODUCT((Per_Clase="Directo")*((45&gt;Corte)*(45&lt;=Corte+n_Ventana)*ISNUMBER(Detalle_24m!AX$154:AX$183)*Detalle_24m!AX$154:AX$183+(1-(45&gt;Corte)*(45&lt;=Corte+n_Ventana)*ISNUMBER(Detalle_24m!AX$154:AX$183))*INDEX(Dot_V,0,MIN(10,AX$173))*(AX$171+AX$172*V_PreDir)))</f>
        <v>49</v>
      </c>
      <c r="AY233" s="50">
        <f>SUMPRODUCT((Per_Clase="Directo")*((46&gt;Corte)*(46&lt;=Corte+n_Ventana)*ISNUMBER(Detalle_24m!AY$154:AY$183)*Detalle_24m!AY$154:AY$183+(1-(46&gt;Corte)*(46&lt;=Corte+n_Ventana)*ISNUMBER(Detalle_24m!AY$154:AY$183))*INDEX(Dot_V,0,MIN(10,AY$173))*(AY$171+AY$172*V_PreDir)))</f>
        <v>49</v>
      </c>
      <c r="AZ233" s="50">
        <f>SUMPRODUCT((Per_Clase="Directo")*((47&gt;Corte)*(47&lt;=Corte+n_Ventana)*ISNUMBER(Detalle_24m!AZ$154:AZ$183)*Detalle_24m!AZ$154:AZ$183+(1-(47&gt;Corte)*(47&lt;=Corte+n_Ventana)*ISNUMBER(Detalle_24m!AZ$154:AZ$183))*INDEX(Dot_V,0,MIN(10,AZ$173))*(AZ$171+AZ$172*V_PreDir)))</f>
        <v>49</v>
      </c>
      <c r="BA233" s="50">
        <f>SUMPRODUCT((Per_Clase="Directo")*((48&gt;Corte)*(48&lt;=Corte+n_Ventana)*ISNUMBER(Detalle_24m!BA$154:BA$183)*Detalle_24m!BA$154:BA$183+(1-(48&gt;Corte)*(48&lt;=Corte+n_Ventana)*ISNUMBER(Detalle_24m!BA$154:BA$183))*INDEX(Dot_V,0,MIN(10,BA$173))*(BA$171+BA$172*V_PreDir)))</f>
        <v>49</v>
      </c>
      <c r="BB233" s="50">
        <f>SUMPRODUCT((Per_Clase="Directo")*((49&gt;Corte)*(49&lt;=Corte+n_Ventana)*ISNUMBER(Detalle_24m!BB$154:BB$183)*Detalle_24m!BB$154:BB$183+(1-(49&gt;Corte)*(49&lt;=Corte+n_Ventana)*ISNUMBER(Detalle_24m!BB$154:BB$183))*INDEX(Dot_V,0,MIN(10,BB$173))*(BB$171+BB$172*V_PreDir)))</f>
        <v>52</v>
      </c>
      <c r="BC233" s="50">
        <f>SUMPRODUCT((Per_Clase="Directo")*((50&gt;Corte)*(50&lt;=Corte+n_Ventana)*ISNUMBER(Detalle_24m!BC$154:BC$183)*Detalle_24m!BC$154:BC$183+(1-(50&gt;Corte)*(50&lt;=Corte+n_Ventana)*ISNUMBER(Detalle_24m!BC$154:BC$183))*INDEX(Dot_V,0,MIN(10,BC$173))*(BC$171+BC$172*V_PreDir)))</f>
        <v>52</v>
      </c>
      <c r="BD233" s="50">
        <f>SUMPRODUCT((Per_Clase="Directo")*((51&gt;Corte)*(51&lt;=Corte+n_Ventana)*ISNUMBER(Detalle_24m!BD$154:BD$183)*Detalle_24m!BD$154:BD$183+(1-(51&gt;Corte)*(51&lt;=Corte+n_Ventana)*ISNUMBER(Detalle_24m!BD$154:BD$183))*INDEX(Dot_V,0,MIN(10,BD$173))*(BD$171+BD$172*V_PreDir)))</f>
        <v>52</v>
      </c>
      <c r="BE233" s="50">
        <f>SUMPRODUCT((Per_Clase="Directo")*((52&gt;Corte)*(52&lt;=Corte+n_Ventana)*ISNUMBER(Detalle_24m!BE$154:BE$183)*Detalle_24m!BE$154:BE$183+(1-(52&gt;Corte)*(52&lt;=Corte+n_Ventana)*ISNUMBER(Detalle_24m!BE$154:BE$183))*INDEX(Dot_V,0,MIN(10,BE$173))*(BE$171+BE$172*V_PreDir)))</f>
        <v>52</v>
      </c>
      <c r="BF233" s="50">
        <f>SUMPRODUCT((Per_Clase="Directo")*((53&gt;Corte)*(53&lt;=Corte+n_Ventana)*ISNUMBER(Detalle_24m!BF$154:BF$183)*Detalle_24m!BF$154:BF$183+(1-(53&gt;Corte)*(53&lt;=Corte+n_Ventana)*ISNUMBER(Detalle_24m!BF$154:BF$183))*INDEX(Dot_V,0,MIN(10,BF$173))*(BF$171+BF$172*V_PreDir)))</f>
        <v>52</v>
      </c>
      <c r="BG233" s="50">
        <f>SUMPRODUCT((Per_Clase="Directo")*((54&gt;Corte)*(54&lt;=Corte+n_Ventana)*ISNUMBER(Detalle_24m!BG$154:BG$183)*Detalle_24m!BG$154:BG$183+(1-(54&gt;Corte)*(54&lt;=Corte+n_Ventana)*ISNUMBER(Detalle_24m!BG$154:BG$183))*INDEX(Dot_V,0,MIN(10,BG$173))*(BG$171+BG$172*V_PreDir)))</f>
        <v>52</v>
      </c>
      <c r="BH233" s="50">
        <f>SUMPRODUCT((Per_Clase="Directo")*((55&gt;Corte)*(55&lt;=Corte+n_Ventana)*ISNUMBER(Detalle_24m!BH$154:BH$183)*Detalle_24m!BH$154:BH$183+(1-(55&gt;Corte)*(55&lt;=Corte+n_Ventana)*ISNUMBER(Detalle_24m!BH$154:BH$183))*INDEX(Dot_V,0,MIN(10,BH$173))*(BH$171+BH$172*V_PreDir)))</f>
        <v>52</v>
      </c>
      <c r="BI233" s="50">
        <f>SUMPRODUCT((Per_Clase="Directo")*((56&gt;Corte)*(56&lt;=Corte+n_Ventana)*ISNUMBER(Detalle_24m!BI$154:BI$183)*Detalle_24m!BI$154:BI$183+(1-(56&gt;Corte)*(56&lt;=Corte+n_Ventana)*ISNUMBER(Detalle_24m!BI$154:BI$183))*INDEX(Dot_V,0,MIN(10,BI$173))*(BI$171+BI$172*V_PreDir)))</f>
        <v>52</v>
      </c>
      <c r="BJ233" s="50">
        <f>SUMPRODUCT((Per_Clase="Directo")*((57&gt;Corte)*(57&lt;=Corte+n_Ventana)*ISNUMBER(Detalle_24m!BJ$154:BJ$183)*Detalle_24m!BJ$154:BJ$183+(1-(57&gt;Corte)*(57&lt;=Corte+n_Ventana)*ISNUMBER(Detalle_24m!BJ$154:BJ$183))*INDEX(Dot_V,0,MIN(10,BJ$173))*(BJ$171+BJ$172*V_PreDir)))</f>
        <v>52</v>
      </c>
      <c r="BK233" s="50">
        <f>SUMPRODUCT((Per_Clase="Directo")*((58&gt;Corte)*(58&lt;=Corte+n_Ventana)*ISNUMBER(Detalle_24m!BK$154:BK$183)*Detalle_24m!BK$154:BK$183+(1-(58&gt;Corte)*(58&lt;=Corte+n_Ventana)*ISNUMBER(Detalle_24m!BK$154:BK$183))*INDEX(Dot_V,0,MIN(10,BK$173))*(BK$171+BK$172*V_PreDir)))</f>
        <v>52</v>
      </c>
      <c r="BL233" s="50">
        <f>SUMPRODUCT((Per_Clase="Directo")*((59&gt;Corte)*(59&lt;=Corte+n_Ventana)*ISNUMBER(Detalle_24m!BL$154:BL$183)*Detalle_24m!BL$154:BL$183+(1-(59&gt;Corte)*(59&lt;=Corte+n_Ventana)*ISNUMBER(Detalle_24m!BL$154:BL$183))*INDEX(Dot_V,0,MIN(10,BL$173))*(BL$171+BL$172*V_PreDir)))</f>
        <v>52</v>
      </c>
      <c r="BM233" s="50">
        <f>SUMPRODUCT((Per_Clase="Directo")*((60&gt;Corte)*(60&lt;=Corte+n_Ventana)*ISNUMBER(Detalle_24m!BM$154:BM$183)*Detalle_24m!BM$154:BM$183+(1-(60&gt;Corte)*(60&lt;=Corte+n_Ventana)*ISNUMBER(Detalle_24m!BM$154:BM$183))*INDEX(Dot_V,0,MIN(10,BM$173))*(BM$171+BM$172*V_PreDir)))</f>
        <v>52</v>
      </c>
      <c r="BN233" s="50">
        <f>SUMPRODUCT((Per_Clase="Directo")*((61&gt;Corte)*(61&lt;=Corte+n_Ventana)*ISNUMBER(Detalle_24m!BN$154:BN$183)*Detalle_24m!BN$154:BN$183+(1-(61&gt;Corte)*(61&lt;=Corte+n_Ventana)*ISNUMBER(Detalle_24m!BN$154:BN$183))*INDEX(Dot_V,0,MIN(10,BN$173))*(BN$171+BN$172*V_PreDir)))</f>
        <v>52</v>
      </c>
      <c r="BO233" s="50">
        <f>SUMPRODUCT((Per_Clase="Directo")*((62&gt;Corte)*(62&lt;=Corte+n_Ventana)*ISNUMBER(Detalle_24m!BO$154:BO$183)*Detalle_24m!BO$154:BO$183+(1-(62&gt;Corte)*(62&lt;=Corte+n_Ventana)*ISNUMBER(Detalle_24m!BO$154:BO$183))*INDEX(Dot_V,0,MIN(10,BO$173))*(BO$171+BO$172*V_PreDir)))</f>
        <v>52</v>
      </c>
      <c r="BP233" s="50">
        <f>SUMPRODUCT((Per_Clase="Directo")*((63&gt;Corte)*(63&lt;=Corte+n_Ventana)*ISNUMBER(Detalle_24m!BP$154:BP$183)*Detalle_24m!BP$154:BP$183+(1-(63&gt;Corte)*(63&lt;=Corte+n_Ventana)*ISNUMBER(Detalle_24m!BP$154:BP$183))*INDEX(Dot_V,0,MIN(10,BP$173))*(BP$171+BP$172*V_PreDir)))</f>
        <v>52</v>
      </c>
      <c r="BQ233" s="50">
        <f>SUMPRODUCT((Per_Clase="Directo")*((64&gt;Corte)*(64&lt;=Corte+n_Ventana)*ISNUMBER(Detalle_24m!BQ$154:BQ$183)*Detalle_24m!BQ$154:BQ$183+(1-(64&gt;Corte)*(64&lt;=Corte+n_Ventana)*ISNUMBER(Detalle_24m!BQ$154:BQ$183))*INDEX(Dot_V,0,MIN(10,BQ$173))*(BQ$171+BQ$172*V_PreDir)))</f>
        <v>52</v>
      </c>
      <c r="BR233" s="50">
        <f>SUMPRODUCT((Per_Clase="Directo")*((65&gt;Corte)*(65&lt;=Corte+n_Ventana)*ISNUMBER(Detalle_24m!BR$154:BR$183)*Detalle_24m!BR$154:BR$183+(1-(65&gt;Corte)*(65&lt;=Corte+n_Ventana)*ISNUMBER(Detalle_24m!BR$154:BR$183))*INDEX(Dot_V,0,MIN(10,BR$173))*(BR$171+BR$172*V_PreDir)))</f>
        <v>52</v>
      </c>
      <c r="BS233" s="50">
        <f>SUMPRODUCT((Per_Clase="Directo")*((66&gt;Corte)*(66&lt;=Corte+n_Ventana)*ISNUMBER(Detalle_24m!BS$154:BS$183)*Detalle_24m!BS$154:BS$183+(1-(66&gt;Corte)*(66&lt;=Corte+n_Ventana)*ISNUMBER(Detalle_24m!BS$154:BS$183))*INDEX(Dot_V,0,MIN(10,BS$173))*(BS$171+BS$172*V_PreDir)))</f>
        <v>52</v>
      </c>
      <c r="BT233" s="50">
        <f>SUMPRODUCT((Per_Clase="Directo")*((67&gt;Corte)*(67&lt;=Corte+n_Ventana)*ISNUMBER(Detalle_24m!BT$154:BT$183)*Detalle_24m!BT$154:BT$183+(1-(67&gt;Corte)*(67&lt;=Corte+n_Ventana)*ISNUMBER(Detalle_24m!BT$154:BT$183))*INDEX(Dot_V,0,MIN(10,BT$173))*(BT$171+BT$172*V_PreDir)))</f>
        <v>52</v>
      </c>
      <c r="BU233" s="50">
        <f>SUMPRODUCT((Per_Clase="Directo")*((68&gt;Corte)*(68&lt;=Corte+n_Ventana)*ISNUMBER(Detalle_24m!BU$154:BU$183)*Detalle_24m!BU$154:BU$183+(1-(68&gt;Corte)*(68&lt;=Corte+n_Ventana)*ISNUMBER(Detalle_24m!BU$154:BU$183))*INDEX(Dot_V,0,MIN(10,BU$173))*(BU$171+BU$172*V_PreDir)))</f>
        <v>52</v>
      </c>
      <c r="BV233" s="50">
        <f>SUMPRODUCT((Per_Clase="Directo")*((69&gt;Corte)*(69&lt;=Corte+n_Ventana)*ISNUMBER(Detalle_24m!BV$154:BV$183)*Detalle_24m!BV$154:BV$183+(1-(69&gt;Corte)*(69&lt;=Corte+n_Ventana)*ISNUMBER(Detalle_24m!BV$154:BV$183))*INDEX(Dot_V,0,MIN(10,BV$173))*(BV$171+BV$172*V_PreDir)))</f>
        <v>52</v>
      </c>
      <c r="BW233" s="50">
        <f>SUMPRODUCT((Per_Clase="Directo")*((70&gt;Corte)*(70&lt;=Corte+n_Ventana)*ISNUMBER(Detalle_24m!BW$154:BW$183)*Detalle_24m!BW$154:BW$183+(1-(70&gt;Corte)*(70&lt;=Corte+n_Ventana)*ISNUMBER(Detalle_24m!BW$154:BW$183))*INDEX(Dot_V,0,MIN(10,BW$173))*(BW$171+BW$172*V_PreDir)))</f>
        <v>52</v>
      </c>
      <c r="BX233" s="50">
        <f>SUMPRODUCT((Per_Clase="Directo")*((71&gt;Corte)*(71&lt;=Corte+n_Ventana)*ISNUMBER(Detalle_24m!BX$154:BX$183)*Detalle_24m!BX$154:BX$183+(1-(71&gt;Corte)*(71&lt;=Corte+n_Ventana)*ISNUMBER(Detalle_24m!BX$154:BX$183))*INDEX(Dot_V,0,MIN(10,BX$173))*(BX$171+BX$172*V_PreDir)))</f>
        <v>52</v>
      </c>
      <c r="BY233" s="50">
        <f>SUMPRODUCT((Per_Clase="Directo")*((72&gt;Corte)*(72&lt;=Corte+n_Ventana)*ISNUMBER(Detalle_24m!BY$154:BY$183)*Detalle_24m!BY$154:BY$183+(1-(72&gt;Corte)*(72&lt;=Corte+n_Ventana)*ISNUMBER(Detalle_24m!BY$154:BY$183))*INDEX(Dot_V,0,MIN(10,BY$173))*(BY$171+BY$172*V_PreDir)))</f>
        <v>52</v>
      </c>
      <c r="BZ233" s="50">
        <f>SUMPRODUCT((Per_Clase="Directo")*((73&gt;Corte)*(73&lt;=Corte+n_Ventana)*ISNUMBER(Detalle_24m!BZ$154:BZ$183)*Detalle_24m!BZ$154:BZ$183+(1-(73&gt;Corte)*(73&lt;=Corte+n_Ventana)*ISNUMBER(Detalle_24m!BZ$154:BZ$183))*INDEX(Dot_V,0,MIN(10,BZ$173))*(BZ$171+BZ$172*V_PreDir)))</f>
        <v>52</v>
      </c>
      <c r="CA233" s="50">
        <f>SUMPRODUCT((Per_Clase="Directo")*((74&gt;Corte)*(74&lt;=Corte+n_Ventana)*ISNUMBER(Detalle_24m!CA$154:CA$183)*Detalle_24m!CA$154:CA$183+(1-(74&gt;Corte)*(74&lt;=Corte+n_Ventana)*ISNUMBER(Detalle_24m!CA$154:CA$183))*INDEX(Dot_V,0,MIN(10,CA$173))*(CA$171+CA$172*V_PreDir)))</f>
        <v>52</v>
      </c>
      <c r="CB233" s="50">
        <f>SUMPRODUCT((Per_Clase="Directo")*((75&gt;Corte)*(75&lt;=Corte+n_Ventana)*ISNUMBER(Detalle_24m!CB$154:CB$183)*Detalle_24m!CB$154:CB$183+(1-(75&gt;Corte)*(75&lt;=Corte+n_Ventana)*ISNUMBER(Detalle_24m!CB$154:CB$183))*INDEX(Dot_V,0,MIN(10,CB$173))*(CB$171+CB$172*V_PreDir)))</f>
        <v>52</v>
      </c>
      <c r="CC233" s="50">
        <f>SUMPRODUCT((Per_Clase="Directo")*((76&gt;Corte)*(76&lt;=Corte+n_Ventana)*ISNUMBER(Detalle_24m!CC$154:CC$183)*Detalle_24m!CC$154:CC$183+(1-(76&gt;Corte)*(76&lt;=Corte+n_Ventana)*ISNUMBER(Detalle_24m!CC$154:CC$183))*INDEX(Dot_V,0,MIN(10,CC$173))*(CC$171+CC$172*V_PreDir)))</f>
        <v>52</v>
      </c>
      <c r="CD233" s="50">
        <f>SUMPRODUCT((Per_Clase="Directo")*((77&gt;Corte)*(77&lt;=Corte+n_Ventana)*ISNUMBER(Detalle_24m!CD$154:CD$183)*Detalle_24m!CD$154:CD$183+(1-(77&gt;Corte)*(77&lt;=Corte+n_Ventana)*ISNUMBER(Detalle_24m!CD$154:CD$183))*INDEX(Dot_V,0,MIN(10,CD$173))*(CD$171+CD$172*V_PreDir)))</f>
        <v>52</v>
      </c>
      <c r="CE233" s="50">
        <f>SUMPRODUCT((Per_Clase="Directo")*((78&gt;Corte)*(78&lt;=Corte+n_Ventana)*ISNUMBER(Detalle_24m!CE$154:CE$183)*Detalle_24m!CE$154:CE$183+(1-(78&gt;Corte)*(78&lt;=Corte+n_Ventana)*ISNUMBER(Detalle_24m!CE$154:CE$183))*INDEX(Dot_V,0,MIN(10,CE$173))*(CE$171+CE$172*V_PreDir)))</f>
        <v>52</v>
      </c>
      <c r="CF233" s="50">
        <f>SUMPRODUCT((Per_Clase="Directo")*((79&gt;Corte)*(79&lt;=Corte+n_Ventana)*ISNUMBER(Detalle_24m!CF$154:CF$183)*Detalle_24m!CF$154:CF$183+(1-(79&gt;Corte)*(79&lt;=Corte+n_Ventana)*ISNUMBER(Detalle_24m!CF$154:CF$183))*INDEX(Dot_V,0,MIN(10,CF$173))*(CF$171+CF$172*V_PreDir)))</f>
        <v>52</v>
      </c>
      <c r="CG233" s="50">
        <f>SUMPRODUCT((Per_Clase="Directo")*((80&gt;Corte)*(80&lt;=Corte+n_Ventana)*ISNUMBER(Detalle_24m!CG$154:CG$183)*Detalle_24m!CG$154:CG$183+(1-(80&gt;Corte)*(80&lt;=Corte+n_Ventana)*ISNUMBER(Detalle_24m!CG$154:CG$183))*INDEX(Dot_V,0,MIN(10,CG$173))*(CG$171+CG$172*V_PreDir)))</f>
        <v>52</v>
      </c>
      <c r="CH233" s="50">
        <f>SUMPRODUCT((Per_Clase="Directo")*((81&gt;Corte)*(81&lt;=Corte+n_Ventana)*ISNUMBER(Detalle_24m!CH$154:CH$183)*Detalle_24m!CH$154:CH$183+(1-(81&gt;Corte)*(81&lt;=Corte+n_Ventana)*ISNUMBER(Detalle_24m!CH$154:CH$183))*INDEX(Dot_V,0,MIN(10,CH$173))*(CH$171+CH$172*V_PreDir)))</f>
        <v>52</v>
      </c>
      <c r="CI233" s="50">
        <f>SUMPRODUCT((Per_Clase="Directo")*((82&gt;Corte)*(82&lt;=Corte+n_Ventana)*ISNUMBER(Detalle_24m!CI$154:CI$183)*Detalle_24m!CI$154:CI$183+(1-(82&gt;Corte)*(82&lt;=Corte+n_Ventana)*ISNUMBER(Detalle_24m!CI$154:CI$183))*INDEX(Dot_V,0,MIN(10,CI$173))*(CI$171+CI$172*V_PreDir)))</f>
        <v>52</v>
      </c>
      <c r="CJ233" s="50">
        <f>SUMPRODUCT((Per_Clase="Directo")*((83&gt;Corte)*(83&lt;=Corte+n_Ventana)*ISNUMBER(Detalle_24m!CJ$154:CJ$183)*Detalle_24m!CJ$154:CJ$183+(1-(83&gt;Corte)*(83&lt;=Corte+n_Ventana)*ISNUMBER(Detalle_24m!CJ$154:CJ$183))*INDEX(Dot_V,0,MIN(10,CJ$173))*(CJ$171+CJ$172*V_PreDir)))</f>
        <v>52</v>
      </c>
      <c r="CK233" s="50">
        <f>SUMPRODUCT((Per_Clase="Directo")*((84&gt;Corte)*(84&lt;=Corte+n_Ventana)*ISNUMBER(Detalle_24m!CK$154:CK$183)*Detalle_24m!CK$154:CK$183+(1-(84&gt;Corte)*(84&lt;=Corte+n_Ventana)*ISNUMBER(Detalle_24m!CK$154:CK$183))*INDEX(Dot_V,0,MIN(10,CK$173))*(CK$171+CK$172*V_PreDir)))</f>
        <v>52</v>
      </c>
      <c r="CL233" s="50">
        <f>SUMPRODUCT((Per_Clase="Directo")*((85&gt;Corte)*(85&lt;=Corte+n_Ventana)*ISNUMBER(Detalle_24m!CL$154:CL$183)*Detalle_24m!CL$154:CL$183+(1-(85&gt;Corte)*(85&lt;=Corte+n_Ventana)*ISNUMBER(Detalle_24m!CL$154:CL$183))*INDEX(Dot_V,0,MIN(10,CL$173))*(CL$171+CL$172*V_PreDir)))</f>
        <v>52</v>
      </c>
      <c r="CM233" s="50">
        <f>SUMPRODUCT((Per_Clase="Directo")*((86&gt;Corte)*(86&lt;=Corte+n_Ventana)*ISNUMBER(Detalle_24m!CM$154:CM$183)*Detalle_24m!CM$154:CM$183+(1-(86&gt;Corte)*(86&lt;=Corte+n_Ventana)*ISNUMBER(Detalle_24m!CM$154:CM$183))*INDEX(Dot_V,0,MIN(10,CM$173))*(CM$171+CM$172*V_PreDir)))</f>
        <v>52</v>
      </c>
      <c r="CN233" s="50">
        <f>SUMPRODUCT((Per_Clase="Directo")*((87&gt;Corte)*(87&lt;=Corte+n_Ventana)*ISNUMBER(Detalle_24m!CN$154:CN$183)*Detalle_24m!CN$154:CN$183+(1-(87&gt;Corte)*(87&lt;=Corte+n_Ventana)*ISNUMBER(Detalle_24m!CN$154:CN$183))*INDEX(Dot_V,0,MIN(10,CN$173))*(CN$171+CN$172*V_PreDir)))</f>
        <v>52</v>
      </c>
      <c r="CO233" s="50">
        <f>SUMPRODUCT((Per_Clase="Directo")*((88&gt;Corte)*(88&lt;=Corte+n_Ventana)*ISNUMBER(Detalle_24m!CO$154:CO$183)*Detalle_24m!CO$154:CO$183+(1-(88&gt;Corte)*(88&lt;=Corte+n_Ventana)*ISNUMBER(Detalle_24m!CO$154:CO$183))*INDEX(Dot_V,0,MIN(10,CO$173))*(CO$171+CO$172*V_PreDir)))</f>
        <v>52</v>
      </c>
      <c r="CP233" s="50">
        <f>SUMPRODUCT((Per_Clase="Directo")*((89&gt;Corte)*(89&lt;=Corte+n_Ventana)*ISNUMBER(Detalle_24m!CP$154:CP$183)*Detalle_24m!CP$154:CP$183+(1-(89&gt;Corte)*(89&lt;=Corte+n_Ventana)*ISNUMBER(Detalle_24m!CP$154:CP$183))*INDEX(Dot_V,0,MIN(10,CP$173))*(CP$171+CP$172*V_PreDir)))</f>
        <v>52</v>
      </c>
      <c r="CQ233" s="50">
        <f>SUMPRODUCT((Per_Clase="Directo")*((90&gt;Corte)*(90&lt;=Corte+n_Ventana)*ISNUMBER(Detalle_24m!CQ$154:CQ$183)*Detalle_24m!CQ$154:CQ$183+(1-(90&gt;Corte)*(90&lt;=Corte+n_Ventana)*ISNUMBER(Detalle_24m!CQ$154:CQ$183))*INDEX(Dot_V,0,MIN(10,CQ$173))*(CQ$171+CQ$172*V_PreDir)))</f>
        <v>52</v>
      </c>
      <c r="CR233" s="50">
        <f>SUMPRODUCT((Per_Clase="Directo")*((91&gt;Corte)*(91&lt;=Corte+n_Ventana)*ISNUMBER(Detalle_24m!CR$154:CR$183)*Detalle_24m!CR$154:CR$183+(1-(91&gt;Corte)*(91&lt;=Corte+n_Ventana)*ISNUMBER(Detalle_24m!CR$154:CR$183))*INDEX(Dot_V,0,MIN(10,CR$173))*(CR$171+CR$172*V_PreDir)))</f>
        <v>52</v>
      </c>
      <c r="CS233" s="50">
        <f>SUMPRODUCT((Per_Clase="Directo")*((92&gt;Corte)*(92&lt;=Corte+n_Ventana)*ISNUMBER(Detalle_24m!CS$154:CS$183)*Detalle_24m!CS$154:CS$183+(1-(92&gt;Corte)*(92&lt;=Corte+n_Ventana)*ISNUMBER(Detalle_24m!CS$154:CS$183))*INDEX(Dot_V,0,MIN(10,CS$173))*(CS$171+CS$172*V_PreDir)))</f>
        <v>52</v>
      </c>
      <c r="CT233" s="50">
        <f>SUMPRODUCT((Per_Clase="Directo")*((93&gt;Corte)*(93&lt;=Corte+n_Ventana)*ISNUMBER(Detalle_24m!CT$154:CT$183)*Detalle_24m!CT$154:CT$183+(1-(93&gt;Corte)*(93&lt;=Corte+n_Ventana)*ISNUMBER(Detalle_24m!CT$154:CT$183))*INDEX(Dot_V,0,MIN(10,CT$173))*(CT$171+CT$172*V_PreDir)))</f>
        <v>52</v>
      </c>
      <c r="CU233" s="50">
        <f>SUMPRODUCT((Per_Clase="Directo")*((94&gt;Corte)*(94&lt;=Corte+n_Ventana)*ISNUMBER(Detalle_24m!CU$154:CU$183)*Detalle_24m!CU$154:CU$183+(1-(94&gt;Corte)*(94&lt;=Corte+n_Ventana)*ISNUMBER(Detalle_24m!CU$154:CU$183))*INDEX(Dot_V,0,MIN(10,CU$173))*(CU$171+CU$172*V_PreDir)))</f>
        <v>52</v>
      </c>
      <c r="CV233" s="50">
        <f>SUMPRODUCT((Per_Clase="Directo")*((95&gt;Corte)*(95&lt;=Corte+n_Ventana)*ISNUMBER(Detalle_24m!CV$154:CV$183)*Detalle_24m!CV$154:CV$183+(1-(95&gt;Corte)*(95&lt;=Corte+n_Ventana)*ISNUMBER(Detalle_24m!CV$154:CV$183))*INDEX(Dot_V,0,MIN(10,CV$173))*(CV$171+CV$172*V_PreDir)))</f>
        <v>52</v>
      </c>
      <c r="CW233" s="50">
        <f>SUMPRODUCT((Per_Clase="Directo")*((96&gt;Corte)*(96&lt;=Corte+n_Ventana)*ISNUMBER(Detalle_24m!CW$154:CW$183)*Detalle_24m!CW$154:CW$183+(1-(96&gt;Corte)*(96&lt;=Corte+n_Ventana)*ISNUMBER(Detalle_24m!CW$154:CW$183))*INDEX(Dot_V,0,MIN(10,CW$173))*(CW$171+CW$172*V_PreDir)))</f>
        <v>52</v>
      </c>
      <c r="CX233" s="50">
        <f>SUMPRODUCT((Per_Clase="Directo")*((97&gt;Corte)*(97&lt;=Corte+n_Ventana)*ISNUMBER(Detalle_24m!CX$154:CX$183)*Detalle_24m!CX$154:CX$183+(1-(97&gt;Corte)*(97&lt;=Corte+n_Ventana)*ISNUMBER(Detalle_24m!CX$154:CX$183))*INDEX(Dot_V,0,MIN(10,CX$173))*(CX$171+CX$172*V_PreDir)))</f>
        <v>52</v>
      </c>
      <c r="CY233" s="50">
        <f>SUMPRODUCT((Per_Clase="Directo")*((98&gt;Corte)*(98&lt;=Corte+n_Ventana)*ISNUMBER(Detalle_24m!CY$154:CY$183)*Detalle_24m!CY$154:CY$183+(1-(98&gt;Corte)*(98&lt;=Corte+n_Ventana)*ISNUMBER(Detalle_24m!CY$154:CY$183))*INDEX(Dot_V,0,MIN(10,CY$173))*(CY$171+CY$172*V_PreDir)))</f>
        <v>52</v>
      </c>
      <c r="CZ233" s="50">
        <f>SUMPRODUCT((Per_Clase="Directo")*((99&gt;Corte)*(99&lt;=Corte+n_Ventana)*ISNUMBER(Detalle_24m!CZ$154:CZ$183)*Detalle_24m!CZ$154:CZ$183+(1-(99&gt;Corte)*(99&lt;=Corte+n_Ventana)*ISNUMBER(Detalle_24m!CZ$154:CZ$183))*INDEX(Dot_V,0,MIN(10,CZ$173))*(CZ$171+CZ$172*V_PreDir)))</f>
        <v>52</v>
      </c>
      <c r="DA233" s="50">
        <f>SUMPRODUCT((Per_Clase="Directo")*((100&gt;Corte)*(100&lt;=Corte+n_Ventana)*ISNUMBER(Detalle_24m!DA$154:DA$183)*Detalle_24m!DA$154:DA$183+(1-(100&gt;Corte)*(100&lt;=Corte+n_Ventana)*ISNUMBER(Detalle_24m!DA$154:DA$183))*INDEX(Dot_V,0,MIN(10,DA$173))*(DA$171+DA$172*V_PreDir)))</f>
        <v>52</v>
      </c>
      <c r="DB233" s="50">
        <f>SUMPRODUCT((Per_Clase="Directo")*((101&gt;Corte)*(101&lt;=Corte+n_Ventana)*ISNUMBER(Detalle_24m!DB$154:DB$183)*Detalle_24m!DB$154:DB$183+(1-(101&gt;Corte)*(101&lt;=Corte+n_Ventana)*ISNUMBER(Detalle_24m!DB$154:DB$183))*INDEX(Dot_V,0,MIN(10,DB$173))*(DB$171+DB$172*V_PreDir)))</f>
        <v>52</v>
      </c>
      <c r="DC233" s="50">
        <f>SUMPRODUCT((Per_Clase="Directo")*((102&gt;Corte)*(102&lt;=Corte+n_Ventana)*ISNUMBER(Detalle_24m!DC$154:DC$183)*Detalle_24m!DC$154:DC$183+(1-(102&gt;Corte)*(102&lt;=Corte+n_Ventana)*ISNUMBER(Detalle_24m!DC$154:DC$183))*INDEX(Dot_V,0,MIN(10,DC$173))*(DC$171+DC$172*V_PreDir)))</f>
        <v>52</v>
      </c>
      <c r="DD233" s="50">
        <f>SUMPRODUCT((Per_Clase="Directo")*((103&gt;Corte)*(103&lt;=Corte+n_Ventana)*ISNUMBER(Detalle_24m!DD$154:DD$183)*Detalle_24m!DD$154:DD$183+(1-(103&gt;Corte)*(103&lt;=Corte+n_Ventana)*ISNUMBER(Detalle_24m!DD$154:DD$183))*INDEX(Dot_V,0,MIN(10,DD$173))*(DD$171+DD$172*V_PreDir)))</f>
        <v>52</v>
      </c>
      <c r="DE233" s="50">
        <f>SUMPRODUCT((Per_Clase="Directo")*((104&gt;Corte)*(104&lt;=Corte+n_Ventana)*ISNUMBER(Detalle_24m!DE$154:DE$183)*Detalle_24m!DE$154:DE$183+(1-(104&gt;Corte)*(104&lt;=Corte+n_Ventana)*ISNUMBER(Detalle_24m!DE$154:DE$183))*INDEX(Dot_V,0,MIN(10,DE$173))*(DE$171+DE$172*V_PreDir)))</f>
        <v>52</v>
      </c>
      <c r="DF233" s="50">
        <f>SUMPRODUCT((Per_Clase="Directo")*((105&gt;Corte)*(105&lt;=Corte+n_Ventana)*ISNUMBER(Detalle_24m!DF$154:DF$183)*Detalle_24m!DF$154:DF$183+(1-(105&gt;Corte)*(105&lt;=Corte+n_Ventana)*ISNUMBER(Detalle_24m!DF$154:DF$183))*INDEX(Dot_V,0,MIN(10,DF$173))*(DF$171+DF$172*V_PreDir)))</f>
        <v>52</v>
      </c>
      <c r="DG233" s="50">
        <f>SUMPRODUCT((Per_Clase="Directo")*((106&gt;Corte)*(106&lt;=Corte+n_Ventana)*ISNUMBER(Detalle_24m!DG$154:DG$183)*Detalle_24m!DG$154:DG$183+(1-(106&gt;Corte)*(106&lt;=Corte+n_Ventana)*ISNUMBER(Detalle_24m!DG$154:DG$183))*INDEX(Dot_V,0,MIN(10,DG$173))*(DG$171+DG$172*V_PreDir)))</f>
        <v>52</v>
      </c>
      <c r="DH233" s="50">
        <f>SUMPRODUCT((Per_Clase="Directo")*((107&gt;Corte)*(107&lt;=Corte+n_Ventana)*ISNUMBER(Detalle_24m!DH$154:DH$183)*Detalle_24m!DH$154:DH$183+(1-(107&gt;Corte)*(107&lt;=Corte+n_Ventana)*ISNUMBER(Detalle_24m!DH$154:DH$183))*INDEX(Dot_V,0,MIN(10,DH$173))*(DH$171+DH$172*V_PreDir)))</f>
        <v>52</v>
      </c>
      <c r="DI233" s="50">
        <f>SUMPRODUCT((Per_Clase="Directo")*((108&gt;Corte)*(108&lt;=Corte+n_Ventana)*ISNUMBER(Detalle_24m!DI$154:DI$183)*Detalle_24m!DI$154:DI$183+(1-(108&gt;Corte)*(108&lt;=Corte+n_Ventana)*ISNUMBER(Detalle_24m!DI$154:DI$183))*INDEX(Dot_V,0,MIN(10,DI$173))*(DI$171+DI$172*V_PreDir)))</f>
        <v>52</v>
      </c>
      <c r="DJ233" s="50">
        <f>SUMPRODUCT((Per_Clase="Directo")*((109&gt;Corte)*(109&lt;=Corte+n_Ventana)*ISNUMBER(Detalle_24m!DJ$154:DJ$183)*Detalle_24m!DJ$154:DJ$183+(1-(109&gt;Corte)*(109&lt;=Corte+n_Ventana)*ISNUMBER(Detalle_24m!DJ$154:DJ$183))*INDEX(Dot_V,0,MIN(10,DJ$173))*(DJ$171+DJ$172*V_PreDir)))</f>
        <v>52</v>
      </c>
      <c r="DK233" s="50">
        <f>SUMPRODUCT((Per_Clase="Directo")*((110&gt;Corte)*(110&lt;=Corte+n_Ventana)*ISNUMBER(Detalle_24m!DK$154:DK$183)*Detalle_24m!DK$154:DK$183+(1-(110&gt;Corte)*(110&lt;=Corte+n_Ventana)*ISNUMBER(Detalle_24m!DK$154:DK$183))*INDEX(Dot_V,0,MIN(10,DK$173))*(DK$171+DK$172*V_PreDir)))</f>
        <v>52</v>
      </c>
      <c r="DL233" s="50">
        <f>SUMPRODUCT((Per_Clase="Directo")*((111&gt;Corte)*(111&lt;=Corte+n_Ventana)*ISNUMBER(Detalle_24m!DL$154:DL$183)*Detalle_24m!DL$154:DL$183+(1-(111&gt;Corte)*(111&lt;=Corte+n_Ventana)*ISNUMBER(Detalle_24m!DL$154:DL$183))*INDEX(Dot_V,0,MIN(10,DL$173))*(DL$171+DL$172*V_PreDir)))</f>
        <v>52</v>
      </c>
      <c r="DM233" s="50">
        <f>SUMPRODUCT((Per_Clase="Directo")*((112&gt;Corte)*(112&lt;=Corte+n_Ventana)*ISNUMBER(Detalle_24m!DM$154:DM$183)*Detalle_24m!DM$154:DM$183+(1-(112&gt;Corte)*(112&lt;=Corte+n_Ventana)*ISNUMBER(Detalle_24m!DM$154:DM$183))*INDEX(Dot_V,0,MIN(10,DM$173))*(DM$171+DM$172*V_PreDir)))</f>
        <v>52</v>
      </c>
      <c r="DN233" s="50">
        <f>SUMPRODUCT((Per_Clase="Directo")*((113&gt;Corte)*(113&lt;=Corte+n_Ventana)*ISNUMBER(Detalle_24m!DN$154:DN$183)*Detalle_24m!DN$154:DN$183+(1-(113&gt;Corte)*(113&lt;=Corte+n_Ventana)*ISNUMBER(Detalle_24m!DN$154:DN$183))*INDEX(Dot_V,0,MIN(10,DN$173))*(DN$171+DN$172*V_PreDir)))</f>
        <v>52</v>
      </c>
      <c r="DO233" s="50">
        <f>SUMPRODUCT((Per_Clase="Directo")*((114&gt;Corte)*(114&lt;=Corte+n_Ventana)*ISNUMBER(Detalle_24m!DO$154:DO$183)*Detalle_24m!DO$154:DO$183+(1-(114&gt;Corte)*(114&lt;=Corte+n_Ventana)*ISNUMBER(Detalle_24m!DO$154:DO$183))*INDEX(Dot_V,0,MIN(10,DO$173))*(DO$171+DO$172*V_PreDir)))</f>
        <v>52</v>
      </c>
      <c r="DP233" s="50">
        <f>SUMPRODUCT((Per_Clase="Directo")*((115&gt;Corte)*(115&lt;=Corte+n_Ventana)*ISNUMBER(Detalle_24m!DP$154:DP$183)*Detalle_24m!DP$154:DP$183+(1-(115&gt;Corte)*(115&lt;=Corte+n_Ventana)*ISNUMBER(Detalle_24m!DP$154:DP$183))*INDEX(Dot_V,0,MIN(10,DP$173))*(DP$171+DP$172*V_PreDir)))</f>
        <v>52</v>
      </c>
      <c r="DQ233" s="50">
        <f>SUMPRODUCT((Per_Clase="Directo")*((116&gt;Corte)*(116&lt;=Corte+n_Ventana)*ISNUMBER(Detalle_24m!DQ$154:DQ$183)*Detalle_24m!DQ$154:DQ$183+(1-(116&gt;Corte)*(116&lt;=Corte+n_Ventana)*ISNUMBER(Detalle_24m!DQ$154:DQ$183))*INDEX(Dot_V,0,MIN(10,DQ$173))*(DQ$171+DQ$172*V_PreDir)))</f>
        <v>52</v>
      </c>
      <c r="DR233" s="50">
        <f>SUMPRODUCT((Per_Clase="Directo")*((117&gt;Corte)*(117&lt;=Corte+n_Ventana)*ISNUMBER(Detalle_24m!DR$154:DR$183)*Detalle_24m!DR$154:DR$183+(1-(117&gt;Corte)*(117&lt;=Corte+n_Ventana)*ISNUMBER(Detalle_24m!DR$154:DR$183))*INDEX(Dot_V,0,MIN(10,DR$173))*(DR$171+DR$172*V_PreDir)))</f>
        <v>52</v>
      </c>
      <c r="DS233" s="50">
        <f>SUMPRODUCT((Per_Clase="Directo")*((118&gt;Corte)*(118&lt;=Corte+n_Ventana)*ISNUMBER(Detalle_24m!DS$154:DS$183)*Detalle_24m!DS$154:DS$183+(1-(118&gt;Corte)*(118&lt;=Corte+n_Ventana)*ISNUMBER(Detalle_24m!DS$154:DS$183))*INDEX(Dot_V,0,MIN(10,DS$173))*(DS$171+DS$172*V_PreDir)))</f>
        <v>52</v>
      </c>
      <c r="DT233" s="50">
        <f>SUMPRODUCT((Per_Clase="Directo")*((119&gt;Corte)*(119&lt;=Corte+n_Ventana)*ISNUMBER(Detalle_24m!DT$154:DT$183)*Detalle_24m!DT$154:DT$183+(1-(119&gt;Corte)*(119&lt;=Corte+n_Ventana)*ISNUMBER(Detalle_24m!DT$154:DT$183))*INDEX(Dot_V,0,MIN(10,DT$173))*(DT$171+DT$172*V_PreDir)))</f>
        <v>52</v>
      </c>
      <c r="DU233" s="50">
        <f>SUMPRODUCT((Per_Clase="Directo")*((120&gt;Corte)*(120&lt;=Corte+n_Ventana)*ISNUMBER(Detalle_24m!DU$154:DU$183)*Detalle_24m!DU$154:DU$183+(1-(120&gt;Corte)*(120&lt;=Corte+n_Ventana)*ISNUMBER(Detalle_24m!DU$154:DU$183))*INDEX(Dot_V,0,MIN(10,DU$173))*(DU$171+DU$172*V_PreDir)))</f>
        <v>52</v>
      </c>
      <c r="DV233" s="50">
        <f>SUMPRODUCT((Per_Clase="Directo")*((121&gt;Corte)*(121&lt;=Corte+n_Ventana)*ISNUMBER(Detalle_24m!DV$154:DV$183)*Detalle_24m!DV$154:DV$183+(1-(121&gt;Corte)*(121&lt;=Corte+n_Ventana)*ISNUMBER(Detalle_24m!DV$154:DV$183))*INDEX(Dot_V,0,MIN(10,DV$173))*(DV$171+DV$172*V_PreDir)))</f>
        <v>0</v>
      </c>
      <c r="DW233" s="50">
        <f>SUMPRODUCT((Per_Clase="Directo")*((122&gt;Corte)*(122&lt;=Corte+n_Ventana)*ISNUMBER(Detalle_24m!DW$154:DW$183)*Detalle_24m!DW$154:DW$183+(1-(122&gt;Corte)*(122&lt;=Corte+n_Ventana)*ISNUMBER(Detalle_24m!DW$154:DW$183))*INDEX(Dot_V,0,MIN(10,DW$173))*(DW$171+DW$172*V_PreDir)))</f>
        <v>0</v>
      </c>
      <c r="DX233" s="50">
        <f>SUMPRODUCT((Per_Clase="Directo")*((123&gt;Corte)*(123&lt;=Corte+n_Ventana)*ISNUMBER(Detalle_24m!DX$154:DX$183)*Detalle_24m!DX$154:DX$183+(1-(123&gt;Corte)*(123&lt;=Corte+n_Ventana)*ISNUMBER(Detalle_24m!DX$154:DX$183))*INDEX(Dot_V,0,MIN(10,DX$173))*(DX$171+DX$172*V_PreDir)))</f>
        <v>0</v>
      </c>
      <c r="DY233" s="50">
        <f>SUMPRODUCT((Per_Clase="Directo")*((124&gt;Corte)*(124&lt;=Corte+n_Ventana)*ISNUMBER(Detalle_24m!DY$154:DY$183)*Detalle_24m!DY$154:DY$183+(1-(124&gt;Corte)*(124&lt;=Corte+n_Ventana)*ISNUMBER(Detalle_24m!DY$154:DY$183))*INDEX(Dot_V,0,MIN(10,DY$173))*(DY$171+DY$172*V_PreDir)))</f>
        <v>0</v>
      </c>
      <c r="DZ233" s="50">
        <f>SUMPRODUCT((Per_Clase="Directo")*((125&gt;Corte)*(125&lt;=Corte+n_Ventana)*ISNUMBER(Detalle_24m!DZ$154:DZ$183)*Detalle_24m!DZ$154:DZ$183+(1-(125&gt;Corte)*(125&lt;=Corte+n_Ventana)*ISNUMBER(Detalle_24m!DZ$154:DZ$183))*INDEX(Dot_V,0,MIN(10,DZ$173))*(DZ$171+DZ$172*V_PreDir)))</f>
        <v>0</v>
      </c>
      <c r="EA233" s="50">
        <f>SUMPRODUCT((Per_Clase="Directo")*((126&gt;Corte)*(126&lt;=Corte+n_Ventana)*ISNUMBER(Detalle_24m!EA$154:EA$183)*Detalle_24m!EA$154:EA$183+(1-(126&gt;Corte)*(126&lt;=Corte+n_Ventana)*ISNUMBER(Detalle_24m!EA$154:EA$183))*INDEX(Dot_V,0,MIN(10,EA$173))*(EA$171+EA$172*V_PreDir)))</f>
        <v>0</v>
      </c>
      <c r="EB233" s="50">
        <f>SUMPRODUCT((Per_Clase="Directo")*((127&gt;Corte)*(127&lt;=Corte+n_Ventana)*ISNUMBER(Detalle_24m!EB$154:EB$183)*Detalle_24m!EB$154:EB$183+(1-(127&gt;Corte)*(127&lt;=Corte+n_Ventana)*ISNUMBER(Detalle_24m!EB$154:EB$183))*INDEX(Dot_V,0,MIN(10,EB$173))*(EB$171+EB$172*V_PreDir)))</f>
        <v>0</v>
      </c>
      <c r="EC233" s="50">
        <f>SUMPRODUCT((Per_Clase="Directo")*((128&gt;Corte)*(128&lt;=Corte+n_Ventana)*ISNUMBER(Detalle_24m!EC$154:EC$183)*Detalle_24m!EC$154:EC$183+(1-(128&gt;Corte)*(128&lt;=Corte+n_Ventana)*ISNUMBER(Detalle_24m!EC$154:EC$183))*INDEX(Dot_V,0,MIN(10,EC$173))*(EC$171+EC$172*V_PreDir)))</f>
        <v>0</v>
      </c>
      <c r="ED233" s="50">
        <f>SUMPRODUCT((Per_Clase="Directo")*((129&gt;Corte)*(129&lt;=Corte+n_Ventana)*ISNUMBER(Detalle_24m!ED$154:ED$183)*Detalle_24m!ED$154:ED$183+(1-(129&gt;Corte)*(129&lt;=Corte+n_Ventana)*ISNUMBER(Detalle_24m!ED$154:ED$183))*INDEX(Dot_V,0,MIN(10,ED$173))*(ED$171+ED$172*V_PreDir)))</f>
        <v>0</v>
      </c>
      <c r="EE233" s="50">
        <f>SUMPRODUCT((Per_Clase="Directo")*((130&gt;Corte)*(130&lt;=Corte+n_Ventana)*ISNUMBER(Detalle_24m!EE$154:EE$183)*Detalle_24m!EE$154:EE$183+(1-(130&gt;Corte)*(130&lt;=Corte+n_Ventana)*ISNUMBER(Detalle_24m!EE$154:EE$183))*INDEX(Dot_V,0,MIN(10,EE$173))*(EE$171+EE$172*V_PreDir)))</f>
        <v>0</v>
      </c>
      <c r="EF233" s="50">
        <f>SUMPRODUCT((Per_Clase="Directo")*((131&gt;Corte)*(131&lt;=Corte+n_Ventana)*ISNUMBER(Detalle_24m!EF$154:EF$183)*Detalle_24m!EF$154:EF$183+(1-(131&gt;Corte)*(131&lt;=Corte+n_Ventana)*ISNUMBER(Detalle_24m!EF$154:EF$183))*INDEX(Dot_V,0,MIN(10,EF$173))*(EF$171+EF$172*V_PreDir)))</f>
        <v>0</v>
      </c>
      <c r="EG233" s="50">
        <f>SUMPRODUCT((Per_Clase="Directo")*((132&gt;Corte)*(132&lt;=Corte+n_Ventana)*ISNUMBER(Detalle_24m!EG$154:EG$183)*Detalle_24m!EG$154:EG$183+(1-(132&gt;Corte)*(132&lt;=Corte+n_Ventana)*ISNUMBER(Detalle_24m!EG$154:EG$183))*INDEX(Dot_V,0,MIN(10,EG$173))*(EG$171+EG$172*V_PreDir)))</f>
        <v>0</v>
      </c>
      <c r="EH233" s="50">
        <f>SUMPRODUCT((Per_Clase="Directo")*((133&gt;Corte)*(133&lt;=Corte+n_Ventana)*ISNUMBER(Detalle_24m!EH$154:EH$183)*Detalle_24m!EH$154:EH$183+(1-(133&gt;Corte)*(133&lt;=Corte+n_Ventana)*ISNUMBER(Detalle_24m!EH$154:EH$183))*INDEX(Dot_V,0,MIN(10,EH$173))*(EH$171+EH$172*V_PreDir)))</f>
        <v>0</v>
      </c>
      <c r="EI233" s="50">
        <f>SUMPRODUCT((Per_Clase="Directo")*((134&gt;Corte)*(134&lt;=Corte+n_Ventana)*ISNUMBER(Detalle_24m!EI$154:EI$183)*Detalle_24m!EI$154:EI$183+(1-(134&gt;Corte)*(134&lt;=Corte+n_Ventana)*ISNUMBER(Detalle_24m!EI$154:EI$183))*INDEX(Dot_V,0,MIN(10,EI$173))*(EI$171+EI$172*V_PreDir)))</f>
        <v>0</v>
      </c>
      <c r="EJ233" s="50">
        <f>SUMPRODUCT((Per_Clase="Directo")*((135&gt;Corte)*(135&lt;=Corte+n_Ventana)*ISNUMBER(Detalle_24m!EJ$154:EJ$183)*Detalle_24m!EJ$154:EJ$183+(1-(135&gt;Corte)*(135&lt;=Corte+n_Ventana)*ISNUMBER(Detalle_24m!EJ$154:EJ$183))*INDEX(Dot_V,0,MIN(10,EJ$173))*(EJ$171+EJ$172*V_PreDir)))</f>
        <v>0</v>
      </c>
      <c r="EK233" s="50">
        <f>SUMPRODUCT((Per_Clase="Directo")*((136&gt;Corte)*(136&lt;=Corte+n_Ventana)*ISNUMBER(Detalle_24m!EK$154:EK$183)*Detalle_24m!EK$154:EK$183+(1-(136&gt;Corte)*(136&lt;=Corte+n_Ventana)*ISNUMBER(Detalle_24m!EK$154:EK$183))*INDEX(Dot_V,0,MIN(10,EK$173))*(EK$171+EK$172*V_PreDir)))</f>
        <v>0</v>
      </c>
      <c r="EL233" s="50">
        <f>SUMPRODUCT((Per_Clase="Directo")*((137&gt;Corte)*(137&lt;=Corte+n_Ventana)*ISNUMBER(Detalle_24m!EL$154:EL$183)*Detalle_24m!EL$154:EL$183+(1-(137&gt;Corte)*(137&lt;=Corte+n_Ventana)*ISNUMBER(Detalle_24m!EL$154:EL$183))*INDEX(Dot_V,0,MIN(10,EL$173))*(EL$171+EL$172*V_PreDir)))</f>
        <v>0</v>
      </c>
      <c r="EM233" s="50">
        <f>SUMPRODUCT((Per_Clase="Directo")*((138&gt;Corte)*(138&lt;=Corte+n_Ventana)*ISNUMBER(Detalle_24m!EM$154:EM$183)*Detalle_24m!EM$154:EM$183+(1-(138&gt;Corte)*(138&lt;=Corte+n_Ventana)*ISNUMBER(Detalle_24m!EM$154:EM$183))*INDEX(Dot_V,0,MIN(10,EM$173))*(EM$171+EM$172*V_PreDir)))</f>
        <v>0</v>
      </c>
      <c r="EN233" s="50">
        <f>SUMPRODUCT((Per_Clase="Directo")*((139&gt;Corte)*(139&lt;=Corte+n_Ventana)*ISNUMBER(Detalle_24m!EN$154:EN$183)*Detalle_24m!EN$154:EN$183+(1-(139&gt;Corte)*(139&lt;=Corte+n_Ventana)*ISNUMBER(Detalle_24m!EN$154:EN$183))*INDEX(Dot_V,0,MIN(10,EN$173))*(EN$171+EN$172*V_PreDir)))</f>
        <v>0</v>
      </c>
      <c r="EO233" s="50">
        <f>SUMPRODUCT((Per_Clase="Directo")*((140&gt;Corte)*(140&lt;=Corte+n_Ventana)*ISNUMBER(Detalle_24m!EO$154:EO$183)*Detalle_24m!EO$154:EO$183+(1-(140&gt;Corte)*(140&lt;=Corte+n_Ventana)*ISNUMBER(Detalle_24m!EO$154:EO$183))*INDEX(Dot_V,0,MIN(10,EO$173))*(EO$171+EO$172*V_PreDir)))</f>
        <v>0</v>
      </c>
      <c r="EP233" s="50">
        <f>SUMPRODUCT((Per_Clase="Directo")*((141&gt;Corte)*(141&lt;=Corte+n_Ventana)*ISNUMBER(Detalle_24m!EP$154:EP$183)*Detalle_24m!EP$154:EP$183+(1-(141&gt;Corte)*(141&lt;=Corte+n_Ventana)*ISNUMBER(Detalle_24m!EP$154:EP$183))*INDEX(Dot_V,0,MIN(10,EP$173))*(EP$171+EP$172*V_PreDir)))</f>
        <v>0</v>
      </c>
      <c r="EQ233" s="50">
        <f>SUMPRODUCT((Per_Clase="Directo")*((142&gt;Corte)*(142&lt;=Corte+n_Ventana)*ISNUMBER(Detalle_24m!EQ$154:EQ$183)*Detalle_24m!EQ$154:EQ$183+(1-(142&gt;Corte)*(142&lt;=Corte+n_Ventana)*ISNUMBER(Detalle_24m!EQ$154:EQ$183))*INDEX(Dot_V,0,MIN(10,EQ$173))*(EQ$171+EQ$172*V_PreDir)))</f>
        <v>0</v>
      </c>
      <c r="ER233" s="50">
        <f>SUMPRODUCT((Per_Clase="Directo")*((143&gt;Corte)*(143&lt;=Corte+n_Ventana)*ISNUMBER(Detalle_24m!ER$154:ER$183)*Detalle_24m!ER$154:ER$183+(1-(143&gt;Corte)*(143&lt;=Corte+n_Ventana)*ISNUMBER(Detalle_24m!ER$154:ER$183))*INDEX(Dot_V,0,MIN(10,ER$173))*(ER$171+ER$172*V_PreDir)))</f>
        <v>0</v>
      </c>
      <c r="ES233" s="50">
        <f>SUMPRODUCT((Per_Clase="Directo")*((144&gt;Corte)*(144&lt;=Corte+n_Ventana)*ISNUMBER(Detalle_24m!ES$154:ES$183)*Detalle_24m!ES$154:ES$183+(1-(144&gt;Corte)*(144&lt;=Corte+n_Ventana)*ISNUMBER(Detalle_24m!ES$154:ES$183))*INDEX(Dot_V,0,MIN(10,ES$173))*(ES$171+ES$172*V_PreDir)))</f>
        <v>0</v>
      </c>
    </row>
    <row r="234" spans="1:149" x14ac:dyDescent="0.3">
      <c r="A234" s="14" t="s">
        <v>1288</v>
      </c>
      <c r="B234" s="18" t="s">
        <v>1062</v>
      </c>
      <c r="C234" s="18" t="s">
        <v>439</v>
      </c>
      <c r="E234" s="54">
        <f>SUM(F234:ES234)</f>
        <v>4532548.9150515627</v>
      </c>
      <c r="F234" s="48">
        <f>SUMPRODUCT((Per_Clase="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Dir))*((Per_Mon="PYG")*F$175+(Per_Mon&lt;&gt;"PYG")))*(1+V_Cargas)+F$233*V_Alim*F$175</f>
        <v>32622.225797123283</v>
      </c>
      <c r="G234" s="48">
        <f>SUMPRODUCT((Per_Clase="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Dir))*((Per_Mon="PYG")*G$175+(Per_Mon&lt;&gt;"PYG")))*(1+V_Cargas)+G$233*V_Alim*G$175</f>
        <v>32622.225797123283</v>
      </c>
      <c r="H234" s="48">
        <f>SUMPRODUCT((Per_Clase="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Dir))*((Per_Mon="PYG")*H$175+(Per_Mon&lt;&gt;"PYG")))*(1+V_Cargas)+H$233*V_Alim*H$175</f>
        <v>32622.225797123283</v>
      </c>
      <c r="I234" s="48">
        <f>SUMPRODUCT((Per_Clase="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Dir))*((Per_Mon="PYG")*I$175+(Per_Mon&lt;&gt;"PYG")))*(1+V_Cargas)+I$233*V_Alim*I$175</f>
        <v>32622.225797123283</v>
      </c>
      <c r="J234" s="48">
        <f>SUMPRODUCT((Per_Clase="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Dir))*((Per_Mon="PYG")*J$175+(Per_Mon&lt;&gt;"PYG")))*(1+V_Cargas)+J$233*V_Alim*J$175</f>
        <v>32622.225797123283</v>
      </c>
      <c r="K234" s="48">
        <f>SUMPRODUCT((Per_Clase="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Dir))*((Per_Mon="PYG")*K$175+(Per_Mon&lt;&gt;"PYG")))*(1+V_Cargas)+K$233*V_Alim*K$175</f>
        <v>32622.225797123283</v>
      </c>
      <c r="L234" s="48">
        <f>SUMPRODUCT((Per_Clase="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Dir))*((Per_Mon="PYG")*L$175+(Per_Mon&lt;&gt;"PYG")))*(1+V_Cargas)+L$233*V_Alim*L$175</f>
        <v>32622.225797123283</v>
      </c>
      <c r="M234" s="48">
        <f>SUMPRODUCT((Per_Clase="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Dir))*((Per_Mon="PYG")*M$175+(Per_Mon&lt;&gt;"PYG")))*(1+V_Cargas)+M$233*V_Alim*M$175</f>
        <v>32622.225797123283</v>
      </c>
      <c r="N234" s="48">
        <f>SUMPRODUCT((Per_Clase="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Dir))*((Per_Mon="PYG")*N$175+(Per_Mon&lt;&gt;"PYG")))*(1+V_Cargas)+N$233*V_Alim*N$175</f>
        <v>32622.225797123283</v>
      </c>
      <c r="O234" s="48">
        <f>SUMPRODUCT((Per_Clase="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Dir))*((Per_Mon="PYG")*O$175+(Per_Mon&lt;&gt;"PYG")))*(1+V_Cargas)+O$233*V_Alim*O$175</f>
        <v>32622.225797123283</v>
      </c>
      <c r="P234" s="48">
        <f>SUMPRODUCT((Per_Clase="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Dir))*((Per_Mon="PYG")*P$175+(Per_Mon&lt;&gt;"PYG")))*(1+V_Cargas)+P$233*V_Alim*P$175</f>
        <v>32622.225797123283</v>
      </c>
      <c r="Q234" s="48">
        <f>SUMPRODUCT((Per_Clase="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Dir))*((Per_Mon="PYG")*Q$175+(Per_Mon&lt;&gt;"PYG")))*(1+V_Cargas)+Q$233*V_Alim*Q$175</f>
        <v>32622.225797123283</v>
      </c>
      <c r="R234" s="48">
        <f>SUMPRODUCT((Per_Clase="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Dir))*((Per_Mon="PYG")*R$175+(Per_Mon&lt;&gt;"PYG")))*(1+V_Cargas)+R$233*V_Alim*R$175</f>
        <v>32622.225797123283</v>
      </c>
      <c r="S234" s="48">
        <f>SUMPRODUCT((Per_Clase="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Dir))*((Per_Mon="PYG")*S$175+(Per_Mon&lt;&gt;"PYG")))*(1+V_Cargas)+S$233*V_Alim*S$175</f>
        <v>32622.225797123283</v>
      </c>
      <c r="T234" s="48">
        <f>SUMPRODUCT((Per_Clase="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Dir))*((Per_Mon="PYG")*T$175+(Per_Mon&lt;&gt;"PYG")))*(1+V_Cargas)+T$233*V_Alim*T$175</f>
        <v>32622.225797123283</v>
      </c>
      <c r="U234" s="48">
        <f>SUMPRODUCT((Per_Clase="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Dir))*((Per_Mon="PYG")*U$175+(Per_Mon&lt;&gt;"PYG")))*(1+V_Cargas)+U$233*V_Alim*U$175</f>
        <v>32622.225797123283</v>
      </c>
      <c r="V234" s="48">
        <f>SUMPRODUCT((Per_Clase="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Dir))*((Per_Mon="PYG")*V$175+(Per_Mon&lt;&gt;"PYG")))*(1+V_Cargas)+V$233*V_Alim*V$175</f>
        <v>32622.225797123283</v>
      </c>
      <c r="W234" s="48">
        <f>SUMPRODUCT((Per_Clase="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Dir))*((Per_Mon="PYG")*W$175+(Per_Mon&lt;&gt;"PYG")))*(1+V_Cargas)+W$233*V_Alim*W$175</f>
        <v>32622.225797123283</v>
      </c>
      <c r="X234" s="48">
        <f>SUMPRODUCT((Per_Clase="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Dir))*((Per_Mon="PYG")*X$175+(Per_Mon&lt;&gt;"PYG")))*(1+V_Cargas)+X$233*V_Alim*X$175</f>
        <v>32622.225797123283</v>
      </c>
      <c r="Y234" s="48">
        <f>SUMPRODUCT((Per_Clase="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Dir))*((Per_Mon="PYG")*Y$175+(Per_Mon&lt;&gt;"PYG")))*(1+V_Cargas)+Y$233*V_Alim*Y$175</f>
        <v>32622.225797123283</v>
      </c>
      <c r="Z234" s="48">
        <f>SUMPRODUCT((Per_Clase="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Dir))*((Per_Mon="PYG")*Z$175+(Per_Mon&lt;&gt;"PYG")))*(1+V_Cargas)+Z$233*V_Alim*Z$175</f>
        <v>32622.225797123283</v>
      </c>
      <c r="AA234" s="48">
        <f>SUMPRODUCT((Per_Clase="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Dir))*((Per_Mon="PYG")*AA$175+(Per_Mon&lt;&gt;"PYG")))*(1+V_Cargas)+AA$233*V_Alim*AA$175</f>
        <v>32622.225797123283</v>
      </c>
      <c r="AB234" s="48">
        <f>SUMPRODUCT((Per_Clase="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Dir))*((Per_Mon="PYG")*AB$175+(Per_Mon&lt;&gt;"PYG")))*(1+V_Cargas)+AB$233*V_Alim*AB$175</f>
        <v>32622.225797123283</v>
      </c>
      <c r="AC234" s="48">
        <f>SUMPRODUCT((Per_Clase="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Dir))*((Per_Mon="PYG")*AC$175+(Per_Mon&lt;&gt;"PYG")))*(1+V_Cargas)+AC$233*V_Alim*AC$175</f>
        <v>32622.225797123283</v>
      </c>
      <c r="AD234" s="48">
        <f>SUMPRODUCT((Per_Clase="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Dir))*((Per_Mon="PYG")*AD$175+(Per_Mon&lt;&gt;"PYG")))*(1+V_Cargas)+AD$233*V_Alim*AD$175</f>
        <v>35267.643640890412</v>
      </c>
      <c r="AE234" s="48">
        <f>SUMPRODUCT((Per_Clase="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Dir))*((Per_Mon="PYG")*AE$175+(Per_Mon&lt;&gt;"PYG")))*(1+V_Cargas)+AE$233*V_Alim*AE$175</f>
        <v>35267.643640890412</v>
      </c>
      <c r="AF234" s="48">
        <f>SUMPRODUCT((Per_Clase="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Dir))*((Per_Mon="PYG")*AF$175+(Per_Mon&lt;&gt;"PYG")))*(1+V_Cargas)+AF$233*V_Alim*AF$175</f>
        <v>35267.643640890412</v>
      </c>
      <c r="AG234" s="48">
        <f>SUMPRODUCT((Per_Clase="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Dir))*((Per_Mon="PYG")*AG$175+(Per_Mon&lt;&gt;"PYG")))*(1+V_Cargas)+AG$233*V_Alim*AG$175</f>
        <v>35267.643640890412</v>
      </c>
      <c r="AH234" s="48">
        <f>SUMPRODUCT((Per_Clase="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Dir))*((Per_Mon="PYG")*AH$175+(Per_Mon&lt;&gt;"PYG")))*(1+V_Cargas)+AH$233*V_Alim*AH$175</f>
        <v>35267.643640890412</v>
      </c>
      <c r="AI234" s="48">
        <f>SUMPRODUCT((Per_Clase="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Dir))*((Per_Mon="PYG")*AI$175+(Per_Mon&lt;&gt;"PYG")))*(1+V_Cargas)+AI$233*V_Alim*AI$175</f>
        <v>35267.643640890412</v>
      </c>
      <c r="AJ234" s="48">
        <f>SUMPRODUCT((Per_Clase="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Dir))*((Per_Mon="PYG")*AJ$175+(Per_Mon&lt;&gt;"PYG")))*(1+V_Cargas)+AJ$233*V_Alim*AJ$175</f>
        <v>35267.643640890412</v>
      </c>
      <c r="AK234" s="48">
        <f>SUMPRODUCT((Per_Clase="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Dir))*((Per_Mon="PYG")*AK$175+(Per_Mon&lt;&gt;"PYG")))*(1+V_Cargas)+AK$233*V_Alim*AK$175</f>
        <v>35267.643640890412</v>
      </c>
      <c r="AL234" s="48">
        <f>SUMPRODUCT((Per_Clase="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Dir))*((Per_Mon="PYG")*AL$175+(Per_Mon&lt;&gt;"PYG")))*(1+V_Cargas)+AL$233*V_Alim*AL$175</f>
        <v>35267.643640890412</v>
      </c>
      <c r="AM234" s="48">
        <f>SUMPRODUCT((Per_Clase="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Dir))*((Per_Mon="PYG")*AM$175+(Per_Mon&lt;&gt;"PYG")))*(1+V_Cargas)+AM$233*V_Alim*AM$175</f>
        <v>35267.643640890412</v>
      </c>
      <c r="AN234" s="48">
        <f>SUMPRODUCT((Per_Clase="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Dir))*((Per_Mon="PYG")*AN$175+(Per_Mon&lt;&gt;"PYG")))*(1+V_Cargas)+AN$233*V_Alim*AN$175</f>
        <v>35267.643640890412</v>
      </c>
      <c r="AO234" s="48">
        <f>SUMPRODUCT((Per_Clase="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Dir))*((Per_Mon="PYG")*AO$175+(Per_Mon&lt;&gt;"PYG")))*(1+V_Cargas)+AO$233*V_Alim*AO$175</f>
        <v>35267.643640890412</v>
      </c>
      <c r="AP234" s="48">
        <f>SUMPRODUCT((Per_Clase="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Dir))*((Per_Mon="PYG")*AP$175+(Per_Mon&lt;&gt;"PYG")))*(1+V_Cargas)+AP$233*V_Alim*AP$175</f>
        <v>37386.012795287672</v>
      </c>
      <c r="AQ234" s="48">
        <f>SUMPRODUCT((Per_Clase="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Dir))*((Per_Mon="PYG")*AQ$175+(Per_Mon&lt;&gt;"PYG")))*(1+V_Cargas)+AQ$233*V_Alim*AQ$175</f>
        <v>37386.012795287672</v>
      </c>
      <c r="AR234" s="48">
        <f>SUMPRODUCT((Per_Clase="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Dir))*((Per_Mon="PYG")*AR$175+(Per_Mon&lt;&gt;"PYG")))*(1+V_Cargas)+AR$233*V_Alim*AR$175</f>
        <v>37386.012795287672</v>
      </c>
      <c r="AS234" s="48">
        <f>SUMPRODUCT((Per_Clase="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Dir))*((Per_Mon="PYG")*AS$175+(Per_Mon&lt;&gt;"PYG")))*(1+V_Cargas)+AS$233*V_Alim*AS$175</f>
        <v>37386.012795287672</v>
      </c>
      <c r="AT234" s="48">
        <f>SUMPRODUCT((Per_Clase="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Dir))*((Per_Mon="PYG")*AT$175+(Per_Mon&lt;&gt;"PYG")))*(1+V_Cargas)+AT$233*V_Alim*AT$175</f>
        <v>37386.012795287672</v>
      </c>
      <c r="AU234" s="48">
        <f>SUMPRODUCT((Per_Clase="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Dir))*((Per_Mon="PYG")*AU$175+(Per_Mon&lt;&gt;"PYG")))*(1+V_Cargas)+AU$233*V_Alim*AU$175</f>
        <v>37386.012795287672</v>
      </c>
      <c r="AV234" s="48">
        <f>SUMPRODUCT((Per_Clase="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Dir))*((Per_Mon="PYG")*AV$175+(Per_Mon&lt;&gt;"PYG")))*(1+V_Cargas)+AV$233*V_Alim*AV$175</f>
        <v>37386.012795287672</v>
      </c>
      <c r="AW234" s="48">
        <f>SUMPRODUCT((Per_Clase="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Dir))*((Per_Mon="PYG")*AW$175+(Per_Mon&lt;&gt;"PYG")))*(1+V_Cargas)+AW$233*V_Alim*AW$175</f>
        <v>37386.012795287672</v>
      </c>
      <c r="AX234" s="48">
        <f>SUMPRODUCT((Per_Clase="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Dir))*((Per_Mon="PYG")*AX$175+(Per_Mon&lt;&gt;"PYG")))*(1+V_Cargas)+AX$233*V_Alim*AX$175</f>
        <v>37386.012795287672</v>
      </c>
      <c r="AY234" s="48">
        <f>SUMPRODUCT((Per_Clase="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Dir))*((Per_Mon="PYG")*AY$175+(Per_Mon&lt;&gt;"PYG")))*(1+V_Cargas)+AY$233*V_Alim*AY$175</f>
        <v>37386.012795287672</v>
      </c>
      <c r="AZ234" s="48">
        <f>SUMPRODUCT((Per_Clase="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Dir))*((Per_Mon="PYG")*AZ$175+(Per_Mon&lt;&gt;"PYG")))*(1+V_Cargas)+AZ$233*V_Alim*AZ$175</f>
        <v>37386.012795287672</v>
      </c>
      <c r="BA234" s="48">
        <f>SUMPRODUCT((Per_Clase="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Dir))*((Per_Mon="PYG")*BA$175+(Per_Mon&lt;&gt;"PYG")))*(1+V_Cargas)+BA$233*V_Alim*BA$175</f>
        <v>37386.012795287672</v>
      </c>
      <c r="BB234" s="48">
        <f>SUMPRODUCT((Per_Clase="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Dir))*((Per_Mon="PYG")*BB$175+(Per_Mon&lt;&gt;"PYG")))*(1+V_Cargas)+BB$233*V_Alim*BB$175</f>
        <v>39969.050259534248</v>
      </c>
      <c r="BC234" s="48">
        <f>SUMPRODUCT((Per_Clase="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Dir))*((Per_Mon="PYG")*BC$175+(Per_Mon&lt;&gt;"PYG")))*(1+V_Cargas)+BC$233*V_Alim*BC$175</f>
        <v>39969.050259534248</v>
      </c>
      <c r="BD234" s="48">
        <f>SUMPRODUCT((Per_Clase="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Dir))*((Per_Mon="PYG")*BD$175+(Per_Mon&lt;&gt;"PYG")))*(1+V_Cargas)+BD$233*V_Alim*BD$175</f>
        <v>39969.050259534248</v>
      </c>
      <c r="BE234" s="48">
        <f>SUMPRODUCT((Per_Clase="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Dir))*((Per_Mon="PYG")*BE$175+(Per_Mon&lt;&gt;"PYG")))*(1+V_Cargas)+BE$233*V_Alim*BE$175</f>
        <v>39969.050259534248</v>
      </c>
      <c r="BF234" s="48">
        <f>SUMPRODUCT((Per_Clase="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Dir))*((Per_Mon="PYG")*BF$175+(Per_Mon&lt;&gt;"PYG")))*(1+V_Cargas)+BF$233*V_Alim*BF$175</f>
        <v>39969.050259534248</v>
      </c>
      <c r="BG234" s="48">
        <f>SUMPRODUCT((Per_Clase="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Dir))*((Per_Mon="PYG")*BG$175+(Per_Mon&lt;&gt;"PYG")))*(1+V_Cargas)+BG$233*V_Alim*BG$175</f>
        <v>39969.050259534248</v>
      </c>
      <c r="BH234" s="48">
        <f>SUMPRODUCT((Per_Clase="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Dir))*((Per_Mon="PYG")*BH$175+(Per_Mon&lt;&gt;"PYG")))*(1+V_Cargas)+BH$233*V_Alim*BH$175</f>
        <v>39969.050259534248</v>
      </c>
      <c r="BI234" s="48">
        <f>SUMPRODUCT((Per_Clase="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Dir))*((Per_Mon="PYG")*BI$175+(Per_Mon&lt;&gt;"PYG")))*(1+V_Cargas)+BI$233*V_Alim*BI$175</f>
        <v>39969.050259534248</v>
      </c>
      <c r="BJ234" s="48">
        <f>SUMPRODUCT((Per_Clase="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Dir))*((Per_Mon="PYG")*BJ$175+(Per_Mon&lt;&gt;"PYG")))*(1+V_Cargas)+BJ$233*V_Alim*BJ$175</f>
        <v>39969.050259534248</v>
      </c>
      <c r="BK234" s="48">
        <f>SUMPRODUCT((Per_Clase="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Dir))*((Per_Mon="PYG")*BK$175+(Per_Mon&lt;&gt;"PYG")))*(1+V_Cargas)+BK$233*V_Alim*BK$175</f>
        <v>39969.050259534248</v>
      </c>
      <c r="BL234" s="48">
        <f>SUMPRODUCT((Per_Clase="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Dir))*((Per_Mon="PYG")*BL$175+(Per_Mon&lt;&gt;"PYG")))*(1+V_Cargas)+BL$233*V_Alim*BL$175</f>
        <v>39969.050259534248</v>
      </c>
      <c r="BM234" s="48">
        <f>SUMPRODUCT((Per_Clase="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Dir))*((Per_Mon="PYG")*BM$175+(Per_Mon&lt;&gt;"PYG")))*(1+V_Cargas)+BM$233*V_Alim*BM$175</f>
        <v>39969.050259534248</v>
      </c>
      <c r="BN234" s="48">
        <f>SUMPRODUCT((Per_Clase="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Dir))*((Per_Mon="PYG")*BN$175+(Per_Mon&lt;&gt;"PYG")))*(1+V_Cargas)+BN$233*V_Alim*BN$175</f>
        <v>39969.050259534248</v>
      </c>
      <c r="BO234" s="48">
        <f>SUMPRODUCT((Per_Clase="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Dir))*((Per_Mon="PYG")*BO$175+(Per_Mon&lt;&gt;"PYG")))*(1+V_Cargas)+BO$233*V_Alim*BO$175</f>
        <v>39969.050259534248</v>
      </c>
      <c r="BP234" s="48">
        <f>SUMPRODUCT((Per_Clase="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Dir))*((Per_Mon="PYG")*BP$175+(Per_Mon&lt;&gt;"PYG")))*(1+V_Cargas)+BP$233*V_Alim*BP$175</f>
        <v>39969.050259534248</v>
      </c>
      <c r="BQ234" s="48">
        <f>SUMPRODUCT((Per_Clase="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Dir))*((Per_Mon="PYG")*BQ$175+(Per_Mon&lt;&gt;"PYG")))*(1+V_Cargas)+BQ$233*V_Alim*BQ$175</f>
        <v>39969.050259534248</v>
      </c>
      <c r="BR234" s="48">
        <f>SUMPRODUCT((Per_Clase="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Dir))*((Per_Mon="PYG")*BR$175+(Per_Mon&lt;&gt;"PYG")))*(1+V_Cargas)+BR$233*V_Alim*BR$175</f>
        <v>39969.050259534248</v>
      </c>
      <c r="BS234" s="48">
        <f>SUMPRODUCT((Per_Clase="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Dir))*((Per_Mon="PYG")*BS$175+(Per_Mon&lt;&gt;"PYG")))*(1+V_Cargas)+BS$233*V_Alim*BS$175</f>
        <v>39969.050259534248</v>
      </c>
      <c r="BT234" s="48">
        <f>SUMPRODUCT((Per_Clase="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Dir))*((Per_Mon="PYG")*BT$175+(Per_Mon&lt;&gt;"PYG")))*(1+V_Cargas)+BT$233*V_Alim*BT$175</f>
        <v>39969.050259534248</v>
      </c>
      <c r="BU234" s="48">
        <f>SUMPRODUCT((Per_Clase="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Dir))*((Per_Mon="PYG")*BU$175+(Per_Mon&lt;&gt;"PYG")))*(1+V_Cargas)+BU$233*V_Alim*BU$175</f>
        <v>39969.050259534248</v>
      </c>
      <c r="BV234" s="48">
        <f>SUMPRODUCT((Per_Clase="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Dir))*((Per_Mon="PYG")*BV$175+(Per_Mon&lt;&gt;"PYG")))*(1+V_Cargas)+BV$233*V_Alim*BV$175</f>
        <v>39969.050259534248</v>
      </c>
      <c r="BW234" s="48">
        <f>SUMPRODUCT((Per_Clase="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Dir))*((Per_Mon="PYG")*BW$175+(Per_Mon&lt;&gt;"PYG")))*(1+V_Cargas)+BW$233*V_Alim*BW$175</f>
        <v>39969.050259534248</v>
      </c>
      <c r="BX234" s="48">
        <f>SUMPRODUCT((Per_Clase="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Dir))*((Per_Mon="PYG")*BX$175+(Per_Mon&lt;&gt;"PYG")))*(1+V_Cargas)+BX$233*V_Alim*BX$175</f>
        <v>39969.050259534248</v>
      </c>
      <c r="BY234" s="48">
        <f>SUMPRODUCT((Per_Clase="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Dir))*((Per_Mon="PYG")*BY$175+(Per_Mon&lt;&gt;"PYG")))*(1+V_Cargas)+BY$233*V_Alim*BY$175</f>
        <v>39969.050259534248</v>
      </c>
      <c r="BZ234" s="48">
        <f>SUMPRODUCT((Per_Clase="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Dir))*((Per_Mon="PYG")*BZ$175+(Per_Mon&lt;&gt;"PYG")))*(1+V_Cargas)+BZ$233*V_Alim*BZ$175</f>
        <v>39969.050259534248</v>
      </c>
      <c r="CA234" s="48">
        <f>SUMPRODUCT((Per_Clase="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Dir))*((Per_Mon="PYG")*CA$175+(Per_Mon&lt;&gt;"PYG")))*(1+V_Cargas)+CA$233*V_Alim*CA$175</f>
        <v>39969.050259534248</v>
      </c>
      <c r="CB234" s="48">
        <f>SUMPRODUCT((Per_Clase="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Dir))*((Per_Mon="PYG")*CB$175+(Per_Mon&lt;&gt;"PYG")))*(1+V_Cargas)+CB$233*V_Alim*CB$175</f>
        <v>39969.050259534248</v>
      </c>
      <c r="CC234" s="48">
        <f>SUMPRODUCT((Per_Clase="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Dir))*((Per_Mon="PYG")*CC$175+(Per_Mon&lt;&gt;"PYG")))*(1+V_Cargas)+CC$233*V_Alim*CC$175</f>
        <v>39969.050259534248</v>
      </c>
      <c r="CD234" s="48">
        <f>SUMPRODUCT((Per_Clase="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Dir))*((Per_Mon="PYG")*CD$175+(Per_Mon&lt;&gt;"PYG")))*(1+V_Cargas)+CD$233*V_Alim*CD$175</f>
        <v>39969.050259534248</v>
      </c>
      <c r="CE234" s="48">
        <f>SUMPRODUCT((Per_Clase="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Dir))*((Per_Mon="PYG")*CE$175+(Per_Mon&lt;&gt;"PYG")))*(1+V_Cargas)+CE$233*V_Alim*CE$175</f>
        <v>39969.050259534248</v>
      </c>
      <c r="CF234" s="48">
        <f>SUMPRODUCT((Per_Clase="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Dir))*((Per_Mon="PYG")*CF$175+(Per_Mon&lt;&gt;"PYG")))*(1+V_Cargas)+CF$233*V_Alim*CF$175</f>
        <v>39969.050259534248</v>
      </c>
      <c r="CG234" s="48">
        <f>SUMPRODUCT((Per_Clase="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Dir))*((Per_Mon="PYG")*CG$175+(Per_Mon&lt;&gt;"PYG")))*(1+V_Cargas)+CG$233*V_Alim*CG$175</f>
        <v>39969.050259534248</v>
      </c>
      <c r="CH234" s="48">
        <f>SUMPRODUCT((Per_Clase="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Dir))*((Per_Mon="PYG")*CH$175+(Per_Mon&lt;&gt;"PYG")))*(1+V_Cargas)+CH$233*V_Alim*CH$175</f>
        <v>39969.050259534248</v>
      </c>
      <c r="CI234" s="48">
        <f>SUMPRODUCT((Per_Clase="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Dir))*((Per_Mon="PYG")*CI$175+(Per_Mon&lt;&gt;"PYG")))*(1+V_Cargas)+CI$233*V_Alim*CI$175</f>
        <v>39969.050259534248</v>
      </c>
      <c r="CJ234" s="48">
        <f>SUMPRODUCT((Per_Clase="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Dir))*((Per_Mon="PYG")*CJ$175+(Per_Mon&lt;&gt;"PYG")))*(1+V_Cargas)+CJ$233*V_Alim*CJ$175</f>
        <v>39969.050259534248</v>
      </c>
      <c r="CK234" s="48">
        <f>SUMPRODUCT((Per_Clase="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Dir))*((Per_Mon="PYG")*CK$175+(Per_Mon&lt;&gt;"PYG")))*(1+V_Cargas)+CK$233*V_Alim*CK$175</f>
        <v>39969.050259534248</v>
      </c>
      <c r="CL234" s="48">
        <f>SUMPRODUCT((Per_Clase="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Dir))*((Per_Mon="PYG")*CL$175+(Per_Mon&lt;&gt;"PYG")))*(1+V_Cargas)+CL$233*V_Alim*CL$175</f>
        <v>39969.050259534248</v>
      </c>
      <c r="CM234" s="48">
        <f>SUMPRODUCT((Per_Clase="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Dir))*((Per_Mon="PYG")*CM$175+(Per_Mon&lt;&gt;"PYG")))*(1+V_Cargas)+CM$233*V_Alim*CM$175</f>
        <v>39969.050259534248</v>
      </c>
      <c r="CN234" s="48">
        <f>SUMPRODUCT((Per_Clase="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Dir))*((Per_Mon="PYG")*CN$175+(Per_Mon&lt;&gt;"PYG")))*(1+V_Cargas)+CN$233*V_Alim*CN$175</f>
        <v>39969.050259534248</v>
      </c>
      <c r="CO234" s="48">
        <f>SUMPRODUCT((Per_Clase="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Dir))*((Per_Mon="PYG")*CO$175+(Per_Mon&lt;&gt;"PYG")))*(1+V_Cargas)+CO$233*V_Alim*CO$175</f>
        <v>39969.050259534248</v>
      </c>
      <c r="CP234" s="48">
        <f>SUMPRODUCT((Per_Clase="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Dir))*((Per_Mon="PYG")*CP$175+(Per_Mon&lt;&gt;"PYG")))*(1+V_Cargas)+CP$233*V_Alim*CP$175</f>
        <v>39969.050259534248</v>
      </c>
      <c r="CQ234" s="48">
        <f>SUMPRODUCT((Per_Clase="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Dir))*((Per_Mon="PYG")*CQ$175+(Per_Mon&lt;&gt;"PYG")))*(1+V_Cargas)+CQ$233*V_Alim*CQ$175</f>
        <v>39969.050259534248</v>
      </c>
      <c r="CR234" s="48">
        <f>SUMPRODUCT((Per_Clase="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Dir))*((Per_Mon="PYG")*CR$175+(Per_Mon&lt;&gt;"PYG")))*(1+V_Cargas)+CR$233*V_Alim*CR$175</f>
        <v>39969.050259534248</v>
      </c>
      <c r="CS234" s="48">
        <f>SUMPRODUCT((Per_Clase="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Dir))*((Per_Mon="PYG")*CS$175+(Per_Mon&lt;&gt;"PYG")))*(1+V_Cargas)+CS$233*V_Alim*CS$175</f>
        <v>39969.050259534248</v>
      </c>
      <c r="CT234" s="48">
        <f>SUMPRODUCT((Per_Clase="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Dir))*((Per_Mon="PYG")*CT$175+(Per_Mon&lt;&gt;"PYG")))*(1+V_Cargas)+CT$233*V_Alim*CT$175</f>
        <v>39969.050259534248</v>
      </c>
      <c r="CU234" s="48">
        <f>SUMPRODUCT((Per_Clase="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Dir))*((Per_Mon="PYG")*CU$175+(Per_Mon&lt;&gt;"PYG")))*(1+V_Cargas)+CU$233*V_Alim*CU$175</f>
        <v>39969.050259534248</v>
      </c>
      <c r="CV234" s="48">
        <f>SUMPRODUCT((Per_Clase="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Dir))*((Per_Mon="PYG")*CV$175+(Per_Mon&lt;&gt;"PYG")))*(1+V_Cargas)+CV$233*V_Alim*CV$175</f>
        <v>39969.050259534248</v>
      </c>
      <c r="CW234" s="48">
        <f>SUMPRODUCT((Per_Clase="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Dir))*((Per_Mon="PYG")*CW$175+(Per_Mon&lt;&gt;"PYG")))*(1+V_Cargas)+CW$233*V_Alim*CW$175</f>
        <v>39969.050259534248</v>
      </c>
      <c r="CX234" s="48">
        <f>SUMPRODUCT((Per_Clase="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Dir))*((Per_Mon="PYG")*CX$175+(Per_Mon&lt;&gt;"PYG")))*(1+V_Cargas)+CX$233*V_Alim*CX$175</f>
        <v>39969.050259534248</v>
      </c>
      <c r="CY234" s="48">
        <f>SUMPRODUCT((Per_Clase="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Dir))*((Per_Mon="PYG")*CY$175+(Per_Mon&lt;&gt;"PYG")))*(1+V_Cargas)+CY$233*V_Alim*CY$175</f>
        <v>39969.050259534248</v>
      </c>
      <c r="CZ234" s="48">
        <f>SUMPRODUCT((Per_Clase="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Dir))*((Per_Mon="PYG")*CZ$175+(Per_Mon&lt;&gt;"PYG")))*(1+V_Cargas)+CZ$233*V_Alim*CZ$175</f>
        <v>39969.050259534248</v>
      </c>
      <c r="DA234" s="48">
        <f>SUMPRODUCT((Per_Clase="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Dir))*((Per_Mon="PYG")*DA$175+(Per_Mon&lt;&gt;"PYG")))*(1+V_Cargas)+DA$233*V_Alim*DA$175</f>
        <v>39969.050259534248</v>
      </c>
      <c r="DB234" s="48">
        <f>SUMPRODUCT((Per_Clase="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Dir))*((Per_Mon="PYG")*DB$175+(Per_Mon&lt;&gt;"PYG")))*(1+V_Cargas)+DB$233*V_Alim*DB$175</f>
        <v>39969.050259534248</v>
      </c>
      <c r="DC234" s="48">
        <f>SUMPRODUCT((Per_Clase="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Dir))*((Per_Mon="PYG")*DC$175+(Per_Mon&lt;&gt;"PYG")))*(1+V_Cargas)+DC$233*V_Alim*DC$175</f>
        <v>39969.050259534248</v>
      </c>
      <c r="DD234" s="48">
        <f>SUMPRODUCT((Per_Clase="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Dir))*((Per_Mon="PYG")*DD$175+(Per_Mon&lt;&gt;"PYG")))*(1+V_Cargas)+DD$233*V_Alim*DD$175</f>
        <v>39969.050259534248</v>
      </c>
      <c r="DE234" s="48">
        <f>SUMPRODUCT((Per_Clase="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Dir))*((Per_Mon="PYG")*DE$175+(Per_Mon&lt;&gt;"PYG")))*(1+V_Cargas)+DE$233*V_Alim*DE$175</f>
        <v>39969.050259534248</v>
      </c>
      <c r="DF234" s="48">
        <f>SUMPRODUCT((Per_Clase="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Dir))*((Per_Mon="PYG")*DF$175+(Per_Mon&lt;&gt;"PYG")))*(1+V_Cargas)+DF$233*V_Alim*DF$175</f>
        <v>39969.050259534248</v>
      </c>
      <c r="DG234" s="48">
        <f>SUMPRODUCT((Per_Clase="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Dir))*((Per_Mon="PYG")*DG$175+(Per_Mon&lt;&gt;"PYG")))*(1+V_Cargas)+DG$233*V_Alim*DG$175</f>
        <v>39969.050259534248</v>
      </c>
      <c r="DH234" s="48">
        <f>SUMPRODUCT((Per_Clase="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Dir))*((Per_Mon="PYG")*DH$175+(Per_Mon&lt;&gt;"PYG")))*(1+V_Cargas)+DH$233*V_Alim*DH$175</f>
        <v>39969.050259534248</v>
      </c>
      <c r="DI234" s="48">
        <f>SUMPRODUCT((Per_Clase="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Dir))*((Per_Mon="PYG")*DI$175+(Per_Mon&lt;&gt;"PYG")))*(1+V_Cargas)+DI$233*V_Alim*DI$175</f>
        <v>39969.050259534248</v>
      </c>
      <c r="DJ234" s="48">
        <f>SUMPRODUCT((Per_Clase="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Dir))*((Per_Mon="PYG")*DJ$175+(Per_Mon&lt;&gt;"PYG")))*(1+V_Cargas)+DJ$233*V_Alim*DJ$175</f>
        <v>39969.050259534248</v>
      </c>
      <c r="DK234" s="48">
        <f>SUMPRODUCT((Per_Clase="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Dir))*((Per_Mon="PYG")*DK$175+(Per_Mon&lt;&gt;"PYG")))*(1+V_Cargas)+DK$233*V_Alim*DK$175</f>
        <v>39969.050259534248</v>
      </c>
      <c r="DL234" s="48">
        <f>SUMPRODUCT((Per_Clase="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Dir))*((Per_Mon="PYG")*DL$175+(Per_Mon&lt;&gt;"PYG")))*(1+V_Cargas)+DL$233*V_Alim*DL$175</f>
        <v>39969.050259534248</v>
      </c>
      <c r="DM234" s="48">
        <f>SUMPRODUCT((Per_Clase="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Dir))*((Per_Mon="PYG")*DM$175+(Per_Mon&lt;&gt;"PYG")))*(1+V_Cargas)+DM$233*V_Alim*DM$175</f>
        <v>39969.050259534248</v>
      </c>
      <c r="DN234" s="48">
        <f>SUMPRODUCT((Per_Clase="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Dir))*((Per_Mon="PYG")*DN$175+(Per_Mon&lt;&gt;"PYG")))*(1+V_Cargas)+DN$233*V_Alim*DN$175</f>
        <v>39969.050259534248</v>
      </c>
      <c r="DO234" s="48">
        <f>SUMPRODUCT((Per_Clase="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Dir))*((Per_Mon="PYG")*DO$175+(Per_Mon&lt;&gt;"PYG")))*(1+V_Cargas)+DO$233*V_Alim*DO$175</f>
        <v>39969.050259534248</v>
      </c>
      <c r="DP234" s="48">
        <f>SUMPRODUCT((Per_Clase="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Dir))*((Per_Mon="PYG")*DP$175+(Per_Mon&lt;&gt;"PYG")))*(1+V_Cargas)+DP$233*V_Alim*DP$175</f>
        <v>39969.050259534248</v>
      </c>
      <c r="DQ234" s="48">
        <f>SUMPRODUCT((Per_Clase="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Dir))*((Per_Mon="PYG")*DQ$175+(Per_Mon&lt;&gt;"PYG")))*(1+V_Cargas)+DQ$233*V_Alim*DQ$175</f>
        <v>39969.050259534248</v>
      </c>
      <c r="DR234" s="48">
        <f>SUMPRODUCT((Per_Clase="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Dir))*((Per_Mon="PYG")*DR$175+(Per_Mon&lt;&gt;"PYG")))*(1+V_Cargas)+DR$233*V_Alim*DR$175</f>
        <v>39969.050259534248</v>
      </c>
      <c r="DS234" s="48">
        <f>SUMPRODUCT((Per_Clase="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Dir))*((Per_Mon="PYG")*DS$175+(Per_Mon&lt;&gt;"PYG")))*(1+V_Cargas)+DS$233*V_Alim*DS$175</f>
        <v>39969.050259534248</v>
      </c>
      <c r="DT234" s="48">
        <f>SUMPRODUCT((Per_Clase="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Dir))*((Per_Mon="PYG")*DT$175+(Per_Mon&lt;&gt;"PYG")))*(1+V_Cargas)+DT$233*V_Alim*DT$175</f>
        <v>39969.050259534248</v>
      </c>
      <c r="DU234" s="48">
        <f>SUMPRODUCT((Per_Clase="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Dir))*((Per_Mon="PYG")*DU$175+(Per_Mon&lt;&gt;"PYG")))*(1+V_Cargas)+DU$233*V_Alim*DU$175</f>
        <v>39969.050259534248</v>
      </c>
      <c r="DV234" s="48">
        <f>SUMPRODUCT((Per_Clase="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Dir))*((Per_Mon="PYG")*DV$175+(Per_Mon&lt;&gt;"PYG")))*(1+V_Cargas)+DV$233*V_Alim*DV$175</f>
        <v>0</v>
      </c>
      <c r="DW234" s="48">
        <f>SUMPRODUCT((Per_Clase="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Dir))*((Per_Mon="PYG")*DW$175+(Per_Mon&lt;&gt;"PYG")))*(1+V_Cargas)+DW$233*V_Alim*DW$175</f>
        <v>0</v>
      </c>
      <c r="DX234" s="48">
        <f>SUMPRODUCT((Per_Clase="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Dir))*((Per_Mon="PYG")*DX$175+(Per_Mon&lt;&gt;"PYG")))*(1+V_Cargas)+DX$233*V_Alim*DX$175</f>
        <v>0</v>
      </c>
      <c r="DY234" s="48">
        <f>SUMPRODUCT((Per_Clase="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Dir))*((Per_Mon="PYG")*DY$175+(Per_Mon&lt;&gt;"PYG")))*(1+V_Cargas)+DY$233*V_Alim*DY$175</f>
        <v>0</v>
      </c>
      <c r="DZ234" s="48">
        <f>SUMPRODUCT((Per_Clase="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Dir))*((Per_Mon="PYG")*DZ$175+(Per_Mon&lt;&gt;"PYG")))*(1+V_Cargas)+DZ$233*V_Alim*DZ$175</f>
        <v>0</v>
      </c>
      <c r="EA234" s="48">
        <f>SUMPRODUCT((Per_Clase="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Dir))*((Per_Mon="PYG")*EA$175+(Per_Mon&lt;&gt;"PYG")))*(1+V_Cargas)+EA$233*V_Alim*EA$175</f>
        <v>0</v>
      </c>
      <c r="EB234" s="48">
        <f>SUMPRODUCT((Per_Clase="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Dir))*((Per_Mon="PYG")*EB$175+(Per_Mon&lt;&gt;"PYG")))*(1+V_Cargas)+EB$233*V_Alim*EB$175</f>
        <v>0</v>
      </c>
      <c r="EC234" s="48">
        <f>SUMPRODUCT((Per_Clase="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Dir))*((Per_Mon="PYG")*EC$175+(Per_Mon&lt;&gt;"PYG")))*(1+V_Cargas)+EC$233*V_Alim*EC$175</f>
        <v>0</v>
      </c>
      <c r="ED234" s="48">
        <f>SUMPRODUCT((Per_Clase="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Dir))*((Per_Mon="PYG")*ED$175+(Per_Mon&lt;&gt;"PYG")))*(1+V_Cargas)+ED$233*V_Alim*ED$175</f>
        <v>0</v>
      </c>
      <c r="EE234" s="48">
        <f>SUMPRODUCT((Per_Clase="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Dir))*((Per_Mon="PYG")*EE$175+(Per_Mon&lt;&gt;"PYG")))*(1+V_Cargas)+EE$233*V_Alim*EE$175</f>
        <v>0</v>
      </c>
      <c r="EF234" s="48">
        <f>SUMPRODUCT((Per_Clase="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Dir))*((Per_Mon="PYG")*EF$175+(Per_Mon&lt;&gt;"PYG")))*(1+V_Cargas)+EF$233*V_Alim*EF$175</f>
        <v>0</v>
      </c>
      <c r="EG234" s="48">
        <f>SUMPRODUCT((Per_Clase="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Dir))*((Per_Mon="PYG")*EG$175+(Per_Mon&lt;&gt;"PYG")))*(1+V_Cargas)+EG$233*V_Alim*EG$175</f>
        <v>0</v>
      </c>
      <c r="EH234" s="48">
        <f>SUMPRODUCT((Per_Clase="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Dir))*((Per_Mon="PYG")*EH$175+(Per_Mon&lt;&gt;"PYG")))*(1+V_Cargas)+EH$233*V_Alim*EH$175</f>
        <v>0</v>
      </c>
      <c r="EI234" s="48">
        <f>SUMPRODUCT((Per_Clase="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Dir))*((Per_Mon="PYG")*EI$175+(Per_Mon&lt;&gt;"PYG")))*(1+V_Cargas)+EI$233*V_Alim*EI$175</f>
        <v>0</v>
      </c>
      <c r="EJ234" s="48">
        <f>SUMPRODUCT((Per_Clase="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Dir))*((Per_Mon="PYG")*EJ$175+(Per_Mon&lt;&gt;"PYG")))*(1+V_Cargas)+EJ$233*V_Alim*EJ$175</f>
        <v>0</v>
      </c>
      <c r="EK234" s="48">
        <f>SUMPRODUCT((Per_Clase="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Dir))*((Per_Mon="PYG")*EK$175+(Per_Mon&lt;&gt;"PYG")))*(1+V_Cargas)+EK$233*V_Alim*EK$175</f>
        <v>0</v>
      </c>
      <c r="EL234" s="48">
        <f>SUMPRODUCT((Per_Clase="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Dir))*((Per_Mon="PYG")*EL$175+(Per_Mon&lt;&gt;"PYG")))*(1+V_Cargas)+EL$233*V_Alim*EL$175</f>
        <v>0</v>
      </c>
      <c r="EM234" s="48">
        <f>SUMPRODUCT((Per_Clase="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Dir))*((Per_Mon="PYG")*EM$175+(Per_Mon&lt;&gt;"PYG")))*(1+V_Cargas)+EM$233*V_Alim*EM$175</f>
        <v>0</v>
      </c>
      <c r="EN234" s="48">
        <f>SUMPRODUCT((Per_Clase="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Dir))*((Per_Mon="PYG")*EN$175+(Per_Mon&lt;&gt;"PYG")))*(1+V_Cargas)+EN$233*V_Alim*EN$175</f>
        <v>0</v>
      </c>
      <c r="EO234" s="48">
        <f>SUMPRODUCT((Per_Clase="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Dir))*((Per_Mon="PYG")*EO$175+(Per_Mon&lt;&gt;"PYG")))*(1+V_Cargas)+EO$233*V_Alim*EO$175</f>
        <v>0</v>
      </c>
      <c r="EP234" s="48">
        <f>SUMPRODUCT((Per_Clase="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Dir))*((Per_Mon="PYG")*EP$175+(Per_Mon&lt;&gt;"PYG")))*(1+V_Cargas)+EP$233*V_Alim*EP$175</f>
        <v>0</v>
      </c>
      <c r="EQ234" s="48">
        <f>SUMPRODUCT((Per_Clase="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Dir))*((Per_Mon="PYG")*EQ$175+(Per_Mon&lt;&gt;"PYG")))*(1+V_Cargas)+EQ$233*V_Alim*EQ$175</f>
        <v>0</v>
      </c>
      <c r="ER234" s="48">
        <f>SUMPRODUCT((Per_Clase="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Dir))*((Per_Mon="PYG")*ER$175+(Per_Mon&lt;&gt;"PYG")))*(1+V_Cargas)+ER$233*V_Alim*ER$175</f>
        <v>0</v>
      </c>
      <c r="ES234" s="48">
        <f>SUMPRODUCT((Per_Clase="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Dir))*((Per_Mon="PYG")*ES$175+(Per_Mon&lt;&gt;"PYG")))*(1+V_Cargas)+ES$233*V_Alim*ES$175</f>
        <v>0</v>
      </c>
    </row>
    <row r="235" spans="1:149" x14ac:dyDescent="0.3">
      <c r="A235" s="14" t="s">
        <v>1289</v>
      </c>
      <c r="B235" s="18" t="s">
        <v>1064</v>
      </c>
      <c r="C235" s="18" t="s">
        <v>785</v>
      </c>
      <c r="F235" s="50">
        <f>SUMPRODUCT((Per_Clase="Indirecto")*((1&gt;Corte)*(1&lt;=Corte+n_Ventana)*ISNUMBER(Detalle_24m!F$154:F$183)*Detalle_24m!F$154:F$183+(1-(1&gt;Corte)*(1&lt;=Corte+n_Ventana)*ISNUMBER(Detalle_24m!F$154:F$183))*INDEX(Dot_V,0,MIN(10,F$173))*(F$171+F$172*V_PreInd)))</f>
        <v>17</v>
      </c>
      <c r="G235" s="50">
        <f>SUMPRODUCT((Per_Clase="Indirecto")*((2&gt;Corte)*(2&lt;=Corte+n_Ventana)*ISNUMBER(Detalle_24m!G$154:G$183)*Detalle_24m!G$154:G$183+(1-(2&gt;Corte)*(2&lt;=Corte+n_Ventana)*ISNUMBER(Detalle_24m!G$154:G$183))*INDEX(Dot_V,0,MIN(10,G$173))*(G$171+G$172*V_PreInd)))</f>
        <v>17</v>
      </c>
      <c r="H235" s="50">
        <f>SUMPRODUCT((Per_Clase="Indirecto")*((3&gt;Corte)*(3&lt;=Corte+n_Ventana)*ISNUMBER(Detalle_24m!H$154:H$183)*Detalle_24m!H$154:H$183+(1-(3&gt;Corte)*(3&lt;=Corte+n_Ventana)*ISNUMBER(Detalle_24m!H$154:H$183))*INDEX(Dot_V,0,MIN(10,H$173))*(H$171+H$172*V_PreInd)))</f>
        <v>17</v>
      </c>
      <c r="I235" s="50">
        <f>SUMPRODUCT((Per_Clase="Indirecto")*((4&gt;Corte)*(4&lt;=Corte+n_Ventana)*ISNUMBER(Detalle_24m!I$154:I$183)*Detalle_24m!I$154:I$183+(1-(4&gt;Corte)*(4&lt;=Corte+n_Ventana)*ISNUMBER(Detalle_24m!I$154:I$183))*INDEX(Dot_V,0,MIN(10,I$173))*(I$171+I$172*V_PreInd)))</f>
        <v>17</v>
      </c>
      <c r="J235" s="50">
        <f>SUMPRODUCT((Per_Clase="Indirecto")*((5&gt;Corte)*(5&lt;=Corte+n_Ventana)*ISNUMBER(Detalle_24m!J$154:J$183)*Detalle_24m!J$154:J$183+(1-(5&gt;Corte)*(5&lt;=Corte+n_Ventana)*ISNUMBER(Detalle_24m!J$154:J$183))*INDEX(Dot_V,0,MIN(10,J$173))*(J$171+J$172*V_PreInd)))</f>
        <v>17</v>
      </c>
      <c r="K235" s="50">
        <f>SUMPRODUCT((Per_Clase="Indirecto")*((6&gt;Corte)*(6&lt;=Corte+n_Ventana)*ISNUMBER(Detalle_24m!K$154:K$183)*Detalle_24m!K$154:K$183+(1-(6&gt;Corte)*(6&lt;=Corte+n_Ventana)*ISNUMBER(Detalle_24m!K$154:K$183))*INDEX(Dot_V,0,MIN(10,K$173))*(K$171+K$172*V_PreInd)))</f>
        <v>17</v>
      </c>
      <c r="L235" s="50">
        <f>SUMPRODUCT((Per_Clase="Indirecto")*((7&gt;Corte)*(7&lt;=Corte+n_Ventana)*ISNUMBER(Detalle_24m!L$154:L$183)*Detalle_24m!L$154:L$183+(1-(7&gt;Corte)*(7&lt;=Corte+n_Ventana)*ISNUMBER(Detalle_24m!L$154:L$183))*INDEX(Dot_V,0,MIN(10,L$173))*(L$171+L$172*V_PreInd)))</f>
        <v>17</v>
      </c>
      <c r="M235" s="50">
        <f>SUMPRODUCT((Per_Clase="Indirecto")*((8&gt;Corte)*(8&lt;=Corte+n_Ventana)*ISNUMBER(Detalle_24m!M$154:M$183)*Detalle_24m!M$154:M$183+(1-(8&gt;Corte)*(8&lt;=Corte+n_Ventana)*ISNUMBER(Detalle_24m!M$154:M$183))*INDEX(Dot_V,0,MIN(10,M$173))*(M$171+M$172*V_PreInd)))</f>
        <v>17</v>
      </c>
      <c r="N235" s="50">
        <f>SUMPRODUCT((Per_Clase="Indirecto")*((9&gt;Corte)*(9&lt;=Corte+n_Ventana)*ISNUMBER(Detalle_24m!N$154:N$183)*Detalle_24m!N$154:N$183+(1-(9&gt;Corte)*(9&lt;=Corte+n_Ventana)*ISNUMBER(Detalle_24m!N$154:N$183))*INDEX(Dot_V,0,MIN(10,N$173))*(N$171+N$172*V_PreInd)))</f>
        <v>17</v>
      </c>
      <c r="O235" s="50">
        <f>SUMPRODUCT((Per_Clase="Indirecto")*((10&gt;Corte)*(10&lt;=Corte+n_Ventana)*ISNUMBER(Detalle_24m!O$154:O$183)*Detalle_24m!O$154:O$183+(1-(10&gt;Corte)*(10&lt;=Corte+n_Ventana)*ISNUMBER(Detalle_24m!O$154:O$183))*INDEX(Dot_V,0,MIN(10,O$173))*(O$171+O$172*V_PreInd)))</f>
        <v>17</v>
      </c>
      <c r="P235" s="50">
        <f>SUMPRODUCT((Per_Clase="Indirecto")*((11&gt;Corte)*(11&lt;=Corte+n_Ventana)*ISNUMBER(Detalle_24m!P$154:P$183)*Detalle_24m!P$154:P$183+(1-(11&gt;Corte)*(11&lt;=Corte+n_Ventana)*ISNUMBER(Detalle_24m!P$154:P$183))*INDEX(Dot_V,0,MIN(10,P$173))*(P$171+P$172*V_PreInd)))</f>
        <v>17</v>
      </c>
      <c r="Q235" s="50">
        <f>SUMPRODUCT((Per_Clase="Indirecto")*((12&gt;Corte)*(12&lt;=Corte+n_Ventana)*ISNUMBER(Detalle_24m!Q$154:Q$183)*Detalle_24m!Q$154:Q$183+(1-(12&gt;Corte)*(12&lt;=Corte+n_Ventana)*ISNUMBER(Detalle_24m!Q$154:Q$183))*INDEX(Dot_V,0,MIN(10,Q$173))*(Q$171+Q$172*V_PreInd)))</f>
        <v>17</v>
      </c>
      <c r="R235" s="50">
        <f>SUMPRODUCT((Per_Clase="Indirecto")*((13&gt;Corte)*(13&lt;=Corte+n_Ventana)*ISNUMBER(Detalle_24m!R$154:R$183)*Detalle_24m!R$154:R$183+(1-(13&gt;Corte)*(13&lt;=Corte+n_Ventana)*ISNUMBER(Detalle_24m!R$154:R$183))*INDEX(Dot_V,0,MIN(10,R$173))*(R$171+R$172*V_PreInd)))</f>
        <v>17</v>
      </c>
      <c r="S235" s="50">
        <f>SUMPRODUCT((Per_Clase="Indirecto")*((14&gt;Corte)*(14&lt;=Corte+n_Ventana)*ISNUMBER(Detalle_24m!S$154:S$183)*Detalle_24m!S$154:S$183+(1-(14&gt;Corte)*(14&lt;=Corte+n_Ventana)*ISNUMBER(Detalle_24m!S$154:S$183))*INDEX(Dot_V,0,MIN(10,S$173))*(S$171+S$172*V_PreInd)))</f>
        <v>17</v>
      </c>
      <c r="T235" s="50">
        <f>SUMPRODUCT((Per_Clase="Indirecto")*((15&gt;Corte)*(15&lt;=Corte+n_Ventana)*ISNUMBER(Detalle_24m!T$154:T$183)*Detalle_24m!T$154:T$183+(1-(15&gt;Corte)*(15&lt;=Corte+n_Ventana)*ISNUMBER(Detalle_24m!T$154:T$183))*INDEX(Dot_V,0,MIN(10,T$173))*(T$171+T$172*V_PreInd)))</f>
        <v>17</v>
      </c>
      <c r="U235" s="50">
        <f>SUMPRODUCT((Per_Clase="Indirecto")*((16&gt;Corte)*(16&lt;=Corte+n_Ventana)*ISNUMBER(Detalle_24m!U$154:U$183)*Detalle_24m!U$154:U$183+(1-(16&gt;Corte)*(16&lt;=Corte+n_Ventana)*ISNUMBER(Detalle_24m!U$154:U$183))*INDEX(Dot_V,0,MIN(10,U$173))*(U$171+U$172*V_PreInd)))</f>
        <v>17</v>
      </c>
      <c r="V235" s="50">
        <f>SUMPRODUCT((Per_Clase="Indirecto")*((17&gt;Corte)*(17&lt;=Corte+n_Ventana)*ISNUMBER(Detalle_24m!V$154:V$183)*Detalle_24m!V$154:V$183+(1-(17&gt;Corte)*(17&lt;=Corte+n_Ventana)*ISNUMBER(Detalle_24m!V$154:V$183))*INDEX(Dot_V,0,MIN(10,V$173))*(V$171+V$172*V_PreInd)))</f>
        <v>17</v>
      </c>
      <c r="W235" s="50">
        <f>SUMPRODUCT((Per_Clase="Indirecto")*((18&gt;Corte)*(18&lt;=Corte+n_Ventana)*ISNUMBER(Detalle_24m!W$154:W$183)*Detalle_24m!W$154:W$183+(1-(18&gt;Corte)*(18&lt;=Corte+n_Ventana)*ISNUMBER(Detalle_24m!W$154:W$183))*INDEX(Dot_V,0,MIN(10,W$173))*(W$171+W$172*V_PreInd)))</f>
        <v>17</v>
      </c>
      <c r="X235" s="50">
        <f>SUMPRODUCT((Per_Clase="Indirecto")*((19&gt;Corte)*(19&lt;=Corte+n_Ventana)*ISNUMBER(Detalle_24m!X$154:X$183)*Detalle_24m!X$154:X$183+(1-(19&gt;Corte)*(19&lt;=Corte+n_Ventana)*ISNUMBER(Detalle_24m!X$154:X$183))*INDEX(Dot_V,0,MIN(10,X$173))*(X$171+X$172*V_PreInd)))</f>
        <v>17</v>
      </c>
      <c r="Y235" s="50">
        <f>SUMPRODUCT((Per_Clase="Indirecto")*((20&gt;Corte)*(20&lt;=Corte+n_Ventana)*ISNUMBER(Detalle_24m!Y$154:Y$183)*Detalle_24m!Y$154:Y$183+(1-(20&gt;Corte)*(20&lt;=Corte+n_Ventana)*ISNUMBER(Detalle_24m!Y$154:Y$183))*INDEX(Dot_V,0,MIN(10,Y$173))*(Y$171+Y$172*V_PreInd)))</f>
        <v>17</v>
      </c>
      <c r="Z235" s="50">
        <f>SUMPRODUCT((Per_Clase="Indirecto")*((21&gt;Corte)*(21&lt;=Corte+n_Ventana)*ISNUMBER(Detalle_24m!Z$154:Z$183)*Detalle_24m!Z$154:Z$183+(1-(21&gt;Corte)*(21&lt;=Corte+n_Ventana)*ISNUMBER(Detalle_24m!Z$154:Z$183))*INDEX(Dot_V,0,MIN(10,Z$173))*(Z$171+Z$172*V_PreInd)))</f>
        <v>17</v>
      </c>
      <c r="AA235" s="50">
        <f>SUMPRODUCT((Per_Clase="Indirecto")*((22&gt;Corte)*(22&lt;=Corte+n_Ventana)*ISNUMBER(Detalle_24m!AA$154:AA$183)*Detalle_24m!AA$154:AA$183+(1-(22&gt;Corte)*(22&lt;=Corte+n_Ventana)*ISNUMBER(Detalle_24m!AA$154:AA$183))*INDEX(Dot_V,0,MIN(10,AA$173))*(AA$171+AA$172*V_PreInd)))</f>
        <v>17</v>
      </c>
      <c r="AB235" s="50">
        <f>SUMPRODUCT((Per_Clase="Indirecto")*((23&gt;Corte)*(23&lt;=Corte+n_Ventana)*ISNUMBER(Detalle_24m!AB$154:AB$183)*Detalle_24m!AB$154:AB$183+(1-(23&gt;Corte)*(23&lt;=Corte+n_Ventana)*ISNUMBER(Detalle_24m!AB$154:AB$183))*INDEX(Dot_V,0,MIN(10,AB$173))*(AB$171+AB$172*V_PreInd)))</f>
        <v>17</v>
      </c>
      <c r="AC235" s="50">
        <f>SUMPRODUCT((Per_Clase="Indirecto")*((24&gt;Corte)*(24&lt;=Corte+n_Ventana)*ISNUMBER(Detalle_24m!AC$154:AC$183)*Detalle_24m!AC$154:AC$183+(1-(24&gt;Corte)*(24&lt;=Corte+n_Ventana)*ISNUMBER(Detalle_24m!AC$154:AC$183))*INDEX(Dot_V,0,MIN(10,AC$173))*(AC$171+AC$172*V_PreInd)))</f>
        <v>17</v>
      </c>
      <c r="AD235" s="50">
        <f>SUMPRODUCT((Per_Clase="Indirecto")*((25&gt;Corte)*(25&lt;=Corte+n_Ventana)*ISNUMBER(Detalle_24m!AD$154:AD$183)*Detalle_24m!AD$154:AD$183+(1-(25&gt;Corte)*(25&lt;=Corte+n_Ventana)*ISNUMBER(Detalle_24m!AD$154:AD$183))*INDEX(Dot_V,0,MIN(10,AD$173))*(AD$171+AD$172*V_PreInd)))</f>
        <v>17</v>
      </c>
      <c r="AE235" s="50">
        <f>SUMPRODUCT((Per_Clase="Indirecto")*((26&gt;Corte)*(26&lt;=Corte+n_Ventana)*ISNUMBER(Detalle_24m!AE$154:AE$183)*Detalle_24m!AE$154:AE$183+(1-(26&gt;Corte)*(26&lt;=Corte+n_Ventana)*ISNUMBER(Detalle_24m!AE$154:AE$183))*INDEX(Dot_V,0,MIN(10,AE$173))*(AE$171+AE$172*V_PreInd)))</f>
        <v>17</v>
      </c>
      <c r="AF235" s="50">
        <f>SUMPRODUCT((Per_Clase="Indirecto")*((27&gt;Corte)*(27&lt;=Corte+n_Ventana)*ISNUMBER(Detalle_24m!AF$154:AF$183)*Detalle_24m!AF$154:AF$183+(1-(27&gt;Corte)*(27&lt;=Corte+n_Ventana)*ISNUMBER(Detalle_24m!AF$154:AF$183))*INDEX(Dot_V,0,MIN(10,AF$173))*(AF$171+AF$172*V_PreInd)))</f>
        <v>17</v>
      </c>
      <c r="AG235" s="50">
        <f>SUMPRODUCT((Per_Clase="Indirecto")*((28&gt;Corte)*(28&lt;=Corte+n_Ventana)*ISNUMBER(Detalle_24m!AG$154:AG$183)*Detalle_24m!AG$154:AG$183+(1-(28&gt;Corte)*(28&lt;=Corte+n_Ventana)*ISNUMBER(Detalle_24m!AG$154:AG$183))*INDEX(Dot_V,0,MIN(10,AG$173))*(AG$171+AG$172*V_PreInd)))</f>
        <v>17</v>
      </c>
      <c r="AH235" s="50">
        <f>SUMPRODUCT((Per_Clase="Indirecto")*((29&gt;Corte)*(29&lt;=Corte+n_Ventana)*ISNUMBER(Detalle_24m!AH$154:AH$183)*Detalle_24m!AH$154:AH$183+(1-(29&gt;Corte)*(29&lt;=Corte+n_Ventana)*ISNUMBER(Detalle_24m!AH$154:AH$183))*INDEX(Dot_V,0,MIN(10,AH$173))*(AH$171+AH$172*V_PreInd)))</f>
        <v>17</v>
      </c>
      <c r="AI235" s="50">
        <f>SUMPRODUCT((Per_Clase="Indirecto")*((30&gt;Corte)*(30&lt;=Corte+n_Ventana)*ISNUMBER(Detalle_24m!AI$154:AI$183)*Detalle_24m!AI$154:AI$183+(1-(30&gt;Corte)*(30&lt;=Corte+n_Ventana)*ISNUMBER(Detalle_24m!AI$154:AI$183))*INDEX(Dot_V,0,MIN(10,AI$173))*(AI$171+AI$172*V_PreInd)))</f>
        <v>17</v>
      </c>
      <c r="AJ235" s="50">
        <f>SUMPRODUCT((Per_Clase="Indirecto")*((31&gt;Corte)*(31&lt;=Corte+n_Ventana)*ISNUMBER(Detalle_24m!AJ$154:AJ$183)*Detalle_24m!AJ$154:AJ$183+(1-(31&gt;Corte)*(31&lt;=Corte+n_Ventana)*ISNUMBER(Detalle_24m!AJ$154:AJ$183))*INDEX(Dot_V,0,MIN(10,AJ$173))*(AJ$171+AJ$172*V_PreInd)))</f>
        <v>17</v>
      </c>
      <c r="AK235" s="50">
        <f>SUMPRODUCT((Per_Clase="Indirecto")*((32&gt;Corte)*(32&lt;=Corte+n_Ventana)*ISNUMBER(Detalle_24m!AK$154:AK$183)*Detalle_24m!AK$154:AK$183+(1-(32&gt;Corte)*(32&lt;=Corte+n_Ventana)*ISNUMBER(Detalle_24m!AK$154:AK$183))*INDEX(Dot_V,0,MIN(10,AK$173))*(AK$171+AK$172*V_PreInd)))</f>
        <v>17</v>
      </c>
      <c r="AL235" s="50">
        <f>SUMPRODUCT((Per_Clase="Indirecto")*((33&gt;Corte)*(33&lt;=Corte+n_Ventana)*ISNUMBER(Detalle_24m!AL$154:AL$183)*Detalle_24m!AL$154:AL$183+(1-(33&gt;Corte)*(33&lt;=Corte+n_Ventana)*ISNUMBER(Detalle_24m!AL$154:AL$183))*INDEX(Dot_V,0,MIN(10,AL$173))*(AL$171+AL$172*V_PreInd)))</f>
        <v>17</v>
      </c>
      <c r="AM235" s="50">
        <f>SUMPRODUCT((Per_Clase="Indirecto")*((34&gt;Corte)*(34&lt;=Corte+n_Ventana)*ISNUMBER(Detalle_24m!AM$154:AM$183)*Detalle_24m!AM$154:AM$183+(1-(34&gt;Corte)*(34&lt;=Corte+n_Ventana)*ISNUMBER(Detalle_24m!AM$154:AM$183))*INDEX(Dot_V,0,MIN(10,AM$173))*(AM$171+AM$172*V_PreInd)))</f>
        <v>17</v>
      </c>
      <c r="AN235" s="50">
        <f>SUMPRODUCT((Per_Clase="Indirecto")*((35&gt;Corte)*(35&lt;=Corte+n_Ventana)*ISNUMBER(Detalle_24m!AN$154:AN$183)*Detalle_24m!AN$154:AN$183+(1-(35&gt;Corte)*(35&lt;=Corte+n_Ventana)*ISNUMBER(Detalle_24m!AN$154:AN$183))*INDEX(Dot_V,0,MIN(10,AN$173))*(AN$171+AN$172*V_PreInd)))</f>
        <v>17</v>
      </c>
      <c r="AO235" s="50">
        <f>SUMPRODUCT((Per_Clase="Indirecto")*((36&gt;Corte)*(36&lt;=Corte+n_Ventana)*ISNUMBER(Detalle_24m!AO$154:AO$183)*Detalle_24m!AO$154:AO$183+(1-(36&gt;Corte)*(36&lt;=Corte+n_Ventana)*ISNUMBER(Detalle_24m!AO$154:AO$183))*INDEX(Dot_V,0,MIN(10,AO$173))*(AO$171+AO$172*V_PreInd)))</f>
        <v>17</v>
      </c>
      <c r="AP235" s="50">
        <f>SUMPRODUCT((Per_Clase="Indirecto")*((37&gt;Corte)*(37&lt;=Corte+n_Ventana)*ISNUMBER(Detalle_24m!AP$154:AP$183)*Detalle_24m!AP$154:AP$183+(1-(37&gt;Corte)*(37&lt;=Corte+n_Ventana)*ISNUMBER(Detalle_24m!AP$154:AP$183))*INDEX(Dot_V,0,MIN(10,AP$173))*(AP$171+AP$172*V_PreInd)))</f>
        <v>17</v>
      </c>
      <c r="AQ235" s="50">
        <f>SUMPRODUCT((Per_Clase="Indirecto")*((38&gt;Corte)*(38&lt;=Corte+n_Ventana)*ISNUMBER(Detalle_24m!AQ$154:AQ$183)*Detalle_24m!AQ$154:AQ$183+(1-(38&gt;Corte)*(38&lt;=Corte+n_Ventana)*ISNUMBER(Detalle_24m!AQ$154:AQ$183))*INDEX(Dot_V,0,MIN(10,AQ$173))*(AQ$171+AQ$172*V_PreInd)))</f>
        <v>17</v>
      </c>
      <c r="AR235" s="50">
        <f>SUMPRODUCT((Per_Clase="Indirecto")*((39&gt;Corte)*(39&lt;=Corte+n_Ventana)*ISNUMBER(Detalle_24m!AR$154:AR$183)*Detalle_24m!AR$154:AR$183+(1-(39&gt;Corte)*(39&lt;=Corte+n_Ventana)*ISNUMBER(Detalle_24m!AR$154:AR$183))*INDEX(Dot_V,0,MIN(10,AR$173))*(AR$171+AR$172*V_PreInd)))</f>
        <v>17</v>
      </c>
      <c r="AS235" s="50">
        <f>SUMPRODUCT((Per_Clase="Indirecto")*((40&gt;Corte)*(40&lt;=Corte+n_Ventana)*ISNUMBER(Detalle_24m!AS$154:AS$183)*Detalle_24m!AS$154:AS$183+(1-(40&gt;Corte)*(40&lt;=Corte+n_Ventana)*ISNUMBER(Detalle_24m!AS$154:AS$183))*INDEX(Dot_V,0,MIN(10,AS$173))*(AS$171+AS$172*V_PreInd)))</f>
        <v>17</v>
      </c>
      <c r="AT235" s="50">
        <f>SUMPRODUCT((Per_Clase="Indirecto")*((41&gt;Corte)*(41&lt;=Corte+n_Ventana)*ISNUMBER(Detalle_24m!AT$154:AT$183)*Detalle_24m!AT$154:AT$183+(1-(41&gt;Corte)*(41&lt;=Corte+n_Ventana)*ISNUMBER(Detalle_24m!AT$154:AT$183))*INDEX(Dot_V,0,MIN(10,AT$173))*(AT$171+AT$172*V_PreInd)))</f>
        <v>17</v>
      </c>
      <c r="AU235" s="50">
        <f>SUMPRODUCT((Per_Clase="Indirecto")*((42&gt;Corte)*(42&lt;=Corte+n_Ventana)*ISNUMBER(Detalle_24m!AU$154:AU$183)*Detalle_24m!AU$154:AU$183+(1-(42&gt;Corte)*(42&lt;=Corte+n_Ventana)*ISNUMBER(Detalle_24m!AU$154:AU$183))*INDEX(Dot_V,0,MIN(10,AU$173))*(AU$171+AU$172*V_PreInd)))</f>
        <v>17</v>
      </c>
      <c r="AV235" s="50">
        <f>SUMPRODUCT((Per_Clase="Indirecto")*((43&gt;Corte)*(43&lt;=Corte+n_Ventana)*ISNUMBER(Detalle_24m!AV$154:AV$183)*Detalle_24m!AV$154:AV$183+(1-(43&gt;Corte)*(43&lt;=Corte+n_Ventana)*ISNUMBER(Detalle_24m!AV$154:AV$183))*INDEX(Dot_V,0,MIN(10,AV$173))*(AV$171+AV$172*V_PreInd)))</f>
        <v>17</v>
      </c>
      <c r="AW235" s="50">
        <f>SUMPRODUCT((Per_Clase="Indirecto")*((44&gt;Corte)*(44&lt;=Corte+n_Ventana)*ISNUMBER(Detalle_24m!AW$154:AW$183)*Detalle_24m!AW$154:AW$183+(1-(44&gt;Corte)*(44&lt;=Corte+n_Ventana)*ISNUMBER(Detalle_24m!AW$154:AW$183))*INDEX(Dot_V,0,MIN(10,AW$173))*(AW$171+AW$172*V_PreInd)))</f>
        <v>17</v>
      </c>
      <c r="AX235" s="50">
        <f>SUMPRODUCT((Per_Clase="Indirecto")*((45&gt;Corte)*(45&lt;=Corte+n_Ventana)*ISNUMBER(Detalle_24m!AX$154:AX$183)*Detalle_24m!AX$154:AX$183+(1-(45&gt;Corte)*(45&lt;=Corte+n_Ventana)*ISNUMBER(Detalle_24m!AX$154:AX$183))*INDEX(Dot_V,0,MIN(10,AX$173))*(AX$171+AX$172*V_PreInd)))</f>
        <v>17</v>
      </c>
      <c r="AY235" s="50">
        <f>SUMPRODUCT((Per_Clase="Indirecto")*((46&gt;Corte)*(46&lt;=Corte+n_Ventana)*ISNUMBER(Detalle_24m!AY$154:AY$183)*Detalle_24m!AY$154:AY$183+(1-(46&gt;Corte)*(46&lt;=Corte+n_Ventana)*ISNUMBER(Detalle_24m!AY$154:AY$183))*INDEX(Dot_V,0,MIN(10,AY$173))*(AY$171+AY$172*V_PreInd)))</f>
        <v>17</v>
      </c>
      <c r="AZ235" s="50">
        <f>SUMPRODUCT((Per_Clase="Indirecto")*((47&gt;Corte)*(47&lt;=Corte+n_Ventana)*ISNUMBER(Detalle_24m!AZ$154:AZ$183)*Detalle_24m!AZ$154:AZ$183+(1-(47&gt;Corte)*(47&lt;=Corte+n_Ventana)*ISNUMBER(Detalle_24m!AZ$154:AZ$183))*INDEX(Dot_V,0,MIN(10,AZ$173))*(AZ$171+AZ$172*V_PreInd)))</f>
        <v>17</v>
      </c>
      <c r="BA235" s="50">
        <f>SUMPRODUCT((Per_Clase="Indirecto")*((48&gt;Corte)*(48&lt;=Corte+n_Ventana)*ISNUMBER(Detalle_24m!BA$154:BA$183)*Detalle_24m!BA$154:BA$183+(1-(48&gt;Corte)*(48&lt;=Corte+n_Ventana)*ISNUMBER(Detalle_24m!BA$154:BA$183))*INDEX(Dot_V,0,MIN(10,BA$173))*(BA$171+BA$172*V_PreInd)))</f>
        <v>17</v>
      </c>
      <c r="BB235" s="50">
        <f>SUMPRODUCT((Per_Clase="Indirecto")*((49&gt;Corte)*(49&lt;=Corte+n_Ventana)*ISNUMBER(Detalle_24m!BB$154:BB$183)*Detalle_24m!BB$154:BB$183+(1-(49&gt;Corte)*(49&lt;=Corte+n_Ventana)*ISNUMBER(Detalle_24m!BB$154:BB$183))*INDEX(Dot_V,0,MIN(10,BB$173))*(BB$171+BB$172*V_PreInd)))</f>
        <v>17</v>
      </c>
      <c r="BC235" s="50">
        <f>SUMPRODUCT((Per_Clase="Indirecto")*((50&gt;Corte)*(50&lt;=Corte+n_Ventana)*ISNUMBER(Detalle_24m!BC$154:BC$183)*Detalle_24m!BC$154:BC$183+(1-(50&gt;Corte)*(50&lt;=Corte+n_Ventana)*ISNUMBER(Detalle_24m!BC$154:BC$183))*INDEX(Dot_V,0,MIN(10,BC$173))*(BC$171+BC$172*V_PreInd)))</f>
        <v>17</v>
      </c>
      <c r="BD235" s="50">
        <f>SUMPRODUCT((Per_Clase="Indirecto")*((51&gt;Corte)*(51&lt;=Corte+n_Ventana)*ISNUMBER(Detalle_24m!BD$154:BD$183)*Detalle_24m!BD$154:BD$183+(1-(51&gt;Corte)*(51&lt;=Corte+n_Ventana)*ISNUMBER(Detalle_24m!BD$154:BD$183))*INDEX(Dot_V,0,MIN(10,BD$173))*(BD$171+BD$172*V_PreInd)))</f>
        <v>17</v>
      </c>
      <c r="BE235" s="50">
        <f>SUMPRODUCT((Per_Clase="Indirecto")*((52&gt;Corte)*(52&lt;=Corte+n_Ventana)*ISNUMBER(Detalle_24m!BE$154:BE$183)*Detalle_24m!BE$154:BE$183+(1-(52&gt;Corte)*(52&lt;=Corte+n_Ventana)*ISNUMBER(Detalle_24m!BE$154:BE$183))*INDEX(Dot_V,0,MIN(10,BE$173))*(BE$171+BE$172*V_PreInd)))</f>
        <v>17</v>
      </c>
      <c r="BF235" s="50">
        <f>SUMPRODUCT((Per_Clase="Indirecto")*((53&gt;Corte)*(53&lt;=Corte+n_Ventana)*ISNUMBER(Detalle_24m!BF$154:BF$183)*Detalle_24m!BF$154:BF$183+(1-(53&gt;Corte)*(53&lt;=Corte+n_Ventana)*ISNUMBER(Detalle_24m!BF$154:BF$183))*INDEX(Dot_V,0,MIN(10,BF$173))*(BF$171+BF$172*V_PreInd)))</f>
        <v>17</v>
      </c>
      <c r="BG235" s="50">
        <f>SUMPRODUCT((Per_Clase="Indirecto")*((54&gt;Corte)*(54&lt;=Corte+n_Ventana)*ISNUMBER(Detalle_24m!BG$154:BG$183)*Detalle_24m!BG$154:BG$183+(1-(54&gt;Corte)*(54&lt;=Corte+n_Ventana)*ISNUMBER(Detalle_24m!BG$154:BG$183))*INDEX(Dot_V,0,MIN(10,BG$173))*(BG$171+BG$172*V_PreInd)))</f>
        <v>17</v>
      </c>
      <c r="BH235" s="50">
        <f>SUMPRODUCT((Per_Clase="Indirecto")*((55&gt;Corte)*(55&lt;=Corte+n_Ventana)*ISNUMBER(Detalle_24m!BH$154:BH$183)*Detalle_24m!BH$154:BH$183+(1-(55&gt;Corte)*(55&lt;=Corte+n_Ventana)*ISNUMBER(Detalle_24m!BH$154:BH$183))*INDEX(Dot_V,0,MIN(10,BH$173))*(BH$171+BH$172*V_PreInd)))</f>
        <v>17</v>
      </c>
      <c r="BI235" s="50">
        <f>SUMPRODUCT((Per_Clase="Indirecto")*((56&gt;Corte)*(56&lt;=Corte+n_Ventana)*ISNUMBER(Detalle_24m!BI$154:BI$183)*Detalle_24m!BI$154:BI$183+(1-(56&gt;Corte)*(56&lt;=Corte+n_Ventana)*ISNUMBER(Detalle_24m!BI$154:BI$183))*INDEX(Dot_V,0,MIN(10,BI$173))*(BI$171+BI$172*V_PreInd)))</f>
        <v>17</v>
      </c>
      <c r="BJ235" s="50">
        <f>SUMPRODUCT((Per_Clase="Indirecto")*((57&gt;Corte)*(57&lt;=Corte+n_Ventana)*ISNUMBER(Detalle_24m!BJ$154:BJ$183)*Detalle_24m!BJ$154:BJ$183+(1-(57&gt;Corte)*(57&lt;=Corte+n_Ventana)*ISNUMBER(Detalle_24m!BJ$154:BJ$183))*INDEX(Dot_V,0,MIN(10,BJ$173))*(BJ$171+BJ$172*V_PreInd)))</f>
        <v>17</v>
      </c>
      <c r="BK235" s="50">
        <f>SUMPRODUCT((Per_Clase="Indirecto")*((58&gt;Corte)*(58&lt;=Corte+n_Ventana)*ISNUMBER(Detalle_24m!BK$154:BK$183)*Detalle_24m!BK$154:BK$183+(1-(58&gt;Corte)*(58&lt;=Corte+n_Ventana)*ISNUMBER(Detalle_24m!BK$154:BK$183))*INDEX(Dot_V,0,MIN(10,BK$173))*(BK$171+BK$172*V_PreInd)))</f>
        <v>17</v>
      </c>
      <c r="BL235" s="50">
        <f>SUMPRODUCT((Per_Clase="Indirecto")*((59&gt;Corte)*(59&lt;=Corte+n_Ventana)*ISNUMBER(Detalle_24m!BL$154:BL$183)*Detalle_24m!BL$154:BL$183+(1-(59&gt;Corte)*(59&lt;=Corte+n_Ventana)*ISNUMBER(Detalle_24m!BL$154:BL$183))*INDEX(Dot_V,0,MIN(10,BL$173))*(BL$171+BL$172*V_PreInd)))</f>
        <v>17</v>
      </c>
      <c r="BM235" s="50">
        <f>SUMPRODUCT((Per_Clase="Indirecto")*((60&gt;Corte)*(60&lt;=Corte+n_Ventana)*ISNUMBER(Detalle_24m!BM$154:BM$183)*Detalle_24m!BM$154:BM$183+(1-(60&gt;Corte)*(60&lt;=Corte+n_Ventana)*ISNUMBER(Detalle_24m!BM$154:BM$183))*INDEX(Dot_V,0,MIN(10,BM$173))*(BM$171+BM$172*V_PreInd)))</f>
        <v>17</v>
      </c>
      <c r="BN235" s="50">
        <f>SUMPRODUCT((Per_Clase="Indirecto")*((61&gt;Corte)*(61&lt;=Corte+n_Ventana)*ISNUMBER(Detalle_24m!BN$154:BN$183)*Detalle_24m!BN$154:BN$183+(1-(61&gt;Corte)*(61&lt;=Corte+n_Ventana)*ISNUMBER(Detalle_24m!BN$154:BN$183))*INDEX(Dot_V,0,MIN(10,BN$173))*(BN$171+BN$172*V_PreInd)))</f>
        <v>17</v>
      </c>
      <c r="BO235" s="50">
        <f>SUMPRODUCT((Per_Clase="Indirecto")*((62&gt;Corte)*(62&lt;=Corte+n_Ventana)*ISNUMBER(Detalle_24m!BO$154:BO$183)*Detalle_24m!BO$154:BO$183+(1-(62&gt;Corte)*(62&lt;=Corte+n_Ventana)*ISNUMBER(Detalle_24m!BO$154:BO$183))*INDEX(Dot_V,0,MIN(10,BO$173))*(BO$171+BO$172*V_PreInd)))</f>
        <v>17</v>
      </c>
      <c r="BP235" s="50">
        <f>SUMPRODUCT((Per_Clase="Indirecto")*((63&gt;Corte)*(63&lt;=Corte+n_Ventana)*ISNUMBER(Detalle_24m!BP$154:BP$183)*Detalle_24m!BP$154:BP$183+(1-(63&gt;Corte)*(63&lt;=Corte+n_Ventana)*ISNUMBER(Detalle_24m!BP$154:BP$183))*INDEX(Dot_V,0,MIN(10,BP$173))*(BP$171+BP$172*V_PreInd)))</f>
        <v>17</v>
      </c>
      <c r="BQ235" s="50">
        <f>SUMPRODUCT((Per_Clase="Indirecto")*((64&gt;Corte)*(64&lt;=Corte+n_Ventana)*ISNUMBER(Detalle_24m!BQ$154:BQ$183)*Detalle_24m!BQ$154:BQ$183+(1-(64&gt;Corte)*(64&lt;=Corte+n_Ventana)*ISNUMBER(Detalle_24m!BQ$154:BQ$183))*INDEX(Dot_V,0,MIN(10,BQ$173))*(BQ$171+BQ$172*V_PreInd)))</f>
        <v>17</v>
      </c>
      <c r="BR235" s="50">
        <f>SUMPRODUCT((Per_Clase="Indirecto")*((65&gt;Corte)*(65&lt;=Corte+n_Ventana)*ISNUMBER(Detalle_24m!BR$154:BR$183)*Detalle_24m!BR$154:BR$183+(1-(65&gt;Corte)*(65&lt;=Corte+n_Ventana)*ISNUMBER(Detalle_24m!BR$154:BR$183))*INDEX(Dot_V,0,MIN(10,BR$173))*(BR$171+BR$172*V_PreInd)))</f>
        <v>17</v>
      </c>
      <c r="BS235" s="50">
        <f>SUMPRODUCT((Per_Clase="Indirecto")*((66&gt;Corte)*(66&lt;=Corte+n_Ventana)*ISNUMBER(Detalle_24m!BS$154:BS$183)*Detalle_24m!BS$154:BS$183+(1-(66&gt;Corte)*(66&lt;=Corte+n_Ventana)*ISNUMBER(Detalle_24m!BS$154:BS$183))*INDEX(Dot_V,0,MIN(10,BS$173))*(BS$171+BS$172*V_PreInd)))</f>
        <v>17</v>
      </c>
      <c r="BT235" s="50">
        <f>SUMPRODUCT((Per_Clase="Indirecto")*((67&gt;Corte)*(67&lt;=Corte+n_Ventana)*ISNUMBER(Detalle_24m!BT$154:BT$183)*Detalle_24m!BT$154:BT$183+(1-(67&gt;Corte)*(67&lt;=Corte+n_Ventana)*ISNUMBER(Detalle_24m!BT$154:BT$183))*INDEX(Dot_V,0,MIN(10,BT$173))*(BT$171+BT$172*V_PreInd)))</f>
        <v>17</v>
      </c>
      <c r="BU235" s="50">
        <f>SUMPRODUCT((Per_Clase="Indirecto")*((68&gt;Corte)*(68&lt;=Corte+n_Ventana)*ISNUMBER(Detalle_24m!BU$154:BU$183)*Detalle_24m!BU$154:BU$183+(1-(68&gt;Corte)*(68&lt;=Corte+n_Ventana)*ISNUMBER(Detalle_24m!BU$154:BU$183))*INDEX(Dot_V,0,MIN(10,BU$173))*(BU$171+BU$172*V_PreInd)))</f>
        <v>17</v>
      </c>
      <c r="BV235" s="50">
        <f>SUMPRODUCT((Per_Clase="Indirecto")*((69&gt;Corte)*(69&lt;=Corte+n_Ventana)*ISNUMBER(Detalle_24m!BV$154:BV$183)*Detalle_24m!BV$154:BV$183+(1-(69&gt;Corte)*(69&lt;=Corte+n_Ventana)*ISNUMBER(Detalle_24m!BV$154:BV$183))*INDEX(Dot_V,0,MIN(10,BV$173))*(BV$171+BV$172*V_PreInd)))</f>
        <v>17</v>
      </c>
      <c r="BW235" s="50">
        <f>SUMPRODUCT((Per_Clase="Indirecto")*((70&gt;Corte)*(70&lt;=Corte+n_Ventana)*ISNUMBER(Detalle_24m!BW$154:BW$183)*Detalle_24m!BW$154:BW$183+(1-(70&gt;Corte)*(70&lt;=Corte+n_Ventana)*ISNUMBER(Detalle_24m!BW$154:BW$183))*INDEX(Dot_V,0,MIN(10,BW$173))*(BW$171+BW$172*V_PreInd)))</f>
        <v>17</v>
      </c>
      <c r="BX235" s="50">
        <f>SUMPRODUCT((Per_Clase="Indirecto")*((71&gt;Corte)*(71&lt;=Corte+n_Ventana)*ISNUMBER(Detalle_24m!BX$154:BX$183)*Detalle_24m!BX$154:BX$183+(1-(71&gt;Corte)*(71&lt;=Corte+n_Ventana)*ISNUMBER(Detalle_24m!BX$154:BX$183))*INDEX(Dot_V,0,MIN(10,BX$173))*(BX$171+BX$172*V_PreInd)))</f>
        <v>17</v>
      </c>
      <c r="BY235" s="50">
        <f>SUMPRODUCT((Per_Clase="Indirecto")*((72&gt;Corte)*(72&lt;=Corte+n_Ventana)*ISNUMBER(Detalle_24m!BY$154:BY$183)*Detalle_24m!BY$154:BY$183+(1-(72&gt;Corte)*(72&lt;=Corte+n_Ventana)*ISNUMBER(Detalle_24m!BY$154:BY$183))*INDEX(Dot_V,0,MIN(10,BY$173))*(BY$171+BY$172*V_PreInd)))</f>
        <v>17</v>
      </c>
      <c r="BZ235" s="50">
        <f>SUMPRODUCT((Per_Clase="Indirecto")*((73&gt;Corte)*(73&lt;=Corte+n_Ventana)*ISNUMBER(Detalle_24m!BZ$154:BZ$183)*Detalle_24m!BZ$154:BZ$183+(1-(73&gt;Corte)*(73&lt;=Corte+n_Ventana)*ISNUMBER(Detalle_24m!BZ$154:BZ$183))*INDEX(Dot_V,0,MIN(10,BZ$173))*(BZ$171+BZ$172*V_PreInd)))</f>
        <v>17</v>
      </c>
      <c r="CA235" s="50">
        <f>SUMPRODUCT((Per_Clase="Indirecto")*((74&gt;Corte)*(74&lt;=Corte+n_Ventana)*ISNUMBER(Detalle_24m!CA$154:CA$183)*Detalle_24m!CA$154:CA$183+(1-(74&gt;Corte)*(74&lt;=Corte+n_Ventana)*ISNUMBER(Detalle_24m!CA$154:CA$183))*INDEX(Dot_V,0,MIN(10,CA$173))*(CA$171+CA$172*V_PreInd)))</f>
        <v>17</v>
      </c>
      <c r="CB235" s="50">
        <f>SUMPRODUCT((Per_Clase="Indirecto")*((75&gt;Corte)*(75&lt;=Corte+n_Ventana)*ISNUMBER(Detalle_24m!CB$154:CB$183)*Detalle_24m!CB$154:CB$183+(1-(75&gt;Corte)*(75&lt;=Corte+n_Ventana)*ISNUMBER(Detalle_24m!CB$154:CB$183))*INDEX(Dot_V,0,MIN(10,CB$173))*(CB$171+CB$172*V_PreInd)))</f>
        <v>17</v>
      </c>
      <c r="CC235" s="50">
        <f>SUMPRODUCT((Per_Clase="Indirecto")*((76&gt;Corte)*(76&lt;=Corte+n_Ventana)*ISNUMBER(Detalle_24m!CC$154:CC$183)*Detalle_24m!CC$154:CC$183+(1-(76&gt;Corte)*(76&lt;=Corte+n_Ventana)*ISNUMBER(Detalle_24m!CC$154:CC$183))*INDEX(Dot_V,0,MIN(10,CC$173))*(CC$171+CC$172*V_PreInd)))</f>
        <v>17</v>
      </c>
      <c r="CD235" s="50">
        <f>SUMPRODUCT((Per_Clase="Indirecto")*((77&gt;Corte)*(77&lt;=Corte+n_Ventana)*ISNUMBER(Detalle_24m!CD$154:CD$183)*Detalle_24m!CD$154:CD$183+(1-(77&gt;Corte)*(77&lt;=Corte+n_Ventana)*ISNUMBER(Detalle_24m!CD$154:CD$183))*INDEX(Dot_V,0,MIN(10,CD$173))*(CD$171+CD$172*V_PreInd)))</f>
        <v>17</v>
      </c>
      <c r="CE235" s="50">
        <f>SUMPRODUCT((Per_Clase="Indirecto")*((78&gt;Corte)*(78&lt;=Corte+n_Ventana)*ISNUMBER(Detalle_24m!CE$154:CE$183)*Detalle_24m!CE$154:CE$183+(1-(78&gt;Corte)*(78&lt;=Corte+n_Ventana)*ISNUMBER(Detalle_24m!CE$154:CE$183))*INDEX(Dot_V,0,MIN(10,CE$173))*(CE$171+CE$172*V_PreInd)))</f>
        <v>17</v>
      </c>
      <c r="CF235" s="50">
        <f>SUMPRODUCT((Per_Clase="Indirecto")*((79&gt;Corte)*(79&lt;=Corte+n_Ventana)*ISNUMBER(Detalle_24m!CF$154:CF$183)*Detalle_24m!CF$154:CF$183+(1-(79&gt;Corte)*(79&lt;=Corte+n_Ventana)*ISNUMBER(Detalle_24m!CF$154:CF$183))*INDEX(Dot_V,0,MIN(10,CF$173))*(CF$171+CF$172*V_PreInd)))</f>
        <v>17</v>
      </c>
      <c r="CG235" s="50">
        <f>SUMPRODUCT((Per_Clase="Indirecto")*((80&gt;Corte)*(80&lt;=Corte+n_Ventana)*ISNUMBER(Detalle_24m!CG$154:CG$183)*Detalle_24m!CG$154:CG$183+(1-(80&gt;Corte)*(80&lt;=Corte+n_Ventana)*ISNUMBER(Detalle_24m!CG$154:CG$183))*INDEX(Dot_V,0,MIN(10,CG$173))*(CG$171+CG$172*V_PreInd)))</f>
        <v>17</v>
      </c>
      <c r="CH235" s="50">
        <f>SUMPRODUCT((Per_Clase="Indirecto")*((81&gt;Corte)*(81&lt;=Corte+n_Ventana)*ISNUMBER(Detalle_24m!CH$154:CH$183)*Detalle_24m!CH$154:CH$183+(1-(81&gt;Corte)*(81&lt;=Corte+n_Ventana)*ISNUMBER(Detalle_24m!CH$154:CH$183))*INDEX(Dot_V,0,MIN(10,CH$173))*(CH$171+CH$172*V_PreInd)))</f>
        <v>17</v>
      </c>
      <c r="CI235" s="50">
        <f>SUMPRODUCT((Per_Clase="Indirecto")*((82&gt;Corte)*(82&lt;=Corte+n_Ventana)*ISNUMBER(Detalle_24m!CI$154:CI$183)*Detalle_24m!CI$154:CI$183+(1-(82&gt;Corte)*(82&lt;=Corte+n_Ventana)*ISNUMBER(Detalle_24m!CI$154:CI$183))*INDEX(Dot_V,0,MIN(10,CI$173))*(CI$171+CI$172*V_PreInd)))</f>
        <v>17</v>
      </c>
      <c r="CJ235" s="50">
        <f>SUMPRODUCT((Per_Clase="Indirecto")*((83&gt;Corte)*(83&lt;=Corte+n_Ventana)*ISNUMBER(Detalle_24m!CJ$154:CJ$183)*Detalle_24m!CJ$154:CJ$183+(1-(83&gt;Corte)*(83&lt;=Corte+n_Ventana)*ISNUMBER(Detalle_24m!CJ$154:CJ$183))*INDEX(Dot_V,0,MIN(10,CJ$173))*(CJ$171+CJ$172*V_PreInd)))</f>
        <v>17</v>
      </c>
      <c r="CK235" s="50">
        <f>SUMPRODUCT((Per_Clase="Indirecto")*((84&gt;Corte)*(84&lt;=Corte+n_Ventana)*ISNUMBER(Detalle_24m!CK$154:CK$183)*Detalle_24m!CK$154:CK$183+(1-(84&gt;Corte)*(84&lt;=Corte+n_Ventana)*ISNUMBER(Detalle_24m!CK$154:CK$183))*INDEX(Dot_V,0,MIN(10,CK$173))*(CK$171+CK$172*V_PreInd)))</f>
        <v>17</v>
      </c>
      <c r="CL235" s="50">
        <f>SUMPRODUCT((Per_Clase="Indirecto")*((85&gt;Corte)*(85&lt;=Corte+n_Ventana)*ISNUMBER(Detalle_24m!CL$154:CL$183)*Detalle_24m!CL$154:CL$183+(1-(85&gt;Corte)*(85&lt;=Corte+n_Ventana)*ISNUMBER(Detalle_24m!CL$154:CL$183))*INDEX(Dot_V,0,MIN(10,CL$173))*(CL$171+CL$172*V_PreInd)))</f>
        <v>17</v>
      </c>
      <c r="CM235" s="50">
        <f>SUMPRODUCT((Per_Clase="Indirecto")*((86&gt;Corte)*(86&lt;=Corte+n_Ventana)*ISNUMBER(Detalle_24m!CM$154:CM$183)*Detalle_24m!CM$154:CM$183+(1-(86&gt;Corte)*(86&lt;=Corte+n_Ventana)*ISNUMBER(Detalle_24m!CM$154:CM$183))*INDEX(Dot_V,0,MIN(10,CM$173))*(CM$171+CM$172*V_PreInd)))</f>
        <v>17</v>
      </c>
      <c r="CN235" s="50">
        <f>SUMPRODUCT((Per_Clase="Indirecto")*((87&gt;Corte)*(87&lt;=Corte+n_Ventana)*ISNUMBER(Detalle_24m!CN$154:CN$183)*Detalle_24m!CN$154:CN$183+(1-(87&gt;Corte)*(87&lt;=Corte+n_Ventana)*ISNUMBER(Detalle_24m!CN$154:CN$183))*INDEX(Dot_V,0,MIN(10,CN$173))*(CN$171+CN$172*V_PreInd)))</f>
        <v>17</v>
      </c>
      <c r="CO235" s="50">
        <f>SUMPRODUCT((Per_Clase="Indirecto")*((88&gt;Corte)*(88&lt;=Corte+n_Ventana)*ISNUMBER(Detalle_24m!CO$154:CO$183)*Detalle_24m!CO$154:CO$183+(1-(88&gt;Corte)*(88&lt;=Corte+n_Ventana)*ISNUMBER(Detalle_24m!CO$154:CO$183))*INDEX(Dot_V,0,MIN(10,CO$173))*(CO$171+CO$172*V_PreInd)))</f>
        <v>17</v>
      </c>
      <c r="CP235" s="50">
        <f>SUMPRODUCT((Per_Clase="Indirecto")*((89&gt;Corte)*(89&lt;=Corte+n_Ventana)*ISNUMBER(Detalle_24m!CP$154:CP$183)*Detalle_24m!CP$154:CP$183+(1-(89&gt;Corte)*(89&lt;=Corte+n_Ventana)*ISNUMBER(Detalle_24m!CP$154:CP$183))*INDEX(Dot_V,0,MIN(10,CP$173))*(CP$171+CP$172*V_PreInd)))</f>
        <v>17</v>
      </c>
      <c r="CQ235" s="50">
        <f>SUMPRODUCT((Per_Clase="Indirecto")*((90&gt;Corte)*(90&lt;=Corte+n_Ventana)*ISNUMBER(Detalle_24m!CQ$154:CQ$183)*Detalle_24m!CQ$154:CQ$183+(1-(90&gt;Corte)*(90&lt;=Corte+n_Ventana)*ISNUMBER(Detalle_24m!CQ$154:CQ$183))*INDEX(Dot_V,0,MIN(10,CQ$173))*(CQ$171+CQ$172*V_PreInd)))</f>
        <v>17</v>
      </c>
      <c r="CR235" s="50">
        <f>SUMPRODUCT((Per_Clase="Indirecto")*((91&gt;Corte)*(91&lt;=Corte+n_Ventana)*ISNUMBER(Detalle_24m!CR$154:CR$183)*Detalle_24m!CR$154:CR$183+(1-(91&gt;Corte)*(91&lt;=Corte+n_Ventana)*ISNUMBER(Detalle_24m!CR$154:CR$183))*INDEX(Dot_V,0,MIN(10,CR$173))*(CR$171+CR$172*V_PreInd)))</f>
        <v>17</v>
      </c>
      <c r="CS235" s="50">
        <f>SUMPRODUCT((Per_Clase="Indirecto")*((92&gt;Corte)*(92&lt;=Corte+n_Ventana)*ISNUMBER(Detalle_24m!CS$154:CS$183)*Detalle_24m!CS$154:CS$183+(1-(92&gt;Corte)*(92&lt;=Corte+n_Ventana)*ISNUMBER(Detalle_24m!CS$154:CS$183))*INDEX(Dot_V,0,MIN(10,CS$173))*(CS$171+CS$172*V_PreInd)))</f>
        <v>17</v>
      </c>
      <c r="CT235" s="50">
        <f>SUMPRODUCT((Per_Clase="Indirecto")*((93&gt;Corte)*(93&lt;=Corte+n_Ventana)*ISNUMBER(Detalle_24m!CT$154:CT$183)*Detalle_24m!CT$154:CT$183+(1-(93&gt;Corte)*(93&lt;=Corte+n_Ventana)*ISNUMBER(Detalle_24m!CT$154:CT$183))*INDEX(Dot_V,0,MIN(10,CT$173))*(CT$171+CT$172*V_PreInd)))</f>
        <v>17</v>
      </c>
      <c r="CU235" s="50">
        <f>SUMPRODUCT((Per_Clase="Indirecto")*((94&gt;Corte)*(94&lt;=Corte+n_Ventana)*ISNUMBER(Detalle_24m!CU$154:CU$183)*Detalle_24m!CU$154:CU$183+(1-(94&gt;Corte)*(94&lt;=Corte+n_Ventana)*ISNUMBER(Detalle_24m!CU$154:CU$183))*INDEX(Dot_V,0,MIN(10,CU$173))*(CU$171+CU$172*V_PreInd)))</f>
        <v>17</v>
      </c>
      <c r="CV235" s="50">
        <f>SUMPRODUCT((Per_Clase="Indirecto")*((95&gt;Corte)*(95&lt;=Corte+n_Ventana)*ISNUMBER(Detalle_24m!CV$154:CV$183)*Detalle_24m!CV$154:CV$183+(1-(95&gt;Corte)*(95&lt;=Corte+n_Ventana)*ISNUMBER(Detalle_24m!CV$154:CV$183))*INDEX(Dot_V,0,MIN(10,CV$173))*(CV$171+CV$172*V_PreInd)))</f>
        <v>17</v>
      </c>
      <c r="CW235" s="50">
        <f>SUMPRODUCT((Per_Clase="Indirecto")*((96&gt;Corte)*(96&lt;=Corte+n_Ventana)*ISNUMBER(Detalle_24m!CW$154:CW$183)*Detalle_24m!CW$154:CW$183+(1-(96&gt;Corte)*(96&lt;=Corte+n_Ventana)*ISNUMBER(Detalle_24m!CW$154:CW$183))*INDEX(Dot_V,0,MIN(10,CW$173))*(CW$171+CW$172*V_PreInd)))</f>
        <v>17</v>
      </c>
      <c r="CX235" s="50">
        <f>SUMPRODUCT((Per_Clase="Indirecto")*((97&gt;Corte)*(97&lt;=Corte+n_Ventana)*ISNUMBER(Detalle_24m!CX$154:CX$183)*Detalle_24m!CX$154:CX$183+(1-(97&gt;Corte)*(97&lt;=Corte+n_Ventana)*ISNUMBER(Detalle_24m!CX$154:CX$183))*INDEX(Dot_V,0,MIN(10,CX$173))*(CX$171+CX$172*V_PreInd)))</f>
        <v>17</v>
      </c>
      <c r="CY235" s="50">
        <f>SUMPRODUCT((Per_Clase="Indirecto")*((98&gt;Corte)*(98&lt;=Corte+n_Ventana)*ISNUMBER(Detalle_24m!CY$154:CY$183)*Detalle_24m!CY$154:CY$183+(1-(98&gt;Corte)*(98&lt;=Corte+n_Ventana)*ISNUMBER(Detalle_24m!CY$154:CY$183))*INDEX(Dot_V,0,MIN(10,CY$173))*(CY$171+CY$172*V_PreInd)))</f>
        <v>17</v>
      </c>
      <c r="CZ235" s="50">
        <f>SUMPRODUCT((Per_Clase="Indirecto")*((99&gt;Corte)*(99&lt;=Corte+n_Ventana)*ISNUMBER(Detalle_24m!CZ$154:CZ$183)*Detalle_24m!CZ$154:CZ$183+(1-(99&gt;Corte)*(99&lt;=Corte+n_Ventana)*ISNUMBER(Detalle_24m!CZ$154:CZ$183))*INDEX(Dot_V,0,MIN(10,CZ$173))*(CZ$171+CZ$172*V_PreInd)))</f>
        <v>17</v>
      </c>
      <c r="DA235" s="50">
        <f>SUMPRODUCT((Per_Clase="Indirecto")*((100&gt;Corte)*(100&lt;=Corte+n_Ventana)*ISNUMBER(Detalle_24m!DA$154:DA$183)*Detalle_24m!DA$154:DA$183+(1-(100&gt;Corte)*(100&lt;=Corte+n_Ventana)*ISNUMBER(Detalle_24m!DA$154:DA$183))*INDEX(Dot_V,0,MIN(10,DA$173))*(DA$171+DA$172*V_PreInd)))</f>
        <v>17</v>
      </c>
      <c r="DB235" s="50">
        <f>SUMPRODUCT((Per_Clase="Indirecto")*((101&gt;Corte)*(101&lt;=Corte+n_Ventana)*ISNUMBER(Detalle_24m!DB$154:DB$183)*Detalle_24m!DB$154:DB$183+(1-(101&gt;Corte)*(101&lt;=Corte+n_Ventana)*ISNUMBER(Detalle_24m!DB$154:DB$183))*INDEX(Dot_V,0,MIN(10,DB$173))*(DB$171+DB$172*V_PreInd)))</f>
        <v>17</v>
      </c>
      <c r="DC235" s="50">
        <f>SUMPRODUCT((Per_Clase="Indirecto")*((102&gt;Corte)*(102&lt;=Corte+n_Ventana)*ISNUMBER(Detalle_24m!DC$154:DC$183)*Detalle_24m!DC$154:DC$183+(1-(102&gt;Corte)*(102&lt;=Corte+n_Ventana)*ISNUMBER(Detalle_24m!DC$154:DC$183))*INDEX(Dot_V,0,MIN(10,DC$173))*(DC$171+DC$172*V_PreInd)))</f>
        <v>17</v>
      </c>
      <c r="DD235" s="50">
        <f>SUMPRODUCT((Per_Clase="Indirecto")*((103&gt;Corte)*(103&lt;=Corte+n_Ventana)*ISNUMBER(Detalle_24m!DD$154:DD$183)*Detalle_24m!DD$154:DD$183+(1-(103&gt;Corte)*(103&lt;=Corte+n_Ventana)*ISNUMBER(Detalle_24m!DD$154:DD$183))*INDEX(Dot_V,0,MIN(10,DD$173))*(DD$171+DD$172*V_PreInd)))</f>
        <v>17</v>
      </c>
      <c r="DE235" s="50">
        <f>SUMPRODUCT((Per_Clase="Indirecto")*((104&gt;Corte)*(104&lt;=Corte+n_Ventana)*ISNUMBER(Detalle_24m!DE$154:DE$183)*Detalle_24m!DE$154:DE$183+(1-(104&gt;Corte)*(104&lt;=Corte+n_Ventana)*ISNUMBER(Detalle_24m!DE$154:DE$183))*INDEX(Dot_V,0,MIN(10,DE$173))*(DE$171+DE$172*V_PreInd)))</f>
        <v>17</v>
      </c>
      <c r="DF235" s="50">
        <f>SUMPRODUCT((Per_Clase="Indirecto")*((105&gt;Corte)*(105&lt;=Corte+n_Ventana)*ISNUMBER(Detalle_24m!DF$154:DF$183)*Detalle_24m!DF$154:DF$183+(1-(105&gt;Corte)*(105&lt;=Corte+n_Ventana)*ISNUMBER(Detalle_24m!DF$154:DF$183))*INDEX(Dot_V,0,MIN(10,DF$173))*(DF$171+DF$172*V_PreInd)))</f>
        <v>17</v>
      </c>
      <c r="DG235" s="50">
        <f>SUMPRODUCT((Per_Clase="Indirecto")*((106&gt;Corte)*(106&lt;=Corte+n_Ventana)*ISNUMBER(Detalle_24m!DG$154:DG$183)*Detalle_24m!DG$154:DG$183+(1-(106&gt;Corte)*(106&lt;=Corte+n_Ventana)*ISNUMBER(Detalle_24m!DG$154:DG$183))*INDEX(Dot_V,0,MIN(10,DG$173))*(DG$171+DG$172*V_PreInd)))</f>
        <v>17</v>
      </c>
      <c r="DH235" s="50">
        <f>SUMPRODUCT((Per_Clase="Indirecto")*((107&gt;Corte)*(107&lt;=Corte+n_Ventana)*ISNUMBER(Detalle_24m!DH$154:DH$183)*Detalle_24m!DH$154:DH$183+(1-(107&gt;Corte)*(107&lt;=Corte+n_Ventana)*ISNUMBER(Detalle_24m!DH$154:DH$183))*INDEX(Dot_V,0,MIN(10,DH$173))*(DH$171+DH$172*V_PreInd)))</f>
        <v>17</v>
      </c>
      <c r="DI235" s="50">
        <f>SUMPRODUCT((Per_Clase="Indirecto")*((108&gt;Corte)*(108&lt;=Corte+n_Ventana)*ISNUMBER(Detalle_24m!DI$154:DI$183)*Detalle_24m!DI$154:DI$183+(1-(108&gt;Corte)*(108&lt;=Corte+n_Ventana)*ISNUMBER(Detalle_24m!DI$154:DI$183))*INDEX(Dot_V,0,MIN(10,DI$173))*(DI$171+DI$172*V_PreInd)))</f>
        <v>17</v>
      </c>
      <c r="DJ235" s="50">
        <f>SUMPRODUCT((Per_Clase="Indirecto")*((109&gt;Corte)*(109&lt;=Corte+n_Ventana)*ISNUMBER(Detalle_24m!DJ$154:DJ$183)*Detalle_24m!DJ$154:DJ$183+(1-(109&gt;Corte)*(109&lt;=Corte+n_Ventana)*ISNUMBER(Detalle_24m!DJ$154:DJ$183))*INDEX(Dot_V,0,MIN(10,DJ$173))*(DJ$171+DJ$172*V_PreInd)))</f>
        <v>17</v>
      </c>
      <c r="DK235" s="50">
        <f>SUMPRODUCT((Per_Clase="Indirecto")*((110&gt;Corte)*(110&lt;=Corte+n_Ventana)*ISNUMBER(Detalle_24m!DK$154:DK$183)*Detalle_24m!DK$154:DK$183+(1-(110&gt;Corte)*(110&lt;=Corte+n_Ventana)*ISNUMBER(Detalle_24m!DK$154:DK$183))*INDEX(Dot_V,0,MIN(10,DK$173))*(DK$171+DK$172*V_PreInd)))</f>
        <v>17</v>
      </c>
      <c r="DL235" s="50">
        <f>SUMPRODUCT((Per_Clase="Indirecto")*((111&gt;Corte)*(111&lt;=Corte+n_Ventana)*ISNUMBER(Detalle_24m!DL$154:DL$183)*Detalle_24m!DL$154:DL$183+(1-(111&gt;Corte)*(111&lt;=Corte+n_Ventana)*ISNUMBER(Detalle_24m!DL$154:DL$183))*INDEX(Dot_V,0,MIN(10,DL$173))*(DL$171+DL$172*V_PreInd)))</f>
        <v>17</v>
      </c>
      <c r="DM235" s="50">
        <f>SUMPRODUCT((Per_Clase="Indirecto")*((112&gt;Corte)*(112&lt;=Corte+n_Ventana)*ISNUMBER(Detalle_24m!DM$154:DM$183)*Detalle_24m!DM$154:DM$183+(1-(112&gt;Corte)*(112&lt;=Corte+n_Ventana)*ISNUMBER(Detalle_24m!DM$154:DM$183))*INDEX(Dot_V,0,MIN(10,DM$173))*(DM$171+DM$172*V_PreInd)))</f>
        <v>17</v>
      </c>
      <c r="DN235" s="50">
        <f>SUMPRODUCT((Per_Clase="Indirecto")*((113&gt;Corte)*(113&lt;=Corte+n_Ventana)*ISNUMBER(Detalle_24m!DN$154:DN$183)*Detalle_24m!DN$154:DN$183+(1-(113&gt;Corte)*(113&lt;=Corte+n_Ventana)*ISNUMBER(Detalle_24m!DN$154:DN$183))*INDEX(Dot_V,0,MIN(10,DN$173))*(DN$171+DN$172*V_PreInd)))</f>
        <v>17</v>
      </c>
      <c r="DO235" s="50">
        <f>SUMPRODUCT((Per_Clase="Indirecto")*((114&gt;Corte)*(114&lt;=Corte+n_Ventana)*ISNUMBER(Detalle_24m!DO$154:DO$183)*Detalle_24m!DO$154:DO$183+(1-(114&gt;Corte)*(114&lt;=Corte+n_Ventana)*ISNUMBER(Detalle_24m!DO$154:DO$183))*INDEX(Dot_V,0,MIN(10,DO$173))*(DO$171+DO$172*V_PreInd)))</f>
        <v>17</v>
      </c>
      <c r="DP235" s="50">
        <f>SUMPRODUCT((Per_Clase="Indirecto")*((115&gt;Corte)*(115&lt;=Corte+n_Ventana)*ISNUMBER(Detalle_24m!DP$154:DP$183)*Detalle_24m!DP$154:DP$183+(1-(115&gt;Corte)*(115&lt;=Corte+n_Ventana)*ISNUMBER(Detalle_24m!DP$154:DP$183))*INDEX(Dot_V,0,MIN(10,DP$173))*(DP$171+DP$172*V_PreInd)))</f>
        <v>17</v>
      </c>
      <c r="DQ235" s="50">
        <f>SUMPRODUCT((Per_Clase="Indirecto")*((116&gt;Corte)*(116&lt;=Corte+n_Ventana)*ISNUMBER(Detalle_24m!DQ$154:DQ$183)*Detalle_24m!DQ$154:DQ$183+(1-(116&gt;Corte)*(116&lt;=Corte+n_Ventana)*ISNUMBER(Detalle_24m!DQ$154:DQ$183))*INDEX(Dot_V,0,MIN(10,DQ$173))*(DQ$171+DQ$172*V_PreInd)))</f>
        <v>17</v>
      </c>
      <c r="DR235" s="50">
        <f>SUMPRODUCT((Per_Clase="Indirecto")*((117&gt;Corte)*(117&lt;=Corte+n_Ventana)*ISNUMBER(Detalle_24m!DR$154:DR$183)*Detalle_24m!DR$154:DR$183+(1-(117&gt;Corte)*(117&lt;=Corte+n_Ventana)*ISNUMBER(Detalle_24m!DR$154:DR$183))*INDEX(Dot_V,0,MIN(10,DR$173))*(DR$171+DR$172*V_PreInd)))</f>
        <v>17</v>
      </c>
      <c r="DS235" s="50">
        <f>SUMPRODUCT((Per_Clase="Indirecto")*((118&gt;Corte)*(118&lt;=Corte+n_Ventana)*ISNUMBER(Detalle_24m!DS$154:DS$183)*Detalle_24m!DS$154:DS$183+(1-(118&gt;Corte)*(118&lt;=Corte+n_Ventana)*ISNUMBER(Detalle_24m!DS$154:DS$183))*INDEX(Dot_V,0,MIN(10,DS$173))*(DS$171+DS$172*V_PreInd)))</f>
        <v>17</v>
      </c>
      <c r="DT235" s="50">
        <f>SUMPRODUCT((Per_Clase="Indirecto")*((119&gt;Corte)*(119&lt;=Corte+n_Ventana)*ISNUMBER(Detalle_24m!DT$154:DT$183)*Detalle_24m!DT$154:DT$183+(1-(119&gt;Corte)*(119&lt;=Corte+n_Ventana)*ISNUMBER(Detalle_24m!DT$154:DT$183))*INDEX(Dot_V,0,MIN(10,DT$173))*(DT$171+DT$172*V_PreInd)))</f>
        <v>17</v>
      </c>
      <c r="DU235" s="50">
        <f>SUMPRODUCT((Per_Clase="Indirecto")*((120&gt;Corte)*(120&lt;=Corte+n_Ventana)*ISNUMBER(Detalle_24m!DU$154:DU$183)*Detalle_24m!DU$154:DU$183+(1-(120&gt;Corte)*(120&lt;=Corte+n_Ventana)*ISNUMBER(Detalle_24m!DU$154:DU$183))*INDEX(Dot_V,0,MIN(10,DU$173))*(DU$171+DU$172*V_PreInd)))</f>
        <v>17</v>
      </c>
      <c r="DV235" s="50">
        <f>SUMPRODUCT((Per_Clase="Indirecto")*((121&gt;Corte)*(121&lt;=Corte+n_Ventana)*ISNUMBER(Detalle_24m!DV$154:DV$183)*Detalle_24m!DV$154:DV$183+(1-(121&gt;Corte)*(121&lt;=Corte+n_Ventana)*ISNUMBER(Detalle_24m!DV$154:DV$183))*INDEX(Dot_V,0,MIN(10,DV$173))*(DV$171+DV$172*V_PreInd)))</f>
        <v>0</v>
      </c>
      <c r="DW235" s="50">
        <f>SUMPRODUCT((Per_Clase="Indirecto")*((122&gt;Corte)*(122&lt;=Corte+n_Ventana)*ISNUMBER(Detalle_24m!DW$154:DW$183)*Detalle_24m!DW$154:DW$183+(1-(122&gt;Corte)*(122&lt;=Corte+n_Ventana)*ISNUMBER(Detalle_24m!DW$154:DW$183))*INDEX(Dot_V,0,MIN(10,DW$173))*(DW$171+DW$172*V_PreInd)))</f>
        <v>0</v>
      </c>
      <c r="DX235" s="50">
        <f>SUMPRODUCT((Per_Clase="Indirecto")*((123&gt;Corte)*(123&lt;=Corte+n_Ventana)*ISNUMBER(Detalle_24m!DX$154:DX$183)*Detalle_24m!DX$154:DX$183+(1-(123&gt;Corte)*(123&lt;=Corte+n_Ventana)*ISNUMBER(Detalle_24m!DX$154:DX$183))*INDEX(Dot_V,0,MIN(10,DX$173))*(DX$171+DX$172*V_PreInd)))</f>
        <v>0</v>
      </c>
      <c r="DY235" s="50">
        <f>SUMPRODUCT((Per_Clase="Indirecto")*((124&gt;Corte)*(124&lt;=Corte+n_Ventana)*ISNUMBER(Detalle_24m!DY$154:DY$183)*Detalle_24m!DY$154:DY$183+(1-(124&gt;Corte)*(124&lt;=Corte+n_Ventana)*ISNUMBER(Detalle_24m!DY$154:DY$183))*INDEX(Dot_V,0,MIN(10,DY$173))*(DY$171+DY$172*V_PreInd)))</f>
        <v>0</v>
      </c>
      <c r="DZ235" s="50">
        <f>SUMPRODUCT((Per_Clase="Indirecto")*((125&gt;Corte)*(125&lt;=Corte+n_Ventana)*ISNUMBER(Detalle_24m!DZ$154:DZ$183)*Detalle_24m!DZ$154:DZ$183+(1-(125&gt;Corte)*(125&lt;=Corte+n_Ventana)*ISNUMBER(Detalle_24m!DZ$154:DZ$183))*INDEX(Dot_V,0,MIN(10,DZ$173))*(DZ$171+DZ$172*V_PreInd)))</f>
        <v>0</v>
      </c>
      <c r="EA235" s="50">
        <f>SUMPRODUCT((Per_Clase="Indirecto")*((126&gt;Corte)*(126&lt;=Corte+n_Ventana)*ISNUMBER(Detalle_24m!EA$154:EA$183)*Detalle_24m!EA$154:EA$183+(1-(126&gt;Corte)*(126&lt;=Corte+n_Ventana)*ISNUMBER(Detalle_24m!EA$154:EA$183))*INDEX(Dot_V,0,MIN(10,EA$173))*(EA$171+EA$172*V_PreInd)))</f>
        <v>0</v>
      </c>
      <c r="EB235" s="50">
        <f>SUMPRODUCT((Per_Clase="Indirecto")*((127&gt;Corte)*(127&lt;=Corte+n_Ventana)*ISNUMBER(Detalle_24m!EB$154:EB$183)*Detalle_24m!EB$154:EB$183+(1-(127&gt;Corte)*(127&lt;=Corte+n_Ventana)*ISNUMBER(Detalle_24m!EB$154:EB$183))*INDEX(Dot_V,0,MIN(10,EB$173))*(EB$171+EB$172*V_PreInd)))</f>
        <v>0</v>
      </c>
      <c r="EC235" s="50">
        <f>SUMPRODUCT((Per_Clase="Indirecto")*((128&gt;Corte)*(128&lt;=Corte+n_Ventana)*ISNUMBER(Detalle_24m!EC$154:EC$183)*Detalle_24m!EC$154:EC$183+(1-(128&gt;Corte)*(128&lt;=Corte+n_Ventana)*ISNUMBER(Detalle_24m!EC$154:EC$183))*INDEX(Dot_V,0,MIN(10,EC$173))*(EC$171+EC$172*V_PreInd)))</f>
        <v>0</v>
      </c>
      <c r="ED235" s="50">
        <f>SUMPRODUCT((Per_Clase="Indirecto")*((129&gt;Corte)*(129&lt;=Corte+n_Ventana)*ISNUMBER(Detalle_24m!ED$154:ED$183)*Detalle_24m!ED$154:ED$183+(1-(129&gt;Corte)*(129&lt;=Corte+n_Ventana)*ISNUMBER(Detalle_24m!ED$154:ED$183))*INDEX(Dot_V,0,MIN(10,ED$173))*(ED$171+ED$172*V_PreInd)))</f>
        <v>0</v>
      </c>
      <c r="EE235" s="50">
        <f>SUMPRODUCT((Per_Clase="Indirecto")*((130&gt;Corte)*(130&lt;=Corte+n_Ventana)*ISNUMBER(Detalle_24m!EE$154:EE$183)*Detalle_24m!EE$154:EE$183+(1-(130&gt;Corte)*(130&lt;=Corte+n_Ventana)*ISNUMBER(Detalle_24m!EE$154:EE$183))*INDEX(Dot_V,0,MIN(10,EE$173))*(EE$171+EE$172*V_PreInd)))</f>
        <v>0</v>
      </c>
      <c r="EF235" s="50">
        <f>SUMPRODUCT((Per_Clase="Indirecto")*((131&gt;Corte)*(131&lt;=Corte+n_Ventana)*ISNUMBER(Detalle_24m!EF$154:EF$183)*Detalle_24m!EF$154:EF$183+(1-(131&gt;Corte)*(131&lt;=Corte+n_Ventana)*ISNUMBER(Detalle_24m!EF$154:EF$183))*INDEX(Dot_V,0,MIN(10,EF$173))*(EF$171+EF$172*V_PreInd)))</f>
        <v>0</v>
      </c>
      <c r="EG235" s="50">
        <f>SUMPRODUCT((Per_Clase="Indirecto")*((132&gt;Corte)*(132&lt;=Corte+n_Ventana)*ISNUMBER(Detalle_24m!EG$154:EG$183)*Detalle_24m!EG$154:EG$183+(1-(132&gt;Corte)*(132&lt;=Corte+n_Ventana)*ISNUMBER(Detalle_24m!EG$154:EG$183))*INDEX(Dot_V,0,MIN(10,EG$173))*(EG$171+EG$172*V_PreInd)))</f>
        <v>0</v>
      </c>
      <c r="EH235" s="50">
        <f>SUMPRODUCT((Per_Clase="Indirecto")*((133&gt;Corte)*(133&lt;=Corte+n_Ventana)*ISNUMBER(Detalle_24m!EH$154:EH$183)*Detalle_24m!EH$154:EH$183+(1-(133&gt;Corte)*(133&lt;=Corte+n_Ventana)*ISNUMBER(Detalle_24m!EH$154:EH$183))*INDEX(Dot_V,0,MIN(10,EH$173))*(EH$171+EH$172*V_PreInd)))</f>
        <v>0</v>
      </c>
      <c r="EI235" s="50">
        <f>SUMPRODUCT((Per_Clase="Indirecto")*((134&gt;Corte)*(134&lt;=Corte+n_Ventana)*ISNUMBER(Detalle_24m!EI$154:EI$183)*Detalle_24m!EI$154:EI$183+(1-(134&gt;Corte)*(134&lt;=Corte+n_Ventana)*ISNUMBER(Detalle_24m!EI$154:EI$183))*INDEX(Dot_V,0,MIN(10,EI$173))*(EI$171+EI$172*V_PreInd)))</f>
        <v>0</v>
      </c>
      <c r="EJ235" s="50">
        <f>SUMPRODUCT((Per_Clase="Indirecto")*((135&gt;Corte)*(135&lt;=Corte+n_Ventana)*ISNUMBER(Detalle_24m!EJ$154:EJ$183)*Detalle_24m!EJ$154:EJ$183+(1-(135&gt;Corte)*(135&lt;=Corte+n_Ventana)*ISNUMBER(Detalle_24m!EJ$154:EJ$183))*INDEX(Dot_V,0,MIN(10,EJ$173))*(EJ$171+EJ$172*V_PreInd)))</f>
        <v>0</v>
      </c>
      <c r="EK235" s="50">
        <f>SUMPRODUCT((Per_Clase="Indirecto")*((136&gt;Corte)*(136&lt;=Corte+n_Ventana)*ISNUMBER(Detalle_24m!EK$154:EK$183)*Detalle_24m!EK$154:EK$183+(1-(136&gt;Corte)*(136&lt;=Corte+n_Ventana)*ISNUMBER(Detalle_24m!EK$154:EK$183))*INDEX(Dot_V,0,MIN(10,EK$173))*(EK$171+EK$172*V_PreInd)))</f>
        <v>0</v>
      </c>
      <c r="EL235" s="50">
        <f>SUMPRODUCT((Per_Clase="Indirecto")*((137&gt;Corte)*(137&lt;=Corte+n_Ventana)*ISNUMBER(Detalle_24m!EL$154:EL$183)*Detalle_24m!EL$154:EL$183+(1-(137&gt;Corte)*(137&lt;=Corte+n_Ventana)*ISNUMBER(Detalle_24m!EL$154:EL$183))*INDEX(Dot_V,0,MIN(10,EL$173))*(EL$171+EL$172*V_PreInd)))</f>
        <v>0</v>
      </c>
      <c r="EM235" s="50">
        <f>SUMPRODUCT((Per_Clase="Indirecto")*((138&gt;Corte)*(138&lt;=Corte+n_Ventana)*ISNUMBER(Detalle_24m!EM$154:EM$183)*Detalle_24m!EM$154:EM$183+(1-(138&gt;Corte)*(138&lt;=Corte+n_Ventana)*ISNUMBER(Detalle_24m!EM$154:EM$183))*INDEX(Dot_V,0,MIN(10,EM$173))*(EM$171+EM$172*V_PreInd)))</f>
        <v>0</v>
      </c>
      <c r="EN235" s="50">
        <f>SUMPRODUCT((Per_Clase="Indirecto")*((139&gt;Corte)*(139&lt;=Corte+n_Ventana)*ISNUMBER(Detalle_24m!EN$154:EN$183)*Detalle_24m!EN$154:EN$183+(1-(139&gt;Corte)*(139&lt;=Corte+n_Ventana)*ISNUMBER(Detalle_24m!EN$154:EN$183))*INDEX(Dot_V,0,MIN(10,EN$173))*(EN$171+EN$172*V_PreInd)))</f>
        <v>0</v>
      </c>
      <c r="EO235" s="50">
        <f>SUMPRODUCT((Per_Clase="Indirecto")*((140&gt;Corte)*(140&lt;=Corte+n_Ventana)*ISNUMBER(Detalle_24m!EO$154:EO$183)*Detalle_24m!EO$154:EO$183+(1-(140&gt;Corte)*(140&lt;=Corte+n_Ventana)*ISNUMBER(Detalle_24m!EO$154:EO$183))*INDEX(Dot_V,0,MIN(10,EO$173))*(EO$171+EO$172*V_PreInd)))</f>
        <v>0</v>
      </c>
      <c r="EP235" s="50">
        <f>SUMPRODUCT((Per_Clase="Indirecto")*((141&gt;Corte)*(141&lt;=Corte+n_Ventana)*ISNUMBER(Detalle_24m!EP$154:EP$183)*Detalle_24m!EP$154:EP$183+(1-(141&gt;Corte)*(141&lt;=Corte+n_Ventana)*ISNUMBER(Detalle_24m!EP$154:EP$183))*INDEX(Dot_V,0,MIN(10,EP$173))*(EP$171+EP$172*V_PreInd)))</f>
        <v>0</v>
      </c>
      <c r="EQ235" s="50">
        <f>SUMPRODUCT((Per_Clase="Indirecto")*((142&gt;Corte)*(142&lt;=Corte+n_Ventana)*ISNUMBER(Detalle_24m!EQ$154:EQ$183)*Detalle_24m!EQ$154:EQ$183+(1-(142&gt;Corte)*(142&lt;=Corte+n_Ventana)*ISNUMBER(Detalle_24m!EQ$154:EQ$183))*INDEX(Dot_V,0,MIN(10,EQ$173))*(EQ$171+EQ$172*V_PreInd)))</f>
        <v>0</v>
      </c>
      <c r="ER235" s="50">
        <f>SUMPRODUCT((Per_Clase="Indirecto")*((143&gt;Corte)*(143&lt;=Corte+n_Ventana)*ISNUMBER(Detalle_24m!ER$154:ER$183)*Detalle_24m!ER$154:ER$183+(1-(143&gt;Corte)*(143&lt;=Corte+n_Ventana)*ISNUMBER(Detalle_24m!ER$154:ER$183))*INDEX(Dot_V,0,MIN(10,ER$173))*(ER$171+ER$172*V_PreInd)))</f>
        <v>0</v>
      </c>
      <c r="ES235" s="50">
        <f>SUMPRODUCT((Per_Clase="Indirecto")*((144&gt;Corte)*(144&lt;=Corte+n_Ventana)*ISNUMBER(Detalle_24m!ES$154:ES$183)*Detalle_24m!ES$154:ES$183+(1-(144&gt;Corte)*(144&lt;=Corte+n_Ventana)*ISNUMBER(Detalle_24m!ES$154:ES$183))*INDEX(Dot_V,0,MIN(10,ES$173))*(ES$171+ES$172*V_PreInd)))</f>
        <v>0</v>
      </c>
    </row>
    <row r="236" spans="1:149" x14ac:dyDescent="0.3">
      <c r="A236" s="14" t="s">
        <v>1290</v>
      </c>
      <c r="B236" s="18" t="s">
        <v>1066</v>
      </c>
      <c r="C236" s="18" t="s">
        <v>439</v>
      </c>
      <c r="E236" s="54">
        <f>SUM(F236:ES236)</f>
        <v>2451899.3878816445</v>
      </c>
      <c r="F236" s="48">
        <f>SUMPRODUCT((Per_Clase="In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$235*V_Alim*F$175</f>
        <v>20432.494899013698</v>
      </c>
      <c r="G236" s="48">
        <f>SUMPRODUCT((Per_Clase="In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$235*V_Alim*G$175</f>
        <v>20432.494899013698</v>
      </c>
      <c r="H236" s="48">
        <f>SUMPRODUCT((Per_Clase="In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$235*V_Alim*H$175</f>
        <v>20432.494899013698</v>
      </c>
      <c r="I236" s="48">
        <f>SUMPRODUCT((Per_Clase="In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$235*V_Alim*I$175</f>
        <v>20432.494899013698</v>
      </c>
      <c r="J236" s="48">
        <f>SUMPRODUCT((Per_Clase="In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$235*V_Alim*J$175</f>
        <v>20432.494899013698</v>
      </c>
      <c r="K236" s="48">
        <f>SUMPRODUCT((Per_Clase="In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$235*V_Alim*K$175</f>
        <v>20432.494899013698</v>
      </c>
      <c r="L236" s="48">
        <f>SUMPRODUCT((Per_Clase="In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$235*V_Alim*L$175</f>
        <v>20432.494899013698</v>
      </c>
      <c r="M236" s="48">
        <f>SUMPRODUCT((Per_Clase="In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$235*V_Alim*M$175</f>
        <v>20432.494899013698</v>
      </c>
      <c r="N236" s="48">
        <f>SUMPRODUCT((Per_Clase="In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$235*V_Alim*N$175</f>
        <v>20432.494899013698</v>
      </c>
      <c r="O236" s="48">
        <f>SUMPRODUCT((Per_Clase="In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$235*V_Alim*O$175</f>
        <v>20432.494899013698</v>
      </c>
      <c r="P236" s="48">
        <f>SUMPRODUCT((Per_Clase="In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$235*V_Alim*P$175</f>
        <v>20432.494899013698</v>
      </c>
      <c r="Q236" s="48">
        <f>SUMPRODUCT((Per_Clase="In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$235*V_Alim*Q$175</f>
        <v>20432.494899013698</v>
      </c>
      <c r="R236" s="48">
        <f>SUMPRODUCT((Per_Clase="In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$235*V_Alim*R$175</f>
        <v>20432.494899013698</v>
      </c>
      <c r="S236" s="48">
        <f>SUMPRODUCT((Per_Clase="In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$235*V_Alim*S$175</f>
        <v>20432.494899013698</v>
      </c>
      <c r="T236" s="48">
        <f>SUMPRODUCT((Per_Clase="In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$235*V_Alim*T$175</f>
        <v>20432.494899013698</v>
      </c>
      <c r="U236" s="48">
        <f>SUMPRODUCT((Per_Clase="In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$235*V_Alim*U$175</f>
        <v>20432.494899013698</v>
      </c>
      <c r="V236" s="48">
        <f>SUMPRODUCT((Per_Clase="In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$235*V_Alim*V$175</f>
        <v>20432.494899013698</v>
      </c>
      <c r="W236" s="48">
        <f>SUMPRODUCT((Per_Clase="In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$235*V_Alim*W$175</f>
        <v>20432.494899013698</v>
      </c>
      <c r="X236" s="48">
        <f>SUMPRODUCT((Per_Clase="In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$235*V_Alim*X$175</f>
        <v>20432.494899013698</v>
      </c>
      <c r="Y236" s="48">
        <f>SUMPRODUCT((Per_Clase="In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$235*V_Alim*Y$175</f>
        <v>20432.494899013698</v>
      </c>
      <c r="Z236" s="48">
        <f>SUMPRODUCT((Per_Clase="In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$235*V_Alim*Z$175</f>
        <v>20432.494899013698</v>
      </c>
      <c r="AA236" s="48">
        <f>SUMPRODUCT((Per_Clase="In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$235*V_Alim*AA$175</f>
        <v>20432.494899013698</v>
      </c>
      <c r="AB236" s="48">
        <f>SUMPRODUCT((Per_Clase="In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$235*V_Alim*AB$175</f>
        <v>20432.494899013698</v>
      </c>
      <c r="AC236" s="48">
        <f>SUMPRODUCT((Per_Clase="In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$235*V_Alim*AC$175</f>
        <v>20432.494899013698</v>
      </c>
      <c r="AD236" s="48">
        <f>SUMPRODUCT((Per_Clase="In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$235*V_Alim*AD$175</f>
        <v>20432.494899013698</v>
      </c>
      <c r="AE236" s="48">
        <f>SUMPRODUCT((Per_Clase="In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$235*V_Alim*AE$175</f>
        <v>20432.494899013698</v>
      </c>
      <c r="AF236" s="48">
        <f>SUMPRODUCT((Per_Clase="In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$235*V_Alim*AF$175</f>
        <v>20432.494899013698</v>
      </c>
      <c r="AG236" s="48">
        <f>SUMPRODUCT((Per_Clase="In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$235*V_Alim*AG$175</f>
        <v>20432.494899013698</v>
      </c>
      <c r="AH236" s="48">
        <f>SUMPRODUCT((Per_Clase="In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$235*V_Alim*AH$175</f>
        <v>20432.494899013698</v>
      </c>
      <c r="AI236" s="48">
        <f>SUMPRODUCT((Per_Clase="In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$235*V_Alim*AI$175</f>
        <v>20432.494899013698</v>
      </c>
      <c r="AJ236" s="48">
        <f>SUMPRODUCT((Per_Clase="In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$235*V_Alim*AJ$175</f>
        <v>20432.494899013698</v>
      </c>
      <c r="AK236" s="48">
        <f>SUMPRODUCT((Per_Clase="In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$235*V_Alim*AK$175</f>
        <v>20432.494899013698</v>
      </c>
      <c r="AL236" s="48">
        <f>SUMPRODUCT((Per_Clase="In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$235*V_Alim*AL$175</f>
        <v>20432.494899013698</v>
      </c>
      <c r="AM236" s="48">
        <f>SUMPRODUCT((Per_Clase="In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$235*V_Alim*AM$175</f>
        <v>20432.494899013698</v>
      </c>
      <c r="AN236" s="48">
        <f>SUMPRODUCT((Per_Clase="In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$235*V_Alim*AN$175</f>
        <v>20432.494899013698</v>
      </c>
      <c r="AO236" s="48">
        <f>SUMPRODUCT((Per_Clase="In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$235*V_Alim*AO$175</f>
        <v>20432.494899013698</v>
      </c>
      <c r="AP236" s="48">
        <f>SUMPRODUCT((Per_Clase="In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$235*V_Alim*AP$175</f>
        <v>20432.494899013698</v>
      </c>
      <c r="AQ236" s="48">
        <f>SUMPRODUCT((Per_Clase="In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$235*V_Alim*AQ$175</f>
        <v>20432.494899013698</v>
      </c>
      <c r="AR236" s="48">
        <f>SUMPRODUCT((Per_Clase="In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$235*V_Alim*AR$175</f>
        <v>20432.494899013698</v>
      </c>
      <c r="AS236" s="48">
        <f>SUMPRODUCT((Per_Clase="In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$235*V_Alim*AS$175</f>
        <v>20432.494899013698</v>
      </c>
      <c r="AT236" s="48">
        <f>SUMPRODUCT((Per_Clase="In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$235*V_Alim*AT$175</f>
        <v>20432.494899013698</v>
      </c>
      <c r="AU236" s="48">
        <f>SUMPRODUCT((Per_Clase="In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$235*V_Alim*AU$175</f>
        <v>20432.494899013698</v>
      </c>
      <c r="AV236" s="48">
        <f>SUMPRODUCT((Per_Clase="In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$235*V_Alim*AV$175</f>
        <v>20432.494899013698</v>
      </c>
      <c r="AW236" s="48">
        <f>SUMPRODUCT((Per_Clase="In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$235*V_Alim*AW$175</f>
        <v>20432.494899013698</v>
      </c>
      <c r="AX236" s="48">
        <f>SUMPRODUCT((Per_Clase="In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$235*V_Alim*AX$175</f>
        <v>20432.494899013698</v>
      </c>
      <c r="AY236" s="48">
        <f>SUMPRODUCT((Per_Clase="In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$235*V_Alim*AY$175</f>
        <v>20432.494899013698</v>
      </c>
      <c r="AZ236" s="48">
        <f>SUMPRODUCT((Per_Clase="In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$235*V_Alim*AZ$175</f>
        <v>20432.494899013698</v>
      </c>
      <c r="BA236" s="48">
        <f>SUMPRODUCT((Per_Clase="In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$235*V_Alim*BA$175</f>
        <v>20432.494899013698</v>
      </c>
      <c r="BB236" s="48">
        <f>SUMPRODUCT((Per_Clase="In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$235*V_Alim*BB$175</f>
        <v>20432.494899013698</v>
      </c>
      <c r="BC236" s="48">
        <f>SUMPRODUCT((Per_Clase="In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$235*V_Alim*BC$175</f>
        <v>20432.494899013698</v>
      </c>
      <c r="BD236" s="48">
        <f>SUMPRODUCT((Per_Clase="In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$235*V_Alim*BD$175</f>
        <v>20432.494899013698</v>
      </c>
      <c r="BE236" s="48">
        <f>SUMPRODUCT((Per_Clase="In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$235*V_Alim*BE$175</f>
        <v>20432.494899013698</v>
      </c>
      <c r="BF236" s="48">
        <f>SUMPRODUCT((Per_Clase="In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$235*V_Alim*BF$175</f>
        <v>20432.494899013698</v>
      </c>
      <c r="BG236" s="48">
        <f>SUMPRODUCT((Per_Clase="In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$235*V_Alim*BG$175</f>
        <v>20432.494899013698</v>
      </c>
      <c r="BH236" s="48">
        <f>SUMPRODUCT((Per_Clase="In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$235*V_Alim*BH$175</f>
        <v>20432.494899013698</v>
      </c>
      <c r="BI236" s="48">
        <f>SUMPRODUCT((Per_Clase="In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$235*V_Alim*BI$175</f>
        <v>20432.494899013698</v>
      </c>
      <c r="BJ236" s="48">
        <f>SUMPRODUCT((Per_Clase="In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$235*V_Alim*BJ$175</f>
        <v>20432.494899013698</v>
      </c>
      <c r="BK236" s="48">
        <f>SUMPRODUCT((Per_Clase="In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$235*V_Alim*BK$175</f>
        <v>20432.494899013698</v>
      </c>
      <c r="BL236" s="48">
        <f>SUMPRODUCT((Per_Clase="In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$235*V_Alim*BL$175</f>
        <v>20432.494899013698</v>
      </c>
      <c r="BM236" s="48">
        <f>SUMPRODUCT((Per_Clase="In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$235*V_Alim*BM$175</f>
        <v>20432.494899013698</v>
      </c>
      <c r="BN236" s="48">
        <f>SUMPRODUCT((Per_Clase="In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$235*V_Alim*BN$175</f>
        <v>20432.494899013698</v>
      </c>
      <c r="BO236" s="48">
        <f>SUMPRODUCT((Per_Clase="In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$235*V_Alim*BO$175</f>
        <v>20432.494899013698</v>
      </c>
      <c r="BP236" s="48">
        <f>SUMPRODUCT((Per_Clase="In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$235*V_Alim*BP$175</f>
        <v>20432.494899013698</v>
      </c>
      <c r="BQ236" s="48">
        <f>SUMPRODUCT((Per_Clase="In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$235*V_Alim*BQ$175</f>
        <v>20432.494899013698</v>
      </c>
      <c r="BR236" s="48">
        <f>SUMPRODUCT((Per_Clase="In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$235*V_Alim*BR$175</f>
        <v>20432.494899013698</v>
      </c>
      <c r="BS236" s="48">
        <f>SUMPRODUCT((Per_Clase="In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$235*V_Alim*BS$175</f>
        <v>20432.494899013698</v>
      </c>
      <c r="BT236" s="48">
        <f>SUMPRODUCT((Per_Clase="In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$235*V_Alim*BT$175</f>
        <v>20432.494899013698</v>
      </c>
      <c r="BU236" s="48">
        <f>SUMPRODUCT((Per_Clase="In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$235*V_Alim*BU$175</f>
        <v>20432.494899013698</v>
      </c>
      <c r="BV236" s="48">
        <f>SUMPRODUCT((Per_Clase="In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$235*V_Alim*BV$175</f>
        <v>20432.494899013698</v>
      </c>
      <c r="BW236" s="48">
        <f>SUMPRODUCT((Per_Clase="In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$235*V_Alim*BW$175</f>
        <v>20432.494899013698</v>
      </c>
      <c r="BX236" s="48">
        <f>SUMPRODUCT((Per_Clase="In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$235*V_Alim*BX$175</f>
        <v>20432.494899013698</v>
      </c>
      <c r="BY236" s="48">
        <f>SUMPRODUCT((Per_Clase="In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$235*V_Alim*BY$175</f>
        <v>20432.494899013698</v>
      </c>
      <c r="BZ236" s="48">
        <f>SUMPRODUCT((Per_Clase="In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$235*V_Alim*BZ$175</f>
        <v>20432.494899013698</v>
      </c>
      <c r="CA236" s="48">
        <f>SUMPRODUCT((Per_Clase="In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$235*V_Alim*CA$175</f>
        <v>20432.494899013698</v>
      </c>
      <c r="CB236" s="48">
        <f>SUMPRODUCT((Per_Clase="In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$235*V_Alim*CB$175</f>
        <v>20432.494899013698</v>
      </c>
      <c r="CC236" s="48">
        <f>SUMPRODUCT((Per_Clase="In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$235*V_Alim*CC$175</f>
        <v>20432.494899013698</v>
      </c>
      <c r="CD236" s="48">
        <f>SUMPRODUCT((Per_Clase="In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$235*V_Alim*CD$175</f>
        <v>20432.494899013698</v>
      </c>
      <c r="CE236" s="48">
        <f>SUMPRODUCT((Per_Clase="In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$235*V_Alim*CE$175</f>
        <v>20432.494899013698</v>
      </c>
      <c r="CF236" s="48">
        <f>SUMPRODUCT((Per_Clase="In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$235*V_Alim*CF$175</f>
        <v>20432.494899013698</v>
      </c>
      <c r="CG236" s="48">
        <f>SUMPRODUCT((Per_Clase="In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$235*V_Alim*CG$175</f>
        <v>20432.494899013698</v>
      </c>
      <c r="CH236" s="48">
        <f>SUMPRODUCT((Per_Clase="In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$235*V_Alim*CH$175</f>
        <v>20432.494899013698</v>
      </c>
      <c r="CI236" s="48">
        <f>SUMPRODUCT((Per_Clase="In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$235*V_Alim*CI$175</f>
        <v>20432.494899013698</v>
      </c>
      <c r="CJ236" s="48">
        <f>SUMPRODUCT((Per_Clase="In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$235*V_Alim*CJ$175</f>
        <v>20432.494899013698</v>
      </c>
      <c r="CK236" s="48">
        <f>SUMPRODUCT((Per_Clase="In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$235*V_Alim*CK$175</f>
        <v>20432.494899013698</v>
      </c>
      <c r="CL236" s="48">
        <f>SUMPRODUCT((Per_Clase="In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$235*V_Alim*CL$175</f>
        <v>20432.494899013698</v>
      </c>
      <c r="CM236" s="48">
        <f>SUMPRODUCT((Per_Clase="In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$235*V_Alim*CM$175</f>
        <v>20432.494899013698</v>
      </c>
      <c r="CN236" s="48">
        <f>SUMPRODUCT((Per_Clase="In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$235*V_Alim*CN$175</f>
        <v>20432.494899013698</v>
      </c>
      <c r="CO236" s="48">
        <f>SUMPRODUCT((Per_Clase="In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$235*V_Alim*CO$175</f>
        <v>20432.494899013698</v>
      </c>
      <c r="CP236" s="48">
        <f>SUMPRODUCT((Per_Clase="In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$235*V_Alim*CP$175</f>
        <v>20432.494899013698</v>
      </c>
      <c r="CQ236" s="48">
        <f>SUMPRODUCT((Per_Clase="In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$235*V_Alim*CQ$175</f>
        <v>20432.494899013698</v>
      </c>
      <c r="CR236" s="48">
        <f>SUMPRODUCT((Per_Clase="In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$235*V_Alim*CR$175</f>
        <v>20432.494899013698</v>
      </c>
      <c r="CS236" s="48">
        <f>SUMPRODUCT((Per_Clase="In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$235*V_Alim*CS$175</f>
        <v>20432.494899013698</v>
      </c>
      <c r="CT236" s="48">
        <f>SUMPRODUCT((Per_Clase="In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$235*V_Alim*CT$175</f>
        <v>20432.494899013698</v>
      </c>
      <c r="CU236" s="48">
        <f>SUMPRODUCT((Per_Clase="In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$235*V_Alim*CU$175</f>
        <v>20432.494899013698</v>
      </c>
      <c r="CV236" s="48">
        <f>SUMPRODUCT((Per_Clase="In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$235*V_Alim*CV$175</f>
        <v>20432.494899013698</v>
      </c>
      <c r="CW236" s="48">
        <f>SUMPRODUCT((Per_Clase="In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$235*V_Alim*CW$175</f>
        <v>20432.494899013698</v>
      </c>
      <c r="CX236" s="48">
        <f>SUMPRODUCT((Per_Clase="In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$235*V_Alim*CX$175</f>
        <v>20432.494899013698</v>
      </c>
      <c r="CY236" s="48">
        <f>SUMPRODUCT((Per_Clase="In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$235*V_Alim*CY$175</f>
        <v>20432.494899013698</v>
      </c>
      <c r="CZ236" s="48">
        <f>SUMPRODUCT((Per_Clase="In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$235*V_Alim*CZ$175</f>
        <v>20432.494899013698</v>
      </c>
      <c r="DA236" s="48">
        <f>SUMPRODUCT((Per_Clase="In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$235*V_Alim*DA$175</f>
        <v>20432.494899013698</v>
      </c>
      <c r="DB236" s="48">
        <f>SUMPRODUCT((Per_Clase="In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$235*V_Alim*DB$175</f>
        <v>20432.494899013698</v>
      </c>
      <c r="DC236" s="48">
        <f>SUMPRODUCT((Per_Clase="In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$235*V_Alim*DC$175</f>
        <v>20432.494899013698</v>
      </c>
      <c r="DD236" s="48">
        <f>SUMPRODUCT((Per_Clase="In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$235*V_Alim*DD$175</f>
        <v>20432.494899013698</v>
      </c>
      <c r="DE236" s="48">
        <f>SUMPRODUCT((Per_Clase="In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$235*V_Alim*DE$175</f>
        <v>20432.494899013698</v>
      </c>
      <c r="DF236" s="48">
        <f>SUMPRODUCT((Per_Clase="In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$235*V_Alim*DF$175</f>
        <v>20432.494899013698</v>
      </c>
      <c r="DG236" s="48">
        <f>SUMPRODUCT((Per_Clase="In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$235*V_Alim*DG$175</f>
        <v>20432.494899013698</v>
      </c>
      <c r="DH236" s="48">
        <f>SUMPRODUCT((Per_Clase="In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$235*V_Alim*DH$175</f>
        <v>20432.494899013698</v>
      </c>
      <c r="DI236" s="48">
        <f>SUMPRODUCT((Per_Clase="In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$235*V_Alim*DI$175</f>
        <v>20432.494899013698</v>
      </c>
      <c r="DJ236" s="48">
        <f>SUMPRODUCT((Per_Clase="In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$235*V_Alim*DJ$175</f>
        <v>20432.494899013698</v>
      </c>
      <c r="DK236" s="48">
        <f>SUMPRODUCT((Per_Clase="In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$235*V_Alim*DK$175</f>
        <v>20432.494899013698</v>
      </c>
      <c r="DL236" s="48">
        <f>SUMPRODUCT((Per_Clase="In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$235*V_Alim*DL$175</f>
        <v>20432.494899013698</v>
      </c>
      <c r="DM236" s="48">
        <f>SUMPRODUCT((Per_Clase="In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$235*V_Alim*DM$175</f>
        <v>20432.494899013698</v>
      </c>
      <c r="DN236" s="48">
        <f>SUMPRODUCT((Per_Clase="In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$235*V_Alim*DN$175</f>
        <v>20432.494899013698</v>
      </c>
      <c r="DO236" s="48">
        <f>SUMPRODUCT((Per_Clase="In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$235*V_Alim*DO$175</f>
        <v>20432.494899013698</v>
      </c>
      <c r="DP236" s="48">
        <f>SUMPRODUCT((Per_Clase="In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$235*V_Alim*DP$175</f>
        <v>20432.494899013698</v>
      </c>
      <c r="DQ236" s="48">
        <f>SUMPRODUCT((Per_Clase="In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$235*V_Alim*DQ$175</f>
        <v>20432.494899013698</v>
      </c>
      <c r="DR236" s="48">
        <f>SUMPRODUCT((Per_Clase="In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$235*V_Alim*DR$175</f>
        <v>20432.494899013698</v>
      </c>
      <c r="DS236" s="48">
        <f>SUMPRODUCT((Per_Clase="In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$235*V_Alim*DS$175</f>
        <v>20432.494899013698</v>
      </c>
      <c r="DT236" s="48">
        <f>SUMPRODUCT((Per_Clase="In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$235*V_Alim*DT$175</f>
        <v>20432.494899013698</v>
      </c>
      <c r="DU236" s="48">
        <f>SUMPRODUCT((Per_Clase="In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$235*V_Alim*DU$175</f>
        <v>20432.494899013698</v>
      </c>
      <c r="DV236" s="48">
        <f>SUMPRODUCT((Per_Clase="In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$235*V_Alim*DV$175</f>
        <v>0</v>
      </c>
      <c r="DW236" s="48">
        <f>SUMPRODUCT((Per_Clase="In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$235*V_Alim*DW$175</f>
        <v>0</v>
      </c>
      <c r="DX236" s="48">
        <f>SUMPRODUCT((Per_Clase="In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$235*V_Alim*DX$175</f>
        <v>0</v>
      </c>
      <c r="DY236" s="48">
        <f>SUMPRODUCT((Per_Clase="In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$235*V_Alim*DY$175</f>
        <v>0</v>
      </c>
      <c r="DZ236" s="48">
        <f>SUMPRODUCT((Per_Clase="In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$235*V_Alim*DZ$175</f>
        <v>0</v>
      </c>
      <c r="EA236" s="48">
        <f>SUMPRODUCT((Per_Clase="In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$235*V_Alim*EA$175</f>
        <v>0</v>
      </c>
      <c r="EB236" s="48">
        <f>SUMPRODUCT((Per_Clase="In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$235*V_Alim*EB$175</f>
        <v>0</v>
      </c>
      <c r="EC236" s="48">
        <f>SUMPRODUCT((Per_Clase="In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$235*V_Alim*EC$175</f>
        <v>0</v>
      </c>
      <c r="ED236" s="48">
        <f>SUMPRODUCT((Per_Clase="In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$235*V_Alim*ED$175</f>
        <v>0</v>
      </c>
      <c r="EE236" s="48">
        <f>SUMPRODUCT((Per_Clase="In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$235*V_Alim*EE$175</f>
        <v>0</v>
      </c>
      <c r="EF236" s="48">
        <f>SUMPRODUCT((Per_Clase="In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$235*V_Alim*EF$175</f>
        <v>0</v>
      </c>
      <c r="EG236" s="48">
        <f>SUMPRODUCT((Per_Clase="In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$235*V_Alim*EG$175</f>
        <v>0</v>
      </c>
      <c r="EH236" s="48">
        <f>SUMPRODUCT((Per_Clase="In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$235*V_Alim*EH$175</f>
        <v>0</v>
      </c>
      <c r="EI236" s="48">
        <f>SUMPRODUCT((Per_Clase="In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$235*V_Alim*EI$175</f>
        <v>0</v>
      </c>
      <c r="EJ236" s="48">
        <f>SUMPRODUCT((Per_Clase="In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$235*V_Alim*EJ$175</f>
        <v>0</v>
      </c>
      <c r="EK236" s="48">
        <f>SUMPRODUCT((Per_Clase="In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$235*V_Alim*EK$175</f>
        <v>0</v>
      </c>
      <c r="EL236" s="48">
        <f>SUMPRODUCT((Per_Clase="In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$235*V_Alim*EL$175</f>
        <v>0</v>
      </c>
      <c r="EM236" s="48">
        <f>SUMPRODUCT((Per_Clase="In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$235*V_Alim*EM$175</f>
        <v>0</v>
      </c>
      <c r="EN236" s="48">
        <f>SUMPRODUCT((Per_Clase="In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$235*V_Alim*EN$175</f>
        <v>0</v>
      </c>
      <c r="EO236" s="48">
        <f>SUMPRODUCT((Per_Clase="In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$235*V_Alim*EO$175</f>
        <v>0</v>
      </c>
      <c r="EP236" s="48">
        <f>SUMPRODUCT((Per_Clase="In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$235*V_Alim*EP$175</f>
        <v>0</v>
      </c>
      <c r="EQ236" s="48">
        <f>SUMPRODUCT((Per_Clase="In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$235*V_Alim*EQ$175</f>
        <v>0</v>
      </c>
      <c r="ER236" s="48">
        <f>SUMPRODUCT((Per_Clase="In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$235*V_Alim*ER$175</f>
        <v>0</v>
      </c>
      <c r="ES236" s="48">
        <f>SUMPRODUCT((Per_Clase="In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$235*V_Alim*ES$175</f>
        <v>0</v>
      </c>
    </row>
    <row r="237" spans="1:149" x14ac:dyDescent="0.3">
      <c r="A237" s="14" t="s">
        <v>1291</v>
      </c>
      <c r="B237" s="18" t="s">
        <v>1068</v>
      </c>
      <c r="C237" s="18" t="s">
        <v>785</v>
      </c>
      <c r="F237" s="50">
        <f>SUMPRODUCT((Per_Clase="Administración")*((1&gt;Corte)*(1&lt;=Corte+n_Ventana)*ISNUMBER(Detalle_24m!F$154:F$183)*Detalle_24m!F$154:F$183+(1-(1&gt;Corte)*(1&lt;=Corte+n_Ventana)*ISNUMBER(Detalle_24m!F$154:F$183))*INDEX(Dot_V,0,MIN(10,F$173))*(F$171+F$172*V_PreInd)))</f>
        <v>5</v>
      </c>
      <c r="G237" s="50">
        <f>SUMPRODUCT((Per_Clase="Administración")*((2&gt;Corte)*(2&lt;=Corte+n_Ventana)*ISNUMBER(Detalle_24m!G$154:G$183)*Detalle_24m!G$154:G$183+(1-(2&gt;Corte)*(2&lt;=Corte+n_Ventana)*ISNUMBER(Detalle_24m!G$154:G$183))*INDEX(Dot_V,0,MIN(10,G$173))*(G$171+G$172*V_PreInd)))</f>
        <v>5</v>
      </c>
      <c r="H237" s="50">
        <f>SUMPRODUCT((Per_Clase="Administración")*((3&gt;Corte)*(3&lt;=Corte+n_Ventana)*ISNUMBER(Detalle_24m!H$154:H$183)*Detalle_24m!H$154:H$183+(1-(3&gt;Corte)*(3&lt;=Corte+n_Ventana)*ISNUMBER(Detalle_24m!H$154:H$183))*INDEX(Dot_V,0,MIN(10,H$173))*(H$171+H$172*V_PreInd)))</f>
        <v>5</v>
      </c>
      <c r="I237" s="50">
        <f>SUMPRODUCT((Per_Clase="Administración")*((4&gt;Corte)*(4&lt;=Corte+n_Ventana)*ISNUMBER(Detalle_24m!I$154:I$183)*Detalle_24m!I$154:I$183+(1-(4&gt;Corte)*(4&lt;=Corte+n_Ventana)*ISNUMBER(Detalle_24m!I$154:I$183))*INDEX(Dot_V,0,MIN(10,I$173))*(I$171+I$172*V_PreInd)))</f>
        <v>5</v>
      </c>
      <c r="J237" s="50">
        <f>SUMPRODUCT((Per_Clase="Administración")*((5&gt;Corte)*(5&lt;=Corte+n_Ventana)*ISNUMBER(Detalle_24m!J$154:J$183)*Detalle_24m!J$154:J$183+(1-(5&gt;Corte)*(5&lt;=Corte+n_Ventana)*ISNUMBER(Detalle_24m!J$154:J$183))*INDEX(Dot_V,0,MIN(10,J$173))*(J$171+J$172*V_PreInd)))</f>
        <v>5</v>
      </c>
      <c r="K237" s="50">
        <f>SUMPRODUCT((Per_Clase="Administración")*((6&gt;Corte)*(6&lt;=Corte+n_Ventana)*ISNUMBER(Detalle_24m!K$154:K$183)*Detalle_24m!K$154:K$183+(1-(6&gt;Corte)*(6&lt;=Corte+n_Ventana)*ISNUMBER(Detalle_24m!K$154:K$183))*INDEX(Dot_V,0,MIN(10,K$173))*(K$171+K$172*V_PreInd)))</f>
        <v>5</v>
      </c>
      <c r="L237" s="50">
        <f>SUMPRODUCT((Per_Clase="Administración")*((7&gt;Corte)*(7&lt;=Corte+n_Ventana)*ISNUMBER(Detalle_24m!L$154:L$183)*Detalle_24m!L$154:L$183+(1-(7&gt;Corte)*(7&lt;=Corte+n_Ventana)*ISNUMBER(Detalle_24m!L$154:L$183))*INDEX(Dot_V,0,MIN(10,L$173))*(L$171+L$172*V_PreInd)))</f>
        <v>5</v>
      </c>
      <c r="M237" s="50">
        <f>SUMPRODUCT((Per_Clase="Administración")*((8&gt;Corte)*(8&lt;=Corte+n_Ventana)*ISNUMBER(Detalle_24m!M$154:M$183)*Detalle_24m!M$154:M$183+(1-(8&gt;Corte)*(8&lt;=Corte+n_Ventana)*ISNUMBER(Detalle_24m!M$154:M$183))*INDEX(Dot_V,0,MIN(10,M$173))*(M$171+M$172*V_PreInd)))</f>
        <v>5</v>
      </c>
      <c r="N237" s="50">
        <f>SUMPRODUCT((Per_Clase="Administración")*((9&gt;Corte)*(9&lt;=Corte+n_Ventana)*ISNUMBER(Detalle_24m!N$154:N$183)*Detalle_24m!N$154:N$183+(1-(9&gt;Corte)*(9&lt;=Corte+n_Ventana)*ISNUMBER(Detalle_24m!N$154:N$183))*INDEX(Dot_V,0,MIN(10,N$173))*(N$171+N$172*V_PreInd)))</f>
        <v>5</v>
      </c>
      <c r="O237" s="50">
        <f>SUMPRODUCT((Per_Clase="Administración")*((10&gt;Corte)*(10&lt;=Corte+n_Ventana)*ISNUMBER(Detalle_24m!O$154:O$183)*Detalle_24m!O$154:O$183+(1-(10&gt;Corte)*(10&lt;=Corte+n_Ventana)*ISNUMBER(Detalle_24m!O$154:O$183))*INDEX(Dot_V,0,MIN(10,O$173))*(O$171+O$172*V_PreInd)))</f>
        <v>5</v>
      </c>
      <c r="P237" s="50">
        <f>SUMPRODUCT((Per_Clase="Administración")*((11&gt;Corte)*(11&lt;=Corte+n_Ventana)*ISNUMBER(Detalle_24m!P$154:P$183)*Detalle_24m!P$154:P$183+(1-(11&gt;Corte)*(11&lt;=Corte+n_Ventana)*ISNUMBER(Detalle_24m!P$154:P$183))*INDEX(Dot_V,0,MIN(10,P$173))*(P$171+P$172*V_PreInd)))</f>
        <v>5</v>
      </c>
      <c r="Q237" s="50">
        <f>SUMPRODUCT((Per_Clase="Administración")*((12&gt;Corte)*(12&lt;=Corte+n_Ventana)*ISNUMBER(Detalle_24m!Q$154:Q$183)*Detalle_24m!Q$154:Q$183+(1-(12&gt;Corte)*(12&lt;=Corte+n_Ventana)*ISNUMBER(Detalle_24m!Q$154:Q$183))*INDEX(Dot_V,0,MIN(10,Q$173))*(Q$171+Q$172*V_PreInd)))</f>
        <v>5</v>
      </c>
      <c r="R237" s="50">
        <f>SUMPRODUCT((Per_Clase="Administración")*((13&gt;Corte)*(13&lt;=Corte+n_Ventana)*ISNUMBER(Detalle_24m!R$154:R$183)*Detalle_24m!R$154:R$183+(1-(13&gt;Corte)*(13&lt;=Corte+n_Ventana)*ISNUMBER(Detalle_24m!R$154:R$183))*INDEX(Dot_V,0,MIN(10,R$173))*(R$171+R$172*V_PreInd)))</f>
        <v>5</v>
      </c>
      <c r="S237" s="50">
        <f>SUMPRODUCT((Per_Clase="Administración")*((14&gt;Corte)*(14&lt;=Corte+n_Ventana)*ISNUMBER(Detalle_24m!S$154:S$183)*Detalle_24m!S$154:S$183+(1-(14&gt;Corte)*(14&lt;=Corte+n_Ventana)*ISNUMBER(Detalle_24m!S$154:S$183))*INDEX(Dot_V,0,MIN(10,S$173))*(S$171+S$172*V_PreInd)))</f>
        <v>5</v>
      </c>
      <c r="T237" s="50">
        <f>SUMPRODUCT((Per_Clase="Administración")*((15&gt;Corte)*(15&lt;=Corte+n_Ventana)*ISNUMBER(Detalle_24m!T$154:T$183)*Detalle_24m!T$154:T$183+(1-(15&gt;Corte)*(15&lt;=Corte+n_Ventana)*ISNUMBER(Detalle_24m!T$154:T$183))*INDEX(Dot_V,0,MIN(10,T$173))*(T$171+T$172*V_PreInd)))</f>
        <v>5</v>
      </c>
      <c r="U237" s="50">
        <f>SUMPRODUCT((Per_Clase="Administración")*((16&gt;Corte)*(16&lt;=Corte+n_Ventana)*ISNUMBER(Detalle_24m!U$154:U$183)*Detalle_24m!U$154:U$183+(1-(16&gt;Corte)*(16&lt;=Corte+n_Ventana)*ISNUMBER(Detalle_24m!U$154:U$183))*INDEX(Dot_V,0,MIN(10,U$173))*(U$171+U$172*V_PreInd)))</f>
        <v>5</v>
      </c>
      <c r="V237" s="50">
        <f>SUMPRODUCT((Per_Clase="Administración")*((17&gt;Corte)*(17&lt;=Corte+n_Ventana)*ISNUMBER(Detalle_24m!V$154:V$183)*Detalle_24m!V$154:V$183+(1-(17&gt;Corte)*(17&lt;=Corte+n_Ventana)*ISNUMBER(Detalle_24m!V$154:V$183))*INDEX(Dot_V,0,MIN(10,V$173))*(V$171+V$172*V_PreInd)))</f>
        <v>5</v>
      </c>
      <c r="W237" s="50">
        <f>SUMPRODUCT((Per_Clase="Administración")*((18&gt;Corte)*(18&lt;=Corte+n_Ventana)*ISNUMBER(Detalle_24m!W$154:W$183)*Detalle_24m!W$154:W$183+(1-(18&gt;Corte)*(18&lt;=Corte+n_Ventana)*ISNUMBER(Detalle_24m!W$154:W$183))*INDEX(Dot_V,0,MIN(10,W$173))*(W$171+W$172*V_PreInd)))</f>
        <v>5</v>
      </c>
      <c r="X237" s="50">
        <f>SUMPRODUCT((Per_Clase="Administración")*((19&gt;Corte)*(19&lt;=Corte+n_Ventana)*ISNUMBER(Detalle_24m!X$154:X$183)*Detalle_24m!X$154:X$183+(1-(19&gt;Corte)*(19&lt;=Corte+n_Ventana)*ISNUMBER(Detalle_24m!X$154:X$183))*INDEX(Dot_V,0,MIN(10,X$173))*(X$171+X$172*V_PreInd)))</f>
        <v>5</v>
      </c>
      <c r="Y237" s="50">
        <f>SUMPRODUCT((Per_Clase="Administración")*((20&gt;Corte)*(20&lt;=Corte+n_Ventana)*ISNUMBER(Detalle_24m!Y$154:Y$183)*Detalle_24m!Y$154:Y$183+(1-(20&gt;Corte)*(20&lt;=Corte+n_Ventana)*ISNUMBER(Detalle_24m!Y$154:Y$183))*INDEX(Dot_V,0,MIN(10,Y$173))*(Y$171+Y$172*V_PreInd)))</f>
        <v>5</v>
      </c>
      <c r="Z237" s="50">
        <f>SUMPRODUCT((Per_Clase="Administración")*((21&gt;Corte)*(21&lt;=Corte+n_Ventana)*ISNUMBER(Detalle_24m!Z$154:Z$183)*Detalle_24m!Z$154:Z$183+(1-(21&gt;Corte)*(21&lt;=Corte+n_Ventana)*ISNUMBER(Detalle_24m!Z$154:Z$183))*INDEX(Dot_V,0,MIN(10,Z$173))*(Z$171+Z$172*V_PreInd)))</f>
        <v>5</v>
      </c>
      <c r="AA237" s="50">
        <f>SUMPRODUCT((Per_Clase="Administración")*((22&gt;Corte)*(22&lt;=Corte+n_Ventana)*ISNUMBER(Detalle_24m!AA$154:AA$183)*Detalle_24m!AA$154:AA$183+(1-(22&gt;Corte)*(22&lt;=Corte+n_Ventana)*ISNUMBER(Detalle_24m!AA$154:AA$183))*INDEX(Dot_V,0,MIN(10,AA$173))*(AA$171+AA$172*V_PreInd)))</f>
        <v>5</v>
      </c>
      <c r="AB237" s="50">
        <f>SUMPRODUCT((Per_Clase="Administración")*((23&gt;Corte)*(23&lt;=Corte+n_Ventana)*ISNUMBER(Detalle_24m!AB$154:AB$183)*Detalle_24m!AB$154:AB$183+(1-(23&gt;Corte)*(23&lt;=Corte+n_Ventana)*ISNUMBER(Detalle_24m!AB$154:AB$183))*INDEX(Dot_V,0,MIN(10,AB$173))*(AB$171+AB$172*V_PreInd)))</f>
        <v>5</v>
      </c>
      <c r="AC237" s="50">
        <f>SUMPRODUCT((Per_Clase="Administración")*((24&gt;Corte)*(24&lt;=Corte+n_Ventana)*ISNUMBER(Detalle_24m!AC$154:AC$183)*Detalle_24m!AC$154:AC$183+(1-(24&gt;Corte)*(24&lt;=Corte+n_Ventana)*ISNUMBER(Detalle_24m!AC$154:AC$183))*INDEX(Dot_V,0,MIN(10,AC$173))*(AC$171+AC$172*V_PreInd)))</f>
        <v>5</v>
      </c>
      <c r="AD237" s="50">
        <f>SUMPRODUCT((Per_Clase="Administración")*((25&gt;Corte)*(25&lt;=Corte+n_Ventana)*ISNUMBER(Detalle_24m!AD$154:AD$183)*Detalle_24m!AD$154:AD$183+(1-(25&gt;Corte)*(25&lt;=Corte+n_Ventana)*ISNUMBER(Detalle_24m!AD$154:AD$183))*INDEX(Dot_V,0,MIN(10,AD$173))*(AD$171+AD$172*V_PreInd)))</f>
        <v>5</v>
      </c>
      <c r="AE237" s="50">
        <f>SUMPRODUCT((Per_Clase="Administración")*((26&gt;Corte)*(26&lt;=Corte+n_Ventana)*ISNUMBER(Detalle_24m!AE$154:AE$183)*Detalle_24m!AE$154:AE$183+(1-(26&gt;Corte)*(26&lt;=Corte+n_Ventana)*ISNUMBER(Detalle_24m!AE$154:AE$183))*INDEX(Dot_V,0,MIN(10,AE$173))*(AE$171+AE$172*V_PreInd)))</f>
        <v>5</v>
      </c>
      <c r="AF237" s="50">
        <f>SUMPRODUCT((Per_Clase="Administración")*((27&gt;Corte)*(27&lt;=Corte+n_Ventana)*ISNUMBER(Detalle_24m!AF$154:AF$183)*Detalle_24m!AF$154:AF$183+(1-(27&gt;Corte)*(27&lt;=Corte+n_Ventana)*ISNUMBER(Detalle_24m!AF$154:AF$183))*INDEX(Dot_V,0,MIN(10,AF$173))*(AF$171+AF$172*V_PreInd)))</f>
        <v>5</v>
      </c>
      <c r="AG237" s="50">
        <f>SUMPRODUCT((Per_Clase="Administración")*((28&gt;Corte)*(28&lt;=Corte+n_Ventana)*ISNUMBER(Detalle_24m!AG$154:AG$183)*Detalle_24m!AG$154:AG$183+(1-(28&gt;Corte)*(28&lt;=Corte+n_Ventana)*ISNUMBER(Detalle_24m!AG$154:AG$183))*INDEX(Dot_V,0,MIN(10,AG$173))*(AG$171+AG$172*V_PreInd)))</f>
        <v>5</v>
      </c>
      <c r="AH237" s="50">
        <f>SUMPRODUCT((Per_Clase="Administración")*((29&gt;Corte)*(29&lt;=Corte+n_Ventana)*ISNUMBER(Detalle_24m!AH$154:AH$183)*Detalle_24m!AH$154:AH$183+(1-(29&gt;Corte)*(29&lt;=Corte+n_Ventana)*ISNUMBER(Detalle_24m!AH$154:AH$183))*INDEX(Dot_V,0,MIN(10,AH$173))*(AH$171+AH$172*V_PreInd)))</f>
        <v>5</v>
      </c>
      <c r="AI237" s="50">
        <f>SUMPRODUCT((Per_Clase="Administración")*((30&gt;Corte)*(30&lt;=Corte+n_Ventana)*ISNUMBER(Detalle_24m!AI$154:AI$183)*Detalle_24m!AI$154:AI$183+(1-(30&gt;Corte)*(30&lt;=Corte+n_Ventana)*ISNUMBER(Detalle_24m!AI$154:AI$183))*INDEX(Dot_V,0,MIN(10,AI$173))*(AI$171+AI$172*V_PreInd)))</f>
        <v>5</v>
      </c>
      <c r="AJ237" s="50">
        <f>SUMPRODUCT((Per_Clase="Administración")*((31&gt;Corte)*(31&lt;=Corte+n_Ventana)*ISNUMBER(Detalle_24m!AJ$154:AJ$183)*Detalle_24m!AJ$154:AJ$183+(1-(31&gt;Corte)*(31&lt;=Corte+n_Ventana)*ISNUMBER(Detalle_24m!AJ$154:AJ$183))*INDEX(Dot_V,0,MIN(10,AJ$173))*(AJ$171+AJ$172*V_PreInd)))</f>
        <v>5</v>
      </c>
      <c r="AK237" s="50">
        <f>SUMPRODUCT((Per_Clase="Administración")*((32&gt;Corte)*(32&lt;=Corte+n_Ventana)*ISNUMBER(Detalle_24m!AK$154:AK$183)*Detalle_24m!AK$154:AK$183+(1-(32&gt;Corte)*(32&lt;=Corte+n_Ventana)*ISNUMBER(Detalle_24m!AK$154:AK$183))*INDEX(Dot_V,0,MIN(10,AK$173))*(AK$171+AK$172*V_PreInd)))</f>
        <v>5</v>
      </c>
      <c r="AL237" s="50">
        <f>SUMPRODUCT((Per_Clase="Administración")*((33&gt;Corte)*(33&lt;=Corte+n_Ventana)*ISNUMBER(Detalle_24m!AL$154:AL$183)*Detalle_24m!AL$154:AL$183+(1-(33&gt;Corte)*(33&lt;=Corte+n_Ventana)*ISNUMBER(Detalle_24m!AL$154:AL$183))*INDEX(Dot_V,0,MIN(10,AL$173))*(AL$171+AL$172*V_PreInd)))</f>
        <v>5</v>
      </c>
      <c r="AM237" s="50">
        <f>SUMPRODUCT((Per_Clase="Administración")*((34&gt;Corte)*(34&lt;=Corte+n_Ventana)*ISNUMBER(Detalle_24m!AM$154:AM$183)*Detalle_24m!AM$154:AM$183+(1-(34&gt;Corte)*(34&lt;=Corte+n_Ventana)*ISNUMBER(Detalle_24m!AM$154:AM$183))*INDEX(Dot_V,0,MIN(10,AM$173))*(AM$171+AM$172*V_PreInd)))</f>
        <v>5</v>
      </c>
      <c r="AN237" s="50">
        <f>SUMPRODUCT((Per_Clase="Administración")*((35&gt;Corte)*(35&lt;=Corte+n_Ventana)*ISNUMBER(Detalle_24m!AN$154:AN$183)*Detalle_24m!AN$154:AN$183+(1-(35&gt;Corte)*(35&lt;=Corte+n_Ventana)*ISNUMBER(Detalle_24m!AN$154:AN$183))*INDEX(Dot_V,0,MIN(10,AN$173))*(AN$171+AN$172*V_PreInd)))</f>
        <v>5</v>
      </c>
      <c r="AO237" s="50">
        <f>SUMPRODUCT((Per_Clase="Administración")*((36&gt;Corte)*(36&lt;=Corte+n_Ventana)*ISNUMBER(Detalle_24m!AO$154:AO$183)*Detalle_24m!AO$154:AO$183+(1-(36&gt;Corte)*(36&lt;=Corte+n_Ventana)*ISNUMBER(Detalle_24m!AO$154:AO$183))*INDEX(Dot_V,0,MIN(10,AO$173))*(AO$171+AO$172*V_PreInd)))</f>
        <v>5</v>
      </c>
      <c r="AP237" s="50">
        <f>SUMPRODUCT((Per_Clase="Administración")*((37&gt;Corte)*(37&lt;=Corte+n_Ventana)*ISNUMBER(Detalle_24m!AP$154:AP$183)*Detalle_24m!AP$154:AP$183+(1-(37&gt;Corte)*(37&lt;=Corte+n_Ventana)*ISNUMBER(Detalle_24m!AP$154:AP$183))*INDEX(Dot_V,0,MIN(10,AP$173))*(AP$171+AP$172*V_PreInd)))</f>
        <v>5</v>
      </c>
      <c r="AQ237" s="50">
        <f>SUMPRODUCT((Per_Clase="Administración")*((38&gt;Corte)*(38&lt;=Corte+n_Ventana)*ISNUMBER(Detalle_24m!AQ$154:AQ$183)*Detalle_24m!AQ$154:AQ$183+(1-(38&gt;Corte)*(38&lt;=Corte+n_Ventana)*ISNUMBER(Detalle_24m!AQ$154:AQ$183))*INDEX(Dot_V,0,MIN(10,AQ$173))*(AQ$171+AQ$172*V_PreInd)))</f>
        <v>5</v>
      </c>
      <c r="AR237" s="50">
        <f>SUMPRODUCT((Per_Clase="Administración")*((39&gt;Corte)*(39&lt;=Corte+n_Ventana)*ISNUMBER(Detalle_24m!AR$154:AR$183)*Detalle_24m!AR$154:AR$183+(1-(39&gt;Corte)*(39&lt;=Corte+n_Ventana)*ISNUMBER(Detalle_24m!AR$154:AR$183))*INDEX(Dot_V,0,MIN(10,AR$173))*(AR$171+AR$172*V_PreInd)))</f>
        <v>5</v>
      </c>
      <c r="AS237" s="50">
        <f>SUMPRODUCT((Per_Clase="Administración")*((40&gt;Corte)*(40&lt;=Corte+n_Ventana)*ISNUMBER(Detalle_24m!AS$154:AS$183)*Detalle_24m!AS$154:AS$183+(1-(40&gt;Corte)*(40&lt;=Corte+n_Ventana)*ISNUMBER(Detalle_24m!AS$154:AS$183))*INDEX(Dot_V,0,MIN(10,AS$173))*(AS$171+AS$172*V_PreInd)))</f>
        <v>5</v>
      </c>
      <c r="AT237" s="50">
        <f>SUMPRODUCT((Per_Clase="Administración")*((41&gt;Corte)*(41&lt;=Corte+n_Ventana)*ISNUMBER(Detalle_24m!AT$154:AT$183)*Detalle_24m!AT$154:AT$183+(1-(41&gt;Corte)*(41&lt;=Corte+n_Ventana)*ISNUMBER(Detalle_24m!AT$154:AT$183))*INDEX(Dot_V,0,MIN(10,AT$173))*(AT$171+AT$172*V_PreInd)))</f>
        <v>5</v>
      </c>
      <c r="AU237" s="50">
        <f>SUMPRODUCT((Per_Clase="Administración")*((42&gt;Corte)*(42&lt;=Corte+n_Ventana)*ISNUMBER(Detalle_24m!AU$154:AU$183)*Detalle_24m!AU$154:AU$183+(1-(42&gt;Corte)*(42&lt;=Corte+n_Ventana)*ISNUMBER(Detalle_24m!AU$154:AU$183))*INDEX(Dot_V,0,MIN(10,AU$173))*(AU$171+AU$172*V_PreInd)))</f>
        <v>5</v>
      </c>
      <c r="AV237" s="50">
        <f>SUMPRODUCT((Per_Clase="Administración")*((43&gt;Corte)*(43&lt;=Corte+n_Ventana)*ISNUMBER(Detalle_24m!AV$154:AV$183)*Detalle_24m!AV$154:AV$183+(1-(43&gt;Corte)*(43&lt;=Corte+n_Ventana)*ISNUMBER(Detalle_24m!AV$154:AV$183))*INDEX(Dot_V,0,MIN(10,AV$173))*(AV$171+AV$172*V_PreInd)))</f>
        <v>5</v>
      </c>
      <c r="AW237" s="50">
        <f>SUMPRODUCT((Per_Clase="Administración")*((44&gt;Corte)*(44&lt;=Corte+n_Ventana)*ISNUMBER(Detalle_24m!AW$154:AW$183)*Detalle_24m!AW$154:AW$183+(1-(44&gt;Corte)*(44&lt;=Corte+n_Ventana)*ISNUMBER(Detalle_24m!AW$154:AW$183))*INDEX(Dot_V,0,MIN(10,AW$173))*(AW$171+AW$172*V_PreInd)))</f>
        <v>5</v>
      </c>
      <c r="AX237" s="50">
        <f>SUMPRODUCT((Per_Clase="Administración")*((45&gt;Corte)*(45&lt;=Corte+n_Ventana)*ISNUMBER(Detalle_24m!AX$154:AX$183)*Detalle_24m!AX$154:AX$183+(1-(45&gt;Corte)*(45&lt;=Corte+n_Ventana)*ISNUMBER(Detalle_24m!AX$154:AX$183))*INDEX(Dot_V,0,MIN(10,AX$173))*(AX$171+AX$172*V_PreInd)))</f>
        <v>5</v>
      </c>
      <c r="AY237" s="50">
        <f>SUMPRODUCT((Per_Clase="Administración")*((46&gt;Corte)*(46&lt;=Corte+n_Ventana)*ISNUMBER(Detalle_24m!AY$154:AY$183)*Detalle_24m!AY$154:AY$183+(1-(46&gt;Corte)*(46&lt;=Corte+n_Ventana)*ISNUMBER(Detalle_24m!AY$154:AY$183))*INDEX(Dot_V,0,MIN(10,AY$173))*(AY$171+AY$172*V_PreInd)))</f>
        <v>5</v>
      </c>
      <c r="AZ237" s="50">
        <f>SUMPRODUCT((Per_Clase="Administración")*((47&gt;Corte)*(47&lt;=Corte+n_Ventana)*ISNUMBER(Detalle_24m!AZ$154:AZ$183)*Detalle_24m!AZ$154:AZ$183+(1-(47&gt;Corte)*(47&lt;=Corte+n_Ventana)*ISNUMBER(Detalle_24m!AZ$154:AZ$183))*INDEX(Dot_V,0,MIN(10,AZ$173))*(AZ$171+AZ$172*V_PreInd)))</f>
        <v>5</v>
      </c>
      <c r="BA237" s="50">
        <f>SUMPRODUCT((Per_Clase="Administración")*((48&gt;Corte)*(48&lt;=Corte+n_Ventana)*ISNUMBER(Detalle_24m!BA$154:BA$183)*Detalle_24m!BA$154:BA$183+(1-(48&gt;Corte)*(48&lt;=Corte+n_Ventana)*ISNUMBER(Detalle_24m!BA$154:BA$183))*INDEX(Dot_V,0,MIN(10,BA$173))*(BA$171+BA$172*V_PreInd)))</f>
        <v>5</v>
      </c>
      <c r="BB237" s="50">
        <f>SUMPRODUCT((Per_Clase="Administración")*((49&gt;Corte)*(49&lt;=Corte+n_Ventana)*ISNUMBER(Detalle_24m!BB$154:BB$183)*Detalle_24m!BB$154:BB$183+(1-(49&gt;Corte)*(49&lt;=Corte+n_Ventana)*ISNUMBER(Detalle_24m!BB$154:BB$183))*INDEX(Dot_V,0,MIN(10,BB$173))*(BB$171+BB$172*V_PreInd)))</f>
        <v>5</v>
      </c>
      <c r="BC237" s="50">
        <f>SUMPRODUCT((Per_Clase="Administración")*((50&gt;Corte)*(50&lt;=Corte+n_Ventana)*ISNUMBER(Detalle_24m!BC$154:BC$183)*Detalle_24m!BC$154:BC$183+(1-(50&gt;Corte)*(50&lt;=Corte+n_Ventana)*ISNUMBER(Detalle_24m!BC$154:BC$183))*INDEX(Dot_V,0,MIN(10,BC$173))*(BC$171+BC$172*V_PreInd)))</f>
        <v>5</v>
      </c>
      <c r="BD237" s="50">
        <f>SUMPRODUCT((Per_Clase="Administración")*((51&gt;Corte)*(51&lt;=Corte+n_Ventana)*ISNUMBER(Detalle_24m!BD$154:BD$183)*Detalle_24m!BD$154:BD$183+(1-(51&gt;Corte)*(51&lt;=Corte+n_Ventana)*ISNUMBER(Detalle_24m!BD$154:BD$183))*INDEX(Dot_V,0,MIN(10,BD$173))*(BD$171+BD$172*V_PreInd)))</f>
        <v>5</v>
      </c>
      <c r="BE237" s="50">
        <f>SUMPRODUCT((Per_Clase="Administración")*((52&gt;Corte)*(52&lt;=Corte+n_Ventana)*ISNUMBER(Detalle_24m!BE$154:BE$183)*Detalle_24m!BE$154:BE$183+(1-(52&gt;Corte)*(52&lt;=Corte+n_Ventana)*ISNUMBER(Detalle_24m!BE$154:BE$183))*INDEX(Dot_V,0,MIN(10,BE$173))*(BE$171+BE$172*V_PreInd)))</f>
        <v>5</v>
      </c>
      <c r="BF237" s="50">
        <f>SUMPRODUCT((Per_Clase="Administración")*((53&gt;Corte)*(53&lt;=Corte+n_Ventana)*ISNUMBER(Detalle_24m!BF$154:BF$183)*Detalle_24m!BF$154:BF$183+(1-(53&gt;Corte)*(53&lt;=Corte+n_Ventana)*ISNUMBER(Detalle_24m!BF$154:BF$183))*INDEX(Dot_V,0,MIN(10,BF$173))*(BF$171+BF$172*V_PreInd)))</f>
        <v>5</v>
      </c>
      <c r="BG237" s="50">
        <f>SUMPRODUCT((Per_Clase="Administración")*((54&gt;Corte)*(54&lt;=Corte+n_Ventana)*ISNUMBER(Detalle_24m!BG$154:BG$183)*Detalle_24m!BG$154:BG$183+(1-(54&gt;Corte)*(54&lt;=Corte+n_Ventana)*ISNUMBER(Detalle_24m!BG$154:BG$183))*INDEX(Dot_V,0,MIN(10,BG$173))*(BG$171+BG$172*V_PreInd)))</f>
        <v>5</v>
      </c>
      <c r="BH237" s="50">
        <f>SUMPRODUCT((Per_Clase="Administración")*((55&gt;Corte)*(55&lt;=Corte+n_Ventana)*ISNUMBER(Detalle_24m!BH$154:BH$183)*Detalle_24m!BH$154:BH$183+(1-(55&gt;Corte)*(55&lt;=Corte+n_Ventana)*ISNUMBER(Detalle_24m!BH$154:BH$183))*INDEX(Dot_V,0,MIN(10,BH$173))*(BH$171+BH$172*V_PreInd)))</f>
        <v>5</v>
      </c>
      <c r="BI237" s="50">
        <f>SUMPRODUCT((Per_Clase="Administración")*((56&gt;Corte)*(56&lt;=Corte+n_Ventana)*ISNUMBER(Detalle_24m!BI$154:BI$183)*Detalle_24m!BI$154:BI$183+(1-(56&gt;Corte)*(56&lt;=Corte+n_Ventana)*ISNUMBER(Detalle_24m!BI$154:BI$183))*INDEX(Dot_V,0,MIN(10,BI$173))*(BI$171+BI$172*V_PreInd)))</f>
        <v>5</v>
      </c>
      <c r="BJ237" s="50">
        <f>SUMPRODUCT((Per_Clase="Administración")*((57&gt;Corte)*(57&lt;=Corte+n_Ventana)*ISNUMBER(Detalle_24m!BJ$154:BJ$183)*Detalle_24m!BJ$154:BJ$183+(1-(57&gt;Corte)*(57&lt;=Corte+n_Ventana)*ISNUMBER(Detalle_24m!BJ$154:BJ$183))*INDEX(Dot_V,0,MIN(10,BJ$173))*(BJ$171+BJ$172*V_PreInd)))</f>
        <v>5</v>
      </c>
      <c r="BK237" s="50">
        <f>SUMPRODUCT((Per_Clase="Administración")*((58&gt;Corte)*(58&lt;=Corte+n_Ventana)*ISNUMBER(Detalle_24m!BK$154:BK$183)*Detalle_24m!BK$154:BK$183+(1-(58&gt;Corte)*(58&lt;=Corte+n_Ventana)*ISNUMBER(Detalle_24m!BK$154:BK$183))*INDEX(Dot_V,0,MIN(10,BK$173))*(BK$171+BK$172*V_PreInd)))</f>
        <v>5</v>
      </c>
      <c r="BL237" s="50">
        <f>SUMPRODUCT((Per_Clase="Administración")*((59&gt;Corte)*(59&lt;=Corte+n_Ventana)*ISNUMBER(Detalle_24m!BL$154:BL$183)*Detalle_24m!BL$154:BL$183+(1-(59&gt;Corte)*(59&lt;=Corte+n_Ventana)*ISNUMBER(Detalle_24m!BL$154:BL$183))*INDEX(Dot_V,0,MIN(10,BL$173))*(BL$171+BL$172*V_PreInd)))</f>
        <v>5</v>
      </c>
      <c r="BM237" s="50">
        <f>SUMPRODUCT((Per_Clase="Administración")*((60&gt;Corte)*(60&lt;=Corte+n_Ventana)*ISNUMBER(Detalle_24m!BM$154:BM$183)*Detalle_24m!BM$154:BM$183+(1-(60&gt;Corte)*(60&lt;=Corte+n_Ventana)*ISNUMBER(Detalle_24m!BM$154:BM$183))*INDEX(Dot_V,0,MIN(10,BM$173))*(BM$171+BM$172*V_PreInd)))</f>
        <v>5</v>
      </c>
      <c r="BN237" s="50">
        <f>SUMPRODUCT((Per_Clase="Administración")*((61&gt;Corte)*(61&lt;=Corte+n_Ventana)*ISNUMBER(Detalle_24m!BN$154:BN$183)*Detalle_24m!BN$154:BN$183+(1-(61&gt;Corte)*(61&lt;=Corte+n_Ventana)*ISNUMBER(Detalle_24m!BN$154:BN$183))*INDEX(Dot_V,0,MIN(10,BN$173))*(BN$171+BN$172*V_PreInd)))</f>
        <v>5</v>
      </c>
      <c r="BO237" s="50">
        <f>SUMPRODUCT((Per_Clase="Administración")*((62&gt;Corte)*(62&lt;=Corte+n_Ventana)*ISNUMBER(Detalle_24m!BO$154:BO$183)*Detalle_24m!BO$154:BO$183+(1-(62&gt;Corte)*(62&lt;=Corte+n_Ventana)*ISNUMBER(Detalle_24m!BO$154:BO$183))*INDEX(Dot_V,0,MIN(10,BO$173))*(BO$171+BO$172*V_PreInd)))</f>
        <v>5</v>
      </c>
      <c r="BP237" s="50">
        <f>SUMPRODUCT((Per_Clase="Administración")*((63&gt;Corte)*(63&lt;=Corte+n_Ventana)*ISNUMBER(Detalle_24m!BP$154:BP$183)*Detalle_24m!BP$154:BP$183+(1-(63&gt;Corte)*(63&lt;=Corte+n_Ventana)*ISNUMBER(Detalle_24m!BP$154:BP$183))*INDEX(Dot_V,0,MIN(10,BP$173))*(BP$171+BP$172*V_PreInd)))</f>
        <v>5</v>
      </c>
      <c r="BQ237" s="50">
        <f>SUMPRODUCT((Per_Clase="Administración")*((64&gt;Corte)*(64&lt;=Corte+n_Ventana)*ISNUMBER(Detalle_24m!BQ$154:BQ$183)*Detalle_24m!BQ$154:BQ$183+(1-(64&gt;Corte)*(64&lt;=Corte+n_Ventana)*ISNUMBER(Detalle_24m!BQ$154:BQ$183))*INDEX(Dot_V,0,MIN(10,BQ$173))*(BQ$171+BQ$172*V_PreInd)))</f>
        <v>5</v>
      </c>
      <c r="BR237" s="50">
        <f>SUMPRODUCT((Per_Clase="Administración")*((65&gt;Corte)*(65&lt;=Corte+n_Ventana)*ISNUMBER(Detalle_24m!BR$154:BR$183)*Detalle_24m!BR$154:BR$183+(1-(65&gt;Corte)*(65&lt;=Corte+n_Ventana)*ISNUMBER(Detalle_24m!BR$154:BR$183))*INDEX(Dot_V,0,MIN(10,BR$173))*(BR$171+BR$172*V_PreInd)))</f>
        <v>5</v>
      </c>
      <c r="BS237" s="50">
        <f>SUMPRODUCT((Per_Clase="Administración")*((66&gt;Corte)*(66&lt;=Corte+n_Ventana)*ISNUMBER(Detalle_24m!BS$154:BS$183)*Detalle_24m!BS$154:BS$183+(1-(66&gt;Corte)*(66&lt;=Corte+n_Ventana)*ISNUMBER(Detalle_24m!BS$154:BS$183))*INDEX(Dot_V,0,MIN(10,BS$173))*(BS$171+BS$172*V_PreInd)))</f>
        <v>5</v>
      </c>
      <c r="BT237" s="50">
        <f>SUMPRODUCT((Per_Clase="Administración")*((67&gt;Corte)*(67&lt;=Corte+n_Ventana)*ISNUMBER(Detalle_24m!BT$154:BT$183)*Detalle_24m!BT$154:BT$183+(1-(67&gt;Corte)*(67&lt;=Corte+n_Ventana)*ISNUMBER(Detalle_24m!BT$154:BT$183))*INDEX(Dot_V,0,MIN(10,BT$173))*(BT$171+BT$172*V_PreInd)))</f>
        <v>5</v>
      </c>
      <c r="BU237" s="50">
        <f>SUMPRODUCT((Per_Clase="Administración")*((68&gt;Corte)*(68&lt;=Corte+n_Ventana)*ISNUMBER(Detalle_24m!BU$154:BU$183)*Detalle_24m!BU$154:BU$183+(1-(68&gt;Corte)*(68&lt;=Corte+n_Ventana)*ISNUMBER(Detalle_24m!BU$154:BU$183))*INDEX(Dot_V,0,MIN(10,BU$173))*(BU$171+BU$172*V_PreInd)))</f>
        <v>5</v>
      </c>
      <c r="BV237" s="50">
        <f>SUMPRODUCT((Per_Clase="Administración")*((69&gt;Corte)*(69&lt;=Corte+n_Ventana)*ISNUMBER(Detalle_24m!BV$154:BV$183)*Detalle_24m!BV$154:BV$183+(1-(69&gt;Corte)*(69&lt;=Corte+n_Ventana)*ISNUMBER(Detalle_24m!BV$154:BV$183))*INDEX(Dot_V,0,MIN(10,BV$173))*(BV$171+BV$172*V_PreInd)))</f>
        <v>5</v>
      </c>
      <c r="BW237" s="50">
        <f>SUMPRODUCT((Per_Clase="Administración")*((70&gt;Corte)*(70&lt;=Corte+n_Ventana)*ISNUMBER(Detalle_24m!BW$154:BW$183)*Detalle_24m!BW$154:BW$183+(1-(70&gt;Corte)*(70&lt;=Corte+n_Ventana)*ISNUMBER(Detalle_24m!BW$154:BW$183))*INDEX(Dot_V,0,MIN(10,BW$173))*(BW$171+BW$172*V_PreInd)))</f>
        <v>5</v>
      </c>
      <c r="BX237" s="50">
        <f>SUMPRODUCT((Per_Clase="Administración")*((71&gt;Corte)*(71&lt;=Corte+n_Ventana)*ISNUMBER(Detalle_24m!BX$154:BX$183)*Detalle_24m!BX$154:BX$183+(1-(71&gt;Corte)*(71&lt;=Corte+n_Ventana)*ISNUMBER(Detalle_24m!BX$154:BX$183))*INDEX(Dot_V,0,MIN(10,BX$173))*(BX$171+BX$172*V_PreInd)))</f>
        <v>5</v>
      </c>
      <c r="BY237" s="50">
        <f>SUMPRODUCT((Per_Clase="Administración")*((72&gt;Corte)*(72&lt;=Corte+n_Ventana)*ISNUMBER(Detalle_24m!BY$154:BY$183)*Detalle_24m!BY$154:BY$183+(1-(72&gt;Corte)*(72&lt;=Corte+n_Ventana)*ISNUMBER(Detalle_24m!BY$154:BY$183))*INDEX(Dot_V,0,MIN(10,BY$173))*(BY$171+BY$172*V_PreInd)))</f>
        <v>5</v>
      </c>
      <c r="BZ237" s="50">
        <f>SUMPRODUCT((Per_Clase="Administración")*((73&gt;Corte)*(73&lt;=Corte+n_Ventana)*ISNUMBER(Detalle_24m!BZ$154:BZ$183)*Detalle_24m!BZ$154:BZ$183+(1-(73&gt;Corte)*(73&lt;=Corte+n_Ventana)*ISNUMBER(Detalle_24m!BZ$154:BZ$183))*INDEX(Dot_V,0,MIN(10,BZ$173))*(BZ$171+BZ$172*V_PreInd)))</f>
        <v>5</v>
      </c>
      <c r="CA237" s="50">
        <f>SUMPRODUCT((Per_Clase="Administración")*((74&gt;Corte)*(74&lt;=Corte+n_Ventana)*ISNUMBER(Detalle_24m!CA$154:CA$183)*Detalle_24m!CA$154:CA$183+(1-(74&gt;Corte)*(74&lt;=Corte+n_Ventana)*ISNUMBER(Detalle_24m!CA$154:CA$183))*INDEX(Dot_V,0,MIN(10,CA$173))*(CA$171+CA$172*V_PreInd)))</f>
        <v>5</v>
      </c>
      <c r="CB237" s="50">
        <f>SUMPRODUCT((Per_Clase="Administración")*((75&gt;Corte)*(75&lt;=Corte+n_Ventana)*ISNUMBER(Detalle_24m!CB$154:CB$183)*Detalle_24m!CB$154:CB$183+(1-(75&gt;Corte)*(75&lt;=Corte+n_Ventana)*ISNUMBER(Detalle_24m!CB$154:CB$183))*INDEX(Dot_V,0,MIN(10,CB$173))*(CB$171+CB$172*V_PreInd)))</f>
        <v>5</v>
      </c>
      <c r="CC237" s="50">
        <f>SUMPRODUCT((Per_Clase="Administración")*((76&gt;Corte)*(76&lt;=Corte+n_Ventana)*ISNUMBER(Detalle_24m!CC$154:CC$183)*Detalle_24m!CC$154:CC$183+(1-(76&gt;Corte)*(76&lt;=Corte+n_Ventana)*ISNUMBER(Detalle_24m!CC$154:CC$183))*INDEX(Dot_V,0,MIN(10,CC$173))*(CC$171+CC$172*V_PreInd)))</f>
        <v>5</v>
      </c>
      <c r="CD237" s="50">
        <f>SUMPRODUCT((Per_Clase="Administración")*((77&gt;Corte)*(77&lt;=Corte+n_Ventana)*ISNUMBER(Detalle_24m!CD$154:CD$183)*Detalle_24m!CD$154:CD$183+(1-(77&gt;Corte)*(77&lt;=Corte+n_Ventana)*ISNUMBER(Detalle_24m!CD$154:CD$183))*INDEX(Dot_V,0,MIN(10,CD$173))*(CD$171+CD$172*V_PreInd)))</f>
        <v>5</v>
      </c>
      <c r="CE237" s="50">
        <f>SUMPRODUCT((Per_Clase="Administración")*((78&gt;Corte)*(78&lt;=Corte+n_Ventana)*ISNUMBER(Detalle_24m!CE$154:CE$183)*Detalle_24m!CE$154:CE$183+(1-(78&gt;Corte)*(78&lt;=Corte+n_Ventana)*ISNUMBER(Detalle_24m!CE$154:CE$183))*INDEX(Dot_V,0,MIN(10,CE$173))*(CE$171+CE$172*V_PreInd)))</f>
        <v>5</v>
      </c>
      <c r="CF237" s="50">
        <f>SUMPRODUCT((Per_Clase="Administración")*((79&gt;Corte)*(79&lt;=Corte+n_Ventana)*ISNUMBER(Detalle_24m!CF$154:CF$183)*Detalle_24m!CF$154:CF$183+(1-(79&gt;Corte)*(79&lt;=Corte+n_Ventana)*ISNUMBER(Detalle_24m!CF$154:CF$183))*INDEX(Dot_V,0,MIN(10,CF$173))*(CF$171+CF$172*V_PreInd)))</f>
        <v>5</v>
      </c>
      <c r="CG237" s="50">
        <f>SUMPRODUCT((Per_Clase="Administración")*((80&gt;Corte)*(80&lt;=Corte+n_Ventana)*ISNUMBER(Detalle_24m!CG$154:CG$183)*Detalle_24m!CG$154:CG$183+(1-(80&gt;Corte)*(80&lt;=Corte+n_Ventana)*ISNUMBER(Detalle_24m!CG$154:CG$183))*INDEX(Dot_V,0,MIN(10,CG$173))*(CG$171+CG$172*V_PreInd)))</f>
        <v>5</v>
      </c>
      <c r="CH237" s="50">
        <f>SUMPRODUCT((Per_Clase="Administración")*((81&gt;Corte)*(81&lt;=Corte+n_Ventana)*ISNUMBER(Detalle_24m!CH$154:CH$183)*Detalle_24m!CH$154:CH$183+(1-(81&gt;Corte)*(81&lt;=Corte+n_Ventana)*ISNUMBER(Detalle_24m!CH$154:CH$183))*INDEX(Dot_V,0,MIN(10,CH$173))*(CH$171+CH$172*V_PreInd)))</f>
        <v>5</v>
      </c>
      <c r="CI237" s="50">
        <f>SUMPRODUCT((Per_Clase="Administración")*((82&gt;Corte)*(82&lt;=Corte+n_Ventana)*ISNUMBER(Detalle_24m!CI$154:CI$183)*Detalle_24m!CI$154:CI$183+(1-(82&gt;Corte)*(82&lt;=Corte+n_Ventana)*ISNUMBER(Detalle_24m!CI$154:CI$183))*INDEX(Dot_V,0,MIN(10,CI$173))*(CI$171+CI$172*V_PreInd)))</f>
        <v>5</v>
      </c>
      <c r="CJ237" s="50">
        <f>SUMPRODUCT((Per_Clase="Administración")*((83&gt;Corte)*(83&lt;=Corte+n_Ventana)*ISNUMBER(Detalle_24m!CJ$154:CJ$183)*Detalle_24m!CJ$154:CJ$183+(1-(83&gt;Corte)*(83&lt;=Corte+n_Ventana)*ISNUMBER(Detalle_24m!CJ$154:CJ$183))*INDEX(Dot_V,0,MIN(10,CJ$173))*(CJ$171+CJ$172*V_PreInd)))</f>
        <v>5</v>
      </c>
      <c r="CK237" s="50">
        <f>SUMPRODUCT((Per_Clase="Administración")*((84&gt;Corte)*(84&lt;=Corte+n_Ventana)*ISNUMBER(Detalle_24m!CK$154:CK$183)*Detalle_24m!CK$154:CK$183+(1-(84&gt;Corte)*(84&lt;=Corte+n_Ventana)*ISNUMBER(Detalle_24m!CK$154:CK$183))*INDEX(Dot_V,0,MIN(10,CK$173))*(CK$171+CK$172*V_PreInd)))</f>
        <v>5</v>
      </c>
      <c r="CL237" s="50">
        <f>SUMPRODUCT((Per_Clase="Administración")*((85&gt;Corte)*(85&lt;=Corte+n_Ventana)*ISNUMBER(Detalle_24m!CL$154:CL$183)*Detalle_24m!CL$154:CL$183+(1-(85&gt;Corte)*(85&lt;=Corte+n_Ventana)*ISNUMBER(Detalle_24m!CL$154:CL$183))*INDEX(Dot_V,0,MIN(10,CL$173))*(CL$171+CL$172*V_PreInd)))</f>
        <v>5</v>
      </c>
      <c r="CM237" s="50">
        <f>SUMPRODUCT((Per_Clase="Administración")*((86&gt;Corte)*(86&lt;=Corte+n_Ventana)*ISNUMBER(Detalle_24m!CM$154:CM$183)*Detalle_24m!CM$154:CM$183+(1-(86&gt;Corte)*(86&lt;=Corte+n_Ventana)*ISNUMBER(Detalle_24m!CM$154:CM$183))*INDEX(Dot_V,0,MIN(10,CM$173))*(CM$171+CM$172*V_PreInd)))</f>
        <v>5</v>
      </c>
      <c r="CN237" s="50">
        <f>SUMPRODUCT((Per_Clase="Administración")*((87&gt;Corte)*(87&lt;=Corte+n_Ventana)*ISNUMBER(Detalle_24m!CN$154:CN$183)*Detalle_24m!CN$154:CN$183+(1-(87&gt;Corte)*(87&lt;=Corte+n_Ventana)*ISNUMBER(Detalle_24m!CN$154:CN$183))*INDEX(Dot_V,0,MIN(10,CN$173))*(CN$171+CN$172*V_PreInd)))</f>
        <v>5</v>
      </c>
      <c r="CO237" s="50">
        <f>SUMPRODUCT((Per_Clase="Administración")*((88&gt;Corte)*(88&lt;=Corte+n_Ventana)*ISNUMBER(Detalle_24m!CO$154:CO$183)*Detalle_24m!CO$154:CO$183+(1-(88&gt;Corte)*(88&lt;=Corte+n_Ventana)*ISNUMBER(Detalle_24m!CO$154:CO$183))*INDEX(Dot_V,0,MIN(10,CO$173))*(CO$171+CO$172*V_PreInd)))</f>
        <v>5</v>
      </c>
      <c r="CP237" s="50">
        <f>SUMPRODUCT((Per_Clase="Administración")*((89&gt;Corte)*(89&lt;=Corte+n_Ventana)*ISNUMBER(Detalle_24m!CP$154:CP$183)*Detalle_24m!CP$154:CP$183+(1-(89&gt;Corte)*(89&lt;=Corte+n_Ventana)*ISNUMBER(Detalle_24m!CP$154:CP$183))*INDEX(Dot_V,0,MIN(10,CP$173))*(CP$171+CP$172*V_PreInd)))</f>
        <v>5</v>
      </c>
      <c r="CQ237" s="50">
        <f>SUMPRODUCT((Per_Clase="Administración")*((90&gt;Corte)*(90&lt;=Corte+n_Ventana)*ISNUMBER(Detalle_24m!CQ$154:CQ$183)*Detalle_24m!CQ$154:CQ$183+(1-(90&gt;Corte)*(90&lt;=Corte+n_Ventana)*ISNUMBER(Detalle_24m!CQ$154:CQ$183))*INDEX(Dot_V,0,MIN(10,CQ$173))*(CQ$171+CQ$172*V_PreInd)))</f>
        <v>5</v>
      </c>
      <c r="CR237" s="50">
        <f>SUMPRODUCT((Per_Clase="Administración")*((91&gt;Corte)*(91&lt;=Corte+n_Ventana)*ISNUMBER(Detalle_24m!CR$154:CR$183)*Detalle_24m!CR$154:CR$183+(1-(91&gt;Corte)*(91&lt;=Corte+n_Ventana)*ISNUMBER(Detalle_24m!CR$154:CR$183))*INDEX(Dot_V,0,MIN(10,CR$173))*(CR$171+CR$172*V_PreInd)))</f>
        <v>5</v>
      </c>
      <c r="CS237" s="50">
        <f>SUMPRODUCT((Per_Clase="Administración")*((92&gt;Corte)*(92&lt;=Corte+n_Ventana)*ISNUMBER(Detalle_24m!CS$154:CS$183)*Detalle_24m!CS$154:CS$183+(1-(92&gt;Corte)*(92&lt;=Corte+n_Ventana)*ISNUMBER(Detalle_24m!CS$154:CS$183))*INDEX(Dot_V,0,MIN(10,CS$173))*(CS$171+CS$172*V_PreInd)))</f>
        <v>5</v>
      </c>
      <c r="CT237" s="50">
        <f>SUMPRODUCT((Per_Clase="Administración")*((93&gt;Corte)*(93&lt;=Corte+n_Ventana)*ISNUMBER(Detalle_24m!CT$154:CT$183)*Detalle_24m!CT$154:CT$183+(1-(93&gt;Corte)*(93&lt;=Corte+n_Ventana)*ISNUMBER(Detalle_24m!CT$154:CT$183))*INDEX(Dot_V,0,MIN(10,CT$173))*(CT$171+CT$172*V_PreInd)))</f>
        <v>5</v>
      </c>
      <c r="CU237" s="50">
        <f>SUMPRODUCT((Per_Clase="Administración")*((94&gt;Corte)*(94&lt;=Corte+n_Ventana)*ISNUMBER(Detalle_24m!CU$154:CU$183)*Detalle_24m!CU$154:CU$183+(1-(94&gt;Corte)*(94&lt;=Corte+n_Ventana)*ISNUMBER(Detalle_24m!CU$154:CU$183))*INDEX(Dot_V,0,MIN(10,CU$173))*(CU$171+CU$172*V_PreInd)))</f>
        <v>5</v>
      </c>
      <c r="CV237" s="50">
        <f>SUMPRODUCT((Per_Clase="Administración")*((95&gt;Corte)*(95&lt;=Corte+n_Ventana)*ISNUMBER(Detalle_24m!CV$154:CV$183)*Detalle_24m!CV$154:CV$183+(1-(95&gt;Corte)*(95&lt;=Corte+n_Ventana)*ISNUMBER(Detalle_24m!CV$154:CV$183))*INDEX(Dot_V,0,MIN(10,CV$173))*(CV$171+CV$172*V_PreInd)))</f>
        <v>5</v>
      </c>
      <c r="CW237" s="50">
        <f>SUMPRODUCT((Per_Clase="Administración")*((96&gt;Corte)*(96&lt;=Corte+n_Ventana)*ISNUMBER(Detalle_24m!CW$154:CW$183)*Detalle_24m!CW$154:CW$183+(1-(96&gt;Corte)*(96&lt;=Corte+n_Ventana)*ISNUMBER(Detalle_24m!CW$154:CW$183))*INDEX(Dot_V,0,MIN(10,CW$173))*(CW$171+CW$172*V_PreInd)))</f>
        <v>5</v>
      </c>
      <c r="CX237" s="50">
        <f>SUMPRODUCT((Per_Clase="Administración")*((97&gt;Corte)*(97&lt;=Corte+n_Ventana)*ISNUMBER(Detalle_24m!CX$154:CX$183)*Detalle_24m!CX$154:CX$183+(1-(97&gt;Corte)*(97&lt;=Corte+n_Ventana)*ISNUMBER(Detalle_24m!CX$154:CX$183))*INDEX(Dot_V,0,MIN(10,CX$173))*(CX$171+CX$172*V_PreInd)))</f>
        <v>5</v>
      </c>
      <c r="CY237" s="50">
        <f>SUMPRODUCT((Per_Clase="Administración")*((98&gt;Corte)*(98&lt;=Corte+n_Ventana)*ISNUMBER(Detalle_24m!CY$154:CY$183)*Detalle_24m!CY$154:CY$183+(1-(98&gt;Corte)*(98&lt;=Corte+n_Ventana)*ISNUMBER(Detalle_24m!CY$154:CY$183))*INDEX(Dot_V,0,MIN(10,CY$173))*(CY$171+CY$172*V_PreInd)))</f>
        <v>5</v>
      </c>
      <c r="CZ237" s="50">
        <f>SUMPRODUCT((Per_Clase="Administración")*((99&gt;Corte)*(99&lt;=Corte+n_Ventana)*ISNUMBER(Detalle_24m!CZ$154:CZ$183)*Detalle_24m!CZ$154:CZ$183+(1-(99&gt;Corte)*(99&lt;=Corte+n_Ventana)*ISNUMBER(Detalle_24m!CZ$154:CZ$183))*INDEX(Dot_V,0,MIN(10,CZ$173))*(CZ$171+CZ$172*V_PreInd)))</f>
        <v>5</v>
      </c>
      <c r="DA237" s="50">
        <f>SUMPRODUCT((Per_Clase="Administración")*((100&gt;Corte)*(100&lt;=Corte+n_Ventana)*ISNUMBER(Detalle_24m!DA$154:DA$183)*Detalle_24m!DA$154:DA$183+(1-(100&gt;Corte)*(100&lt;=Corte+n_Ventana)*ISNUMBER(Detalle_24m!DA$154:DA$183))*INDEX(Dot_V,0,MIN(10,DA$173))*(DA$171+DA$172*V_PreInd)))</f>
        <v>5</v>
      </c>
      <c r="DB237" s="50">
        <f>SUMPRODUCT((Per_Clase="Administración")*((101&gt;Corte)*(101&lt;=Corte+n_Ventana)*ISNUMBER(Detalle_24m!DB$154:DB$183)*Detalle_24m!DB$154:DB$183+(1-(101&gt;Corte)*(101&lt;=Corte+n_Ventana)*ISNUMBER(Detalle_24m!DB$154:DB$183))*INDEX(Dot_V,0,MIN(10,DB$173))*(DB$171+DB$172*V_PreInd)))</f>
        <v>5</v>
      </c>
      <c r="DC237" s="50">
        <f>SUMPRODUCT((Per_Clase="Administración")*((102&gt;Corte)*(102&lt;=Corte+n_Ventana)*ISNUMBER(Detalle_24m!DC$154:DC$183)*Detalle_24m!DC$154:DC$183+(1-(102&gt;Corte)*(102&lt;=Corte+n_Ventana)*ISNUMBER(Detalle_24m!DC$154:DC$183))*INDEX(Dot_V,0,MIN(10,DC$173))*(DC$171+DC$172*V_PreInd)))</f>
        <v>5</v>
      </c>
      <c r="DD237" s="50">
        <f>SUMPRODUCT((Per_Clase="Administración")*((103&gt;Corte)*(103&lt;=Corte+n_Ventana)*ISNUMBER(Detalle_24m!DD$154:DD$183)*Detalle_24m!DD$154:DD$183+(1-(103&gt;Corte)*(103&lt;=Corte+n_Ventana)*ISNUMBER(Detalle_24m!DD$154:DD$183))*INDEX(Dot_V,0,MIN(10,DD$173))*(DD$171+DD$172*V_PreInd)))</f>
        <v>5</v>
      </c>
      <c r="DE237" s="50">
        <f>SUMPRODUCT((Per_Clase="Administración")*((104&gt;Corte)*(104&lt;=Corte+n_Ventana)*ISNUMBER(Detalle_24m!DE$154:DE$183)*Detalle_24m!DE$154:DE$183+(1-(104&gt;Corte)*(104&lt;=Corte+n_Ventana)*ISNUMBER(Detalle_24m!DE$154:DE$183))*INDEX(Dot_V,0,MIN(10,DE$173))*(DE$171+DE$172*V_PreInd)))</f>
        <v>5</v>
      </c>
      <c r="DF237" s="50">
        <f>SUMPRODUCT((Per_Clase="Administración")*((105&gt;Corte)*(105&lt;=Corte+n_Ventana)*ISNUMBER(Detalle_24m!DF$154:DF$183)*Detalle_24m!DF$154:DF$183+(1-(105&gt;Corte)*(105&lt;=Corte+n_Ventana)*ISNUMBER(Detalle_24m!DF$154:DF$183))*INDEX(Dot_V,0,MIN(10,DF$173))*(DF$171+DF$172*V_PreInd)))</f>
        <v>5</v>
      </c>
      <c r="DG237" s="50">
        <f>SUMPRODUCT((Per_Clase="Administración")*((106&gt;Corte)*(106&lt;=Corte+n_Ventana)*ISNUMBER(Detalle_24m!DG$154:DG$183)*Detalle_24m!DG$154:DG$183+(1-(106&gt;Corte)*(106&lt;=Corte+n_Ventana)*ISNUMBER(Detalle_24m!DG$154:DG$183))*INDEX(Dot_V,0,MIN(10,DG$173))*(DG$171+DG$172*V_PreInd)))</f>
        <v>5</v>
      </c>
      <c r="DH237" s="50">
        <f>SUMPRODUCT((Per_Clase="Administración")*((107&gt;Corte)*(107&lt;=Corte+n_Ventana)*ISNUMBER(Detalle_24m!DH$154:DH$183)*Detalle_24m!DH$154:DH$183+(1-(107&gt;Corte)*(107&lt;=Corte+n_Ventana)*ISNUMBER(Detalle_24m!DH$154:DH$183))*INDEX(Dot_V,0,MIN(10,DH$173))*(DH$171+DH$172*V_PreInd)))</f>
        <v>5</v>
      </c>
      <c r="DI237" s="50">
        <f>SUMPRODUCT((Per_Clase="Administración")*((108&gt;Corte)*(108&lt;=Corte+n_Ventana)*ISNUMBER(Detalle_24m!DI$154:DI$183)*Detalle_24m!DI$154:DI$183+(1-(108&gt;Corte)*(108&lt;=Corte+n_Ventana)*ISNUMBER(Detalle_24m!DI$154:DI$183))*INDEX(Dot_V,0,MIN(10,DI$173))*(DI$171+DI$172*V_PreInd)))</f>
        <v>5</v>
      </c>
      <c r="DJ237" s="50">
        <f>SUMPRODUCT((Per_Clase="Administración")*((109&gt;Corte)*(109&lt;=Corte+n_Ventana)*ISNUMBER(Detalle_24m!DJ$154:DJ$183)*Detalle_24m!DJ$154:DJ$183+(1-(109&gt;Corte)*(109&lt;=Corte+n_Ventana)*ISNUMBER(Detalle_24m!DJ$154:DJ$183))*INDEX(Dot_V,0,MIN(10,DJ$173))*(DJ$171+DJ$172*V_PreInd)))</f>
        <v>5</v>
      </c>
      <c r="DK237" s="50">
        <f>SUMPRODUCT((Per_Clase="Administración")*((110&gt;Corte)*(110&lt;=Corte+n_Ventana)*ISNUMBER(Detalle_24m!DK$154:DK$183)*Detalle_24m!DK$154:DK$183+(1-(110&gt;Corte)*(110&lt;=Corte+n_Ventana)*ISNUMBER(Detalle_24m!DK$154:DK$183))*INDEX(Dot_V,0,MIN(10,DK$173))*(DK$171+DK$172*V_PreInd)))</f>
        <v>5</v>
      </c>
      <c r="DL237" s="50">
        <f>SUMPRODUCT((Per_Clase="Administración")*((111&gt;Corte)*(111&lt;=Corte+n_Ventana)*ISNUMBER(Detalle_24m!DL$154:DL$183)*Detalle_24m!DL$154:DL$183+(1-(111&gt;Corte)*(111&lt;=Corte+n_Ventana)*ISNUMBER(Detalle_24m!DL$154:DL$183))*INDEX(Dot_V,0,MIN(10,DL$173))*(DL$171+DL$172*V_PreInd)))</f>
        <v>5</v>
      </c>
      <c r="DM237" s="50">
        <f>SUMPRODUCT((Per_Clase="Administración")*((112&gt;Corte)*(112&lt;=Corte+n_Ventana)*ISNUMBER(Detalle_24m!DM$154:DM$183)*Detalle_24m!DM$154:DM$183+(1-(112&gt;Corte)*(112&lt;=Corte+n_Ventana)*ISNUMBER(Detalle_24m!DM$154:DM$183))*INDEX(Dot_V,0,MIN(10,DM$173))*(DM$171+DM$172*V_PreInd)))</f>
        <v>5</v>
      </c>
      <c r="DN237" s="50">
        <f>SUMPRODUCT((Per_Clase="Administración")*((113&gt;Corte)*(113&lt;=Corte+n_Ventana)*ISNUMBER(Detalle_24m!DN$154:DN$183)*Detalle_24m!DN$154:DN$183+(1-(113&gt;Corte)*(113&lt;=Corte+n_Ventana)*ISNUMBER(Detalle_24m!DN$154:DN$183))*INDEX(Dot_V,0,MIN(10,DN$173))*(DN$171+DN$172*V_PreInd)))</f>
        <v>5</v>
      </c>
      <c r="DO237" s="50">
        <f>SUMPRODUCT((Per_Clase="Administración")*((114&gt;Corte)*(114&lt;=Corte+n_Ventana)*ISNUMBER(Detalle_24m!DO$154:DO$183)*Detalle_24m!DO$154:DO$183+(1-(114&gt;Corte)*(114&lt;=Corte+n_Ventana)*ISNUMBER(Detalle_24m!DO$154:DO$183))*INDEX(Dot_V,0,MIN(10,DO$173))*(DO$171+DO$172*V_PreInd)))</f>
        <v>5</v>
      </c>
      <c r="DP237" s="50">
        <f>SUMPRODUCT((Per_Clase="Administración")*((115&gt;Corte)*(115&lt;=Corte+n_Ventana)*ISNUMBER(Detalle_24m!DP$154:DP$183)*Detalle_24m!DP$154:DP$183+(1-(115&gt;Corte)*(115&lt;=Corte+n_Ventana)*ISNUMBER(Detalle_24m!DP$154:DP$183))*INDEX(Dot_V,0,MIN(10,DP$173))*(DP$171+DP$172*V_PreInd)))</f>
        <v>5</v>
      </c>
      <c r="DQ237" s="50">
        <f>SUMPRODUCT((Per_Clase="Administración")*((116&gt;Corte)*(116&lt;=Corte+n_Ventana)*ISNUMBER(Detalle_24m!DQ$154:DQ$183)*Detalle_24m!DQ$154:DQ$183+(1-(116&gt;Corte)*(116&lt;=Corte+n_Ventana)*ISNUMBER(Detalle_24m!DQ$154:DQ$183))*INDEX(Dot_V,0,MIN(10,DQ$173))*(DQ$171+DQ$172*V_PreInd)))</f>
        <v>5</v>
      </c>
      <c r="DR237" s="50">
        <f>SUMPRODUCT((Per_Clase="Administración")*((117&gt;Corte)*(117&lt;=Corte+n_Ventana)*ISNUMBER(Detalle_24m!DR$154:DR$183)*Detalle_24m!DR$154:DR$183+(1-(117&gt;Corte)*(117&lt;=Corte+n_Ventana)*ISNUMBER(Detalle_24m!DR$154:DR$183))*INDEX(Dot_V,0,MIN(10,DR$173))*(DR$171+DR$172*V_PreInd)))</f>
        <v>5</v>
      </c>
      <c r="DS237" s="50">
        <f>SUMPRODUCT((Per_Clase="Administración")*((118&gt;Corte)*(118&lt;=Corte+n_Ventana)*ISNUMBER(Detalle_24m!DS$154:DS$183)*Detalle_24m!DS$154:DS$183+(1-(118&gt;Corte)*(118&lt;=Corte+n_Ventana)*ISNUMBER(Detalle_24m!DS$154:DS$183))*INDEX(Dot_V,0,MIN(10,DS$173))*(DS$171+DS$172*V_PreInd)))</f>
        <v>5</v>
      </c>
      <c r="DT237" s="50">
        <f>SUMPRODUCT((Per_Clase="Administración")*((119&gt;Corte)*(119&lt;=Corte+n_Ventana)*ISNUMBER(Detalle_24m!DT$154:DT$183)*Detalle_24m!DT$154:DT$183+(1-(119&gt;Corte)*(119&lt;=Corte+n_Ventana)*ISNUMBER(Detalle_24m!DT$154:DT$183))*INDEX(Dot_V,0,MIN(10,DT$173))*(DT$171+DT$172*V_PreInd)))</f>
        <v>5</v>
      </c>
      <c r="DU237" s="50">
        <f>SUMPRODUCT((Per_Clase="Administración")*((120&gt;Corte)*(120&lt;=Corte+n_Ventana)*ISNUMBER(Detalle_24m!DU$154:DU$183)*Detalle_24m!DU$154:DU$183+(1-(120&gt;Corte)*(120&lt;=Corte+n_Ventana)*ISNUMBER(Detalle_24m!DU$154:DU$183))*INDEX(Dot_V,0,MIN(10,DU$173))*(DU$171+DU$172*V_PreInd)))</f>
        <v>5</v>
      </c>
      <c r="DV237" s="50">
        <f>SUMPRODUCT((Per_Clase="Administración")*((121&gt;Corte)*(121&lt;=Corte+n_Ventana)*ISNUMBER(Detalle_24m!DV$154:DV$183)*Detalle_24m!DV$154:DV$183+(1-(121&gt;Corte)*(121&lt;=Corte+n_Ventana)*ISNUMBER(Detalle_24m!DV$154:DV$183))*INDEX(Dot_V,0,MIN(10,DV$173))*(DV$171+DV$172*V_PreInd)))</f>
        <v>0</v>
      </c>
      <c r="DW237" s="50">
        <f>SUMPRODUCT((Per_Clase="Administración")*((122&gt;Corte)*(122&lt;=Corte+n_Ventana)*ISNUMBER(Detalle_24m!DW$154:DW$183)*Detalle_24m!DW$154:DW$183+(1-(122&gt;Corte)*(122&lt;=Corte+n_Ventana)*ISNUMBER(Detalle_24m!DW$154:DW$183))*INDEX(Dot_V,0,MIN(10,DW$173))*(DW$171+DW$172*V_PreInd)))</f>
        <v>0</v>
      </c>
      <c r="DX237" s="50">
        <f>SUMPRODUCT((Per_Clase="Administración")*((123&gt;Corte)*(123&lt;=Corte+n_Ventana)*ISNUMBER(Detalle_24m!DX$154:DX$183)*Detalle_24m!DX$154:DX$183+(1-(123&gt;Corte)*(123&lt;=Corte+n_Ventana)*ISNUMBER(Detalle_24m!DX$154:DX$183))*INDEX(Dot_V,0,MIN(10,DX$173))*(DX$171+DX$172*V_PreInd)))</f>
        <v>0</v>
      </c>
      <c r="DY237" s="50">
        <f>SUMPRODUCT((Per_Clase="Administración")*((124&gt;Corte)*(124&lt;=Corte+n_Ventana)*ISNUMBER(Detalle_24m!DY$154:DY$183)*Detalle_24m!DY$154:DY$183+(1-(124&gt;Corte)*(124&lt;=Corte+n_Ventana)*ISNUMBER(Detalle_24m!DY$154:DY$183))*INDEX(Dot_V,0,MIN(10,DY$173))*(DY$171+DY$172*V_PreInd)))</f>
        <v>0</v>
      </c>
      <c r="DZ237" s="50">
        <f>SUMPRODUCT((Per_Clase="Administración")*((125&gt;Corte)*(125&lt;=Corte+n_Ventana)*ISNUMBER(Detalle_24m!DZ$154:DZ$183)*Detalle_24m!DZ$154:DZ$183+(1-(125&gt;Corte)*(125&lt;=Corte+n_Ventana)*ISNUMBER(Detalle_24m!DZ$154:DZ$183))*INDEX(Dot_V,0,MIN(10,DZ$173))*(DZ$171+DZ$172*V_PreInd)))</f>
        <v>0</v>
      </c>
      <c r="EA237" s="50">
        <f>SUMPRODUCT((Per_Clase="Administración")*((126&gt;Corte)*(126&lt;=Corte+n_Ventana)*ISNUMBER(Detalle_24m!EA$154:EA$183)*Detalle_24m!EA$154:EA$183+(1-(126&gt;Corte)*(126&lt;=Corte+n_Ventana)*ISNUMBER(Detalle_24m!EA$154:EA$183))*INDEX(Dot_V,0,MIN(10,EA$173))*(EA$171+EA$172*V_PreInd)))</f>
        <v>0</v>
      </c>
      <c r="EB237" s="50">
        <f>SUMPRODUCT((Per_Clase="Administración")*((127&gt;Corte)*(127&lt;=Corte+n_Ventana)*ISNUMBER(Detalle_24m!EB$154:EB$183)*Detalle_24m!EB$154:EB$183+(1-(127&gt;Corte)*(127&lt;=Corte+n_Ventana)*ISNUMBER(Detalle_24m!EB$154:EB$183))*INDEX(Dot_V,0,MIN(10,EB$173))*(EB$171+EB$172*V_PreInd)))</f>
        <v>0</v>
      </c>
      <c r="EC237" s="50">
        <f>SUMPRODUCT((Per_Clase="Administración")*((128&gt;Corte)*(128&lt;=Corte+n_Ventana)*ISNUMBER(Detalle_24m!EC$154:EC$183)*Detalle_24m!EC$154:EC$183+(1-(128&gt;Corte)*(128&lt;=Corte+n_Ventana)*ISNUMBER(Detalle_24m!EC$154:EC$183))*INDEX(Dot_V,0,MIN(10,EC$173))*(EC$171+EC$172*V_PreInd)))</f>
        <v>0</v>
      </c>
      <c r="ED237" s="50">
        <f>SUMPRODUCT((Per_Clase="Administración")*((129&gt;Corte)*(129&lt;=Corte+n_Ventana)*ISNUMBER(Detalle_24m!ED$154:ED$183)*Detalle_24m!ED$154:ED$183+(1-(129&gt;Corte)*(129&lt;=Corte+n_Ventana)*ISNUMBER(Detalle_24m!ED$154:ED$183))*INDEX(Dot_V,0,MIN(10,ED$173))*(ED$171+ED$172*V_PreInd)))</f>
        <v>0</v>
      </c>
      <c r="EE237" s="50">
        <f>SUMPRODUCT((Per_Clase="Administración")*((130&gt;Corte)*(130&lt;=Corte+n_Ventana)*ISNUMBER(Detalle_24m!EE$154:EE$183)*Detalle_24m!EE$154:EE$183+(1-(130&gt;Corte)*(130&lt;=Corte+n_Ventana)*ISNUMBER(Detalle_24m!EE$154:EE$183))*INDEX(Dot_V,0,MIN(10,EE$173))*(EE$171+EE$172*V_PreInd)))</f>
        <v>0</v>
      </c>
      <c r="EF237" s="50">
        <f>SUMPRODUCT((Per_Clase="Administración")*((131&gt;Corte)*(131&lt;=Corte+n_Ventana)*ISNUMBER(Detalle_24m!EF$154:EF$183)*Detalle_24m!EF$154:EF$183+(1-(131&gt;Corte)*(131&lt;=Corte+n_Ventana)*ISNUMBER(Detalle_24m!EF$154:EF$183))*INDEX(Dot_V,0,MIN(10,EF$173))*(EF$171+EF$172*V_PreInd)))</f>
        <v>0</v>
      </c>
      <c r="EG237" s="50">
        <f>SUMPRODUCT((Per_Clase="Administración")*((132&gt;Corte)*(132&lt;=Corte+n_Ventana)*ISNUMBER(Detalle_24m!EG$154:EG$183)*Detalle_24m!EG$154:EG$183+(1-(132&gt;Corte)*(132&lt;=Corte+n_Ventana)*ISNUMBER(Detalle_24m!EG$154:EG$183))*INDEX(Dot_V,0,MIN(10,EG$173))*(EG$171+EG$172*V_PreInd)))</f>
        <v>0</v>
      </c>
      <c r="EH237" s="50">
        <f>SUMPRODUCT((Per_Clase="Administración")*((133&gt;Corte)*(133&lt;=Corte+n_Ventana)*ISNUMBER(Detalle_24m!EH$154:EH$183)*Detalle_24m!EH$154:EH$183+(1-(133&gt;Corte)*(133&lt;=Corte+n_Ventana)*ISNUMBER(Detalle_24m!EH$154:EH$183))*INDEX(Dot_V,0,MIN(10,EH$173))*(EH$171+EH$172*V_PreInd)))</f>
        <v>0</v>
      </c>
      <c r="EI237" s="50">
        <f>SUMPRODUCT((Per_Clase="Administración")*((134&gt;Corte)*(134&lt;=Corte+n_Ventana)*ISNUMBER(Detalle_24m!EI$154:EI$183)*Detalle_24m!EI$154:EI$183+(1-(134&gt;Corte)*(134&lt;=Corte+n_Ventana)*ISNUMBER(Detalle_24m!EI$154:EI$183))*INDEX(Dot_V,0,MIN(10,EI$173))*(EI$171+EI$172*V_PreInd)))</f>
        <v>0</v>
      </c>
      <c r="EJ237" s="50">
        <f>SUMPRODUCT((Per_Clase="Administración")*((135&gt;Corte)*(135&lt;=Corte+n_Ventana)*ISNUMBER(Detalle_24m!EJ$154:EJ$183)*Detalle_24m!EJ$154:EJ$183+(1-(135&gt;Corte)*(135&lt;=Corte+n_Ventana)*ISNUMBER(Detalle_24m!EJ$154:EJ$183))*INDEX(Dot_V,0,MIN(10,EJ$173))*(EJ$171+EJ$172*V_PreInd)))</f>
        <v>0</v>
      </c>
      <c r="EK237" s="50">
        <f>SUMPRODUCT((Per_Clase="Administración")*((136&gt;Corte)*(136&lt;=Corte+n_Ventana)*ISNUMBER(Detalle_24m!EK$154:EK$183)*Detalle_24m!EK$154:EK$183+(1-(136&gt;Corte)*(136&lt;=Corte+n_Ventana)*ISNUMBER(Detalle_24m!EK$154:EK$183))*INDEX(Dot_V,0,MIN(10,EK$173))*(EK$171+EK$172*V_PreInd)))</f>
        <v>0</v>
      </c>
      <c r="EL237" s="50">
        <f>SUMPRODUCT((Per_Clase="Administración")*((137&gt;Corte)*(137&lt;=Corte+n_Ventana)*ISNUMBER(Detalle_24m!EL$154:EL$183)*Detalle_24m!EL$154:EL$183+(1-(137&gt;Corte)*(137&lt;=Corte+n_Ventana)*ISNUMBER(Detalle_24m!EL$154:EL$183))*INDEX(Dot_V,0,MIN(10,EL$173))*(EL$171+EL$172*V_PreInd)))</f>
        <v>0</v>
      </c>
      <c r="EM237" s="50">
        <f>SUMPRODUCT((Per_Clase="Administración")*((138&gt;Corte)*(138&lt;=Corte+n_Ventana)*ISNUMBER(Detalle_24m!EM$154:EM$183)*Detalle_24m!EM$154:EM$183+(1-(138&gt;Corte)*(138&lt;=Corte+n_Ventana)*ISNUMBER(Detalle_24m!EM$154:EM$183))*INDEX(Dot_V,0,MIN(10,EM$173))*(EM$171+EM$172*V_PreInd)))</f>
        <v>0</v>
      </c>
      <c r="EN237" s="50">
        <f>SUMPRODUCT((Per_Clase="Administración")*((139&gt;Corte)*(139&lt;=Corte+n_Ventana)*ISNUMBER(Detalle_24m!EN$154:EN$183)*Detalle_24m!EN$154:EN$183+(1-(139&gt;Corte)*(139&lt;=Corte+n_Ventana)*ISNUMBER(Detalle_24m!EN$154:EN$183))*INDEX(Dot_V,0,MIN(10,EN$173))*(EN$171+EN$172*V_PreInd)))</f>
        <v>0</v>
      </c>
      <c r="EO237" s="50">
        <f>SUMPRODUCT((Per_Clase="Administración")*((140&gt;Corte)*(140&lt;=Corte+n_Ventana)*ISNUMBER(Detalle_24m!EO$154:EO$183)*Detalle_24m!EO$154:EO$183+(1-(140&gt;Corte)*(140&lt;=Corte+n_Ventana)*ISNUMBER(Detalle_24m!EO$154:EO$183))*INDEX(Dot_V,0,MIN(10,EO$173))*(EO$171+EO$172*V_PreInd)))</f>
        <v>0</v>
      </c>
      <c r="EP237" s="50">
        <f>SUMPRODUCT((Per_Clase="Administración")*((141&gt;Corte)*(141&lt;=Corte+n_Ventana)*ISNUMBER(Detalle_24m!EP$154:EP$183)*Detalle_24m!EP$154:EP$183+(1-(141&gt;Corte)*(141&lt;=Corte+n_Ventana)*ISNUMBER(Detalle_24m!EP$154:EP$183))*INDEX(Dot_V,0,MIN(10,EP$173))*(EP$171+EP$172*V_PreInd)))</f>
        <v>0</v>
      </c>
      <c r="EQ237" s="50">
        <f>SUMPRODUCT((Per_Clase="Administración")*((142&gt;Corte)*(142&lt;=Corte+n_Ventana)*ISNUMBER(Detalle_24m!EQ$154:EQ$183)*Detalle_24m!EQ$154:EQ$183+(1-(142&gt;Corte)*(142&lt;=Corte+n_Ventana)*ISNUMBER(Detalle_24m!EQ$154:EQ$183))*INDEX(Dot_V,0,MIN(10,EQ$173))*(EQ$171+EQ$172*V_PreInd)))</f>
        <v>0</v>
      </c>
      <c r="ER237" s="50">
        <f>SUMPRODUCT((Per_Clase="Administración")*((143&gt;Corte)*(143&lt;=Corte+n_Ventana)*ISNUMBER(Detalle_24m!ER$154:ER$183)*Detalle_24m!ER$154:ER$183+(1-(143&gt;Corte)*(143&lt;=Corte+n_Ventana)*ISNUMBER(Detalle_24m!ER$154:ER$183))*INDEX(Dot_V,0,MIN(10,ER$173))*(ER$171+ER$172*V_PreInd)))</f>
        <v>0</v>
      </c>
      <c r="ES237" s="50">
        <f>SUMPRODUCT((Per_Clase="Administración")*((144&gt;Corte)*(144&lt;=Corte+n_Ventana)*ISNUMBER(Detalle_24m!ES$154:ES$183)*Detalle_24m!ES$154:ES$183+(1-(144&gt;Corte)*(144&lt;=Corte+n_Ventana)*ISNUMBER(Detalle_24m!ES$154:ES$183))*INDEX(Dot_V,0,MIN(10,ES$173))*(ES$171+ES$172*V_PreInd)))</f>
        <v>0</v>
      </c>
    </row>
    <row r="238" spans="1:149" x14ac:dyDescent="0.3">
      <c r="A238" s="14" t="s">
        <v>1292</v>
      </c>
      <c r="B238" s="18" t="s">
        <v>1070</v>
      </c>
      <c r="C238" s="18" t="s">
        <v>439</v>
      </c>
      <c r="E238" s="54">
        <f t="shared" ref="E238:E247" si="616">SUM(F238:ES238)</f>
        <v>1075198.5262701346</v>
      </c>
      <c r="F238" s="48">
        <f>SUMPRODUCT((Per_Clase="Administración")*((1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$237*V_Alim*F$175</f>
        <v>8959.9877189178078</v>
      </c>
      <c r="G238" s="48">
        <f>SUMPRODUCT((Per_Clase="Administración")*((2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$237*V_Alim*G$175</f>
        <v>8959.9877189178078</v>
      </c>
      <c r="H238" s="48">
        <f>SUMPRODUCT((Per_Clase="Administración")*((3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$237*V_Alim*H$175</f>
        <v>8959.9877189178078</v>
      </c>
      <c r="I238" s="48">
        <f>SUMPRODUCT((Per_Clase="Administración")*((4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$237*V_Alim*I$175</f>
        <v>8959.9877189178078</v>
      </c>
      <c r="J238" s="48">
        <f>SUMPRODUCT((Per_Clase="Administración")*((5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$237*V_Alim*J$175</f>
        <v>8959.9877189178078</v>
      </c>
      <c r="K238" s="48">
        <f>SUMPRODUCT((Per_Clase="Administración")*((6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$237*V_Alim*K$175</f>
        <v>8959.9877189178078</v>
      </c>
      <c r="L238" s="48">
        <f>SUMPRODUCT((Per_Clase="Administración")*((7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$237*V_Alim*L$175</f>
        <v>8959.9877189178078</v>
      </c>
      <c r="M238" s="48">
        <f>SUMPRODUCT((Per_Clase="Administración")*((8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$237*V_Alim*M$175</f>
        <v>8959.9877189178078</v>
      </c>
      <c r="N238" s="48">
        <f>SUMPRODUCT((Per_Clase="Administración")*((9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$237*V_Alim*N$175</f>
        <v>8959.9877189178078</v>
      </c>
      <c r="O238" s="48">
        <f>SUMPRODUCT((Per_Clase="Administración")*((10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$237*V_Alim*O$175</f>
        <v>8959.9877189178078</v>
      </c>
      <c r="P238" s="48">
        <f>SUMPRODUCT((Per_Clase="Administración")*((11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$237*V_Alim*P$175</f>
        <v>8959.9877189178078</v>
      </c>
      <c r="Q238" s="48">
        <f>SUMPRODUCT((Per_Clase="Administración")*((12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$237*V_Alim*Q$175</f>
        <v>8959.9877189178078</v>
      </c>
      <c r="R238" s="48">
        <f>SUMPRODUCT((Per_Clase="Administración")*((13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$237*V_Alim*R$175</f>
        <v>8959.9877189178078</v>
      </c>
      <c r="S238" s="48">
        <f>SUMPRODUCT((Per_Clase="Administración")*((14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$237*V_Alim*S$175</f>
        <v>8959.9877189178078</v>
      </c>
      <c r="T238" s="48">
        <f>SUMPRODUCT((Per_Clase="Administración")*((15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$237*V_Alim*T$175</f>
        <v>8959.9877189178078</v>
      </c>
      <c r="U238" s="48">
        <f>SUMPRODUCT((Per_Clase="Administración")*((16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$237*V_Alim*U$175</f>
        <v>8959.9877189178078</v>
      </c>
      <c r="V238" s="48">
        <f>SUMPRODUCT((Per_Clase="Administración")*((17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$237*V_Alim*V$175</f>
        <v>8959.9877189178078</v>
      </c>
      <c r="W238" s="48">
        <f>SUMPRODUCT((Per_Clase="Administración")*((18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$237*V_Alim*W$175</f>
        <v>8959.9877189178078</v>
      </c>
      <c r="X238" s="48">
        <f>SUMPRODUCT((Per_Clase="Administración")*((19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$237*V_Alim*X$175</f>
        <v>8959.9877189178078</v>
      </c>
      <c r="Y238" s="48">
        <f>SUMPRODUCT((Per_Clase="Administración")*((20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$237*V_Alim*Y$175</f>
        <v>8959.9877189178078</v>
      </c>
      <c r="Z238" s="48">
        <f>SUMPRODUCT((Per_Clase="Administración")*((21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$237*V_Alim*Z$175</f>
        <v>8959.9877189178078</v>
      </c>
      <c r="AA238" s="48">
        <f>SUMPRODUCT((Per_Clase="Administración")*((22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$237*V_Alim*AA$175</f>
        <v>8959.9877189178078</v>
      </c>
      <c r="AB238" s="48">
        <f>SUMPRODUCT((Per_Clase="Administración")*((23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$237*V_Alim*AB$175</f>
        <v>8959.9877189178078</v>
      </c>
      <c r="AC238" s="48">
        <f>SUMPRODUCT((Per_Clase="Administración")*((24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$237*V_Alim*AC$175</f>
        <v>8959.9877189178078</v>
      </c>
      <c r="AD238" s="48">
        <f>SUMPRODUCT((Per_Clase="Administración")*((25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$237*V_Alim*AD$175</f>
        <v>8959.9877189178078</v>
      </c>
      <c r="AE238" s="48">
        <f>SUMPRODUCT((Per_Clase="Administración")*((26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$237*V_Alim*AE$175</f>
        <v>8959.9877189178078</v>
      </c>
      <c r="AF238" s="48">
        <f>SUMPRODUCT((Per_Clase="Administración")*((27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$237*V_Alim*AF$175</f>
        <v>8959.9877189178078</v>
      </c>
      <c r="AG238" s="48">
        <f>SUMPRODUCT((Per_Clase="Administración")*((28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$237*V_Alim*AG$175</f>
        <v>8959.9877189178078</v>
      </c>
      <c r="AH238" s="48">
        <f>SUMPRODUCT((Per_Clase="Administración")*((29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$237*V_Alim*AH$175</f>
        <v>8959.9877189178078</v>
      </c>
      <c r="AI238" s="48">
        <f>SUMPRODUCT((Per_Clase="Administración")*((30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$237*V_Alim*AI$175</f>
        <v>8959.9877189178078</v>
      </c>
      <c r="AJ238" s="48">
        <f>SUMPRODUCT((Per_Clase="Administración")*((31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$237*V_Alim*AJ$175</f>
        <v>8959.9877189178078</v>
      </c>
      <c r="AK238" s="48">
        <f>SUMPRODUCT((Per_Clase="Administración")*((32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$237*V_Alim*AK$175</f>
        <v>8959.9877189178078</v>
      </c>
      <c r="AL238" s="48">
        <f>SUMPRODUCT((Per_Clase="Administración")*((33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$237*V_Alim*AL$175</f>
        <v>8959.9877189178078</v>
      </c>
      <c r="AM238" s="48">
        <f>SUMPRODUCT((Per_Clase="Administración")*((34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$237*V_Alim*AM$175</f>
        <v>8959.9877189178078</v>
      </c>
      <c r="AN238" s="48">
        <f>SUMPRODUCT((Per_Clase="Administración")*((35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$237*V_Alim*AN$175</f>
        <v>8959.9877189178078</v>
      </c>
      <c r="AO238" s="48">
        <f>SUMPRODUCT((Per_Clase="Administración")*((36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$237*V_Alim*AO$175</f>
        <v>8959.9877189178078</v>
      </c>
      <c r="AP238" s="48">
        <f>SUMPRODUCT((Per_Clase="Administración")*((37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$237*V_Alim*AP$175</f>
        <v>8959.9877189178078</v>
      </c>
      <c r="AQ238" s="48">
        <f>SUMPRODUCT((Per_Clase="Administración")*((38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$237*V_Alim*AQ$175</f>
        <v>8959.9877189178078</v>
      </c>
      <c r="AR238" s="48">
        <f>SUMPRODUCT((Per_Clase="Administración")*((39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$237*V_Alim*AR$175</f>
        <v>8959.9877189178078</v>
      </c>
      <c r="AS238" s="48">
        <f>SUMPRODUCT((Per_Clase="Administración")*((40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$237*V_Alim*AS$175</f>
        <v>8959.9877189178078</v>
      </c>
      <c r="AT238" s="48">
        <f>SUMPRODUCT((Per_Clase="Administración")*((41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$237*V_Alim*AT$175</f>
        <v>8959.9877189178078</v>
      </c>
      <c r="AU238" s="48">
        <f>SUMPRODUCT((Per_Clase="Administración")*((42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$237*V_Alim*AU$175</f>
        <v>8959.9877189178078</v>
      </c>
      <c r="AV238" s="48">
        <f>SUMPRODUCT((Per_Clase="Administración")*((43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$237*V_Alim*AV$175</f>
        <v>8959.9877189178078</v>
      </c>
      <c r="AW238" s="48">
        <f>SUMPRODUCT((Per_Clase="Administración")*((44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$237*V_Alim*AW$175</f>
        <v>8959.9877189178078</v>
      </c>
      <c r="AX238" s="48">
        <f>SUMPRODUCT((Per_Clase="Administración")*((45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$237*V_Alim*AX$175</f>
        <v>8959.9877189178078</v>
      </c>
      <c r="AY238" s="48">
        <f>SUMPRODUCT((Per_Clase="Administración")*((46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$237*V_Alim*AY$175</f>
        <v>8959.9877189178078</v>
      </c>
      <c r="AZ238" s="48">
        <f>SUMPRODUCT((Per_Clase="Administración")*((47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$237*V_Alim*AZ$175</f>
        <v>8959.9877189178078</v>
      </c>
      <c r="BA238" s="48">
        <f>SUMPRODUCT((Per_Clase="Administración")*((48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$237*V_Alim*BA$175</f>
        <v>8959.9877189178078</v>
      </c>
      <c r="BB238" s="48">
        <f>SUMPRODUCT((Per_Clase="Administración")*((49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$237*V_Alim*BB$175</f>
        <v>8959.9877189178078</v>
      </c>
      <c r="BC238" s="48">
        <f>SUMPRODUCT((Per_Clase="Administración")*((50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$237*V_Alim*BC$175</f>
        <v>8959.9877189178078</v>
      </c>
      <c r="BD238" s="48">
        <f>SUMPRODUCT((Per_Clase="Administración")*((51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$237*V_Alim*BD$175</f>
        <v>8959.9877189178078</v>
      </c>
      <c r="BE238" s="48">
        <f>SUMPRODUCT((Per_Clase="Administración")*((52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$237*V_Alim*BE$175</f>
        <v>8959.9877189178078</v>
      </c>
      <c r="BF238" s="48">
        <f>SUMPRODUCT((Per_Clase="Administración")*((53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$237*V_Alim*BF$175</f>
        <v>8959.9877189178078</v>
      </c>
      <c r="BG238" s="48">
        <f>SUMPRODUCT((Per_Clase="Administración")*((54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$237*V_Alim*BG$175</f>
        <v>8959.9877189178078</v>
      </c>
      <c r="BH238" s="48">
        <f>SUMPRODUCT((Per_Clase="Administración")*((55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$237*V_Alim*BH$175</f>
        <v>8959.9877189178078</v>
      </c>
      <c r="BI238" s="48">
        <f>SUMPRODUCT((Per_Clase="Administración")*((56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$237*V_Alim*BI$175</f>
        <v>8959.9877189178078</v>
      </c>
      <c r="BJ238" s="48">
        <f>SUMPRODUCT((Per_Clase="Administración")*((57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$237*V_Alim*BJ$175</f>
        <v>8959.9877189178078</v>
      </c>
      <c r="BK238" s="48">
        <f>SUMPRODUCT((Per_Clase="Administración")*((58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$237*V_Alim*BK$175</f>
        <v>8959.9877189178078</v>
      </c>
      <c r="BL238" s="48">
        <f>SUMPRODUCT((Per_Clase="Administración")*((59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$237*V_Alim*BL$175</f>
        <v>8959.9877189178078</v>
      </c>
      <c r="BM238" s="48">
        <f>SUMPRODUCT((Per_Clase="Administración")*((60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$237*V_Alim*BM$175</f>
        <v>8959.9877189178078</v>
      </c>
      <c r="BN238" s="48">
        <f>SUMPRODUCT((Per_Clase="Administración")*((61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$237*V_Alim*BN$175</f>
        <v>8959.9877189178078</v>
      </c>
      <c r="BO238" s="48">
        <f>SUMPRODUCT((Per_Clase="Administración")*((62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$237*V_Alim*BO$175</f>
        <v>8959.9877189178078</v>
      </c>
      <c r="BP238" s="48">
        <f>SUMPRODUCT((Per_Clase="Administración")*((63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$237*V_Alim*BP$175</f>
        <v>8959.9877189178078</v>
      </c>
      <c r="BQ238" s="48">
        <f>SUMPRODUCT((Per_Clase="Administración")*((64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$237*V_Alim*BQ$175</f>
        <v>8959.9877189178078</v>
      </c>
      <c r="BR238" s="48">
        <f>SUMPRODUCT((Per_Clase="Administración")*((65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$237*V_Alim*BR$175</f>
        <v>8959.9877189178078</v>
      </c>
      <c r="BS238" s="48">
        <f>SUMPRODUCT((Per_Clase="Administración")*((66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$237*V_Alim*BS$175</f>
        <v>8959.9877189178078</v>
      </c>
      <c r="BT238" s="48">
        <f>SUMPRODUCT((Per_Clase="Administración")*((67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$237*V_Alim*BT$175</f>
        <v>8959.9877189178078</v>
      </c>
      <c r="BU238" s="48">
        <f>SUMPRODUCT((Per_Clase="Administración")*((68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$237*V_Alim*BU$175</f>
        <v>8959.9877189178078</v>
      </c>
      <c r="BV238" s="48">
        <f>SUMPRODUCT((Per_Clase="Administración")*((69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$237*V_Alim*BV$175</f>
        <v>8959.9877189178078</v>
      </c>
      <c r="BW238" s="48">
        <f>SUMPRODUCT((Per_Clase="Administración")*((70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$237*V_Alim*BW$175</f>
        <v>8959.9877189178078</v>
      </c>
      <c r="BX238" s="48">
        <f>SUMPRODUCT((Per_Clase="Administración")*((71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$237*V_Alim*BX$175</f>
        <v>8959.9877189178078</v>
      </c>
      <c r="BY238" s="48">
        <f>SUMPRODUCT((Per_Clase="Administración")*((72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$237*V_Alim*BY$175</f>
        <v>8959.9877189178078</v>
      </c>
      <c r="BZ238" s="48">
        <f>SUMPRODUCT((Per_Clase="Administración")*((73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$237*V_Alim*BZ$175</f>
        <v>8959.9877189178078</v>
      </c>
      <c r="CA238" s="48">
        <f>SUMPRODUCT((Per_Clase="Administración")*((74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$237*V_Alim*CA$175</f>
        <v>8959.9877189178078</v>
      </c>
      <c r="CB238" s="48">
        <f>SUMPRODUCT((Per_Clase="Administración")*((75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$237*V_Alim*CB$175</f>
        <v>8959.9877189178078</v>
      </c>
      <c r="CC238" s="48">
        <f>SUMPRODUCT((Per_Clase="Administración")*((76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$237*V_Alim*CC$175</f>
        <v>8959.9877189178078</v>
      </c>
      <c r="CD238" s="48">
        <f>SUMPRODUCT((Per_Clase="Administración")*((77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$237*V_Alim*CD$175</f>
        <v>8959.9877189178078</v>
      </c>
      <c r="CE238" s="48">
        <f>SUMPRODUCT((Per_Clase="Administración")*((78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$237*V_Alim*CE$175</f>
        <v>8959.9877189178078</v>
      </c>
      <c r="CF238" s="48">
        <f>SUMPRODUCT((Per_Clase="Administración")*((79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$237*V_Alim*CF$175</f>
        <v>8959.9877189178078</v>
      </c>
      <c r="CG238" s="48">
        <f>SUMPRODUCT((Per_Clase="Administración")*((80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$237*V_Alim*CG$175</f>
        <v>8959.9877189178078</v>
      </c>
      <c r="CH238" s="48">
        <f>SUMPRODUCT((Per_Clase="Administración")*((81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$237*V_Alim*CH$175</f>
        <v>8959.9877189178078</v>
      </c>
      <c r="CI238" s="48">
        <f>SUMPRODUCT((Per_Clase="Administración")*((82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$237*V_Alim*CI$175</f>
        <v>8959.9877189178078</v>
      </c>
      <c r="CJ238" s="48">
        <f>SUMPRODUCT((Per_Clase="Administración")*((83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$237*V_Alim*CJ$175</f>
        <v>8959.9877189178078</v>
      </c>
      <c r="CK238" s="48">
        <f>SUMPRODUCT((Per_Clase="Administración")*((84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$237*V_Alim*CK$175</f>
        <v>8959.9877189178078</v>
      </c>
      <c r="CL238" s="48">
        <f>SUMPRODUCT((Per_Clase="Administración")*((85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$237*V_Alim*CL$175</f>
        <v>8959.9877189178078</v>
      </c>
      <c r="CM238" s="48">
        <f>SUMPRODUCT((Per_Clase="Administración")*((86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$237*V_Alim*CM$175</f>
        <v>8959.9877189178078</v>
      </c>
      <c r="CN238" s="48">
        <f>SUMPRODUCT((Per_Clase="Administración")*((87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$237*V_Alim*CN$175</f>
        <v>8959.9877189178078</v>
      </c>
      <c r="CO238" s="48">
        <f>SUMPRODUCT((Per_Clase="Administración")*((88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$237*V_Alim*CO$175</f>
        <v>8959.9877189178078</v>
      </c>
      <c r="CP238" s="48">
        <f>SUMPRODUCT((Per_Clase="Administración")*((89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$237*V_Alim*CP$175</f>
        <v>8959.9877189178078</v>
      </c>
      <c r="CQ238" s="48">
        <f>SUMPRODUCT((Per_Clase="Administración")*((90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$237*V_Alim*CQ$175</f>
        <v>8959.9877189178078</v>
      </c>
      <c r="CR238" s="48">
        <f>SUMPRODUCT((Per_Clase="Administración")*((91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$237*V_Alim*CR$175</f>
        <v>8959.9877189178078</v>
      </c>
      <c r="CS238" s="48">
        <f>SUMPRODUCT((Per_Clase="Administración")*((92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$237*V_Alim*CS$175</f>
        <v>8959.9877189178078</v>
      </c>
      <c r="CT238" s="48">
        <f>SUMPRODUCT((Per_Clase="Administración")*((93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$237*V_Alim*CT$175</f>
        <v>8959.9877189178078</v>
      </c>
      <c r="CU238" s="48">
        <f>SUMPRODUCT((Per_Clase="Administración")*((94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$237*V_Alim*CU$175</f>
        <v>8959.9877189178078</v>
      </c>
      <c r="CV238" s="48">
        <f>SUMPRODUCT((Per_Clase="Administración")*((95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$237*V_Alim*CV$175</f>
        <v>8959.9877189178078</v>
      </c>
      <c r="CW238" s="48">
        <f>SUMPRODUCT((Per_Clase="Administración")*((96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$237*V_Alim*CW$175</f>
        <v>8959.9877189178078</v>
      </c>
      <c r="CX238" s="48">
        <f>SUMPRODUCT((Per_Clase="Administración")*((97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$237*V_Alim*CX$175</f>
        <v>8959.9877189178078</v>
      </c>
      <c r="CY238" s="48">
        <f>SUMPRODUCT((Per_Clase="Administración")*((98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$237*V_Alim*CY$175</f>
        <v>8959.9877189178078</v>
      </c>
      <c r="CZ238" s="48">
        <f>SUMPRODUCT((Per_Clase="Administración")*((99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$237*V_Alim*CZ$175</f>
        <v>8959.9877189178078</v>
      </c>
      <c r="DA238" s="48">
        <f>SUMPRODUCT((Per_Clase="Administración")*((100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$237*V_Alim*DA$175</f>
        <v>8959.9877189178078</v>
      </c>
      <c r="DB238" s="48">
        <f>SUMPRODUCT((Per_Clase="Administración")*((101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$237*V_Alim*DB$175</f>
        <v>8959.9877189178078</v>
      </c>
      <c r="DC238" s="48">
        <f>SUMPRODUCT((Per_Clase="Administración")*((102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$237*V_Alim*DC$175</f>
        <v>8959.9877189178078</v>
      </c>
      <c r="DD238" s="48">
        <f>SUMPRODUCT((Per_Clase="Administración")*((103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$237*V_Alim*DD$175</f>
        <v>8959.9877189178078</v>
      </c>
      <c r="DE238" s="48">
        <f>SUMPRODUCT((Per_Clase="Administración")*((104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$237*V_Alim*DE$175</f>
        <v>8959.9877189178078</v>
      </c>
      <c r="DF238" s="48">
        <f>SUMPRODUCT((Per_Clase="Administración")*((105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$237*V_Alim*DF$175</f>
        <v>8959.9877189178078</v>
      </c>
      <c r="DG238" s="48">
        <f>SUMPRODUCT((Per_Clase="Administración")*((106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$237*V_Alim*DG$175</f>
        <v>8959.9877189178078</v>
      </c>
      <c r="DH238" s="48">
        <f>SUMPRODUCT((Per_Clase="Administración")*((107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$237*V_Alim*DH$175</f>
        <v>8959.9877189178078</v>
      </c>
      <c r="DI238" s="48">
        <f>SUMPRODUCT((Per_Clase="Administración")*((108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$237*V_Alim*DI$175</f>
        <v>8959.9877189178078</v>
      </c>
      <c r="DJ238" s="48">
        <f>SUMPRODUCT((Per_Clase="Administración")*((109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$237*V_Alim*DJ$175</f>
        <v>8959.9877189178078</v>
      </c>
      <c r="DK238" s="48">
        <f>SUMPRODUCT((Per_Clase="Administración")*((110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$237*V_Alim*DK$175</f>
        <v>8959.9877189178078</v>
      </c>
      <c r="DL238" s="48">
        <f>SUMPRODUCT((Per_Clase="Administración")*((111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$237*V_Alim*DL$175</f>
        <v>8959.9877189178078</v>
      </c>
      <c r="DM238" s="48">
        <f>SUMPRODUCT((Per_Clase="Administración")*((112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$237*V_Alim*DM$175</f>
        <v>8959.9877189178078</v>
      </c>
      <c r="DN238" s="48">
        <f>SUMPRODUCT((Per_Clase="Administración")*((113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$237*V_Alim*DN$175</f>
        <v>8959.9877189178078</v>
      </c>
      <c r="DO238" s="48">
        <f>SUMPRODUCT((Per_Clase="Administración")*((114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$237*V_Alim*DO$175</f>
        <v>8959.9877189178078</v>
      </c>
      <c r="DP238" s="48">
        <f>SUMPRODUCT((Per_Clase="Administración")*((115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$237*V_Alim*DP$175</f>
        <v>8959.9877189178078</v>
      </c>
      <c r="DQ238" s="48">
        <f>SUMPRODUCT((Per_Clase="Administración")*((116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$237*V_Alim*DQ$175</f>
        <v>8959.9877189178078</v>
      </c>
      <c r="DR238" s="48">
        <f>SUMPRODUCT((Per_Clase="Administración")*((117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$237*V_Alim*DR$175</f>
        <v>8959.9877189178078</v>
      </c>
      <c r="DS238" s="48">
        <f>SUMPRODUCT((Per_Clase="Administración")*((118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$237*V_Alim*DS$175</f>
        <v>8959.9877189178078</v>
      </c>
      <c r="DT238" s="48">
        <f>SUMPRODUCT((Per_Clase="Administración")*((119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$237*V_Alim*DT$175</f>
        <v>8959.9877189178078</v>
      </c>
      <c r="DU238" s="48">
        <f>SUMPRODUCT((Per_Clase="Administración")*((120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$237*V_Alim*DU$175</f>
        <v>8959.9877189178078</v>
      </c>
      <c r="DV238" s="48">
        <f>SUMPRODUCT((Per_Clase="Administración")*((121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$237*V_Alim*DV$175</f>
        <v>0</v>
      </c>
      <c r="DW238" s="48">
        <f>SUMPRODUCT((Per_Clase="Administración")*((122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$237*V_Alim*DW$175</f>
        <v>0</v>
      </c>
      <c r="DX238" s="48">
        <f>SUMPRODUCT((Per_Clase="Administración")*((123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$237*V_Alim*DX$175</f>
        <v>0</v>
      </c>
      <c r="DY238" s="48">
        <f>SUMPRODUCT((Per_Clase="Administración")*((124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$237*V_Alim*DY$175</f>
        <v>0</v>
      </c>
      <c r="DZ238" s="48">
        <f>SUMPRODUCT((Per_Clase="Administración")*((125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$237*V_Alim*DZ$175</f>
        <v>0</v>
      </c>
      <c r="EA238" s="48">
        <f>SUMPRODUCT((Per_Clase="Administración")*((126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$237*V_Alim*EA$175</f>
        <v>0</v>
      </c>
      <c r="EB238" s="48">
        <f>SUMPRODUCT((Per_Clase="Administración")*((127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$237*V_Alim*EB$175</f>
        <v>0</v>
      </c>
      <c r="EC238" s="48">
        <f>SUMPRODUCT((Per_Clase="Administración")*((128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$237*V_Alim*EC$175</f>
        <v>0</v>
      </c>
      <c r="ED238" s="48">
        <f>SUMPRODUCT((Per_Clase="Administración")*((129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$237*V_Alim*ED$175</f>
        <v>0</v>
      </c>
      <c r="EE238" s="48">
        <f>SUMPRODUCT((Per_Clase="Administración")*((130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$237*V_Alim*EE$175</f>
        <v>0</v>
      </c>
      <c r="EF238" s="48">
        <f>SUMPRODUCT((Per_Clase="Administración")*((131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$237*V_Alim*EF$175</f>
        <v>0</v>
      </c>
      <c r="EG238" s="48">
        <f>SUMPRODUCT((Per_Clase="Administración")*((132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$237*V_Alim*EG$175</f>
        <v>0</v>
      </c>
      <c r="EH238" s="48">
        <f>SUMPRODUCT((Per_Clase="Administración")*((133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$237*V_Alim*EH$175</f>
        <v>0</v>
      </c>
      <c r="EI238" s="48">
        <f>SUMPRODUCT((Per_Clase="Administración")*((134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$237*V_Alim*EI$175</f>
        <v>0</v>
      </c>
      <c r="EJ238" s="48">
        <f>SUMPRODUCT((Per_Clase="Administración")*((135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$237*V_Alim*EJ$175</f>
        <v>0</v>
      </c>
      <c r="EK238" s="48">
        <f>SUMPRODUCT((Per_Clase="Administración")*((136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$237*V_Alim*EK$175</f>
        <v>0</v>
      </c>
      <c r="EL238" s="48">
        <f>SUMPRODUCT((Per_Clase="Administración")*((137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$237*V_Alim*EL$175</f>
        <v>0</v>
      </c>
      <c r="EM238" s="48">
        <f>SUMPRODUCT((Per_Clase="Administración")*((138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$237*V_Alim*EM$175</f>
        <v>0</v>
      </c>
      <c r="EN238" s="48">
        <f>SUMPRODUCT((Per_Clase="Administración")*((139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$237*V_Alim*EN$175</f>
        <v>0</v>
      </c>
      <c r="EO238" s="48">
        <f>SUMPRODUCT((Per_Clase="Administración")*((140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$237*V_Alim*EO$175</f>
        <v>0</v>
      </c>
      <c r="EP238" s="48">
        <f>SUMPRODUCT((Per_Clase="Administración")*((141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$237*V_Alim*EP$175</f>
        <v>0</v>
      </c>
      <c r="EQ238" s="48">
        <f>SUMPRODUCT((Per_Clase="Administración")*((142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$237*V_Alim*EQ$175</f>
        <v>0</v>
      </c>
      <c r="ER238" s="48">
        <f>SUMPRODUCT((Per_Clase="Administración")*((143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$237*V_Alim*ER$175</f>
        <v>0</v>
      </c>
      <c r="ES238" s="48">
        <f>SUMPRODUCT((Per_Clase="Administración")*((144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$237*V_Alim*ES$175</f>
        <v>0</v>
      </c>
    </row>
    <row r="239" spans="1:149" x14ac:dyDescent="0.3">
      <c r="A239" s="14" t="s">
        <v>1293</v>
      </c>
      <c r="B239" s="18" t="s">
        <v>1072</v>
      </c>
      <c r="C239" s="18" t="s">
        <v>439</v>
      </c>
      <c r="E239" s="54">
        <f t="shared" si="616"/>
        <v>522395.34234611614</v>
      </c>
      <c r="F239" s="48">
        <f t="shared" ref="F239:AK239" si="617">V_Pkg*(F$229+F$230+F$231+F$234)</f>
        <v>2756.2905879712325</v>
      </c>
      <c r="G239" s="48">
        <f t="shared" si="617"/>
        <v>2756.2905879712325</v>
      </c>
      <c r="H239" s="48">
        <f t="shared" si="617"/>
        <v>2756.2905879712325</v>
      </c>
      <c r="I239" s="48">
        <f t="shared" si="617"/>
        <v>2756.2905879712325</v>
      </c>
      <c r="J239" s="48">
        <f t="shared" si="617"/>
        <v>2756.2905879712325</v>
      </c>
      <c r="K239" s="48">
        <f t="shared" si="617"/>
        <v>2756.2905879712325</v>
      </c>
      <c r="L239" s="48">
        <f t="shared" si="617"/>
        <v>2756.2905879712325</v>
      </c>
      <c r="M239" s="48">
        <f t="shared" si="617"/>
        <v>2756.2905879712325</v>
      </c>
      <c r="N239" s="48">
        <f t="shared" si="617"/>
        <v>2756.2905879712325</v>
      </c>
      <c r="O239" s="48">
        <f t="shared" si="617"/>
        <v>2756.2905879712325</v>
      </c>
      <c r="P239" s="48">
        <f t="shared" si="617"/>
        <v>2756.2905879712325</v>
      </c>
      <c r="Q239" s="48">
        <f t="shared" si="617"/>
        <v>2756.2905879712325</v>
      </c>
      <c r="R239" s="48">
        <f t="shared" si="617"/>
        <v>3410.9276704712329</v>
      </c>
      <c r="S239" s="48">
        <f t="shared" si="617"/>
        <v>3410.9276704712329</v>
      </c>
      <c r="T239" s="48">
        <f t="shared" si="617"/>
        <v>3410.9276704712329</v>
      </c>
      <c r="U239" s="48">
        <f t="shared" si="617"/>
        <v>3410.9276704712329</v>
      </c>
      <c r="V239" s="48">
        <f t="shared" si="617"/>
        <v>3410.9276704712329</v>
      </c>
      <c r="W239" s="48">
        <f t="shared" si="617"/>
        <v>3410.9276704712329</v>
      </c>
      <c r="X239" s="48">
        <f t="shared" si="617"/>
        <v>3410.9276704712329</v>
      </c>
      <c r="Y239" s="48">
        <f t="shared" si="617"/>
        <v>3410.9276704712329</v>
      </c>
      <c r="Z239" s="48">
        <f t="shared" si="617"/>
        <v>3410.9276704712329</v>
      </c>
      <c r="AA239" s="48">
        <f t="shared" si="617"/>
        <v>3410.9276704712329</v>
      </c>
      <c r="AB239" s="48">
        <f t="shared" si="617"/>
        <v>3410.9276704712329</v>
      </c>
      <c r="AC239" s="48">
        <f t="shared" si="617"/>
        <v>3410.9276704712329</v>
      </c>
      <c r="AD239" s="48">
        <f t="shared" si="617"/>
        <v>4098.8133314089046</v>
      </c>
      <c r="AE239" s="48">
        <f t="shared" si="617"/>
        <v>4098.8133314089046</v>
      </c>
      <c r="AF239" s="48">
        <f t="shared" si="617"/>
        <v>4098.8133314089046</v>
      </c>
      <c r="AG239" s="48">
        <f t="shared" si="617"/>
        <v>4098.8133314089046</v>
      </c>
      <c r="AH239" s="48">
        <f t="shared" si="617"/>
        <v>4098.8133314089046</v>
      </c>
      <c r="AI239" s="48">
        <f t="shared" si="617"/>
        <v>4098.8133314089046</v>
      </c>
      <c r="AJ239" s="48">
        <f t="shared" si="617"/>
        <v>4098.8133314089046</v>
      </c>
      <c r="AK239" s="48">
        <f t="shared" si="617"/>
        <v>4098.8133314089046</v>
      </c>
      <c r="AL239" s="48">
        <f t="shared" ref="AL239:BQ239" si="618">V_Pkg*(AL$229+AL$230+AL$231+AL$234)</f>
        <v>4098.8133314089046</v>
      </c>
      <c r="AM239" s="48">
        <f t="shared" si="618"/>
        <v>4098.8133314089046</v>
      </c>
      <c r="AN239" s="48">
        <f t="shared" si="618"/>
        <v>4098.8133314089046</v>
      </c>
      <c r="AO239" s="48">
        <f t="shared" si="618"/>
        <v>4098.8133314089046</v>
      </c>
      <c r="AP239" s="48">
        <f t="shared" si="618"/>
        <v>4661.5281053278768</v>
      </c>
      <c r="AQ239" s="48">
        <f t="shared" si="618"/>
        <v>4661.5281053278768</v>
      </c>
      <c r="AR239" s="48">
        <f t="shared" si="618"/>
        <v>4661.5281053278768</v>
      </c>
      <c r="AS239" s="48">
        <f t="shared" si="618"/>
        <v>4661.5281053278768</v>
      </c>
      <c r="AT239" s="48">
        <f t="shared" si="618"/>
        <v>4661.5281053278768</v>
      </c>
      <c r="AU239" s="48">
        <f t="shared" si="618"/>
        <v>4661.5281053278768</v>
      </c>
      <c r="AV239" s="48">
        <f t="shared" si="618"/>
        <v>4661.5281053278768</v>
      </c>
      <c r="AW239" s="48">
        <f t="shared" si="618"/>
        <v>4661.5281053278768</v>
      </c>
      <c r="AX239" s="48">
        <f t="shared" si="618"/>
        <v>4661.5281053278768</v>
      </c>
      <c r="AY239" s="48">
        <f t="shared" si="618"/>
        <v>4661.5281053278768</v>
      </c>
      <c r="AZ239" s="48">
        <f t="shared" si="618"/>
        <v>4661.5281053278768</v>
      </c>
      <c r="BA239" s="48">
        <f t="shared" si="618"/>
        <v>4661.5281053278768</v>
      </c>
      <c r="BB239" s="48">
        <f t="shared" si="618"/>
        <v>4709.895026469093</v>
      </c>
      <c r="BC239" s="48">
        <f t="shared" si="618"/>
        <v>4709.895026469093</v>
      </c>
      <c r="BD239" s="48">
        <f t="shared" si="618"/>
        <v>4709.895026469093</v>
      </c>
      <c r="BE239" s="48">
        <f t="shared" si="618"/>
        <v>4709.895026469093</v>
      </c>
      <c r="BF239" s="48">
        <f t="shared" si="618"/>
        <v>4709.895026469093</v>
      </c>
      <c r="BG239" s="48">
        <f t="shared" si="618"/>
        <v>4709.895026469093</v>
      </c>
      <c r="BH239" s="48">
        <f t="shared" si="618"/>
        <v>4709.895026469093</v>
      </c>
      <c r="BI239" s="48">
        <f t="shared" si="618"/>
        <v>4709.895026469093</v>
      </c>
      <c r="BJ239" s="48">
        <f t="shared" si="618"/>
        <v>4709.895026469093</v>
      </c>
      <c r="BK239" s="48">
        <f t="shared" si="618"/>
        <v>4709.895026469093</v>
      </c>
      <c r="BL239" s="48">
        <f t="shared" si="618"/>
        <v>4709.895026469093</v>
      </c>
      <c r="BM239" s="48">
        <f t="shared" si="618"/>
        <v>4709.895026469093</v>
      </c>
      <c r="BN239" s="48">
        <f t="shared" si="618"/>
        <v>4732.6569384328304</v>
      </c>
      <c r="BO239" s="48">
        <f t="shared" si="618"/>
        <v>4732.6569384328304</v>
      </c>
      <c r="BP239" s="48">
        <f t="shared" si="618"/>
        <v>4732.6569384328304</v>
      </c>
      <c r="BQ239" s="48">
        <f t="shared" si="618"/>
        <v>4732.6569384328304</v>
      </c>
      <c r="BR239" s="48">
        <f t="shared" ref="BR239:CW239" si="619">V_Pkg*(BR$229+BR$230+BR$231+BR$234)</f>
        <v>4732.6569384328304</v>
      </c>
      <c r="BS239" s="48">
        <f t="shared" si="619"/>
        <v>4732.6569384328304</v>
      </c>
      <c r="BT239" s="48">
        <f t="shared" si="619"/>
        <v>4732.6569384328304</v>
      </c>
      <c r="BU239" s="48">
        <f t="shared" si="619"/>
        <v>4732.6569384328304</v>
      </c>
      <c r="BV239" s="48">
        <f t="shared" si="619"/>
        <v>4732.6569384328304</v>
      </c>
      <c r="BW239" s="48">
        <f t="shared" si="619"/>
        <v>4732.6569384328304</v>
      </c>
      <c r="BX239" s="48">
        <f t="shared" si="619"/>
        <v>4732.6569384328304</v>
      </c>
      <c r="BY239" s="48">
        <f t="shared" si="619"/>
        <v>4732.6569384328304</v>
      </c>
      <c r="BZ239" s="48">
        <f t="shared" si="619"/>
        <v>4755.6464695162058</v>
      </c>
      <c r="CA239" s="48">
        <f t="shared" si="619"/>
        <v>4755.6464695162058</v>
      </c>
      <c r="CB239" s="48">
        <f t="shared" si="619"/>
        <v>4755.6464695162058</v>
      </c>
      <c r="CC239" s="48">
        <f t="shared" si="619"/>
        <v>4755.6464695162058</v>
      </c>
      <c r="CD239" s="48">
        <f t="shared" si="619"/>
        <v>4755.6464695162058</v>
      </c>
      <c r="CE239" s="48">
        <f t="shared" si="619"/>
        <v>4755.6464695162058</v>
      </c>
      <c r="CF239" s="48">
        <f t="shared" si="619"/>
        <v>4755.6464695162058</v>
      </c>
      <c r="CG239" s="48">
        <f t="shared" si="619"/>
        <v>4755.6464695162058</v>
      </c>
      <c r="CH239" s="48">
        <f t="shared" si="619"/>
        <v>4755.6464695162058</v>
      </c>
      <c r="CI239" s="48">
        <f t="shared" si="619"/>
        <v>4755.6464695162058</v>
      </c>
      <c r="CJ239" s="48">
        <f t="shared" si="619"/>
        <v>4755.6464695162058</v>
      </c>
      <c r="CK239" s="48">
        <f t="shared" si="619"/>
        <v>4755.6464695162058</v>
      </c>
      <c r="CL239" s="48">
        <f t="shared" si="619"/>
        <v>4778.8658959104141</v>
      </c>
      <c r="CM239" s="48">
        <f t="shared" si="619"/>
        <v>4778.8658959104141</v>
      </c>
      <c r="CN239" s="48">
        <f t="shared" si="619"/>
        <v>4778.8658959104141</v>
      </c>
      <c r="CO239" s="48">
        <f t="shared" si="619"/>
        <v>4778.8658959104141</v>
      </c>
      <c r="CP239" s="48">
        <f t="shared" si="619"/>
        <v>4778.8658959104141</v>
      </c>
      <c r="CQ239" s="48">
        <f t="shared" si="619"/>
        <v>4778.8658959104141</v>
      </c>
      <c r="CR239" s="48">
        <f t="shared" si="619"/>
        <v>4778.8658959104141</v>
      </c>
      <c r="CS239" s="48">
        <f t="shared" si="619"/>
        <v>4778.8658959104141</v>
      </c>
      <c r="CT239" s="48">
        <f t="shared" si="619"/>
        <v>4778.8658959104141</v>
      </c>
      <c r="CU239" s="48">
        <f t="shared" si="619"/>
        <v>4778.8658959104141</v>
      </c>
      <c r="CV239" s="48">
        <f t="shared" si="619"/>
        <v>4778.8658959104141</v>
      </c>
      <c r="CW239" s="48">
        <f t="shared" si="619"/>
        <v>4778.8658959104141</v>
      </c>
      <c r="CX239" s="48">
        <f t="shared" ref="CX239:EC239" si="620">V_Pkg*(CX$229+CX$230+CX$231+CX$234)</f>
        <v>4802.3175165685643</v>
      </c>
      <c r="CY239" s="48">
        <f t="shared" si="620"/>
        <v>4802.3175165685643</v>
      </c>
      <c r="CZ239" s="48">
        <f t="shared" si="620"/>
        <v>4802.3175165685643</v>
      </c>
      <c r="DA239" s="48">
        <f t="shared" si="620"/>
        <v>4802.3175165685643</v>
      </c>
      <c r="DB239" s="48">
        <f t="shared" si="620"/>
        <v>4802.3175165685643</v>
      </c>
      <c r="DC239" s="48">
        <f t="shared" si="620"/>
        <v>4802.3175165685643</v>
      </c>
      <c r="DD239" s="48">
        <f t="shared" si="620"/>
        <v>4802.3175165685643</v>
      </c>
      <c r="DE239" s="48">
        <f t="shared" si="620"/>
        <v>4802.3175165685643</v>
      </c>
      <c r="DF239" s="48">
        <f t="shared" si="620"/>
        <v>4802.3175165685643</v>
      </c>
      <c r="DG239" s="48">
        <f t="shared" si="620"/>
        <v>4802.3175165685643</v>
      </c>
      <c r="DH239" s="48">
        <f t="shared" si="620"/>
        <v>4802.3175165685643</v>
      </c>
      <c r="DI239" s="48">
        <f t="shared" si="620"/>
        <v>4802.3175165685643</v>
      </c>
      <c r="DJ239" s="48">
        <f t="shared" si="620"/>
        <v>4826.0036534332967</v>
      </c>
      <c r="DK239" s="48">
        <f t="shared" si="620"/>
        <v>4826.0036534332967</v>
      </c>
      <c r="DL239" s="48">
        <f t="shared" si="620"/>
        <v>4826.0036534332967</v>
      </c>
      <c r="DM239" s="48">
        <f t="shared" si="620"/>
        <v>4826.0036534332967</v>
      </c>
      <c r="DN239" s="48">
        <f t="shared" si="620"/>
        <v>4826.0036534332967</v>
      </c>
      <c r="DO239" s="48">
        <f t="shared" si="620"/>
        <v>4826.0036534332967</v>
      </c>
      <c r="DP239" s="48">
        <f t="shared" si="620"/>
        <v>4826.0036534332967</v>
      </c>
      <c r="DQ239" s="48">
        <f t="shared" si="620"/>
        <v>4826.0036534332967</v>
      </c>
      <c r="DR239" s="48">
        <f t="shared" si="620"/>
        <v>4826.0036534332967</v>
      </c>
      <c r="DS239" s="48">
        <f t="shared" si="620"/>
        <v>4826.0036534332967</v>
      </c>
      <c r="DT239" s="48">
        <f t="shared" si="620"/>
        <v>4826.0036534332967</v>
      </c>
      <c r="DU239" s="48">
        <f t="shared" si="620"/>
        <v>4826.0036534332967</v>
      </c>
      <c r="DV239" s="48">
        <f t="shared" si="620"/>
        <v>0</v>
      </c>
      <c r="DW239" s="48">
        <f t="shared" si="620"/>
        <v>0</v>
      </c>
      <c r="DX239" s="48">
        <f t="shared" si="620"/>
        <v>0</v>
      </c>
      <c r="DY239" s="48">
        <f t="shared" si="620"/>
        <v>0</v>
      </c>
      <c r="DZ239" s="48">
        <f t="shared" si="620"/>
        <v>0</v>
      </c>
      <c r="EA239" s="48">
        <f t="shared" si="620"/>
        <v>0</v>
      </c>
      <c r="EB239" s="48">
        <f t="shared" si="620"/>
        <v>0</v>
      </c>
      <c r="EC239" s="48">
        <f t="shared" si="620"/>
        <v>0</v>
      </c>
      <c r="ED239" s="48">
        <f t="shared" ref="ED239:ES239" si="621">V_Pkg*(ED$229+ED$230+ED$231+ED$234)</f>
        <v>0</v>
      </c>
      <c r="EE239" s="48">
        <f t="shared" si="621"/>
        <v>0</v>
      </c>
      <c r="EF239" s="48">
        <f t="shared" si="621"/>
        <v>0</v>
      </c>
      <c r="EG239" s="48">
        <f t="shared" si="621"/>
        <v>0</v>
      </c>
      <c r="EH239" s="48">
        <f t="shared" si="621"/>
        <v>0</v>
      </c>
      <c r="EI239" s="48">
        <f t="shared" si="621"/>
        <v>0</v>
      </c>
      <c r="EJ239" s="48">
        <f t="shared" si="621"/>
        <v>0</v>
      </c>
      <c r="EK239" s="48">
        <f t="shared" si="621"/>
        <v>0</v>
      </c>
      <c r="EL239" s="48">
        <f t="shared" si="621"/>
        <v>0</v>
      </c>
      <c r="EM239" s="48">
        <f t="shared" si="621"/>
        <v>0</v>
      </c>
      <c r="EN239" s="48">
        <f t="shared" si="621"/>
        <v>0</v>
      </c>
      <c r="EO239" s="48">
        <f t="shared" si="621"/>
        <v>0</v>
      </c>
      <c r="EP239" s="48">
        <f t="shared" si="621"/>
        <v>0</v>
      </c>
      <c r="EQ239" s="48">
        <f t="shared" si="621"/>
        <v>0</v>
      </c>
      <c r="ER239" s="48">
        <f t="shared" si="621"/>
        <v>0</v>
      </c>
      <c r="ES239" s="48">
        <f t="shared" si="621"/>
        <v>0</v>
      </c>
    </row>
    <row r="240" spans="1:149" x14ac:dyDescent="0.3">
      <c r="A240" s="14" t="s">
        <v>1294</v>
      </c>
      <c r="B240" s="18" t="s">
        <v>1074</v>
      </c>
      <c r="C240" s="18" t="s">
        <v>439</v>
      </c>
      <c r="E240" s="54">
        <f t="shared" si="616"/>
        <v>81222.447721645425</v>
      </c>
      <c r="F240" s="48">
        <f t="shared" ref="F240:AK240" si="622">(V_SegV+V_ComV)*F$227</f>
        <v>404.16666666666663</v>
      </c>
      <c r="G240" s="48">
        <f t="shared" si="622"/>
        <v>404.16666666666663</v>
      </c>
      <c r="H240" s="48">
        <f t="shared" si="622"/>
        <v>404.16666666666663</v>
      </c>
      <c r="I240" s="48">
        <f t="shared" si="622"/>
        <v>404.16666666666663</v>
      </c>
      <c r="J240" s="48">
        <f t="shared" si="622"/>
        <v>404.16666666666663</v>
      </c>
      <c r="K240" s="48">
        <f t="shared" si="622"/>
        <v>404.16666666666663</v>
      </c>
      <c r="L240" s="48">
        <f t="shared" si="622"/>
        <v>404.16666666666663</v>
      </c>
      <c r="M240" s="48">
        <f t="shared" si="622"/>
        <v>404.16666666666663</v>
      </c>
      <c r="N240" s="48">
        <f t="shared" si="622"/>
        <v>404.16666666666663</v>
      </c>
      <c r="O240" s="48">
        <f t="shared" si="622"/>
        <v>404.16666666666663</v>
      </c>
      <c r="P240" s="48">
        <f t="shared" si="622"/>
        <v>404.16666666666663</v>
      </c>
      <c r="Q240" s="48">
        <f t="shared" si="622"/>
        <v>404.16666666666663</v>
      </c>
      <c r="R240" s="48">
        <f t="shared" si="622"/>
        <v>515.1</v>
      </c>
      <c r="S240" s="48">
        <f t="shared" si="622"/>
        <v>515.1</v>
      </c>
      <c r="T240" s="48">
        <f t="shared" si="622"/>
        <v>515.1</v>
      </c>
      <c r="U240" s="48">
        <f t="shared" si="622"/>
        <v>515.1</v>
      </c>
      <c r="V240" s="48">
        <f t="shared" si="622"/>
        <v>515.1</v>
      </c>
      <c r="W240" s="48">
        <f t="shared" si="622"/>
        <v>515.1</v>
      </c>
      <c r="X240" s="48">
        <f t="shared" si="622"/>
        <v>515.1</v>
      </c>
      <c r="Y240" s="48">
        <f t="shared" si="622"/>
        <v>515.1</v>
      </c>
      <c r="Z240" s="48">
        <f t="shared" si="622"/>
        <v>515.1</v>
      </c>
      <c r="AA240" s="48">
        <f t="shared" si="622"/>
        <v>515.1</v>
      </c>
      <c r="AB240" s="48">
        <f t="shared" si="622"/>
        <v>515.1</v>
      </c>
      <c r="AC240" s="48">
        <f t="shared" si="622"/>
        <v>515.1</v>
      </c>
      <c r="AD240" s="48">
        <f t="shared" si="622"/>
        <v>628.21158333333335</v>
      </c>
      <c r="AE240" s="48">
        <f t="shared" si="622"/>
        <v>628.21158333333335</v>
      </c>
      <c r="AF240" s="48">
        <f t="shared" si="622"/>
        <v>628.21158333333335</v>
      </c>
      <c r="AG240" s="48">
        <f t="shared" si="622"/>
        <v>628.21158333333335</v>
      </c>
      <c r="AH240" s="48">
        <f t="shared" si="622"/>
        <v>628.21158333333335</v>
      </c>
      <c r="AI240" s="48">
        <f t="shared" si="622"/>
        <v>628.21158333333335</v>
      </c>
      <c r="AJ240" s="48">
        <f t="shared" si="622"/>
        <v>628.21158333333335</v>
      </c>
      <c r="AK240" s="48">
        <f t="shared" si="622"/>
        <v>628.21158333333335</v>
      </c>
      <c r="AL240" s="48">
        <f t="shared" ref="AL240:BQ240" si="623">(V_SegV+V_ComV)*AL$227</f>
        <v>628.21158333333335</v>
      </c>
      <c r="AM240" s="48">
        <f t="shared" si="623"/>
        <v>628.21158333333335</v>
      </c>
      <c r="AN240" s="48">
        <f t="shared" si="623"/>
        <v>628.21158333333335</v>
      </c>
      <c r="AO240" s="48">
        <f t="shared" si="623"/>
        <v>628.21158333333335</v>
      </c>
      <c r="AP240" s="48">
        <f t="shared" si="623"/>
        <v>723.78645249999988</v>
      </c>
      <c r="AQ240" s="48">
        <f t="shared" si="623"/>
        <v>723.78645249999988</v>
      </c>
      <c r="AR240" s="48">
        <f t="shared" si="623"/>
        <v>723.78645249999988</v>
      </c>
      <c r="AS240" s="48">
        <f t="shared" si="623"/>
        <v>723.78645249999988</v>
      </c>
      <c r="AT240" s="48">
        <f t="shared" si="623"/>
        <v>723.78645249999988</v>
      </c>
      <c r="AU240" s="48">
        <f t="shared" si="623"/>
        <v>723.78645249999988</v>
      </c>
      <c r="AV240" s="48">
        <f t="shared" si="623"/>
        <v>723.78645249999988</v>
      </c>
      <c r="AW240" s="48">
        <f t="shared" si="623"/>
        <v>723.78645249999988</v>
      </c>
      <c r="AX240" s="48">
        <f t="shared" si="623"/>
        <v>723.78645249999988</v>
      </c>
      <c r="AY240" s="48">
        <f t="shared" si="623"/>
        <v>723.78645249999988</v>
      </c>
      <c r="AZ240" s="48">
        <f t="shared" si="623"/>
        <v>723.78645249999988</v>
      </c>
      <c r="BA240" s="48">
        <f t="shared" si="623"/>
        <v>723.78645249999988</v>
      </c>
      <c r="BB240" s="48">
        <f t="shared" si="623"/>
        <v>731.02431702500007</v>
      </c>
      <c r="BC240" s="48">
        <f t="shared" si="623"/>
        <v>731.02431702500007</v>
      </c>
      <c r="BD240" s="48">
        <f t="shared" si="623"/>
        <v>731.02431702500007</v>
      </c>
      <c r="BE240" s="48">
        <f t="shared" si="623"/>
        <v>731.02431702500007</v>
      </c>
      <c r="BF240" s="48">
        <f t="shared" si="623"/>
        <v>731.02431702500007</v>
      </c>
      <c r="BG240" s="48">
        <f t="shared" si="623"/>
        <v>731.02431702500007</v>
      </c>
      <c r="BH240" s="48">
        <f t="shared" si="623"/>
        <v>731.02431702500007</v>
      </c>
      <c r="BI240" s="48">
        <f t="shared" si="623"/>
        <v>731.02431702500007</v>
      </c>
      <c r="BJ240" s="48">
        <f t="shared" si="623"/>
        <v>731.02431702500007</v>
      </c>
      <c r="BK240" s="48">
        <f t="shared" si="623"/>
        <v>731.02431702500007</v>
      </c>
      <c r="BL240" s="48">
        <f t="shared" si="623"/>
        <v>731.02431702500007</v>
      </c>
      <c r="BM240" s="48">
        <f t="shared" si="623"/>
        <v>731.02431702500007</v>
      </c>
      <c r="BN240" s="48">
        <f t="shared" si="623"/>
        <v>738.33456019524999</v>
      </c>
      <c r="BO240" s="48">
        <f t="shared" si="623"/>
        <v>738.33456019524999</v>
      </c>
      <c r="BP240" s="48">
        <f t="shared" si="623"/>
        <v>738.33456019524999</v>
      </c>
      <c r="BQ240" s="48">
        <f t="shared" si="623"/>
        <v>738.33456019524999</v>
      </c>
      <c r="BR240" s="48">
        <f t="shared" ref="BR240:CW240" si="624">(V_SegV+V_ComV)*BR$227</f>
        <v>738.33456019524999</v>
      </c>
      <c r="BS240" s="48">
        <f t="shared" si="624"/>
        <v>738.33456019524999</v>
      </c>
      <c r="BT240" s="48">
        <f t="shared" si="624"/>
        <v>738.33456019524999</v>
      </c>
      <c r="BU240" s="48">
        <f t="shared" si="624"/>
        <v>738.33456019524999</v>
      </c>
      <c r="BV240" s="48">
        <f t="shared" si="624"/>
        <v>738.33456019524999</v>
      </c>
      <c r="BW240" s="48">
        <f t="shared" si="624"/>
        <v>738.33456019524999</v>
      </c>
      <c r="BX240" s="48">
        <f t="shared" si="624"/>
        <v>738.33456019524999</v>
      </c>
      <c r="BY240" s="48">
        <f t="shared" si="624"/>
        <v>738.33456019524999</v>
      </c>
      <c r="BZ240" s="48">
        <f t="shared" si="624"/>
        <v>745.71790579720255</v>
      </c>
      <c r="CA240" s="48">
        <f t="shared" si="624"/>
        <v>745.71790579720255</v>
      </c>
      <c r="CB240" s="48">
        <f t="shared" si="624"/>
        <v>745.71790579720255</v>
      </c>
      <c r="CC240" s="48">
        <f t="shared" si="624"/>
        <v>745.71790579720255</v>
      </c>
      <c r="CD240" s="48">
        <f t="shared" si="624"/>
        <v>745.71790579720255</v>
      </c>
      <c r="CE240" s="48">
        <f t="shared" si="624"/>
        <v>745.71790579720255</v>
      </c>
      <c r="CF240" s="48">
        <f t="shared" si="624"/>
        <v>745.71790579720255</v>
      </c>
      <c r="CG240" s="48">
        <f t="shared" si="624"/>
        <v>745.71790579720255</v>
      </c>
      <c r="CH240" s="48">
        <f t="shared" si="624"/>
        <v>745.71790579720255</v>
      </c>
      <c r="CI240" s="48">
        <f t="shared" si="624"/>
        <v>745.71790579720255</v>
      </c>
      <c r="CJ240" s="48">
        <f t="shared" si="624"/>
        <v>745.71790579720255</v>
      </c>
      <c r="CK240" s="48">
        <f t="shared" si="624"/>
        <v>745.71790579720255</v>
      </c>
      <c r="CL240" s="48">
        <f t="shared" si="624"/>
        <v>753.17508485517442</v>
      </c>
      <c r="CM240" s="48">
        <f t="shared" si="624"/>
        <v>753.17508485517442</v>
      </c>
      <c r="CN240" s="48">
        <f t="shared" si="624"/>
        <v>753.17508485517442</v>
      </c>
      <c r="CO240" s="48">
        <f t="shared" si="624"/>
        <v>753.17508485517442</v>
      </c>
      <c r="CP240" s="48">
        <f t="shared" si="624"/>
        <v>753.17508485517442</v>
      </c>
      <c r="CQ240" s="48">
        <f t="shared" si="624"/>
        <v>753.17508485517442</v>
      </c>
      <c r="CR240" s="48">
        <f t="shared" si="624"/>
        <v>753.17508485517442</v>
      </c>
      <c r="CS240" s="48">
        <f t="shared" si="624"/>
        <v>753.17508485517442</v>
      </c>
      <c r="CT240" s="48">
        <f t="shared" si="624"/>
        <v>753.17508485517442</v>
      </c>
      <c r="CU240" s="48">
        <f t="shared" si="624"/>
        <v>753.17508485517442</v>
      </c>
      <c r="CV240" s="48">
        <f t="shared" si="624"/>
        <v>753.17508485517442</v>
      </c>
      <c r="CW240" s="48">
        <f t="shared" si="624"/>
        <v>753.17508485517442</v>
      </c>
      <c r="CX240" s="48">
        <f t="shared" ref="CX240:EC240" si="625">(V_SegV+V_ComV)*CX$227</f>
        <v>760.70683570372614</v>
      </c>
      <c r="CY240" s="48">
        <f t="shared" si="625"/>
        <v>760.70683570372614</v>
      </c>
      <c r="CZ240" s="48">
        <f t="shared" si="625"/>
        <v>760.70683570372614</v>
      </c>
      <c r="DA240" s="48">
        <f t="shared" si="625"/>
        <v>760.70683570372614</v>
      </c>
      <c r="DB240" s="48">
        <f t="shared" si="625"/>
        <v>760.70683570372614</v>
      </c>
      <c r="DC240" s="48">
        <f t="shared" si="625"/>
        <v>760.70683570372614</v>
      </c>
      <c r="DD240" s="48">
        <f t="shared" si="625"/>
        <v>760.70683570372614</v>
      </c>
      <c r="DE240" s="48">
        <f t="shared" si="625"/>
        <v>760.70683570372614</v>
      </c>
      <c r="DF240" s="48">
        <f t="shared" si="625"/>
        <v>760.70683570372614</v>
      </c>
      <c r="DG240" s="48">
        <f t="shared" si="625"/>
        <v>760.70683570372614</v>
      </c>
      <c r="DH240" s="48">
        <f t="shared" si="625"/>
        <v>760.70683570372614</v>
      </c>
      <c r="DI240" s="48">
        <f t="shared" si="625"/>
        <v>760.70683570372614</v>
      </c>
      <c r="DJ240" s="48">
        <f t="shared" si="625"/>
        <v>768.31390406076355</v>
      </c>
      <c r="DK240" s="48">
        <f t="shared" si="625"/>
        <v>768.31390406076355</v>
      </c>
      <c r="DL240" s="48">
        <f t="shared" si="625"/>
        <v>768.31390406076355</v>
      </c>
      <c r="DM240" s="48">
        <f t="shared" si="625"/>
        <v>768.31390406076355</v>
      </c>
      <c r="DN240" s="48">
        <f t="shared" si="625"/>
        <v>768.31390406076355</v>
      </c>
      <c r="DO240" s="48">
        <f t="shared" si="625"/>
        <v>768.31390406076355</v>
      </c>
      <c r="DP240" s="48">
        <f t="shared" si="625"/>
        <v>768.31390406076355</v>
      </c>
      <c r="DQ240" s="48">
        <f t="shared" si="625"/>
        <v>768.31390406076355</v>
      </c>
      <c r="DR240" s="48">
        <f t="shared" si="625"/>
        <v>768.31390406076355</v>
      </c>
      <c r="DS240" s="48">
        <f t="shared" si="625"/>
        <v>768.31390406076355</v>
      </c>
      <c r="DT240" s="48">
        <f t="shared" si="625"/>
        <v>768.31390406076355</v>
      </c>
      <c r="DU240" s="48">
        <f t="shared" si="625"/>
        <v>768.31390406076355</v>
      </c>
      <c r="DV240" s="48">
        <f t="shared" si="625"/>
        <v>0</v>
      </c>
      <c r="DW240" s="48">
        <f t="shared" si="625"/>
        <v>0</v>
      </c>
      <c r="DX240" s="48">
        <f t="shared" si="625"/>
        <v>0</v>
      </c>
      <c r="DY240" s="48">
        <f t="shared" si="625"/>
        <v>0</v>
      </c>
      <c r="DZ240" s="48">
        <f t="shared" si="625"/>
        <v>0</v>
      </c>
      <c r="EA240" s="48">
        <f t="shared" si="625"/>
        <v>0</v>
      </c>
      <c r="EB240" s="48">
        <f t="shared" si="625"/>
        <v>0</v>
      </c>
      <c r="EC240" s="48">
        <f t="shared" si="625"/>
        <v>0</v>
      </c>
      <c r="ED240" s="48">
        <f t="shared" ref="ED240:ES240" si="626">(V_SegV+V_ComV)*ED$227</f>
        <v>0</v>
      </c>
      <c r="EE240" s="48">
        <f t="shared" si="626"/>
        <v>0</v>
      </c>
      <c r="EF240" s="48">
        <f t="shared" si="626"/>
        <v>0</v>
      </c>
      <c r="EG240" s="48">
        <f t="shared" si="626"/>
        <v>0</v>
      </c>
      <c r="EH240" s="48">
        <f t="shared" si="626"/>
        <v>0</v>
      </c>
      <c r="EI240" s="48">
        <f t="shared" si="626"/>
        <v>0</v>
      </c>
      <c r="EJ240" s="48">
        <f t="shared" si="626"/>
        <v>0</v>
      </c>
      <c r="EK240" s="48">
        <f t="shared" si="626"/>
        <v>0</v>
      </c>
      <c r="EL240" s="48">
        <f t="shared" si="626"/>
        <v>0</v>
      </c>
      <c r="EM240" s="48">
        <f t="shared" si="626"/>
        <v>0</v>
      </c>
      <c r="EN240" s="48">
        <f t="shared" si="626"/>
        <v>0</v>
      </c>
      <c r="EO240" s="48">
        <f t="shared" si="626"/>
        <v>0</v>
      </c>
      <c r="EP240" s="48">
        <f t="shared" si="626"/>
        <v>0</v>
      </c>
      <c r="EQ240" s="48">
        <f t="shared" si="626"/>
        <v>0</v>
      </c>
      <c r="ER240" s="48">
        <f t="shared" si="626"/>
        <v>0</v>
      </c>
      <c r="ES240" s="48">
        <f t="shared" si="626"/>
        <v>0</v>
      </c>
    </row>
    <row r="241" spans="1:149" x14ac:dyDescent="0.3">
      <c r="A241" s="14" t="s">
        <v>1295</v>
      </c>
      <c r="B241" s="18" t="s">
        <v>943</v>
      </c>
      <c r="C241" s="18" t="s">
        <v>439</v>
      </c>
      <c r="E241" s="54">
        <f t="shared" si="616"/>
        <v>812224.47721645399</v>
      </c>
      <c r="F241" s="48">
        <f t="shared" ref="F241:AK241" si="627">V_Trib*F$227</f>
        <v>4041.6666666666665</v>
      </c>
      <c r="G241" s="48">
        <f t="shared" si="627"/>
        <v>4041.6666666666665</v>
      </c>
      <c r="H241" s="48">
        <f t="shared" si="627"/>
        <v>4041.6666666666665</v>
      </c>
      <c r="I241" s="48">
        <f t="shared" si="627"/>
        <v>4041.6666666666665</v>
      </c>
      <c r="J241" s="48">
        <f t="shared" si="627"/>
        <v>4041.6666666666665</v>
      </c>
      <c r="K241" s="48">
        <f t="shared" si="627"/>
        <v>4041.6666666666665</v>
      </c>
      <c r="L241" s="48">
        <f t="shared" si="627"/>
        <v>4041.6666666666665</v>
      </c>
      <c r="M241" s="48">
        <f t="shared" si="627"/>
        <v>4041.6666666666665</v>
      </c>
      <c r="N241" s="48">
        <f t="shared" si="627"/>
        <v>4041.6666666666665</v>
      </c>
      <c r="O241" s="48">
        <f t="shared" si="627"/>
        <v>4041.6666666666665</v>
      </c>
      <c r="P241" s="48">
        <f t="shared" si="627"/>
        <v>4041.6666666666665</v>
      </c>
      <c r="Q241" s="48">
        <f t="shared" si="627"/>
        <v>4041.6666666666665</v>
      </c>
      <c r="R241" s="48">
        <f t="shared" si="627"/>
        <v>5151</v>
      </c>
      <c r="S241" s="48">
        <f t="shared" si="627"/>
        <v>5151</v>
      </c>
      <c r="T241" s="48">
        <f t="shared" si="627"/>
        <v>5151</v>
      </c>
      <c r="U241" s="48">
        <f t="shared" si="627"/>
        <v>5151</v>
      </c>
      <c r="V241" s="48">
        <f t="shared" si="627"/>
        <v>5151</v>
      </c>
      <c r="W241" s="48">
        <f t="shared" si="627"/>
        <v>5151</v>
      </c>
      <c r="X241" s="48">
        <f t="shared" si="627"/>
        <v>5151</v>
      </c>
      <c r="Y241" s="48">
        <f t="shared" si="627"/>
        <v>5151</v>
      </c>
      <c r="Z241" s="48">
        <f t="shared" si="627"/>
        <v>5151</v>
      </c>
      <c r="AA241" s="48">
        <f t="shared" si="627"/>
        <v>5151</v>
      </c>
      <c r="AB241" s="48">
        <f t="shared" si="627"/>
        <v>5151</v>
      </c>
      <c r="AC241" s="48">
        <f t="shared" si="627"/>
        <v>5151</v>
      </c>
      <c r="AD241" s="48">
        <f t="shared" si="627"/>
        <v>6282.1158333333342</v>
      </c>
      <c r="AE241" s="48">
        <f t="shared" si="627"/>
        <v>6282.1158333333342</v>
      </c>
      <c r="AF241" s="48">
        <f t="shared" si="627"/>
        <v>6282.1158333333342</v>
      </c>
      <c r="AG241" s="48">
        <f t="shared" si="627"/>
        <v>6282.1158333333342</v>
      </c>
      <c r="AH241" s="48">
        <f t="shared" si="627"/>
        <v>6282.1158333333342</v>
      </c>
      <c r="AI241" s="48">
        <f t="shared" si="627"/>
        <v>6282.1158333333342</v>
      </c>
      <c r="AJ241" s="48">
        <f t="shared" si="627"/>
        <v>6282.1158333333342</v>
      </c>
      <c r="AK241" s="48">
        <f t="shared" si="627"/>
        <v>6282.1158333333342</v>
      </c>
      <c r="AL241" s="48">
        <f t="shared" ref="AL241:BQ241" si="628">V_Trib*AL$227</f>
        <v>6282.1158333333342</v>
      </c>
      <c r="AM241" s="48">
        <f t="shared" si="628"/>
        <v>6282.1158333333342</v>
      </c>
      <c r="AN241" s="48">
        <f t="shared" si="628"/>
        <v>6282.1158333333342</v>
      </c>
      <c r="AO241" s="48">
        <f t="shared" si="628"/>
        <v>6282.1158333333342</v>
      </c>
      <c r="AP241" s="48">
        <f t="shared" si="628"/>
        <v>7237.864524999999</v>
      </c>
      <c r="AQ241" s="48">
        <f t="shared" si="628"/>
        <v>7237.864524999999</v>
      </c>
      <c r="AR241" s="48">
        <f t="shared" si="628"/>
        <v>7237.864524999999</v>
      </c>
      <c r="AS241" s="48">
        <f t="shared" si="628"/>
        <v>7237.864524999999</v>
      </c>
      <c r="AT241" s="48">
        <f t="shared" si="628"/>
        <v>7237.864524999999</v>
      </c>
      <c r="AU241" s="48">
        <f t="shared" si="628"/>
        <v>7237.864524999999</v>
      </c>
      <c r="AV241" s="48">
        <f t="shared" si="628"/>
        <v>7237.864524999999</v>
      </c>
      <c r="AW241" s="48">
        <f t="shared" si="628"/>
        <v>7237.864524999999</v>
      </c>
      <c r="AX241" s="48">
        <f t="shared" si="628"/>
        <v>7237.864524999999</v>
      </c>
      <c r="AY241" s="48">
        <f t="shared" si="628"/>
        <v>7237.864524999999</v>
      </c>
      <c r="AZ241" s="48">
        <f t="shared" si="628"/>
        <v>7237.864524999999</v>
      </c>
      <c r="BA241" s="48">
        <f t="shared" si="628"/>
        <v>7237.864524999999</v>
      </c>
      <c r="BB241" s="48">
        <f t="shared" si="628"/>
        <v>7310.2431702500016</v>
      </c>
      <c r="BC241" s="48">
        <f t="shared" si="628"/>
        <v>7310.2431702500016</v>
      </c>
      <c r="BD241" s="48">
        <f t="shared" si="628"/>
        <v>7310.2431702500016</v>
      </c>
      <c r="BE241" s="48">
        <f t="shared" si="628"/>
        <v>7310.2431702500016</v>
      </c>
      <c r="BF241" s="48">
        <f t="shared" si="628"/>
        <v>7310.2431702500016</v>
      </c>
      <c r="BG241" s="48">
        <f t="shared" si="628"/>
        <v>7310.2431702500016</v>
      </c>
      <c r="BH241" s="48">
        <f t="shared" si="628"/>
        <v>7310.2431702500016</v>
      </c>
      <c r="BI241" s="48">
        <f t="shared" si="628"/>
        <v>7310.2431702500016</v>
      </c>
      <c r="BJ241" s="48">
        <f t="shared" si="628"/>
        <v>7310.2431702500016</v>
      </c>
      <c r="BK241" s="48">
        <f t="shared" si="628"/>
        <v>7310.2431702500016</v>
      </c>
      <c r="BL241" s="48">
        <f t="shared" si="628"/>
        <v>7310.2431702500016</v>
      </c>
      <c r="BM241" s="48">
        <f t="shared" si="628"/>
        <v>7310.2431702500016</v>
      </c>
      <c r="BN241" s="48">
        <f t="shared" si="628"/>
        <v>7383.3456019525001</v>
      </c>
      <c r="BO241" s="48">
        <f t="shared" si="628"/>
        <v>7383.3456019525001</v>
      </c>
      <c r="BP241" s="48">
        <f t="shared" si="628"/>
        <v>7383.3456019525001</v>
      </c>
      <c r="BQ241" s="48">
        <f t="shared" si="628"/>
        <v>7383.3456019525001</v>
      </c>
      <c r="BR241" s="48">
        <f t="shared" ref="BR241:CW241" si="629">V_Trib*BR$227</f>
        <v>7383.3456019525001</v>
      </c>
      <c r="BS241" s="48">
        <f t="shared" si="629"/>
        <v>7383.3456019525001</v>
      </c>
      <c r="BT241" s="48">
        <f t="shared" si="629"/>
        <v>7383.3456019525001</v>
      </c>
      <c r="BU241" s="48">
        <f t="shared" si="629"/>
        <v>7383.3456019525001</v>
      </c>
      <c r="BV241" s="48">
        <f t="shared" si="629"/>
        <v>7383.3456019525001</v>
      </c>
      <c r="BW241" s="48">
        <f t="shared" si="629"/>
        <v>7383.3456019525001</v>
      </c>
      <c r="BX241" s="48">
        <f t="shared" si="629"/>
        <v>7383.3456019525001</v>
      </c>
      <c r="BY241" s="48">
        <f t="shared" si="629"/>
        <v>7383.3456019525001</v>
      </c>
      <c r="BZ241" s="48">
        <f t="shared" si="629"/>
        <v>7457.1790579720255</v>
      </c>
      <c r="CA241" s="48">
        <f t="shared" si="629"/>
        <v>7457.1790579720255</v>
      </c>
      <c r="CB241" s="48">
        <f t="shared" si="629"/>
        <v>7457.1790579720255</v>
      </c>
      <c r="CC241" s="48">
        <f t="shared" si="629"/>
        <v>7457.1790579720255</v>
      </c>
      <c r="CD241" s="48">
        <f t="shared" si="629"/>
        <v>7457.1790579720255</v>
      </c>
      <c r="CE241" s="48">
        <f t="shared" si="629"/>
        <v>7457.1790579720255</v>
      </c>
      <c r="CF241" s="48">
        <f t="shared" si="629"/>
        <v>7457.1790579720255</v>
      </c>
      <c r="CG241" s="48">
        <f t="shared" si="629"/>
        <v>7457.1790579720255</v>
      </c>
      <c r="CH241" s="48">
        <f t="shared" si="629"/>
        <v>7457.1790579720255</v>
      </c>
      <c r="CI241" s="48">
        <f t="shared" si="629"/>
        <v>7457.1790579720255</v>
      </c>
      <c r="CJ241" s="48">
        <f t="shared" si="629"/>
        <v>7457.1790579720255</v>
      </c>
      <c r="CK241" s="48">
        <f t="shared" si="629"/>
        <v>7457.1790579720255</v>
      </c>
      <c r="CL241" s="48">
        <f t="shared" si="629"/>
        <v>7531.7508485517446</v>
      </c>
      <c r="CM241" s="48">
        <f t="shared" si="629"/>
        <v>7531.7508485517446</v>
      </c>
      <c r="CN241" s="48">
        <f t="shared" si="629"/>
        <v>7531.7508485517446</v>
      </c>
      <c r="CO241" s="48">
        <f t="shared" si="629"/>
        <v>7531.7508485517446</v>
      </c>
      <c r="CP241" s="48">
        <f t="shared" si="629"/>
        <v>7531.7508485517446</v>
      </c>
      <c r="CQ241" s="48">
        <f t="shared" si="629"/>
        <v>7531.7508485517446</v>
      </c>
      <c r="CR241" s="48">
        <f t="shared" si="629"/>
        <v>7531.7508485517446</v>
      </c>
      <c r="CS241" s="48">
        <f t="shared" si="629"/>
        <v>7531.7508485517446</v>
      </c>
      <c r="CT241" s="48">
        <f t="shared" si="629"/>
        <v>7531.7508485517446</v>
      </c>
      <c r="CU241" s="48">
        <f t="shared" si="629"/>
        <v>7531.7508485517446</v>
      </c>
      <c r="CV241" s="48">
        <f t="shared" si="629"/>
        <v>7531.7508485517446</v>
      </c>
      <c r="CW241" s="48">
        <f t="shared" si="629"/>
        <v>7531.7508485517446</v>
      </c>
      <c r="CX241" s="48">
        <f t="shared" ref="CX241:EC241" si="630">V_Trib*CX$227</f>
        <v>7607.0683570372621</v>
      </c>
      <c r="CY241" s="48">
        <f t="shared" si="630"/>
        <v>7607.0683570372621</v>
      </c>
      <c r="CZ241" s="48">
        <f t="shared" si="630"/>
        <v>7607.0683570372621</v>
      </c>
      <c r="DA241" s="48">
        <f t="shared" si="630"/>
        <v>7607.0683570372621</v>
      </c>
      <c r="DB241" s="48">
        <f t="shared" si="630"/>
        <v>7607.0683570372621</v>
      </c>
      <c r="DC241" s="48">
        <f t="shared" si="630"/>
        <v>7607.0683570372621</v>
      </c>
      <c r="DD241" s="48">
        <f t="shared" si="630"/>
        <v>7607.0683570372621</v>
      </c>
      <c r="DE241" s="48">
        <f t="shared" si="630"/>
        <v>7607.0683570372621</v>
      </c>
      <c r="DF241" s="48">
        <f t="shared" si="630"/>
        <v>7607.0683570372621</v>
      </c>
      <c r="DG241" s="48">
        <f t="shared" si="630"/>
        <v>7607.0683570372621</v>
      </c>
      <c r="DH241" s="48">
        <f t="shared" si="630"/>
        <v>7607.0683570372621</v>
      </c>
      <c r="DI241" s="48">
        <f t="shared" si="630"/>
        <v>7607.0683570372621</v>
      </c>
      <c r="DJ241" s="48">
        <f t="shared" si="630"/>
        <v>7683.1390406076353</v>
      </c>
      <c r="DK241" s="48">
        <f t="shared" si="630"/>
        <v>7683.1390406076353</v>
      </c>
      <c r="DL241" s="48">
        <f t="shared" si="630"/>
        <v>7683.1390406076353</v>
      </c>
      <c r="DM241" s="48">
        <f t="shared" si="630"/>
        <v>7683.1390406076353</v>
      </c>
      <c r="DN241" s="48">
        <f t="shared" si="630"/>
        <v>7683.1390406076353</v>
      </c>
      <c r="DO241" s="48">
        <f t="shared" si="630"/>
        <v>7683.1390406076353</v>
      </c>
      <c r="DP241" s="48">
        <f t="shared" si="630"/>
        <v>7683.1390406076353</v>
      </c>
      <c r="DQ241" s="48">
        <f t="shared" si="630"/>
        <v>7683.1390406076353</v>
      </c>
      <c r="DR241" s="48">
        <f t="shared" si="630"/>
        <v>7683.1390406076353</v>
      </c>
      <c r="DS241" s="48">
        <f t="shared" si="630"/>
        <v>7683.1390406076353</v>
      </c>
      <c r="DT241" s="48">
        <f t="shared" si="630"/>
        <v>7683.1390406076353</v>
      </c>
      <c r="DU241" s="48">
        <f t="shared" si="630"/>
        <v>7683.1390406076353</v>
      </c>
      <c r="DV241" s="48">
        <f t="shared" si="630"/>
        <v>0</v>
      </c>
      <c r="DW241" s="48">
        <f t="shared" si="630"/>
        <v>0</v>
      </c>
      <c r="DX241" s="48">
        <f t="shared" si="630"/>
        <v>0</v>
      </c>
      <c r="DY241" s="48">
        <f t="shared" si="630"/>
        <v>0</v>
      </c>
      <c r="DZ241" s="48">
        <f t="shared" si="630"/>
        <v>0</v>
      </c>
      <c r="EA241" s="48">
        <f t="shared" si="630"/>
        <v>0</v>
      </c>
      <c r="EB241" s="48">
        <f t="shared" si="630"/>
        <v>0</v>
      </c>
      <c r="EC241" s="48">
        <f t="shared" si="630"/>
        <v>0</v>
      </c>
      <c r="ED241" s="48">
        <f t="shared" ref="ED241:ES241" si="631">V_Trib*ED$227</f>
        <v>0</v>
      </c>
      <c r="EE241" s="48">
        <f t="shared" si="631"/>
        <v>0</v>
      </c>
      <c r="EF241" s="48">
        <f t="shared" si="631"/>
        <v>0</v>
      </c>
      <c r="EG241" s="48">
        <f t="shared" si="631"/>
        <v>0</v>
      </c>
      <c r="EH241" s="48">
        <f t="shared" si="631"/>
        <v>0</v>
      </c>
      <c r="EI241" s="48">
        <f t="shared" si="631"/>
        <v>0</v>
      </c>
      <c r="EJ241" s="48">
        <f t="shared" si="631"/>
        <v>0</v>
      </c>
      <c r="EK241" s="48">
        <f t="shared" si="631"/>
        <v>0</v>
      </c>
      <c r="EL241" s="48">
        <f t="shared" si="631"/>
        <v>0</v>
      </c>
      <c r="EM241" s="48">
        <f t="shared" si="631"/>
        <v>0</v>
      </c>
      <c r="EN241" s="48">
        <f t="shared" si="631"/>
        <v>0</v>
      </c>
      <c r="EO241" s="48">
        <f t="shared" si="631"/>
        <v>0</v>
      </c>
      <c r="EP241" s="48">
        <f t="shared" si="631"/>
        <v>0</v>
      </c>
      <c r="EQ241" s="48">
        <f t="shared" si="631"/>
        <v>0</v>
      </c>
      <c r="ER241" s="48">
        <f t="shared" si="631"/>
        <v>0</v>
      </c>
      <c r="ES241" s="48">
        <f t="shared" si="631"/>
        <v>0</v>
      </c>
    </row>
    <row r="242" spans="1:149" x14ac:dyDescent="0.3">
      <c r="A242" s="14" t="s">
        <v>1296</v>
      </c>
      <c r="B242" s="18" t="s">
        <v>1077</v>
      </c>
      <c r="C242" s="18" t="s">
        <v>439</v>
      </c>
      <c r="E242" s="54">
        <f t="shared" si="616"/>
        <v>555431.73575042153</v>
      </c>
      <c r="F242" s="48">
        <f>SUMPRODUCT((FC_Clase="Producción")*((FC_Mon="PYG")*F$175+(FC_Mon&lt;&gt;"PYG"))*((1&gt;Corte)*(1&lt;=Corte+n_Ventana)*ISNUMBER(Detalle_24m!F$220:F$244)*Detalle_24m!F$220:F$244+(1-(1&gt;Corte)*(1&lt;=Corte+n_Ventana)*ISNUMBER(Detalle_24m!F$220:F$244))*FC_V*(1+FC_g)^(F$173-1)*((FC_Desde=0)*(F$172+F$171)+(FC_Desde&gt;=1)*(F$170&gt;=FC_Desde)*F$171)))</f>
        <v>4393.4782191780823</v>
      </c>
      <c r="G242" s="48">
        <f>SUMPRODUCT((FC_Clase="Producción")*((FC_Mon="PYG")*G$175+(FC_Mon&lt;&gt;"PYG"))*((2&gt;Corte)*(2&lt;=Corte+n_Ventana)*ISNUMBER(Detalle_24m!G$220:G$244)*Detalle_24m!G$220:G$244+(1-(2&gt;Corte)*(2&lt;=Corte+n_Ventana)*ISNUMBER(Detalle_24m!G$220:G$244))*FC_V*(1+FC_g)^(G$173-1)*((FC_Desde=0)*(G$172+G$171)+(FC_Desde&gt;=1)*(G$170&gt;=FC_Desde)*G$171)))</f>
        <v>4393.4782191780823</v>
      </c>
      <c r="H242" s="48">
        <f>SUMPRODUCT((FC_Clase="Producción")*((FC_Mon="PYG")*H$175+(FC_Mon&lt;&gt;"PYG"))*((3&gt;Corte)*(3&lt;=Corte+n_Ventana)*ISNUMBER(Detalle_24m!H$220:H$244)*Detalle_24m!H$220:H$244+(1-(3&gt;Corte)*(3&lt;=Corte+n_Ventana)*ISNUMBER(Detalle_24m!H$220:H$244))*FC_V*(1+FC_g)^(H$173-1)*((FC_Desde=0)*(H$172+H$171)+(FC_Desde&gt;=1)*(H$170&gt;=FC_Desde)*H$171)))</f>
        <v>4393.4782191780823</v>
      </c>
      <c r="I242" s="48">
        <f>SUMPRODUCT((FC_Clase="Producción")*((FC_Mon="PYG")*I$175+(FC_Mon&lt;&gt;"PYG"))*((4&gt;Corte)*(4&lt;=Corte+n_Ventana)*ISNUMBER(Detalle_24m!I$220:I$244)*Detalle_24m!I$220:I$244+(1-(4&gt;Corte)*(4&lt;=Corte+n_Ventana)*ISNUMBER(Detalle_24m!I$220:I$244))*FC_V*(1+FC_g)^(I$173-1)*((FC_Desde=0)*(I$172+I$171)+(FC_Desde&gt;=1)*(I$170&gt;=FC_Desde)*I$171)))</f>
        <v>4393.4782191780823</v>
      </c>
      <c r="J242" s="48">
        <f>SUMPRODUCT((FC_Clase="Producción")*((FC_Mon="PYG")*J$175+(FC_Mon&lt;&gt;"PYG"))*((5&gt;Corte)*(5&lt;=Corte+n_Ventana)*ISNUMBER(Detalle_24m!J$220:J$244)*Detalle_24m!J$220:J$244+(1-(5&gt;Corte)*(5&lt;=Corte+n_Ventana)*ISNUMBER(Detalle_24m!J$220:J$244))*FC_V*(1+FC_g)^(J$173-1)*((FC_Desde=0)*(J$172+J$171)+(FC_Desde&gt;=1)*(J$170&gt;=FC_Desde)*J$171)))</f>
        <v>4393.4782191780823</v>
      </c>
      <c r="K242" s="48">
        <f>SUMPRODUCT((FC_Clase="Producción")*((FC_Mon="PYG")*K$175+(FC_Mon&lt;&gt;"PYG"))*((6&gt;Corte)*(6&lt;=Corte+n_Ventana)*ISNUMBER(Detalle_24m!K$220:K$244)*Detalle_24m!K$220:K$244+(1-(6&gt;Corte)*(6&lt;=Corte+n_Ventana)*ISNUMBER(Detalle_24m!K$220:K$244))*FC_V*(1+FC_g)^(K$173-1)*((FC_Desde=0)*(K$172+K$171)+(FC_Desde&gt;=1)*(K$170&gt;=FC_Desde)*K$171)))</f>
        <v>4393.4782191780823</v>
      </c>
      <c r="L242" s="48">
        <f>SUMPRODUCT((FC_Clase="Producción")*((FC_Mon="PYG")*L$175+(FC_Mon&lt;&gt;"PYG"))*((7&gt;Corte)*(7&lt;=Corte+n_Ventana)*ISNUMBER(Detalle_24m!L$220:L$244)*Detalle_24m!L$220:L$244+(1-(7&gt;Corte)*(7&lt;=Corte+n_Ventana)*ISNUMBER(Detalle_24m!L$220:L$244))*FC_V*(1+FC_g)^(L$173-1)*((FC_Desde=0)*(L$172+L$171)+(FC_Desde&gt;=1)*(L$170&gt;=FC_Desde)*L$171)))</f>
        <v>4393.4782191780823</v>
      </c>
      <c r="M242" s="48">
        <f>SUMPRODUCT((FC_Clase="Producción")*((FC_Mon="PYG")*M$175+(FC_Mon&lt;&gt;"PYG"))*((8&gt;Corte)*(8&lt;=Corte+n_Ventana)*ISNUMBER(Detalle_24m!M$220:M$244)*Detalle_24m!M$220:M$244+(1-(8&gt;Corte)*(8&lt;=Corte+n_Ventana)*ISNUMBER(Detalle_24m!M$220:M$244))*FC_V*(1+FC_g)^(M$173-1)*((FC_Desde=0)*(M$172+M$171)+(FC_Desde&gt;=1)*(M$170&gt;=FC_Desde)*M$171)))</f>
        <v>4393.4782191780823</v>
      </c>
      <c r="N242" s="48">
        <f>SUMPRODUCT((FC_Clase="Producción")*((FC_Mon="PYG")*N$175+(FC_Mon&lt;&gt;"PYG"))*((9&gt;Corte)*(9&lt;=Corte+n_Ventana)*ISNUMBER(Detalle_24m!N$220:N$244)*Detalle_24m!N$220:N$244+(1-(9&gt;Corte)*(9&lt;=Corte+n_Ventana)*ISNUMBER(Detalle_24m!N$220:N$244))*FC_V*(1+FC_g)^(N$173-1)*((FC_Desde=0)*(N$172+N$171)+(FC_Desde&gt;=1)*(N$170&gt;=FC_Desde)*N$171)))</f>
        <v>4393.4782191780823</v>
      </c>
      <c r="O242" s="48">
        <f>SUMPRODUCT((FC_Clase="Producción")*((FC_Mon="PYG")*O$175+(FC_Mon&lt;&gt;"PYG"))*((10&gt;Corte)*(10&lt;=Corte+n_Ventana)*ISNUMBER(Detalle_24m!O$220:O$244)*Detalle_24m!O$220:O$244+(1-(10&gt;Corte)*(10&lt;=Corte+n_Ventana)*ISNUMBER(Detalle_24m!O$220:O$244))*FC_V*(1+FC_g)^(O$173-1)*((FC_Desde=0)*(O$172+O$171)+(FC_Desde&gt;=1)*(O$170&gt;=FC_Desde)*O$171)))</f>
        <v>4393.4782191780823</v>
      </c>
      <c r="P242" s="48">
        <f>SUMPRODUCT((FC_Clase="Producción")*((FC_Mon="PYG")*P$175+(FC_Mon&lt;&gt;"PYG"))*((11&gt;Corte)*(11&lt;=Corte+n_Ventana)*ISNUMBER(Detalle_24m!P$220:P$244)*Detalle_24m!P$220:P$244+(1-(11&gt;Corte)*(11&lt;=Corte+n_Ventana)*ISNUMBER(Detalle_24m!P$220:P$244))*FC_V*(1+FC_g)^(P$173-1)*((FC_Desde=0)*(P$172+P$171)+(FC_Desde&gt;=1)*(P$170&gt;=FC_Desde)*P$171)))</f>
        <v>4393.4782191780823</v>
      </c>
      <c r="Q242" s="48">
        <f>SUMPRODUCT((FC_Clase="Producción")*((FC_Mon="PYG")*Q$175+(FC_Mon&lt;&gt;"PYG"))*((12&gt;Corte)*(12&lt;=Corte+n_Ventana)*ISNUMBER(Detalle_24m!Q$220:Q$244)*Detalle_24m!Q$220:Q$244+(1-(12&gt;Corte)*(12&lt;=Corte+n_Ventana)*ISNUMBER(Detalle_24m!Q$220:Q$244))*FC_V*(1+FC_g)^(Q$173-1)*((FC_Desde=0)*(Q$172+Q$171)+(FC_Desde&gt;=1)*(Q$170&gt;=FC_Desde)*Q$171)))</f>
        <v>4393.4782191780823</v>
      </c>
      <c r="R242" s="48">
        <f>SUMPRODUCT((FC_Clase="Producción")*((FC_Mon="PYG")*R$175+(FC_Mon&lt;&gt;"PYG"))*((13&gt;Corte)*(13&lt;=Corte+n_Ventana)*ISNUMBER(Detalle_24m!R$220:R$244)*Detalle_24m!R$220:R$244+(1-(13&gt;Corte)*(13&lt;=Corte+n_Ventana)*ISNUMBER(Detalle_24m!R$220:R$244))*FC_V*(1+FC_g)^(R$173-1)*((FC_Desde=0)*(R$172+R$171)+(FC_Desde&gt;=1)*(R$170&gt;=FC_Desde)*R$171)))</f>
        <v>4442.9916191780821</v>
      </c>
      <c r="S242" s="48">
        <f>SUMPRODUCT((FC_Clase="Producción")*((FC_Mon="PYG")*S$175+(FC_Mon&lt;&gt;"PYG"))*((14&gt;Corte)*(14&lt;=Corte+n_Ventana)*ISNUMBER(Detalle_24m!S$220:S$244)*Detalle_24m!S$220:S$244+(1-(14&gt;Corte)*(14&lt;=Corte+n_Ventana)*ISNUMBER(Detalle_24m!S$220:S$244))*FC_V*(1+FC_g)^(S$173-1)*((FC_Desde=0)*(S$172+S$171)+(FC_Desde&gt;=1)*(S$170&gt;=FC_Desde)*S$171)))</f>
        <v>4442.9916191780821</v>
      </c>
      <c r="T242" s="48">
        <f>SUMPRODUCT((FC_Clase="Producción")*((FC_Mon="PYG")*T$175+(FC_Mon&lt;&gt;"PYG"))*((15&gt;Corte)*(15&lt;=Corte+n_Ventana)*ISNUMBER(Detalle_24m!T$220:T$244)*Detalle_24m!T$220:T$244+(1-(15&gt;Corte)*(15&lt;=Corte+n_Ventana)*ISNUMBER(Detalle_24m!T$220:T$244))*FC_V*(1+FC_g)^(T$173-1)*((FC_Desde=0)*(T$172+T$171)+(FC_Desde&gt;=1)*(T$170&gt;=FC_Desde)*T$171)))</f>
        <v>4442.9916191780821</v>
      </c>
      <c r="U242" s="48">
        <f>SUMPRODUCT((FC_Clase="Producción")*((FC_Mon="PYG")*U$175+(FC_Mon&lt;&gt;"PYG"))*((16&gt;Corte)*(16&lt;=Corte+n_Ventana)*ISNUMBER(Detalle_24m!U$220:U$244)*Detalle_24m!U$220:U$244+(1-(16&gt;Corte)*(16&lt;=Corte+n_Ventana)*ISNUMBER(Detalle_24m!U$220:U$244))*FC_V*(1+FC_g)^(U$173-1)*((FC_Desde=0)*(U$172+U$171)+(FC_Desde&gt;=1)*(U$170&gt;=FC_Desde)*U$171)))</f>
        <v>4442.9916191780821</v>
      </c>
      <c r="V242" s="48">
        <f>SUMPRODUCT((FC_Clase="Producción")*((FC_Mon="PYG")*V$175+(FC_Mon&lt;&gt;"PYG"))*((17&gt;Corte)*(17&lt;=Corte+n_Ventana)*ISNUMBER(Detalle_24m!V$220:V$244)*Detalle_24m!V$220:V$244+(1-(17&gt;Corte)*(17&lt;=Corte+n_Ventana)*ISNUMBER(Detalle_24m!V$220:V$244))*FC_V*(1+FC_g)^(V$173-1)*((FC_Desde=0)*(V$172+V$171)+(FC_Desde&gt;=1)*(V$170&gt;=FC_Desde)*V$171)))</f>
        <v>4442.9916191780821</v>
      </c>
      <c r="W242" s="48">
        <f>SUMPRODUCT((FC_Clase="Producción")*((FC_Mon="PYG")*W$175+(FC_Mon&lt;&gt;"PYG"))*((18&gt;Corte)*(18&lt;=Corte+n_Ventana)*ISNUMBER(Detalle_24m!W$220:W$244)*Detalle_24m!W$220:W$244+(1-(18&gt;Corte)*(18&lt;=Corte+n_Ventana)*ISNUMBER(Detalle_24m!W$220:W$244))*FC_V*(1+FC_g)^(W$173-1)*((FC_Desde=0)*(W$172+W$171)+(FC_Desde&gt;=1)*(W$170&gt;=FC_Desde)*W$171)))</f>
        <v>4442.9916191780821</v>
      </c>
      <c r="X242" s="48">
        <f>SUMPRODUCT((FC_Clase="Producción")*((FC_Mon="PYG")*X$175+(FC_Mon&lt;&gt;"PYG"))*((19&gt;Corte)*(19&lt;=Corte+n_Ventana)*ISNUMBER(Detalle_24m!X$220:X$244)*Detalle_24m!X$220:X$244+(1-(19&gt;Corte)*(19&lt;=Corte+n_Ventana)*ISNUMBER(Detalle_24m!X$220:X$244))*FC_V*(1+FC_g)^(X$173-1)*((FC_Desde=0)*(X$172+X$171)+(FC_Desde&gt;=1)*(X$170&gt;=FC_Desde)*X$171)))</f>
        <v>4442.9916191780821</v>
      </c>
      <c r="Y242" s="48">
        <f>SUMPRODUCT((FC_Clase="Producción")*((FC_Mon="PYG")*Y$175+(FC_Mon&lt;&gt;"PYG"))*((20&gt;Corte)*(20&lt;=Corte+n_Ventana)*ISNUMBER(Detalle_24m!Y$220:Y$244)*Detalle_24m!Y$220:Y$244+(1-(20&gt;Corte)*(20&lt;=Corte+n_Ventana)*ISNUMBER(Detalle_24m!Y$220:Y$244))*FC_V*(1+FC_g)^(Y$173-1)*((FC_Desde=0)*(Y$172+Y$171)+(FC_Desde&gt;=1)*(Y$170&gt;=FC_Desde)*Y$171)))</f>
        <v>4442.9916191780821</v>
      </c>
      <c r="Z242" s="48">
        <f>SUMPRODUCT((FC_Clase="Producción")*((FC_Mon="PYG")*Z$175+(FC_Mon&lt;&gt;"PYG"))*((21&gt;Corte)*(21&lt;=Corte+n_Ventana)*ISNUMBER(Detalle_24m!Z$220:Z$244)*Detalle_24m!Z$220:Z$244+(1-(21&gt;Corte)*(21&lt;=Corte+n_Ventana)*ISNUMBER(Detalle_24m!Z$220:Z$244))*FC_V*(1+FC_g)^(Z$173-1)*((FC_Desde=0)*(Z$172+Z$171)+(FC_Desde&gt;=1)*(Z$170&gt;=FC_Desde)*Z$171)))</f>
        <v>4442.9916191780821</v>
      </c>
      <c r="AA242" s="48">
        <f>SUMPRODUCT((FC_Clase="Producción")*((FC_Mon="PYG")*AA$175+(FC_Mon&lt;&gt;"PYG"))*((22&gt;Corte)*(22&lt;=Corte+n_Ventana)*ISNUMBER(Detalle_24m!AA$220:AA$244)*Detalle_24m!AA$220:AA$244+(1-(22&gt;Corte)*(22&lt;=Corte+n_Ventana)*ISNUMBER(Detalle_24m!AA$220:AA$244))*FC_V*(1+FC_g)^(AA$173-1)*((FC_Desde=0)*(AA$172+AA$171)+(FC_Desde&gt;=1)*(AA$170&gt;=FC_Desde)*AA$171)))</f>
        <v>4442.9916191780821</v>
      </c>
      <c r="AB242" s="48">
        <f>SUMPRODUCT((FC_Clase="Producción")*((FC_Mon="PYG")*AB$175+(FC_Mon&lt;&gt;"PYG"))*((23&gt;Corte)*(23&lt;=Corte+n_Ventana)*ISNUMBER(Detalle_24m!AB$220:AB$244)*Detalle_24m!AB$220:AB$244+(1-(23&gt;Corte)*(23&lt;=Corte+n_Ventana)*ISNUMBER(Detalle_24m!AB$220:AB$244))*FC_V*(1+FC_g)^(AB$173-1)*((FC_Desde=0)*(AB$172+AB$171)+(FC_Desde&gt;=1)*(AB$170&gt;=FC_Desde)*AB$171)))</f>
        <v>4442.9916191780821</v>
      </c>
      <c r="AC242" s="48">
        <f>SUMPRODUCT((FC_Clase="Producción")*((FC_Mon="PYG")*AC$175+(FC_Mon&lt;&gt;"PYG"))*((24&gt;Corte)*(24&lt;=Corte+n_Ventana)*ISNUMBER(Detalle_24m!AC$220:AC$244)*Detalle_24m!AC$220:AC$244+(1-(24&gt;Corte)*(24&lt;=Corte+n_Ventana)*ISNUMBER(Detalle_24m!AC$220:AC$244))*FC_V*(1+FC_g)^(AC$173-1)*((FC_Desde=0)*(AC$172+AC$171)+(FC_Desde&gt;=1)*(AC$170&gt;=FC_Desde)*AC$171)))</f>
        <v>4442.9916191780821</v>
      </c>
      <c r="AD242" s="48">
        <f>SUMPRODUCT((FC_Clase="Producción")*((FC_Mon="PYG")*AD$175+(FC_Mon&lt;&gt;"PYG"))*((25&gt;Corte)*(25&lt;=Corte+n_Ventana)*ISNUMBER(Detalle_24m!AD$220:AD$244)*Detalle_24m!AD$220:AD$244+(1-(25&gt;Corte)*(25&lt;=Corte+n_Ventana)*ISNUMBER(Detalle_24m!AD$220:AD$244))*FC_V*(1+FC_g)^(AD$173-1)*((FC_Desde=0)*(AD$172+AD$171)+(FC_Desde&gt;=1)*(AD$170&gt;=FC_Desde)*AD$171)))</f>
        <v>4493.4952871780824</v>
      </c>
      <c r="AE242" s="48">
        <f>SUMPRODUCT((FC_Clase="Producción")*((FC_Mon="PYG")*AE$175+(FC_Mon&lt;&gt;"PYG"))*((26&gt;Corte)*(26&lt;=Corte+n_Ventana)*ISNUMBER(Detalle_24m!AE$220:AE$244)*Detalle_24m!AE$220:AE$244+(1-(26&gt;Corte)*(26&lt;=Corte+n_Ventana)*ISNUMBER(Detalle_24m!AE$220:AE$244))*FC_V*(1+FC_g)^(AE$173-1)*((FC_Desde=0)*(AE$172+AE$171)+(FC_Desde&gt;=1)*(AE$170&gt;=FC_Desde)*AE$171)))</f>
        <v>4493.4952871780824</v>
      </c>
      <c r="AF242" s="48">
        <f>SUMPRODUCT((FC_Clase="Producción")*((FC_Mon="PYG")*AF$175+(FC_Mon&lt;&gt;"PYG"))*((27&gt;Corte)*(27&lt;=Corte+n_Ventana)*ISNUMBER(Detalle_24m!AF$220:AF$244)*Detalle_24m!AF$220:AF$244+(1-(27&gt;Corte)*(27&lt;=Corte+n_Ventana)*ISNUMBER(Detalle_24m!AF$220:AF$244))*FC_V*(1+FC_g)^(AF$173-1)*((FC_Desde=0)*(AF$172+AF$171)+(FC_Desde&gt;=1)*(AF$170&gt;=FC_Desde)*AF$171)))</f>
        <v>4493.4952871780824</v>
      </c>
      <c r="AG242" s="48">
        <f>SUMPRODUCT((FC_Clase="Producción")*((FC_Mon="PYG")*AG$175+(FC_Mon&lt;&gt;"PYG"))*((28&gt;Corte)*(28&lt;=Corte+n_Ventana)*ISNUMBER(Detalle_24m!AG$220:AG$244)*Detalle_24m!AG$220:AG$244+(1-(28&gt;Corte)*(28&lt;=Corte+n_Ventana)*ISNUMBER(Detalle_24m!AG$220:AG$244))*FC_V*(1+FC_g)^(AG$173-1)*((FC_Desde=0)*(AG$172+AG$171)+(FC_Desde&gt;=1)*(AG$170&gt;=FC_Desde)*AG$171)))</f>
        <v>4493.4952871780824</v>
      </c>
      <c r="AH242" s="48">
        <f>SUMPRODUCT((FC_Clase="Producción")*((FC_Mon="PYG")*AH$175+(FC_Mon&lt;&gt;"PYG"))*((29&gt;Corte)*(29&lt;=Corte+n_Ventana)*ISNUMBER(Detalle_24m!AH$220:AH$244)*Detalle_24m!AH$220:AH$244+(1-(29&gt;Corte)*(29&lt;=Corte+n_Ventana)*ISNUMBER(Detalle_24m!AH$220:AH$244))*FC_V*(1+FC_g)^(AH$173-1)*((FC_Desde=0)*(AH$172+AH$171)+(FC_Desde&gt;=1)*(AH$170&gt;=FC_Desde)*AH$171)))</f>
        <v>4493.4952871780824</v>
      </c>
      <c r="AI242" s="48">
        <f>SUMPRODUCT((FC_Clase="Producción")*((FC_Mon="PYG")*AI$175+(FC_Mon&lt;&gt;"PYG"))*((30&gt;Corte)*(30&lt;=Corte+n_Ventana)*ISNUMBER(Detalle_24m!AI$220:AI$244)*Detalle_24m!AI$220:AI$244+(1-(30&gt;Corte)*(30&lt;=Corte+n_Ventana)*ISNUMBER(Detalle_24m!AI$220:AI$244))*FC_V*(1+FC_g)^(AI$173-1)*((FC_Desde=0)*(AI$172+AI$171)+(FC_Desde&gt;=1)*(AI$170&gt;=FC_Desde)*AI$171)))</f>
        <v>4493.4952871780824</v>
      </c>
      <c r="AJ242" s="48">
        <f>SUMPRODUCT((FC_Clase="Producción")*((FC_Mon="PYG")*AJ$175+(FC_Mon&lt;&gt;"PYG"))*((31&gt;Corte)*(31&lt;=Corte+n_Ventana)*ISNUMBER(Detalle_24m!AJ$220:AJ$244)*Detalle_24m!AJ$220:AJ$244+(1-(31&gt;Corte)*(31&lt;=Corte+n_Ventana)*ISNUMBER(Detalle_24m!AJ$220:AJ$244))*FC_V*(1+FC_g)^(AJ$173-1)*((FC_Desde=0)*(AJ$172+AJ$171)+(FC_Desde&gt;=1)*(AJ$170&gt;=FC_Desde)*AJ$171)))</f>
        <v>4493.4952871780824</v>
      </c>
      <c r="AK242" s="48">
        <f>SUMPRODUCT((FC_Clase="Producción")*((FC_Mon="PYG")*AK$175+(FC_Mon&lt;&gt;"PYG"))*((32&gt;Corte)*(32&lt;=Corte+n_Ventana)*ISNUMBER(Detalle_24m!AK$220:AK$244)*Detalle_24m!AK$220:AK$244+(1-(32&gt;Corte)*(32&lt;=Corte+n_Ventana)*ISNUMBER(Detalle_24m!AK$220:AK$244))*FC_V*(1+FC_g)^(AK$173-1)*((FC_Desde=0)*(AK$172+AK$171)+(FC_Desde&gt;=1)*(AK$170&gt;=FC_Desde)*AK$171)))</f>
        <v>4493.4952871780824</v>
      </c>
      <c r="AL242" s="48">
        <f>SUMPRODUCT((FC_Clase="Producción")*((FC_Mon="PYG")*AL$175+(FC_Mon&lt;&gt;"PYG"))*((33&gt;Corte)*(33&lt;=Corte+n_Ventana)*ISNUMBER(Detalle_24m!AL$220:AL$244)*Detalle_24m!AL$220:AL$244+(1-(33&gt;Corte)*(33&lt;=Corte+n_Ventana)*ISNUMBER(Detalle_24m!AL$220:AL$244))*FC_V*(1+FC_g)^(AL$173-1)*((FC_Desde=0)*(AL$172+AL$171)+(FC_Desde&gt;=1)*(AL$170&gt;=FC_Desde)*AL$171)))</f>
        <v>4493.4952871780824</v>
      </c>
      <c r="AM242" s="48">
        <f>SUMPRODUCT((FC_Clase="Producción")*((FC_Mon="PYG")*AM$175+(FC_Mon&lt;&gt;"PYG"))*((34&gt;Corte)*(34&lt;=Corte+n_Ventana)*ISNUMBER(Detalle_24m!AM$220:AM$244)*Detalle_24m!AM$220:AM$244+(1-(34&gt;Corte)*(34&lt;=Corte+n_Ventana)*ISNUMBER(Detalle_24m!AM$220:AM$244))*FC_V*(1+FC_g)^(AM$173-1)*((FC_Desde=0)*(AM$172+AM$171)+(FC_Desde&gt;=1)*(AM$170&gt;=FC_Desde)*AM$171)))</f>
        <v>4493.4952871780824</v>
      </c>
      <c r="AN242" s="48">
        <f>SUMPRODUCT((FC_Clase="Producción")*((FC_Mon="PYG")*AN$175+(FC_Mon&lt;&gt;"PYG"))*((35&gt;Corte)*(35&lt;=Corte+n_Ventana)*ISNUMBER(Detalle_24m!AN$220:AN$244)*Detalle_24m!AN$220:AN$244+(1-(35&gt;Corte)*(35&lt;=Corte+n_Ventana)*ISNUMBER(Detalle_24m!AN$220:AN$244))*FC_V*(1+FC_g)^(AN$173-1)*((FC_Desde=0)*(AN$172+AN$171)+(FC_Desde&gt;=1)*(AN$170&gt;=FC_Desde)*AN$171)))</f>
        <v>4493.4952871780824</v>
      </c>
      <c r="AO242" s="48">
        <f>SUMPRODUCT((FC_Clase="Producción")*((FC_Mon="PYG")*AO$175+(FC_Mon&lt;&gt;"PYG"))*((36&gt;Corte)*(36&lt;=Corte+n_Ventana)*ISNUMBER(Detalle_24m!AO$220:AO$244)*Detalle_24m!AO$220:AO$244+(1-(36&gt;Corte)*(36&lt;=Corte+n_Ventana)*ISNUMBER(Detalle_24m!AO$220:AO$244))*FC_V*(1+FC_g)^(AO$173-1)*((FC_Desde=0)*(AO$172+AO$171)+(FC_Desde&gt;=1)*(AO$170&gt;=FC_Desde)*AO$171)))</f>
        <v>4493.4952871780824</v>
      </c>
      <c r="AP242" s="48">
        <f>SUMPRODUCT((FC_Clase="Producción")*((FC_Mon="PYG")*AP$175+(FC_Mon&lt;&gt;"PYG"))*((37&gt;Corte)*(37&lt;=Corte+n_Ventana)*ISNUMBER(Detalle_24m!AP$220:AP$244)*Detalle_24m!AP$220:AP$244+(1-(37&gt;Corte)*(37&lt;=Corte+n_Ventana)*ISNUMBER(Detalle_24m!AP$220:AP$244))*FC_V*(1+FC_g)^(AP$173-1)*((FC_Desde=0)*(AP$172+AP$171)+(FC_Desde&gt;=1)*(AP$170&gt;=FC_Desde)*AP$171)))</f>
        <v>4545.009028538082</v>
      </c>
      <c r="AQ242" s="48">
        <f>SUMPRODUCT((FC_Clase="Producción")*((FC_Mon="PYG")*AQ$175+(FC_Mon&lt;&gt;"PYG"))*((38&gt;Corte)*(38&lt;=Corte+n_Ventana)*ISNUMBER(Detalle_24m!AQ$220:AQ$244)*Detalle_24m!AQ$220:AQ$244+(1-(38&gt;Corte)*(38&lt;=Corte+n_Ventana)*ISNUMBER(Detalle_24m!AQ$220:AQ$244))*FC_V*(1+FC_g)^(AQ$173-1)*((FC_Desde=0)*(AQ$172+AQ$171)+(FC_Desde&gt;=1)*(AQ$170&gt;=FC_Desde)*AQ$171)))</f>
        <v>4545.009028538082</v>
      </c>
      <c r="AR242" s="48">
        <f>SUMPRODUCT((FC_Clase="Producción")*((FC_Mon="PYG")*AR$175+(FC_Mon&lt;&gt;"PYG"))*((39&gt;Corte)*(39&lt;=Corte+n_Ventana)*ISNUMBER(Detalle_24m!AR$220:AR$244)*Detalle_24m!AR$220:AR$244+(1-(39&gt;Corte)*(39&lt;=Corte+n_Ventana)*ISNUMBER(Detalle_24m!AR$220:AR$244))*FC_V*(1+FC_g)^(AR$173-1)*((FC_Desde=0)*(AR$172+AR$171)+(FC_Desde&gt;=1)*(AR$170&gt;=FC_Desde)*AR$171)))</f>
        <v>4545.009028538082</v>
      </c>
      <c r="AS242" s="48">
        <f>SUMPRODUCT((FC_Clase="Producción")*((FC_Mon="PYG")*AS$175+(FC_Mon&lt;&gt;"PYG"))*((40&gt;Corte)*(40&lt;=Corte+n_Ventana)*ISNUMBER(Detalle_24m!AS$220:AS$244)*Detalle_24m!AS$220:AS$244+(1-(40&gt;Corte)*(40&lt;=Corte+n_Ventana)*ISNUMBER(Detalle_24m!AS$220:AS$244))*FC_V*(1+FC_g)^(AS$173-1)*((FC_Desde=0)*(AS$172+AS$171)+(FC_Desde&gt;=1)*(AS$170&gt;=FC_Desde)*AS$171)))</f>
        <v>4545.009028538082</v>
      </c>
      <c r="AT242" s="48">
        <f>SUMPRODUCT((FC_Clase="Producción")*((FC_Mon="PYG")*AT$175+(FC_Mon&lt;&gt;"PYG"))*((41&gt;Corte)*(41&lt;=Corte+n_Ventana)*ISNUMBER(Detalle_24m!AT$220:AT$244)*Detalle_24m!AT$220:AT$244+(1-(41&gt;Corte)*(41&lt;=Corte+n_Ventana)*ISNUMBER(Detalle_24m!AT$220:AT$244))*FC_V*(1+FC_g)^(AT$173-1)*((FC_Desde=0)*(AT$172+AT$171)+(FC_Desde&gt;=1)*(AT$170&gt;=FC_Desde)*AT$171)))</f>
        <v>4545.009028538082</v>
      </c>
      <c r="AU242" s="48">
        <f>SUMPRODUCT((FC_Clase="Producción")*((FC_Mon="PYG")*AU$175+(FC_Mon&lt;&gt;"PYG"))*((42&gt;Corte)*(42&lt;=Corte+n_Ventana)*ISNUMBER(Detalle_24m!AU$220:AU$244)*Detalle_24m!AU$220:AU$244+(1-(42&gt;Corte)*(42&lt;=Corte+n_Ventana)*ISNUMBER(Detalle_24m!AU$220:AU$244))*FC_V*(1+FC_g)^(AU$173-1)*((FC_Desde=0)*(AU$172+AU$171)+(FC_Desde&gt;=1)*(AU$170&gt;=FC_Desde)*AU$171)))</f>
        <v>4545.009028538082</v>
      </c>
      <c r="AV242" s="48">
        <f>SUMPRODUCT((FC_Clase="Producción")*((FC_Mon="PYG")*AV$175+(FC_Mon&lt;&gt;"PYG"))*((43&gt;Corte)*(43&lt;=Corte+n_Ventana)*ISNUMBER(Detalle_24m!AV$220:AV$244)*Detalle_24m!AV$220:AV$244+(1-(43&gt;Corte)*(43&lt;=Corte+n_Ventana)*ISNUMBER(Detalle_24m!AV$220:AV$244))*FC_V*(1+FC_g)^(AV$173-1)*((FC_Desde=0)*(AV$172+AV$171)+(FC_Desde&gt;=1)*(AV$170&gt;=FC_Desde)*AV$171)))</f>
        <v>4545.009028538082</v>
      </c>
      <c r="AW242" s="48">
        <f>SUMPRODUCT((FC_Clase="Producción")*((FC_Mon="PYG")*AW$175+(FC_Mon&lt;&gt;"PYG"))*((44&gt;Corte)*(44&lt;=Corte+n_Ventana)*ISNUMBER(Detalle_24m!AW$220:AW$244)*Detalle_24m!AW$220:AW$244+(1-(44&gt;Corte)*(44&lt;=Corte+n_Ventana)*ISNUMBER(Detalle_24m!AW$220:AW$244))*FC_V*(1+FC_g)^(AW$173-1)*((FC_Desde=0)*(AW$172+AW$171)+(FC_Desde&gt;=1)*(AW$170&gt;=FC_Desde)*AW$171)))</f>
        <v>4545.009028538082</v>
      </c>
      <c r="AX242" s="48">
        <f>SUMPRODUCT((FC_Clase="Producción")*((FC_Mon="PYG")*AX$175+(FC_Mon&lt;&gt;"PYG"))*((45&gt;Corte)*(45&lt;=Corte+n_Ventana)*ISNUMBER(Detalle_24m!AX$220:AX$244)*Detalle_24m!AX$220:AX$244+(1-(45&gt;Corte)*(45&lt;=Corte+n_Ventana)*ISNUMBER(Detalle_24m!AX$220:AX$244))*FC_V*(1+FC_g)^(AX$173-1)*((FC_Desde=0)*(AX$172+AX$171)+(FC_Desde&gt;=1)*(AX$170&gt;=FC_Desde)*AX$171)))</f>
        <v>4545.009028538082</v>
      </c>
      <c r="AY242" s="48">
        <f>SUMPRODUCT((FC_Clase="Producción")*((FC_Mon="PYG")*AY$175+(FC_Mon&lt;&gt;"PYG"))*((46&gt;Corte)*(46&lt;=Corte+n_Ventana)*ISNUMBER(Detalle_24m!AY$220:AY$244)*Detalle_24m!AY$220:AY$244+(1-(46&gt;Corte)*(46&lt;=Corte+n_Ventana)*ISNUMBER(Detalle_24m!AY$220:AY$244))*FC_V*(1+FC_g)^(AY$173-1)*((FC_Desde=0)*(AY$172+AY$171)+(FC_Desde&gt;=1)*(AY$170&gt;=FC_Desde)*AY$171)))</f>
        <v>4545.009028538082</v>
      </c>
      <c r="AZ242" s="48">
        <f>SUMPRODUCT((FC_Clase="Producción")*((FC_Mon="PYG")*AZ$175+(FC_Mon&lt;&gt;"PYG"))*((47&gt;Corte)*(47&lt;=Corte+n_Ventana)*ISNUMBER(Detalle_24m!AZ$220:AZ$244)*Detalle_24m!AZ$220:AZ$244+(1-(47&gt;Corte)*(47&lt;=Corte+n_Ventana)*ISNUMBER(Detalle_24m!AZ$220:AZ$244))*FC_V*(1+FC_g)^(AZ$173-1)*((FC_Desde=0)*(AZ$172+AZ$171)+(FC_Desde&gt;=1)*(AZ$170&gt;=FC_Desde)*AZ$171)))</f>
        <v>4545.009028538082</v>
      </c>
      <c r="BA242" s="48">
        <f>SUMPRODUCT((FC_Clase="Producción")*((FC_Mon="PYG")*BA$175+(FC_Mon&lt;&gt;"PYG"))*((48&gt;Corte)*(48&lt;=Corte+n_Ventana)*ISNUMBER(Detalle_24m!BA$220:BA$244)*Detalle_24m!BA$220:BA$244+(1-(48&gt;Corte)*(48&lt;=Corte+n_Ventana)*ISNUMBER(Detalle_24m!BA$220:BA$244))*FC_V*(1+FC_g)^(BA$173-1)*((FC_Desde=0)*(BA$172+BA$171)+(FC_Desde&gt;=1)*(BA$170&gt;=FC_Desde)*BA$171)))</f>
        <v>4545.009028538082</v>
      </c>
      <c r="BB242" s="48">
        <f>SUMPRODUCT((FC_Clase="Producción")*((FC_Mon="PYG")*BB$175+(FC_Mon&lt;&gt;"PYG"))*((49&gt;Corte)*(49&lt;=Corte+n_Ventana)*ISNUMBER(Detalle_24m!BB$220:BB$244)*Detalle_24m!BB$220:BB$244+(1-(49&gt;Corte)*(49&lt;=Corte+n_Ventana)*ISNUMBER(Detalle_24m!BB$220:BB$244))*FC_V*(1+FC_g)^(BB$173-1)*((FC_Desde=0)*(BB$172+BB$171)+(FC_Desde&gt;=1)*(BB$170&gt;=FC_Desde)*BB$171)))</f>
        <v>4597.5530447252822</v>
      </c>
      <c r="BC242" s="48">
        <f>SUMPRODUCT((FC_Clase="Producción")*((FC_Mon="PYG")*BC$175+(FC_Mon&lt;&gt;"PYG"))*((50&gt;Corte)*(50&lt;=Corte+n_Ventana)*ISNUMBER(Detalle_24m!BC$220:BC$244)*Detalle_24m!BC$220:BC$244+(1-(50&gt;Corte)*(50&lt;=Corte+n_Ventana)*ISNUMBER(Detalle_24m!BC$220:BC$244))*FC_V*(1+FC_g)^(BC$173-1)*((FC_Desde=0)*(BC$172+BC$171)+(FC_Desde&gt;=1)*(BC$170&gt;=FC_Desde)*BC$171)))</f>
        <v>4597.5530447252822</v>
      </c>
      <c r="BD242" s="48">
        <f>SUMPRODUCT((FC_Clase="Producción")*((FC_Mon="PYG")*BD$175+(FC_Mon&lt;&gt;"PYG"))*((51&gt;Corte)*(51&lt;=Corte+n_Ventana)*ISNUMBER(Detalle_24m!BD$220:BD$244)*Detalle_24m!BD$220:BD$244+(1-(51&gt;Corte)*(51&lt;=Corte+n_Ventana)*ISNUMBER(Detalle_24m!BD$220:BD$244))*FC_V*(1+FC_g)^(BD$173-1)*((FC_Desde=0)*(BD$172+BD$171)+(FC_Desde&gt;=1)*(BD$170&gt;=FC_Desde)*BD$171)))</f>
        <v>4597.5530447252822</v>
      </c>
      <c r="BE242" s="48">
        <f>SUMPRODUCT((FC_Clase="Producción")*((FC_Mon="PYG")*BE$175+(FC_Mon&lt;&gt;"PYG"))*((52&gt;Corte)*(52&lt;=Corte+n_Ventana)*ISNUMBER(Detalle_24m!BE$220:BE$244)*Detalle_24m!BE$220:BE$244+(1-(52&gt;Corte)*(52&lt;=Corte+n_Ventana)*ISNUMBER(Detalle_24m!BE$220:BE$244))*FC_V*(1+FC_g)^(BE$173-1)*((FC_Desde=0)*(BE$172+BE$171)+(FC_Desde&gt;=1)*(BE$170&gt;=FC_Desde)*BE$171)))</f>
        <v>4597.5530447252822</v>
      </c>
      <c r="BF242" s="48">
        <f>SUMPRODUCT((FC_Clase="Producción")*((FC_Mon="PYG")*BF$175+(FC_Mon&lt;&gt;"PYG"))*((53&gt;Corte)*(53&lt;=Corte+n_Ventana)*ISNUMBER(Detalle_24m!BF$220:BF$244)*Detalle_24m!BF$220:BF$244+(1-(53&gt;Corte)*(53&lt;=Corte+n_Ventana)*ISNUMBER(Detalle_24m!BF$220:BF$244))*FC_V*(1+FC_g)^(BF$173-1)*((FC_Desde=0)*(BF$172+BF$171)+(FC_Desde&gt;=1)*(BF$170&gt;=FC_Desde)*BF$171)))</f>
        <v>4597.5530447252822</v>
      </c>
      <c r="BG242" s="48">
        <f>SUMPRODUCT((FC_Clase="Producción")*((FC_Mon="PYG")*BG$175+(FC_Mon&lt;&gt;"PYG"))*((54&gt;Corte)*(54&lt;=Corte+n_Ventana)*ISNUMBER(Detalle_24m!BG$220:BG$244)*Detalle_24m!BG$220:BG$244+(1-(54&gt;Corte)*(54&lt;=Corte+n_Ventana)*ISNUMBER(Detalle_24m!BG$220:BG$244))*FC_V*(1+FC_g)^(BG$173-1)*((FC_Desde=0)*(BG$172+BG$171)+(FC_Desde&gt;=1)*(BG$170&gt;=FC_Desde)*BG$171)))</f>
        <v>4597.5530447252822</v>
      </c>
      <c r="BH242" s="48">
        <f>SUMPRODUCT((FC_Clase="Producción")*((FC_Mon="PYG")*BH$175+(FC_Mon&lt;&gt;"PYG"))*((55&gt;Corte)*(55&lt;=Corte+n_Ventana)*ISNUMBER(Detalle_24m!BH$220:BH$244)*Detalle_24m!BH$220:BH$244+(1-(55&gt;Corte)*(55&lt;=Corte+n_Ventana)*ISNUMBER(Detalle_24m!BH$220:BH$244))*FC_V*(1+FC_g)^(BH$173-1)*((FC_Desde=0)*(BH$172+BH$171)+(FC_Desde&gt;=1)*(BH$170&gt;=FC_Desde)*BH$171)))</f>
        <v>4597.5530447252822</v>
      </c>
      <c r="BI242" s="48">
        <f>SUMPRODUCT((FC_Clase="Producción")*((FC_Mon="PYG")*BI$175+(FC_Mon&lt;&gt;"PYG"))*((56&gt;Corte)*(56&lt;=Corte+n_Ventana)*ISNUMBER(Detalle_24m!BI$220:BI$244)*Detalle_24m!BI$220:BI$244+(1-(56&gt;Corte)*(56&lt;=Corte+n_Ventana)*ISNUMBER(Detalle_24m!BI$220:BI$244))*FC_V*(1+FC_g)^(BI$173-1)*((FC_Desde=0)*(BI$172+BI$171)+(FC_Desde&gt;=1)*(BI$170&gt;=FC_Desde)*BI$171)))</f>
        <v>4597.5530447252822</v>
      </c>
      <c r="BJ242" s="48">
        <f>SUMPRODUCT((FC_Clase="Producción")*((FC_Mon="PYG")*BJ$175+(FC_Mon&lt;&gt;"PYG"))*((57&gt;Corte)*(57&lt;=Corte+n_Ventana)*ISNUMBER(Detalle_24m!BJ$220:BJ$244)*Detalle_24m!BJ$220:BJ$244+(1-(57&gt;Corte)*(57&lt;=Corte+n_Ventana)*ISNUMBER(Detalle_24m!BJ$220:BJ$244))*FC_V*(1+FC_g)^(BJ$173-1)*((FC_Desde=0)*(BJ$172+BJ$171)+(FC_Desde&gt;=1)*(BJ$170&gt;=FC_Desde)*BJ$171)))</f>
        <v>4597.5530447252822</v>
      </c>
      <c r="BK242" s="48">
        <f>SUMPRODUCT((FC_Clase="Producción")*((FC_Mon="PYG")*BK$175+(FC_Mon&lt;&gt;"PYG"))*((58&gt;Corte)*(58&lt;=Corte+n_Ventana)*ISNUMBER(Detalle_24m!BK$220:BK$244)*Detalle_24m!BK$220:BK$244+(1-(58&gt;Corte)*(58&lt;=Corte+n_Ventana)*ISNUMBER(Detalle_24m!BK$220:BK$244))*FC_V*(1+FC_g)^(BK$173-1)*((FC_Desde=0)*(BK$172+BK$171)+(FC_Desde&gt;=1)*(BK$170&gt;=FC_Desde)*BK$171)))</f>
        <v>4597.5530447252822</v>
      </c>
      <c r="BL242" s="48">
        <f>SUMPRODUCT((FC_Clase="Producción")*((FC_Mon="PYG")*BL$175+(FC_Mon&lt;&gt;"PYG"))*((59&gt;Corte)*(59&lt;=Corte+n_Ventana)*ISNUMBER(Detalle_24m!BL$220:BL$244)*Detalle_24m!BL$220:BL$244+(1-(59&gt;Corte)*(59&lt;=Corte+n_Ventana)*ISNUMBER(Detalle_24m!BL$220:BL$244))*FC_V*(1+FC_g)^(BL$173-1)*((FC_Desde=0)*(BL$172+BL$171)+(FC_Desde&gt;=1)*(BL$170&gt;=FC_Desde)*BL$171)))</f>
        <v>4597.5530447252822</v>
      </c>
      <c r="BM242" s="48">
        <f>SUMPRODUCT((FC_Clase="Producción")*((FC_Mon="PYG")*BM$175+(FC_Mon&lt;&gt;"PYG"))*((60&gt;Corte)*(60&lt;=Corte+n_Ventana)*ISNUMBER(Detalle_24m!BM$220:BM$244)*Detalle_24m!BM$220:BM$244+(1-(60&gt;Corte)*(60&lt;=Corte+n_Ventana)*ISNUMBER(Detalle_24m!BM$220:BM$244))*FC_V*(1+FC_g)^(BM$173-1)*((FC_Desde=0)*(BM$172+BM$171)+(FC_Desde&gt;=1)*(BM$170&gt;=FC_Desde)*BM$171)))</f>
        <v>4597.5530447252822</v>
      </c>
      <c r="BN242" s="48">
        <f>SUMPRODUCT((FC_Clase="Producción")*((FC_Mon="PYG")*BN$175+(FC_Mon&lt;&gt;"PYG"))*((61&gt;Corte)*(61&lt;=Corte+n_Ventana)*ISNUMBER(Detalle_24m!BN$220:BN$244)*Detalle_24m!BN$220:BN$244+(1-(61&gt;Corte)*(61&lt;=Corte+n_Ventana)*ISNUMBER(Detalle_24m!BN$220:BN$244))*FC_V*(1+FC_g)^(BN$173-1)*((FC_Desde=0)*(BN$172+BN$171)+(FC_Desde&gt;=1)*(BN$170&gt;=FC_Desde)*BN$171)))</f>
        <v>4651.147941236226</v>
      </c>
      <c r="BO242" s="48">
        <f>SUMPRODUCT((FC_Clase="Producción")*((FC_Mon="PYG")*BO$175+(FC_Mon&lt;&gt;"PYG"))*((62&gt;Corte)*(62&lt;=Corte+n_Ventana)*ISNUMBER(Detalle_24m!BO$220:BO$244)*Detalle_24m!BO$220:BO$244+(1-(62&gt;Corte)*(62&lt;=Corte+n_Ventana)*ISNUMBER(Detalle_24m!BO$220:BO$244))*FC_V*(1+FC_g)^(BO$173-1)*((FC_Desde=0)*(BO$172+BO$171)+(FC_Desde&gt;=1)*(BO$170&gt;=FC_Desde)*BO$171)))</f>
        <v>4651.147941236226</v>
      </c>
      <c r="BP242" s="48">
        <f>SUMPRODUCT((FC_Clase="Producción")*((FC_Mon="PYG")*BP$175+(FC_Mon&lt;&gt;"PYG"))*((63&gt;Corte)*(63&lt;=Corte+n_Ventana)*ISNUMBER(Detalle_24m!BP$220:BP$244)*Detalle_24m!BP$220:BP$244+(1-(63&gt;Corte)*(63&lt;=Corte+n_Ventana)*ISNUMBER(Detalle_24m!BP$220:BP$244))*FC_V*(1+FC_g)^(BP$173-1)*((FC_Desde=0)*(BP$172+BP$171)+(FC_Desde&gt;=1)*(BP$170&gt;=FC_Desde)*BP$171)))</f>
        <v>4651.147941236226</v>
      </c>
      <c r="BQ242" s="48">
        <f>SUMPRODUCT((FC_Clase="Producción")*((FC_Mon="PYG")*BQ$175+(FC_Mon&lt;&gt;"PYG"))*((64&gt;Corte)*(64&lt;=Corte+n_Ventana)*ISNUMBER(Detalle_24m!BQ$220:BQ$244)*Detalle_24m!BQ$220:BQ$244+(1-(64&gt;Corte)*(64&lt;=Corte+n_Ventana)*ISNUMBER(Detalle_24m!BQ$220:BQ$244))*FC_V*(1+FC_g)^(BQ$173-1)*((FC_Desde=0)*(BQ$172+BQ$171)+(FC_Desde&gt;=1)*(BQ$170&gt;=FC_Desde)*BQ$171)))</f>
        <v>4651.147941236226</v>
      </c>
      <c r="BR242" s="48">
        <f>SUMPRODUCT((FC_Clase="Producción")*((FC_Mon="PYG")*BR$175+(FC_Mon&lt;&gt;"PYG"))*((65&gt;Corte)*(65&lt;=Corte+n_Ventana)*ISNUMBER(Detalle_24m!BR$220:BR$244)*Detalle_24m!BR$220:BR$244+(1-(65&gt;Corte)*(65&lt;=Corte+n_Ventana)*ISNUMBER(Detalle_24m!BR$220:BR$244))*FC_V*(1+FC_g)^(BR$173-1)*((FC_Desde=0)*(BR$172+BR$171)+(FC_Desde&gt;=1)*(BR$170&gt;=FC_Desde)*BR$171)))</f>
        <v>4651.147941236226</v>
      </c>
      <c r="BS242" s="48">
        <f>SUMPRODUCT((FC_Clase="Producción")*((FC_Mon="PYG")*BS$175+(FC_Mon&lt;&gt;"PYG"))*((66&gt;Corte)*(66&lt;=Corte+n_Ventana)*ISNUMBER(Detalle_24m!BS$220:BS$244)*Detalle_24m!BS$220:BS$244+(1-(66&gt;Corte)*(66&lt;=Corte+n_Ventana)*ISNUMBER(Detalle_24m!BS$220:BS$244))*FC_V*(1+FC_g)^(BS$173-1)*((FC_Desde=0)*(BS$172+BS$171)+(FC_Desde&gt;=1)*(BS$170&gt;=FC_Desde)*BS$171)))</f>
        <v>4651.147941236226</v>
      </c>
      <c r="BT242" s="48">
        <f>SUMPRODUCT((FC_Clase="Producción")*((FC_Mon="PYG")*BT$175+(FC_Mon&lt;&gt;"PYG"))*((67&gt;Corte)*(67&lt;=Corte+n_Ventana)*ISNUMBER(Detalle_24m!BT$220:BT$244)*Detalle_24m!BT$220:BT$244+(1-(67&gt;Corte)*(67&lt;=Corte+n_Ventana)*ISNUMBER(Detalle_24m!BT$220:BT$244))*FC_V*(1+FC_g)^(BT$173-1)*((FC_Desde=0)*(BT$172+BT$171)+(FC_Desde&gt;=1)*(BT$170&gt;=FC_Desde)*BT$171)))</f>
        <v>4651.147941236226</v>
      </c>
      <c r="BU242" s="48">
        <f>SUMPRODUCT((FC_Clase="Producción")*((FC_Mon="PYG")*BU$175+(FC_Mon&lt;&gt;"PYG"))*((68&gt;Corte)*(68&lt;=Corte+n_Ventana)*ISNUMBER(Detalle_24m!BU$220:BU$244)*Detalle_24m!BU$220:BU$244+(1-(68&gt;Corte)*(68&lt;=Corte+n_Ventana)*ISNUMBER(Detalle_24m!BU$220:BU$244))*FC_V*(1+FC_g)^(BU$173-1)*((FC_Desde=0)*(BU$172+BU$171)+(FC_Desde&gt;=1)*(BU$170&gt;=FC_Desde)*BU$171)))</f>
        <v>4651.147941236226</v>
      </c>
      <c r="BV242" s="48">
        <f>SUMPRODUCT((FC_Clase="Producción")*((FC_Mon="PYG")*BV$175+(FC_Mon&lt;&gt;"PYG"))*((69&gt;Corte)*(69&lt;=Corte+n_Ventana)*ISNUMBER(Detalle_24m!BV$220:BV$244)*Detalle_24m!BV$220:BV$244+(1-(69&gt;Corte)*(69&lt;=Corte+n_Ventana)*ISNUMBER(Detalle_24m!BV$220:BV$244))*FC_V*(1+FC_g)^(BV$173-1)*((FC_Desde=0)*(BV$172+BV$171)+(FC_Desde&gt;=1)*(BV$170&gt;=FC_Desde)*BV$171)))</f>
        <v>4651.147941236226</v>
      </c>
      <c r="BW242" s="48">
        <f>SUMPRODUCT((FC_Clase="Producción")*((FC_Mon="PYG")*BW$175+(FC_Mon&lt;&gt;"PYG"))*((70&gt;Corte)*(70&lt;=Corte+n_Ventana)*ISNUMBER(Detalle_24m!BW$220:BW$244)*Detalle_24m!BW$220:BW$244+(1-(70&gt;Corte)*(70&lt;=Corte+n_Ventana)*ISNUMBER(Detalle_24m!BW$220:BW$244))*FC_V*(1+FC_g)^(BW$173-1)*((FC_Desde=0)*(BW$172+BW$171)+(FC_Desde&gt;=1)*(BW$170&gt;=FC_Desde)*BW$171)))</f>
        <v>4651.147941236226</v>
      </c>
      <c r="BX242" s="48">
        <f>SUMPRODUCT((FC_Clase="Producción")*((FC_Mon="PYG")*BX$175+(FC_Mon&lt;&gt;"PYG"))*((71&gt;Corte)*(71&lt;=Corte+n_Ventana)*ISNUMBER(Detalle_24m!BX$220:BX$244)*Detalle_24m!BX$220:BX$244+(1-(71&gt;Corte)*(71&lt;=Corte+n_Ventana)*ISNUMBER(Detalle_24m!BX$220:BX$244))*FC_V*(1+FC_g)^(BX$173-1)*((FC_Desde=0)*(BX$172+BX$171)+(FC_Desde&gt;=1)*(BX$170&gt;=FC_Desde)*BX$171)))</f>
        <v>4651.147941236226</v>
      </c>
      <c r="BY242" s="48">
        <f>SUMPRODUCT((FC_Clase="Producción")*((FC_Mon="PYG")*BY$175+(FC_Mon&lt;&gt;"PYG"))*((72&gt;Corte)*(72&lt;=Corte+n_Ventana)*ISNUMBER(Detalle_24m!BY$220:BY$244)*Detalle_24m!BY$220:BY$244+(1-(72&gt;Corte)*(72&lt;=Corte+n_Ventana)*ISNUMBER(Detalle_24m!BY$220:BY$244))*FC_V*(1+FC_g)^(BY$173-1)*((FC_Desde=0)*(BY$172+BY$171)+(FC_Desde&gt;=1)*(BY$170&gt;=FC_Desde)*BY$171)))</f>
        <v>4651.147941236226</v>
      </c>
      <c r="BZ242" s="48">
        <f>SUMPRODUCT((FC_Clase="Producción")*((FC_Mon="PYG")*BZ$175+(FC_Mon&lt;&gt;"PYG"))*((73&gt;Corte)*(73&lt;=Corte+n_Ventana)*ISNUMBER(Detalle_24m!BZ$220:BZ$244)*Detalle_24m!BZ$220:BZ$244+(1-(73&gt;Corte)*(73&lt;=Corte+n_Ventana)*ISNUMBER(Detalle_24m!BZ$220:BZ$244))*FC_V*(1+FC_g)^(BZ$173-1)*((FC_Desde=0)*(BZ$172+BZ$171)+(FC_Desde&gt;=1)*(BZ$170&gt;=FC_Desde)*BZ$171)))</f>
        <v>4705.8147356773889</v>
      </c>
      <c r="CA242" s="48">
        <f>SUMPRODUCT((FC_Clase="Producción")*((FC_Mon="PYG")*CA$175+(FC_Mon&lt;&gt;"PYG"))*((74&gt;Corte)*(74&lt;=Corte+n_Ventana)*ISNUMBER(Detalle_24m!CA$220:CA$244)*Detalle_24m!CA$220:CA$244+(1-(74&gt;Corte)*(74&lt;=Corte+n_Ventana)*ISNUMBER(Detalle_24m!CA$220:CA$244))*FC_V*(1+FC_g)^(CA$173-1)*((FC_Desde=0)*(CA$172+CA$171)+(FC_Desde&gt;=1)*(CA$170&gt;=FC_Desde)*CA$171)))</f>
        <v>4705.8147356773889</v>
      </c>
      <c r="CB242" s="48">
        <f>SUMPRODUCT((FC_Clase="Producción")*((FC_Mon="PYG")*CB$175+(FC_Mon&lt;&gt;"PYG"))*((75&gt;Corte)*(75&lt;=Corte+n_Ventana)*ISNUMBER(Detalle_24m!CB$220:CB$244)*Detalle_24m!CB$220:CB$244+(1-(75&gt;Corte)*(75&lt;=Corte+n_Ventana)*ISNUMBER(Detalle_24m!CB$220:CB$244))*FC_V*(1+FC_g)^(CB$173-1)*((FC_Desde=0)*(CB$172+CB$171)+(FC_Desde&gt;=1)*(CB$170&gt;=FC_Desde)*CB$171)))</f>
        <v>4705.8147356773889</v>
      </c>
      <c r="CC242" s="48">
        <f>SUMPRODUCT((FC_Clase="Producción")*((FC_Mon="PYG")*CC$175+(FC_Mon&lt;&gt;"PYG"))*((76&gt;Corte)*(76&lt;=Corte+n_Ventana)*ISNUMBER(Detalle_24m!CC$220:CC$244)*Detalle_24m!CC$220:CC$244+(1-(76&gt;Corte)*(76&lt;=Corte+n_Ventana)*ISNUMBER(Detalle_24m!CC$220:CC$244))*FC_V*(1+FC_g)^(CC$173-1)*((FC_Desde=0)*(CC$172+CC$171)+(FC_Desde&gt;=1)*(CC$170&gt;=FC_Desde)*CC$171)))</f>
        <v>4705.8147356773889</v>
      </c>
      <c r="CD242" s="48">
        <f>SUMPRODUCT((FC_Clase="Producción")*((FC_Mon="PYG")*CD$175+(FC_Mon&lt;&gt;"PYG"))*((77&gt;Corte)*(77&lt;=Corte+n_Ventana)*ISNUMBER(Detalle_24m!CD$220:CD$244)*Detalle_24m!CD$220:CD$244+(1-(77&gt;Corte)*(77&lt;=Corte+n_Ventana)*ISNUMBER(Detalle_24m!CD$220:CD$244))*FC_V*(1+FC_g)^(CD$173-1)*((FC_Desde=0)*(CD$172+CD$171)+(FC_Desde&gt;=1)*(CD$170&gt;=FC_Desde)*CD$171)))</f>
        <v>4705.8147356773889</v>
      </c>
      <c r="CE242" s="48">
        <f>SUMPRODUCT((FC_Clase="Producción")*((FC_Mon="PYG")*CE$175+(FC_Mon&lt;&gt;"PYG"))*((78&gt;Corte)*(78&lt;=Corte+n_Ventana)*ISNUMBER(Detalle_24m!CE$220:CE$244)*Detalle_24m!CE$220:CE$244+(1-(78&gt;Corte)*(78&lt;=Corte+n_Ventana)*ISNUMBER(Detalle_24m!CE$220:CE$244))*FC_V*(1+FC_g)^(CE$173-1)*((FC_Desde=0)*(CE$172+CE$171)+(FC_Desde&gt;=1)*(CE$170&gt;=FC_Desde)*CE$171)))</f>
        <v>4705.8147356773889</v>
      </c>
      <c r="CF242" s="48">
        <f>SUMPRODUCT((FC_Clase="Producción")*((FC_Mon="PYG")*CF$175+(FC_Mon&lt;&gt;"PYG"))*((79&gt;Corte)*(79&lt;=Corte+n_Ventana)*ISNUMBER(Detalle_24m!CF$220:CF$244)*Detalle_24m!CF$220:CF$244+(1-(79&gt;Corte)*(79&lt;=Corte+n_Ventana)*ISNUMBER(Detalle_24m!CF$220:CF$244))*FC_V*(1+FC_g)^(CF$173-1)*((FC_Desde=0)*(CF$172+CF$171)+(FC_Desde&gt;=1)*(CF$170&gt;=FC_Desde)*CF$171)))</f>
        <v>4705.8147356773889</v>
      </c>
      <c r="CG242" s="48">
        <f>SUMPRODUCT((FC_Clase="Producción")*((FC_Mon="PYG")*CG$175+(FC_Mon&lt;&gt;"PYG"))*((80&gt;Corte)*(80&lt;=Corte+n_Ventana)*ISNUMBER(Detalle_24m!CG$220:CG$244)*Detalle_24m!CG$220:CG$244+(1-(80&gt;Corte)*(80&lt;=Corte+n_Ventana)*ISNUMBER(Detalle_24m!CG$220:CG$244))*FC_V*(1+FC_g)^(CG$173-1)*((FC_Desde=0)*(CG$172+CG$171)+(FC_Desde&gt;=1)*(CG$170&gt;=FC_Desde)*CG$171)))</f>
        <v>4705.8147356773889</v>
      </c>
      <c r="CH242" s="48">
        <f>SUMPRODUCT((FC_Clase="Producción")*((FC_Mon="PYG")*CH$175+(FC_Mon&lt;&gt;"PYG"))*((81&gt;Corte)*(81&lt;=Corte+n_Ventana)*ISNUMBER(Detalle_24m!CH$220:CH$244)*Detalle_24m!CH$220:CH$244+(1-(81&gt;Corte)*(81&lt;=Corte+n_Ventana)*ISNUMBER(Detalle_24m!CH$220:CH$244))*FC_V*(1+FC_g)^(CH$173-1)*((FC_Desde=0)*(CH$172+CH$171)+(FC_Desde&gt;=1)*(CH$170&gt;=FC_Desde)*CH$171)))</f>
        <v>4705.8147356773889</v>
      </c>
      <c r="CI242" s="48">
        <f>SUMPRODUCT((FC_Clase="Producción")*((FC_Mon="PYG")*CI$175+(FC_Mon&lt;&gt;"PYG"))*((82&gt;Corte)*(82&lt;=Corte+n_Ventana)*ISNUMBER(Detalle_24m!CI$220:CI$244)*Detalle_24m!CI$220:CI$244+(1-(82&gt;Corte)*(82&lt;=Corte+n_Ventana)*ISNUMBER(Detalle_24m!CI$220:CI$244))*FC_V*(1+FC_g)^(CI$173-1)*((FC_Desde=0)*(CI$172+CI$171)+(FC_Desde&gt;=1)*(CI$170&gt;=FC_Desde)*CI$171)))</f>
        <v>4705.8147356773889</v>
      </c>
      <c r="CJ242" s="48">
        <f>SUMPRODUCT((FC_Clase="Producción")*((FC_Mon="PYG")*CJ$175+(FC_Mon&lt;&gt;"PYG"))*((83&gt;Corte)*(83&lt;=Corte+n_Ventana)*ISNUMBER(Detalle_24m!CJ$220:CJ$244)*Detalle_24m!CJ$220:CJ$244+(1-(83&gt;Corte)*(83&lt;=Corte+n_Ventana)*ISNUMBER(Detalle_24m!CJ$220:CJ$244))*FC_V*(1+FC_g)^(CJ$173-1)*((FC_Desde=0)*(CJ$172+CJ$171)+(FC_Desde&gt;=1)*(CJ$170&gt;=FC_Desde)*CJ$171)))</f>
        <v>4705.8147356773889</v>
      </c>
      <c r="CK242" s="48">
        <f>SUMPRODUCT((FC_Clase="Producción")*((FC_Mon="PYG")*CK$175+(FC_Mon&lt;&gt;"PYG"))*((84&gt;Corte)*(84&lt;=Corte+n_Ventana)*ISNUMBER(Detalle_24m!CK$220:CK$244)*Detalle_24m!CK$220:CK$244+(1-(84&gt;Corte)*(84&lt;=Corte+n_Ventana)*ISNUMBER(Detalle_24m!CK$220:CK$244))*FC_V*(1+FC_g)^(CK$173-1)*((FC_Desde=0)*(CK$172+CK$171)+(FC_Desde&gt;=1)*(CK$170&gt;=FC_Desde)*CK$171)))</f>
        <v>4705.8147356773889</v>
      </c>
      <c r="CL242" s="48">
        <f>SUMPRODUCT((FC_Clase="Producción")*((FC_Mon="PYG")*CL$175+(FC_Mon&lt;&gt;"PYG"))*((85&gt;Corte)*(85&lt;=Corte+n_Ventana)*ISNUMBER(Detalle_24m!CL$220:CL$244)*Detalle_24m!CL$220:CL$244+(1-(85&gt;Corte)*(85&lt;=Corte+n_Ventana)*ISNUMBER(Detalle_24m!CL$220:CL$244))*FC_V*(1+FC_g)^(CL$173-1)*((FC_Desde=0)*(CL$172+CL$171)+(FC_Desde&gt;=1)*(CL$170&gt;=FC_Desde)*CL$171)))</f>
        <v>4761.574866007375</v>
      </c>
      <c r="CM242" s="48">
        <f>SUMPRODUCT((FC_Clase="Producción")*((FC_Mon="PYG")*CM$175+(FC_Mon&lt;&gt;"PYG"))*((86&gt;Corte)*(86&lt;=Corte+n_Ventana)*ISNUMBER(Detalle_24m!CM$220:CM$244)*Detalle_24m!CM$220:CM$244+(1-(86&gt;Corte)*(86&lt;=Corte+n_Ventana)*ISNUMBER(Detalle_24m!CM$220:CM$244))*FC_V*(1+FC_g)^(CM$173-1)*((FC_Desde=0)*(CM$172+CM$171)+(FC_Desde&gt;=1)*(CM$170&gt;=FC_Desde)*CM$171)))</f>
        <v>4761.574866007375</v>
      </c>
      <c r="CN242" s="48">
        <f>SUMPRODUCT((FC_Clase="Producción")*((FC_Mon="PYG")*CN$175+(FC_Mon&lt;&gt;"PYG"))*((87&gt;Corte)*(87&lt;=Corte+n_Ventana)*ISNUMBER(Detalle_24m!CN$220:CN$244)*Detalle_24m!CN$220:CN$244+(1-(87&gt;Corte)*(87&lt;=Corte+n_Ventana)*ISNUMBER(Detalle_24m!CN$220:CN$244))*FC_V*(1+FC_g)^(CN$173-1)*((FC_Desde=0)*(CN$172+CN$171)+(FC_Desde&gt;=1)*(CN$170&gt;=FC_Desde)*CN$171)))</f>
        <v>4761.574866007375</v>
      </c>
      <c r="CO242" s="48">
        <f>SUMPRODUCT((FC_Clase="Producción")*((FC_Mon="PYG")*CO$175+(FC_Mon&lt;&gt;"PYG"))*((88&gt;Corte)*(88&lt;=Corte+n_Ventana)*ISNUMBER(Detalle_24m!CO$220:CO$244)*Detalle_24m!CO$220:CO$244+(1-(88&gt;Corte)*(88&lt;=Corte+n_Ventana)*ISNUMBER(Detalle_24m!CO$220:CO$244))*FC_V*(1+FC_g)^(CO$173-1)*((FC_Desde=0)*(CO$172+CO$171)+(FC_Desde&gt;=1)*(CO$170&gt;=FC_Desde)*CO$171)))</f>
        <v>4761.574866007375</v>
      </c>
      <c r="CP242" s="48">
        <f>SUMPRODUCT((FC_Clase="Producción")*((FC_Mon="PYG")*CP$175+(FC_Mon&lt;&gt;"PYG"))*((89&gt;Corte)*(89&lt;=Corte+n_Ventana)*ISNUMBER(Detalle_24m!CP$220:CP$244)*Detalle_24m!CP$220:CP$244+(1-(89&gt;Corte)*(89&lt;=Corte+n_Ventana)*ISNUMBER(Detalle_24m!CP$220:CP$244))*FC_V*(1+FC_g)^(CP$173-1)*((FC_Desde=0)*(CP$172+CP$171)+(FC_Desde&gt;=1)*(CP$170&gt;=FC_Desde)*CP$171)))</f>
        <v>4761.574866007375</v>
      </c>
      <c r="CQ242" s="48">
        <f>SUMPRODUCT((FC_Clase="Producción")*((FC_Mon="PYG")*CQ$175+(FC_Mon&lt;&gt;"PYG"))*((90&gt;Corte)*(90&lt;=Corte+n_Ventana)*ISNUMBER(Detalle_24m!CQ$220:CQ$244)*Detalle_24m!CQ$220:CQ$244+(1-(90&gt;Corte)*(90&lt;=Corte+n_Ventana)*ISNUMBER(Detalle_24m!CQ$220:CQ$244))*FC_V*(1+FC_g)^(CQ$173-1)*((FC_Desde=0)*(CQ$172+CQ$171)+(FC_Desde&gt;=1)*(CQ$170&gt;=FC_Desde)*CQ$171)))</f>
        <v>4761.574866007375</v>
      </c>
      <c r="CR242" s="48">
        <f>SUMPRODUCT((FC_Clase="Producción")*((FC_Mon="PYG")*CR$175+(FC_Mon&lt;&gt;"PYG"))*((91&gt;Corte)*(91&lt;=Corte+n_Ventana)*ISNUMBER(Detalle_24m!CR$220:CR$244)*Detalle_24m!CR$220:CR$244+(1-(91&gt;Corte)*(91&lt;=Corte+n_Ventana)*ISNUMBER(Detalle_24m!CR$220:CR$244))*FC_V*(1+FC_g)^(CR$173-1)*((FC_Desde=0)*(CR$172+CR$171)+(FC_Desde&gt;=1)*(CR$170&gt;=FC_Desde)*CR$171)))</f>
        <v>4761.574866007375</v>
      </c>
      <c r="CS242" s="48">
        <f>SUMPRODUCT((FC_Clase="Producción")*((FC_Mon="PYG")*CS$175+(FC_Mon&lt;&gt;"PYG"))*((92&gt;Corte)*(92&lt;=Corte+n_Ventana)*ISNUMBER(Detalle_24m!CS$220:CS$244)*Detalle_24m!CS$220:CS$244+(1-(92&gt;Corte)*(92&lt;=Corte+n_Ventana)*ISNUMBER(Detalle_24m!CS$220:CS$244))*FC_V*(1+FC_g)^(CS$173-1)*((FC_Desde=0)*(CS$172+CS$171)+(FC_Desde&gt;=1)*(CS$170&gt;=FC_Desde)*CS$171)))</f>
        <v>4761.574866007375</v>
      </c>
      <c r="CT242" s="48">
        <f>SUMPRODUCT((FC_Clase="Producción")*((FC_Mon="PYG")*CT$175+(FC_Mon&lt;&gt;"PYG"))*((93&gt;Corte)*(93&lt;=Corte+n_Ventana)*ISNUMBER(Detalle_24m!CT$220:CT$244)*Detalle_24m!CT$220:CT$244+(1-(93&gt;Corte)*(93&lt;=Corte+n_Ventana)*ISNUMBER(Detalle_24m!CT$220:CT$244))*FC_V*(1+FC_g)^(CT$173-1)*((FC_Desde=0)*(CT$172+CT$171)+(FC_Desde&gt;=1)*(CT$170&gt;=FC_Desde)*CT$171)))</f>
        <v>4761.574866007375</v>
      </c>
      <c r="CU242" s="48">
        <f>SUMPRODUCT((FC_Clase="Producción")*((FC_Mon="PYG")*CU$175+(FC_Mon&lt;&gt;"PYG"))*((94&gt;Corte)*(94&lt;=Corte+n_Ventana)*ISNUMBER(Detalle_24m!CU$220:CU$244)*Detalle_24m!CU$220:CU$244+(1-(94&gt;Corte)*(94&lt;=Corte+n_Ventana)*ISNUMBER(Detalle_24m!CU$220:CU$244))*FC_V*(1+FC_g)^(CU$173-1)*((FC_Desde=0)*(CU$172+CU$171)+(FC_Desde&gt;=1)*(CU$170&gt;=FC_Desde)*CU$171)))</f>
        <v>4761.574866007375</v>
      </c>
      <c r="CV242" s="48">
        <f>SUMPRODUCT((FC_Clase="Producción")*((FC_Mon="PYG")*CV$175+(FC_Mon&lt;&gt;"PYG"))*((95&gt;Corte)*(95&lt;=Corte+n_Ventana)*ISNUMBER(Detalle_24m!CV$220:CV$244)*Detalle_24m!CV$220:CV$244+(1-(95&gt;Corte)*(95&lt;=Corte+n_Ventana)*ISNUMBER(Detalle_24m!CV$220:CV$244))*FC_V*(1+FC_g)^(CV$173-1)*((FC_Desde=0)*(CV$172+CV$171)+(FC_Desde&gt;=1)*(CV$170&gt;=FC_Desde)*CV$171)))</f>
        <v>4761.574866007375</v>
      </c>
      <c r="CW242" s="48">
        <f>SUMPRODUCT((FC_Clase="Producción")*((FC_Mon="PYG")*CW$175+(FC_Mon&lt;&gt;"PYG"))*((96&gt;Corte)*(96&lt;=Corte+n_Ventana)*ISNUMBER(Detalle_24m!CW$220:CW$244)*Detalle_24m!CW$220:CW$244+(1-(96&gt;Corte)*(96&lt;=Corte+n_Ventana)*ISNUMBER(Detalle_24m!CW$220:CW$244))*FC_V*(1+FC_g)^(CW$173-1)*((FC_Desde=0)*(CW$172+CW$171)+(FC_Desde&gt;=1)*(CW$170&gt;=FC_Desde)*CW$171)))</f>
        <v>4761.574866007375</v>
      </c>
      <c r="CX242" s="48">
        <f>SUMPRODUCT((FC_Clase="Producción")*((FC_Mon="PYG")*CX$175+(FC_Mon&lt;&gt;"PYG"))*((97&gt;Corte)*(97&lt;=Corte+n_Ventana)*ISNUMBER(Detalle_24m!CX$220:CX$244)*Detalle_24m!CX$220:CX$244+(1-(97&gt;Corte)*(97&lt;=Corte+n_Ventana)*ISNUMBER(Detalle_24m!CX$220:CX$244))*FC_V*(1+FC_g)^(CX$173-1)*((FC_Desde=0)*(CX$172+CX$171)+(FC_Desde&gt;=1)*(CX$170&gt;=FC_Desde)*CX$171)))</f>
        <v>4818.4501989439605</v>
      </c>
      <c r="CY242" s="48">
        <f>SUMPRODUCT((FC_Clase="Producción")*((FC_Mon="PYG")*CY$175+(FC_Mon&lt;&gt;"PYG"))*((98&gt;Corte)*(98&lt;=Corte+n_Ventana)*ISNUMBER(Detalle_24m!CY$220:CY$244)*Detalle_24m!CY$220:CY$244+(1-(98&gt;Corte)*(98&lt;=Corte+n_Ventana)*ISNUMBER(Detalle_24m!CY$220:CY$244))*FC_V*(1+FC_g)^(CY$173-1)*((FC_Desde=0)*(CY$172+CY$171)+(FC_Desde&gt;=1)*(CY$170&gt;=FC_Desde)*CY$171)))</f>
        <v>4818.4501989439605</v>
      </c>
      <c r="CZ242" s="48">
        <f>SUMPRODUCT((FC_Clase="Producción")*((FC_Mon="PYG")*CZ$175+(FC_Mon&lt;&gt;"PYG"))*((99&gt;Corte)*(99&lt;=Corte+n_Ventana)*ISNUMBER(Detalle_24m!CZ$220:CZ$244)*Detalle_24m!CZ$220:CZ$244+(1-(99&gt;Corte)*(99&lt;=Corte+n_Ventana)*ISNUMBER(Detalle_24m!CZ$220:CZ$244))*FC_V*(1+FC_g)^(CZ$173-1)*((FC_Desde=0)*(CZ$172+CZ$171)+(FC_Desde&gt;=1)*(CZ$170&gt;=FC_Desde)*CZ$171)))</f>
        <v>4818.4501989439605</v>
      </c>
      <c r="DA242" s="48">
        <f>SUMPRODUCT((FC_Clase="Producción")*((FC_Mon="PYG")*DA$175+(FC_Mon&lt;&gt;"PYG"))*((100&gt;Corte)*(100&lt;=Corte+n_Ventana)*ISNUMBER(Detalle_24m!DA$220:DA$244)*Detalle_24m!DA$220:DA$244+(1-(100&gt;Corte)*(100&lt;=Corte+n_Ventana)*ISNUMBER(Detalle_24m!DA$220:DA$244))*FC_V*(1+FC_g)^(DA$173-1)*((FC_Desde=0)*(DA$172+DA$171)+(FC_Desde&gt;=1)*(DA$170&gt;=FC_Desde)*DA$171)))</f>
        <v>4818.4501989439605</v>
      </c>
      <c r="DB242" s="48">
        <f>SUMPRODUCT((FC_Clase="Producción")*((FC_Mon="PYG")*DB$175+(FC_Mon&lt;&gt;"PYG"))*((101&gt;Corte)*(101&lt;=Corte+n_Ventana)*ISNUMBER(Detalle_24m!DB$220:DB$244)*Detalle_24m!DB$220:DB$244+(1-(101&gt;Corte)*(101&lt;=Corte+n_Ventana)*ISNUMBER(Detalle_24m!DB$220:DB$244))*FC_V*(1+FC_g)^(DB$173-1)*((FC_Desde=0)*(DB$172+DB$171)+(FC_Desde&gt;=1)*(DB$170&gt;=FC_Desde)*DB$171)))</f>
        <v>4818.4501989439605</v>
      </c>
      <c r="DC242" s="48">
        <f>SUMPRODUCT((FC_Clase="Producción")*((FC_Mon="PYG")*DC$175+(FC_Mon&lt;&gt;"PYG"))*((102&gt;Corte)*(102&lt;=Corte+n_Ventana)*ISNUMBER(Detalle_24m!DC$220:DC$244)*Detalle_24m!DC$220:DC$244+(1-(102&gt;Corte)*(102&lt;=Corte+n_Ventana)*ISNUMBER(Detalle_24m!DC$220:DC$244))*FC_V*(1+FC_g)^(DC$173-1)*((FC_Desde=0)*(DC$172+DC$171)+(FC_Desde&gt;=1)*(DC$170&gt;=FC_Desde)*DC$171)))</f>
        <v>4818.4501989439605</v>
      </c>
      <c r="DD242" s="48">
        <f>SUMPRODUCT((FC_Clase="Producción")*((FC_Mon="PYG")*DD$175+(FC_Mon&lt;&gt;"PYG"))*((103&gt;Corte)*(103&lt;=Corte+n_Ventana)*ISNUMBER(Detalle_24m!DD$220:DD$244)*Detalle_24m!DD$220:DD$244+(1-(103&gt;Corte)*(103&lt;=Corte+n_Ventana)*ISNUMBER(Detalle_24m!DD$220:DD$244))*FC_V*(1+FC_g)^(DD$173-1)*((FC_Desde=0)*(DD$172+DD$171)+(FC_Desde&gt;=1)*(DD$170&gt;=FC_Desde)*DD$171)))</f>
        <v>4818.4501989439605</v>
      </c>
      <c r="DE242" s="48">
        <f>SUMPRODUCT((FC_Clase="Producción")*((FC_Mon="PYG")*DE$175+(FC_Mon&lt;&gt;"PYG"))*((104&gt;Corte)*(104&lt;=Corte+n_Ventana)*ISNUMBER(Detalle_24m!DE$220:DE$244)*Detalle_24m!DE$220:DE$244+(1-(104&gt;Corte)*(104&lt;=Corte+n_Ventana)*ISNUMBER(Detalle_24m!DE$220:DE$244))*FC_V*(1+FC_g)^(DE$173-1)*((FC_Desde=0)*(DE$172+DE$171)+(FC_Desde&gt;=1)*(DE$170&gt;=FC_Desde)*DE$171)))</f>
        <v>4818.4501989439605</v>
      </c>
      <c r="DF242" s="48">
        <f>SUMPRODUCT((FC_Clase="Producción")*((FC_Mon="PYG")*DF$175+(FC_Mon&lt;&gt;"PYG"))*((105&gt;Corte)*(105&lt;=Corte+n_Ventana)*ISNUMBER(Detalle_24m!DF$220:DF$244)*Detalle_24m!DF$220:DF$244+(1-(105&gt;Corte)*(105&lt;=Corte+n_Ventana)*ISNUMBER(Detalle_24m!DF$220:DF$244))*FC_V*(1+FC_g)^(DF$173-1)*((FC_Desde=0)*(DF$172+DF$171)+(FC_Desde&gt;=1)*(DF$170&gt;=FC_Desde)*DF$171)))</f>
        <v>4818.4501989439605</v>
      </c>
      <c r="DG242" s="48">
        <f>SUMPRODUCT((FC_Clase="Producción")*((FC_Mon="PYG")*DG$175+(FC_Mon&lt;&gt;"PYG"))*((106&gt;Corte)*(106&lt;=Corte+n_Ventana)*ISNUMBER(Detalle_24m!DG$220:DG$244)*Detalle_24m!DG$220:DG$244+(1-(106&gt;Corte)*(106&lt;=Corte+n_Ventana)*ISNUMBER(Detalle_24m!DG$220:DG$244))*FC_V*(1+FC_g)^(DG$173-1)*((FC_Desde=0)*(DG$172+DG$171)+(FC_Desde&gt;=1)*(DG$170&gt;=FC_Desde)*DG$171)))</f>
        <v>4818.4501989439605</v>
      </c>
      <c r="DH242" s="48">
        <f>SUMPRODUCT((FC_Clase="Producción")*((FC_Mon="PYG")*DH$175+(FC_Mon&lt;&gt;"PYG"))*((107&gt;Corte)*(107&lt;=Corte+n_Ventana)*ISNUMBER(Detalle_24m!DH$220:DH$244)*Detalle_24m!DH$220:DH$244+(1-(107&gt;Corte)*(107&lt;=Corte+n_Ventana)*ISNUMBER(Detalle_24m!DH$220:DH$244))*FC_V*(1+FC_g)^(DH$173-1)*((FC_Desde=0)*(DH$172+DH$171)+(FC_Desde&gt;=1)*(DH$170&gt;=FC_Desde)*DH$171)))</f>
        <v>4818.4501989439605</v>
      </c>
      <c r="DI242" s="48">
        <f>SUMPRODUCT((FC_Clase="Producción")*((FC_Mon="PYG")*DI$175+(FC_Mon&lt;&gt;"PYG"))*((108&gt;Corte)*(108&lt;=Corte+n_Ventana)*ISNUMBER(Detalle_24m!DI$220:DI$244)*Detalle_24m!DI$220:DI$244+(1-(108&gt;Corte)*(108&lt;=Corte+n_Ventana)*ISNUMBER(Detalle_24m!DI$220:DI$244))*FC_V*(1+FC_g)^(DI$173-1)*((FC_Desde=0)*(DI$172+DI$171)+(FC_Desde&gt;=1)*(DI$170&gt;=FC_Desde)*DI$171)))</f>
        <v>4818.4501989439605</v>
      </c>
      <c r="DJ242" s="48">
        <f>SUMPRODUCT((FC_Clase="Producción")*((FC_Mon="PYG")*DJ$175+(FC_Mon&lt;&gt;"PYG"))*((109&gt;Corte)*(109&lt;=Corte+n_Ventana)*ISNUMBER(Detalle_24m!DJ$220:DJ$244)*Detalle_24m!DJ$220:DJ$244+(1-(109&gt;Corte)*(109&lt;=Corte+n_Ventana)*ISNUMBER(Detalle_24m!DJ$220:DJ$244))*FC_V*(1+FC_g)^(DJ$173-1)*((FC_Desde=0)*(DJ$172+DJ$171)+(FC_Desde&gt;=1)*(DJ$170&gt;=FC_Desde)*DJ$171)))</f>
        <v>4876.4630385392784</v>
      </c>
      <c r="DK242" s="48">
        <f>SUMPRODUCT((FC_Clase="Producción")*((FC_Mon="PYG")*DK$175+(FC_Mon&lt;&gt;"PYG"))*((110&gt;Corte)*(110&lt;=Corte+n_Ventana)*ISNUMBER(Detalle_24m!DK$220:DK$244)*Detalle_24m!DK$220:DK$244+(1-(110&gt;Corte)*(110&lt;=Corte+n_Ventana)*ISNUMBER(Detalle_24m!DK$220:DK$244))*FC_V*(1+FC_g)^(DK$173-1)*((FC_Desde=0)*(DK$172+DK$171)+(FC_Desde&gt;=1)*(DK$170&gt;=FC_Desde)*DK$171)))</f>
        <v>4876.4630385392784</v>
      </c>
      <c r="DL242" s="48">
        <f>SUMPRODUCT((FC_Clase="Producción")*((FC_Mon="PYG")*DL$175+(FC_Mon&lt;&gt;"PYG"))*((111&gt;Corte)*(111&lt;=Corte+n_Ventana)*ISNUMBER(Detalle_24m!DL$220:DL$244)*Detalle_24m!DL$220:DL$244+(1-(111&gt;Corte)*(111&lt;=Corte+n_Ventana)*ISNUMBER(Detalle_24m!DL$220:DL$244))*FC_V*(1+FC_g)^(DL$173-1)*((FC_Desde=0)*(DL$172+DL$171)+(FC_Desde&gt;=1)*(DL$170&gt;=FC_Desde)*DL$171)))</f>
        <v>4876.4630385392784</v>
      </c>
      <c r="DM242" s="48">
        <f>SUMPRODUCT((FC_Clase="Producción")*((FC_Mon="PYG")*DM$175+(FC_Mon&lt;&gt;"PYG"))*((112&gt;Corte)*(112&lt;=Corte+n_Ventana)*ISNUMBER(Detalle_24m!DM$220:DM$244)*Detalle_24m!DM$220:DM$244+(1-(112&gt;Corte)*(112&lt;=Corte+n_Ventana)*ISNUMBER(Detalle_24m!DM$220:DM$244))*FC_V*(1+FC_g)^(DM$173-1)*((FC_Desde=0)*(DM$172+DM$171)+(FC_Desde&gt;=1)*(DM$170&gt;=FC_Desde)*DM$171)))</f>
        <v>4876.4630385392784</v>
      </c>
      <c r="DN242" s="48">
        <f>SUMPRODUCT((FC_Clase="Producción")*((FC_Mon="PYG")*DN$175+(FC_Mon&lt;&gt;"PYG"))*((113&gt;Corte)*(113&lt;=Corte+n_Ventana)*ISNUMBER(Detalle_24m!DN$220:DN$244)*Detalle_24m!DN$220:DN$244+(1-(113&gt;Corte)*(113&lt;=Corte+n_Ventana)*ISNUMBER(Detalle_24m!DN$220:DN$244))*FC_V*(1+FC_g)^(DN$173-1)*((FC_Desde=0)*(DN$172+DN$171)+(FC_Desde&gt;=1)*(DN$170&gt;=FC_Desde)*DN$171)))</f>
        <v>4876.4630385392784</v>
      </c>
      <c r="DO242" s="48">
        <f>SUMPRODUCT((FC_Clase="Producción")*((FC_Mon="PYG")*DO$175+(FC_Mon&lt;&gt;"PYG"))*((114&gt;Corte)*(114&lt;=Corte+n_Ventana)*ISNUMBER(Detalle_24m!DO$220:DO$244)*Detalle_24m!DO$220:DO$244+(1-(114&gt;Corte)*(114&lt;=Corte+n_Ventana)*ISNUMBER(Detalle_24m!DO$220:DO$244))*FC_V*(1+FC_g)^(DO$173-1)*((FC_Desde=0)*(DO$172+DO$171)+(FC_Desde&gt;=1)*(DO$170&gt;=FC_Desde)*DO$171)))</f>
        <v>4876.4630385392784</v>
      </c>
      <c r="DP242" s="48">
        <f>SUMPRODUCT((FC_Clase="Producción")*((FC_Mon="PYG")*DP$175+(FC_Mon&lt;&gt;"PYG"))*((115&gt;Corte)*(115&lt;=Corte+n_Ventana)*ISNUMBER(Detalle_24m!DP$220:DP$244)*Detalle_24m!DP$220:DP$244+(1-(115&gt;Corte)*(115&lt;=Corte+n_Ventana)*ISNUMBER(Detalle_24m!DP$220:DP$244))*FC_V*(1+FC_g)^(DP$173-1)*((FC_Desde=0)*(DP$172+DP$171)+(FC_Desde&gt;=1)*(DP$170&gt;=FC_Desde)*DP$171)))</f>
        <v>4876.4630385392784</v>
      </c>
      <c r="DQ242" s="48">
        <f>SUMPRODUCT((FC_Clase="Producción")*((FC_Mon="PYG")*DQ$175+(FC_Mon&lt;&gt;"PYG"))*((116&gt;Corte)*(116&lt;=Corte+n_Ventana)*ISNUMBER(Detalle_24m!DQ$220:DQ$244)*Detalle_24m!DQ$220:DQ$244+(1-(116&gt;Corte)*(116&lt;=Corte+n_Ventana)*ISNUMBER(Detalle_24m!DQ$220:DQ$244))*FC_V*(1+FC_g)^(DQ$173-1)*((FC_Desde=0)*(DQ$172+DQ$171)+(FC_Desde&gt;=1)*(DQ$170&gt;=FC_Desde)*DQ$171)))</f>
        <v>4876.4630385392784</v>
      </c>
      <c r="DR242" s="48">
        <f>SUMPRODUCT((FC_Clase="Producción")*((FC_Mon="PYG")*DR$175+(FC_Mon&lt;&gt;"PYG"))*((117&gt;Corte)*(117&lt;=Corte+n_Ventana)*ISNUMBER(Detalle_24m!DR$220:DR$244)*Detalle_24m!DR$220:DR$244+(1-(117&gt;Corte)*(117&lt;=Corte+n_Ventana)*ISNUMBER(Detalle_24m!DR$220:DR$244))*FC_V*(1+FC_g)^(DR$173-1)*((FC_Desde=0)*(DR$172+DR$171)+(FC_Desde&gt;=1)*(DR$170&gt;=FC_Desde)*DR$171)))</f>
        <v>4876.4630385392784</v>
      </c>
      <c r="DS242" s="48">
        <f>SUMPRODUCT((FC_Clase="Producción")*((FC_Mon="PYG")*DS$175+(FC_Mon&lt;&gt;"PYG"))*((118&gt;Corte)*(118&lt;=Corte+n_Ventana)*ISNUMBER(Detalle_24m!DS$220:DS$244)*Detalle_24m!DS$220:DS$244+(1-(118&gt;Corte)*(118&lt;=Corte+n_Ventana)*ISNUMBER(Detalle_24m!DS$220:DS$244))*FC_V*(1+FC_g)^(DS$173-1)*((FC_Desde=0)*(DS$172+DS$171)+(FC_Desde&gt;=1)*(DS$170&gt;=FC_Desde)*DS$171)))</f>
        <v>4876.4630385392784</v>
      </c>
      <c r="DT242" s="48">
        <f>SUMPRODUCT((FC_Clase="Producción")*((FC_Mon="PYG")*DT$175+(FC_Mon&lt;&gt;"PYG"))*((119&gt;Corte)*(119&lt;=Corte+n_Ventana)*ISNUMBER(Detalle_24m!DT$220:DT$244)*Detalle_24m!DT$220:DT$244+(1-(119&gt;Corte)*(119&lt;=Corte+n_Ventana)*ISNUMBER(Detalle_24m!DT$220:DT$244))*FC_V*(1+FC_g)^(DT$173-1)*((FC_Desde=0)*(DT$172+DT$171)+(FC_Desde&gt;=1)*(DT$170&gt;=FC_Desde)*DT$171)))</f>
        <v>4876.4630385392784</v>
      </c>
      <c r="DU242" s="48">
        <f>SUMPRODUCT((FC_Clase="Producción")*((FC_Mon="PYG")*DU$175+(FC_Mon&lt;&gt;"PYG"))*((120&gt;Corte)*(120&lt;=Corte+n_Ventana)*ISNUMBER(Detalle_24m!DU$220:DU$244)*Detalle_24m!DU$220:DU$244+(1-(120&gt;Corte)*(120&lt;=Corte+n_Ventana)*ISNUMBER(Detalle_24m!DU$220:DU$244))*FC_V*(1+FC_g)^(DU$173-1)*((FC_Desde=0)*(DU$172+DU$171)+(FC_Desde&gt;=1)*(DU$170&gt;=FC_Desde)*DU$171)))</f>
        <v>4876.4630385392784</v>
      </c>
      <c r="DV242" s="48">
        <f>SUMPRODUCT((FC_Clase="Producción")*((FC_Mon="PYG")*DV$175+(FC_Mon&lt;&gt;"PYG"))*((121&gt;Corte)*(121&lt;=Corte+n_Ventana)*ISNUMBER(Detalle_24m!DV$220:DV$244)*Detalle_24m!DV$220:DV$244+(1-(121&gt;Corte)*(121&lt;=Corte+n_Ventana)*ISNUMBER(Detalle_24m!DV$220:DV$244))*FC_V*(1+FC_g)^(DV$173-1)*((FC_Desde=0)*(DV$172+DV$171)+(FC_Desde&gt;=1)*(DV$170&gt;=FC_Desde)*DV$171)))</f>
        <v>0</v>
      </c>
      <c r="DW242" s="48">
        <f>SUMPRODUCT((FC_Clase="Producción")*((FC_Mon="PYG")*DW$175+(FC_Mon&lt;&gt;"PYG"))*((122&gt;Corte)*(122&lt;=Corte+n_Ventana)*ISNUMBER(Detalle_24m!DW$220:DW$244)*Detalle_24m!DW$220:DW$244+(1-(122&gt;Corte)*(122&lt;=Corte+n_Ventana)*ISNUMBER(Detalle_24m!DW$220:DW$244))*FC_V*(1+FC_g)^(DW$173-1)*((FC_Desde=0)*(DW$172+DW$171)+(FC_Desde&gt;=1)*(DW$170&gt;=FC_Desde)*DW$171)))</f>
        <v>0</v>
      </c>
      <c r="DX242" s="48">
        <f>SUMPRODUCT((FC_Clase="Producción")*((FC_Mon="PYG")*DX$175+(FC_Mon&lt;&gt;"PYG"))*((123&gt;Corte)*(123&lt;=Corte+n_Ventana)*ISNUMBER(Detalle_24m!DX$220:DX$244)*Detalle_24m!DX$220:DX$244+(1-(123&gt;Corte)*(123&lt;=Corte+n_Ventana)*ISNUMBER(Detalle_24m!DX$220:DX$244))*FC_V*(1+FC_g)^(DX$173-1)*((FC_Desde=0)*(DX$172+DX$171)+(FC_Desde&gt;=1)*(DX$170&gt;=FC_Desde)*DX$171)))</f>
        <v>0</v>
      </c>
      <c r="DY242" s="48">
        <f>SUMPRODUCT((FC_Clase="Producción")*((FC_Mon="PYG")*DY$175+(FC_Mon&lt;&gt;"PYG"))*((124&gt;Corte)*(124&lt;=Corte+n_Ventana)*ISNUMBER(Detalle_24m!DY$220:DY$244)*Detalle_24m!DY$220:DY$244+(1-(124&gt;Corte)*(124&lt;=Corte+n_Ventana)*ISNUMBER(Detalle_24m!DY$220:DY$244))*FC_V*(1+FC_g)^(DY$173-1)*((FC_Desde=0)*(DY$172+DY$171)+(FC_Desde&gt;=1)*(DY$170&gt;=FC_Desde)*DY$171)))</f>
        <v>0</v>
      </c>
      <c r="DZ242" s="48">
        <f>SUMPRODUCT((FC_Clase="Producción")*((FC_Mon="PYG")*DZ$175+(FC_Mon&lt;&gt;"PYG"))*((125&gt;Corte)*(125&lt;=Corte+n_Ventana)*ISNUMBER(Detalle_24m!DZ$220:DZ$244)*Detalle_24m!DZ$220:DZ$244+(1-(125&gt;Corte)*(125&lt;=Corte+n_Ventana)*ISNUMBER(Detalle_24m!DZ$220:DZ$244))*FC_V*(1+FC_g)^(DZ$173-1)*((FC_Desde=0)*(DZ$172+DZ$171)+(FC_Desde&gt;=1)*(DZ$170&gt;=FC_Desde)*DZ$171)))</f>
        <v>0</v>
      </c>
      <c r="EA242" s="48">
        <f>SUMPRODUCT((FC_Clase="Producción")*((FC_Mon="PYG")*EA$175+(FC_Mon&lt;&gt;"PYG"))*((126&gt;Corte)*(126&lt;=Corte+n_Ventana)*ISNUMBER(Detalle_24m!EA$220:EA$244)*Detalle_24m!EA$220:EA$244+(1-(126&gt;Corte)*(126&lt;=Corte+n_Ventana)*ISNUMBER(Detalle_24m!EA$220:EA$244))*FC_V*(1+FC_g)^(EA$173-1)*((FC_Desde=0)*(EA$172+EA$171)+(FC_Desde&gt;=1)*(EA$170&gt;=FC_Desde)*EA$171)))</f>
        <v>0</v>
      </c>
      <c r="EB242" s="48">
        <f>SUMPRODUCT((FC_Clase="Producción")*((FC_Mon="PYG")*EB$175+(FC_Mon&lt;&gt;"PYG"))*((127&gt;Corte)*(127&lt;=Corte+n_Ventana)*ISNUMBER(Detalle_24m!EB$220:EB$244)*Detalle_24m!EB$220:EB$244+(1-(127&gt;Corte)*(127&lt;=Corte+n_Ventana)*ISNUMBER(Detalle_24m!EB$220:EB$244))*FC_V*(1+FC_g)^(EB$173-1)*((FC_Desde=0)*(EB$172+EB$171)+(FC_Desde&gt;=1)*(EB$170&gt;=FC_Desde)*EB$171)))</f>
        <v>0</v>
      </c>
      <c r="EC242" s="48">
        <f>SUMPRODUCT((FC_Clase="Producción")*((FC_Mon="PYG")*EC$175+(FC_Mon&lt;&gt;"PYG"))*((128&gt;Corte)*(128&lt;=Corte+n_Ventana)*ISNUMBER(Detalle_24m!EC$220:EC$244)*Detalle_24m!EC$220:EC$244+(1-(128&gt;Corte)*(128&lt;=Corte+n_Ventana)*ISNUMBER(Detalle_24m!EC$220:EC$244))*FC_V*(1+FC_g)^(EC$173-1)*((FC_Desde=0)*(EC$172+EC$171)+(FC_Desde&gt;=1)*(EC$170&gt;=FC_Desde)*EC$171)))</f>
        <v>0</v>
      </c>
      <c r="ED242" s="48">
        <f>SUMPRODUCT((FC_Clase="Producción")*((FC_Mon="PYG")*ED$175+(FC_Mon&lt;&gt;"PYG"))*((129&gt;Corte)*(129&lt;=Corte+n_Ventana)*ISNUMBER(Detalle_24m!ED$220:ED$244)*Detalle_24m!ED$220:ED$244+(1-(129&gt;Corte)*(129&lt;=Corte+n_Ventana)*ISNUMBER(Detalle_24m!ED$220:ED$244))*FC_V*(1+FC_g)^(ED$173-1)*((FC_Desde=0)*(ED$172+ED$171)+(FC_Desde&gt;=1)*(ED$170&gt;=FC_Desde)*ED$171)))</f>
        <v>0</v>
      </c>
      <c r="EE242" s="48">
        <f>SUMPRODUCT((FC_Clase="Producción")*((FC_Mon="PYG")*EE$175+(FC_Mon&lt;&gt;"PYG"))*((130&gt;Corte)*(130&lt;=Corte+n_Ventana)*ISNUMBER(Detalle_24m!EE$220:EE$244)*Detalle_24m!EE$220:EE$244+(1-(130&gt;Corte)*(130&lt;=Corte+n_Ventana)*ISNUMBER(Detalle_24m!EE$220:EE$244))*FC_V*(1+FC_g)^(EE$173-1)*((FC_Desde=0)*(EE$172+EE$171)+(FC_Desde&gt;=1)*(EE$170&gt;=FC_Desde)*EE$171)))</f>
        <v>0</v>
      </c>
      <c r="EF242" s="48">
        <f>SUMPRODUCT((FC_Clase="Producción")*((FC_Mon="PYG")*EF$175+(FC_Mon&lt;&gt;"PYG"))*((131&gt;Corte)*(131&lt;=Corte+n_Ventana)*ISNUMBER(Detalle_24m!EF$220:EF$244)*Detalle_24m!EF$220:EF$244+(1-(131&gt;Corte)*(131&lt;=Corte+n_Ventana)*ISNUMBER(Detalle_24m!EF$220:EF$244))*FC_V*(1+FC_g)^(EF$173-1)*((FC_Desde=0)*(EF$172+EF$171)+(FC_Desde&gt;=1)*(EF$170&gt;=FC_Desde)*EF$171)))</f>
        <v>0</v>
      </c>
      <c r="EG242" s="48">
        <f>SUMPRODUCT((FC_Clase="Producción")*((FC_Mon="PYG")*EG$175+(FC_Mon&lt;&gt;"PYG"))*((132&gt;Corte)*(132&lt;=Corte+n_Ventana)*ISNUMBER(Detalle_24m!EG$220:EG$244)*Detalle_24m!EG$220:EG$244+(1-(132&gt;Corte)*(132&lt;=Corte+n_Ventana)*ISNUMBER(Detalle_24m!EG$220:EG$244))*FC_V*(1+FC_g)^(EG$173-1)*((FC_Desde=0)*(EG$172+EG$171)+(FC_Desde&gt;=1)*(EG$170&gt;=FC_Desde)*EG$171)))</f>
        <v>0</v>
      </c>
      <c r="EH242" s="48">
        <f>SUMPRODUCT((FC_Clase="Producción")*((FC_Mon="PYG")*EH$175+(FC_Mon&lt;&gt;"PYG"))*((133&gt;Corte)*(133&lt;=Corte+n_Ventana)*ISNUMBER(Detalle_24m!EH$220:EH$244)*Detalle_24m!EH$220:EH$244+(1-(133&gt;Corte)*(133&lt;=Corte+n_Ventana)*ISNUMBER(Detalle_24m!EH$220:EH$244))*FC_V*(1+FC_g)^(EH$173-1)*((FC_Desde=0)*(EH$172+EH$171)+(FC_Desde&gt;=1)*(EH$170&gt;=FC_Desde)*EH$171)))</f>
        <v>0</v>
      </c>
      <c r="EI242" s="48">
        <f>SUMPRODUCT((FC_Clase="Producción")*((FC_Mon="PYG")*EI$175+(FC_Mon&lt;&gt;"PYG"))*((134&gt;Corte)*(134&lt;=Corte+n_Ventana)*ISNUMBER(Detalle_24m!EI$220:EI$244)*Detalle_24m!EI$220:EI$244+(1-(134&gt;Corte)*(134&lt;=Corte+n_Ventana)*ISNUMBER(Detalle_24m!EI$220:EI$244))*FC_V*(1+FC_g)^(EI$173-1)*((FC_Desde=0)*(EI$172+EI$171)+(FC_Desde&gt;=1)*(EI$170&gt;=FC_Desde)*EI$171)))</f>
        <v>0</v>
      </c>
      <c r="EJ242" s="48">
        <f>SUMPRODUCT((FC_Clase="Producción")*((FC_Mon="PYG")*EJ$175+(FC_Mon&lt;&gt;"PYG"))*((135&gt;Corte)*(135&lt;=Corte+n_Ventana)*ISNUMBER(Detalle_24m!EJ$220:EJ$244)*Detalle_24m!EJ$220:EJ$244+(1-(135&gt;Corte)*(135&lt;=Corte+n_Ventana)*ISNUMBER(Detalle_24m!EJ$220:EJ$244))*FC_V*(1+FC_g)^(EJ$173-1)*((FC_Desde=0)*(EJ$172+EJ$171)+(FC_Desde&gt;=1)*(EJ$170&gt;=FC_Desde)*EJ$171)))</f>
        <v>0</v>
      </c>
      <c r="EK242" s="48">
        <f>SUMPRODUCT((FC_Clase="Producción")*((FC_Mon="PYG")*EK$175+(FC_Mon&lt;&gt;"PYG"))*((136&gt;Corte)*(136&lt;=Corte+n_Ventana)*ISNUMBER(Detalle_24m!EK$220:EK$244)*Detalle_24m!EK$220:EK$244+(1-(136&gt;Corte)*(136&lt;=Corte+n_Ventana)*ISNUMBER(Detalle_24m!EK$220:EK$244))*FC_V*(1+FC_g)^(EK$173-1)*((FC_Desde=0)*(EK$172+EK$171)+(FC_Desde&gt;=1)*(EK$170&gt;=FC_Desde)*EK$171)))</f>
        <v>0</v>
      </c>
      <c r="EL242" s="48">
        <f>SUMPRODUCT((FC_Clase="Producción")*((FC_Mon="PYG")*EL$175+(FC_Mon&lt;&gt;"PYG"))*((137&gt;Corte)*(137&lt;=Corte+n_Ventana)*ISNUMBER(Detalle_24m!EL$220:EL$244)*Detalle_24m!EL$220:EL$244+(1-(137&gt;Corte)*(137&lt;=Corte+n_Ventana)*ISNUMBER(Detalle_24m!EL$220:EL$244))*FC_V*(1+FC_g)^(EL$173-1)*((FC_Desde=0)*(EL$172+EL$171)+(FC_Desde&gt;=1)*(EL$170&gt;=FC_Desde)*EL$171)))</f>
        <v>0</v>
      </c>
      <c r="EM242" s="48">
        <f>SUMPRODUCT((FC_Clase="Producción")*((FC_Mon="PYG")*EM$175+(FC_Mon&lt;&gt;"PYG"))*((138&gt;Corte)*(138&lt;=Corte+n_Ventana)*ISNUMBER(Detalle_24m!EM$220:EM$244)*Detalle_24m!EM$220:EM$244+(1-(138&gt;Corte)*(138&lt;=Corte+n_Ventana)*ISNUMBER(Detalle_24m!EM$220:EM$244))*FC_V*(1+FC_g)^(EM$173-1)*((FC_Desde=0)*(EM$172+EM$171)+(FC_Desde&gt;=1)*(EM$170&gt;=FC_Desde)*EM$171)))</f>
        <v>0</v>
      </c>
      <c r="EN242" s="48">
        <f>SUMPRODUCT((FC_Clase="Producción")*((FC_Mon="PYG")*EN$175+(FC_Mon&lt;&gt;"PYG"))*((139&gt;Corte)*(139&lt;=Corte+n_Ventana)*ISNUMBER(Detalle_24m!EN$220:EN$244)*Detalle_24m!EN$220:EN$244+(1-(139&gt;Corte)*(139&lt;=Corte+n_Ventana)*ISNUMBER(Detalle_24m!EN$220:EN$244))*FC_V*(1+FC_g)^(EN$173-1)*((FC_Desde=0)*(EN$172+EN$171)+(FC_Desde&gt;=1)*(EN$170&gt;=FC_Desde)*EN$171)))</f>
        <v>0</v>
      </c>
      <c r="EO242" s="48">
        <f>SUMPRODUCT((FC_Clase="Producción")*((FC_Mon="PYG")*EO$175+(FC_Mon&lt;&gt;"PYG"))*((140&gt;Corte)*(140&lt;=Corte+n_Ventana)*ISNUMBER(Detalle_24m!EO$220:EO$244)*Detalle_24m!EO$220:EO$244+(1-(140&gt;Corte)*(140&lt;=Corte+n_Ventana)*ISNUMBER(Detalle_24m!EO$220:EO$244))*FC_V*(1+FC_g)^(EO$173-1)*((FC_Desde=0)*(EO$172+EO$171)+(FC_Desde&gt;=1)*(EO$170&gt;=FC_Desde)*EO$171)))</f>
        <v>0</v>
      </c>
      <c r="EP242" s="48">
        <f>SUMPRODUCT((FC_Clase="Producción")*((FC_Mon="PYG")*EP$175+(FC_Mon&lt;&gt;"PYG"))*((141&gt;Corte)*(141&lt;=Corte+n_Ventana)*ISNUMBER(Detalle_24m!EP$220:EP$244)*Detalle_24m!EP$220:EP$244+(1-(141&gt;Corte)*(141&lt;=Corte+n_Ventana)*ISNUMBER(Detalle_24m!EP$220:EP$244))*FC_V*(1+FC_g)^(EP$173-1)*((FC_Desde=0)*(EP$172+EP$171)+(FC_Desde&gt;=1)*(EP$170&gt;=FC_Desde)*EP$171)))</f>
        <v>0</v>
      </c>
      <c r="EQ242" s="48">
        <f>SUMPRODUCT((FC_Clase="Producción")*((FC_Mon="PYG")*EQ$175+(FC_Mon&lt;&gt;"PYG"))*((142&gt;Corte)*(142&lt;=Corte+n_Ventana)*ISNUMBER(Detalle_24m!EQ$220:EQ$244)*Detalle_24m!EQ$220:EQ$244+(1-(142&gt;Corte)*(142&lt;=Corte+n_Ventana)*ISNUMBER(Detalle_24m!EQ$220:EQ$244))*FC_V*(1+FC_g)^(EQ$173-1)*((FC_Desde=0)*(EQ$172+EQ$171)+(FC_Desde&gt;=1)*(EQ$170&gt;=FC_Desde)*EQ$171)))</f>
        <v>0</v>
      </c>
      <c r="ER242" s="48">
        <f>SUMPRODUCT((FC_Clase="Producción")*((FC_Mon="PYG")*ER$175+(FC_Mon&lt;&gt;"PYG"))*((143&gt;Corte)*(143&lt;=Corte+n_Ventana)*ISNUMBER(Detalle_24m!ER$220:ER$244)*Detalle_24m!ER$220:ER$244+(1-(143&gt;Corte)*(143&lt;=Corte+n_Ventana)*ISNUMBER(Detalle_24m!ER$220:ER$244))*FC_V*(1+FC_g)^(ER$173-1)*((FC_Desde=0)*(ER$172+ER$171)+(FC_Desde&gt;=1)*(ER$170&gt;=FC_Desde)*ER$171)))</f>
        <v>0</v>
      </c>
      <c r="ES242" s="48">
        <f>SUMPRODUCT((FC_Clase="Producción")*((FC_Mon="PYG")*ES$175+(FC_Mon&lt;&gt;"PYG"))*((144&gt;Corte)*(144&lt;=Corte+n_Ventana)*ISNUMBER(Detalle_24m!ES$220:ES$244)*Detalle_24m!ES$220:ES$244+(1-(144&gt;Corte)*(144&lt;=Corte+n_Ventana)*ISNUMBER(Detalle_24m!ES$220:ES$244))*FC_V*(1+FC_g)^(ES$173-1)*((FC_Desde=0)*(ES$172+ES$171)+(FC_Desde&gt;=1)*(ES$170&gt;=FC_Desde)*ES$171)))</f>
        <v>0</v>
      </c>
    </row>
    <row r="243" spans="1:149" x14ac:dyDescent="0.3">
      <c r="A243" s="14" t="s">
        <v>1297</v>
      </c>
      <c r="B243" s="18" t="s">
        <v>1079</v>
      </c>
      <c r="C243" s="18" t="s">
        <v>439</v>
      </c>
      <c r="E243" s="54">
        <f t="shared" si="616"/>
        <v>3059546.0137546142</v>
      </c>
      <c r="F243" s="48">
        <f>SUMPRODUCT((FC_Clase="Administración")*((FC_Mon="PYG")*F$175+(FC_Mon&lt;&gt;"PYG"))*((1&gt;Corte)*(1&lt;=Corte+n_Ventana)*ISNUMBER(Detalle_24m!F$220:F$244)*Detalle_24m!F$220:F$244+(1-(1&gt;Corte)*(1&lt;=Corte+n_Ventana)*ISNUMBER(Detalle_24m!F$220:F$244))*FC_V*(1+FC_g)^(F$173-1)*((FC_Desde=0)*(F$172+F$171)+(FC_Desde&gt;=1)*(F$170&gt;=FC_Desde)*F$171)))</f>
        <v>22893.585753424657</v>
      </c>
      <c r="G243" s="48">
        <f>SUMPRODUCT((FC_Clase="Administración")*((FC_Mon="PYG")*G$175+(FC_Mon&lt;&gt;"PYG"))*((2&gt;Corte)*(2&lt;=Corte+n_Ventana)*ISNUMBER(Detalle_24m!G$220:G$244)*Detalle_24m!G$220:G$244+(1-(2&gt;Corte)*(2&lt;=Corte+n_Ventana)*ISNUMBER(Detalle_24m!G$220:G$244))*FC_V*(1+FC_g)^(G$173-1)*((FC_Desde=0)*(G$172+G$171)+(FC_Desde&gt;=1)*(G$170&gt;=FC_Desde)*G$171)))</f>
        <v>22893.585753424657</v>
      </c>
      <c r="H243" s="48">
        <f>SUMPRODUCT((FC_Clase="Administración")*((FC_Mon="PYG")*H$175+(FC_Mon&lt;&gt;"PYG"))*((3&gt;Corte)*(3&lt;=Corte+n_Ventana)*ISNUMBER(Detalle_24m!H$220:H$244)*Detalle_24m!H$220:H$244+(1-(3&gt;Corte)*(3&lt;=Corte+n_Ventana)*ISNUMBER(Detalle_24m!H$220:H$244))*FC_V*(1+FC_g)^(H$173-1)*((FC_Desde=0)*(H$172+H$171)+(FC_Desde&gt;=1)*(H$170&gt;=FC_Desde)*H$171)))</f>
        <v>22893.585753424657</v>
      </c>
      <c r="I243" s="48">
        <f>SUMPRODUCT((FC_Clase="Administración")*((FC_Mon="PYG")*I$175+(FC_Mon&lt;&gt;"PYG"))*((4&gt;Corte)*(4&lt;=Corte+n_Ventana)*ISNUMBER(Detalle_24m!I$220:I$244)*Detalle_24m!I$220:I$244+(1-(4&gt;Corte)*(4&lt;=Corte+n_Ventana)*ISNUMBER(Detalle_24m!I$220:I$244))*FC_V*(1+FC_g)^(I$173-1)*((FC_Desde=0)*(I$172+I$171)+(FC_Desde&gt;=1)*(I$170&gt;=FC_Desde)*I$171)))</f>
        <v>22893.585753424657</v>
      </c>
      <c r="J243" s="48">
        <f>SUMPRODUCT((FC_Clase="Administración")*((FC_Mon="PYG")*J$175+(FC_Mon&lt;&gt;"PYG"))*((5&gt;Corte)*(5&lt;=Corte+n_Ventana)*ISNUMBER(Detalle_24m!J$220:J$244)*Detalle_24m!J$220:J$244+(1-(5&gt;Corte)*(5&lt;=Corte+n_Ventana)*ISNUMBER(Detalle_24m!J$220:J$244))*FC_V*(1+FC_g)^(J$173-1)*((FC_Desde=0)*(J$172+J$171)+(FC_Desde&gt;=1)*(J$170&gt;=FC_Desde)*J$171)))</f>
        <v>22893.585753424657</v>
      </c>
      <c r="K243" s="48">
        <f>SUMPRODUCT((FC_Clase="Administración")*((FC_Mon="PYG")*K$175+(FC_Mon&lt;&gt;"PYG"))*((6&gt;Corte)*(6&lt;=Corte+n_Ventana)*ISNUMBER(Detalle_24m!K$220:K$244)*Detalle_24m!K$220:K$244+(1-(6&gt;Corte)*(6&lt;=Corte+n_Ventana)*ISNUMBER(Detalle_24m!K$220:K$244))*FC_V*(1+FC_g)^(K$173-1)*((FC_Desde=0)*(K$172+K$171)+(FC_Desde&gt;=1)*(K$170&gt;=FC_Desde)*K$171)))</f>
        <v>22893.585753424657</v>
      </c>
      <c r="L243" s="48">
        <f>SUMPRODUCT((FC_Clase="Administración")*((FC_Mon="PYG")*L$175+(FC_Mon&lt;&gt;"PYG"))*((7&gt;Corte)*(7&lt;=Corte+n_Ventana)*ISNUMBER(Detalle_24m!L$220:L$244)*Detalle_24m!L$220:L$244+(1-(7&gt;Corte)*(7&lt;=Corte+n_Ventana)*ISNUMBER(Detalle_24m!L$220:L$244))*FC_V*(1+FC_g)^(L$173-1)*((FC_Desde=0)*(L$172+L$171)+(FC_Desde&gt;=1)*(L$170&gt;=FC_Desde)*L$171)))</f>
        <v>22893.585753424657</v>
      </c>
      <c r="M243" s="48">
        <f>SUMPRODUCT((FC_Clase="Administración")*((FC_Mon="PYG")*M$175+(FC_Mon&lt;&gt;"PYG"))*((8&gt;Corte)*(8&lt;=Corte+n_Ventana)*ISNUMBER(Detalle_24m!M$220:M$244)*Detalle_24m!M$220:M$244+(1-(8&gt;Corte)*(8&lt;=Corte+n_Ventana)*ISNUMBER(Detalle_24m!M$220:M$244))*FC_V*(1+FC_g)^(M$173-1)*((FC_Desde=0)*(M$172+M$171)+(FC_Desde&gt;=1)*(M$170&gt;=FC_Desde)*M$171)))</f>
        <v>22893.585753424657</v>
      </c>
      <c r="N243" s="48">
        <f>SUMPRODUCT((FC_Clase="Administración")*((FC_Mon="PYG")*N$175+(FC_Mon&lt;&gt;"PYG"))*((9&gt;Corte)*(9&lt;=Corte+n_Ventana)*ISNUMBER(Detalle_24m!N$220:N$244)*Detalle_24m!N$220:N$244+(1-(9&gt;Corte)*(9&lt;=Corte+n_Ventana)*ISNUMBER(Detalle_24m!N$220:N$244))*FC_V*(1+FC_g)^(N$173-1)*((FC_Desde=0)*(N$172+N$171)+(FC_Desde&gt;=1)*(N$170&gt;=FC_Desde)*N$171)))</f>
        <v>22893.585753424657</v>
      </c>
      <c r="O243" s="48">
        <f>SUMPRODUCT((FC_Clase="Administración")*((FC_Mon="PYG")*O$175+(FC_Mon&lt;&gt;"PYG"))*((10&gt;Corte)*(10&lt;=Corte+n_Ventana)*ISNUMBER(Detalle_24m!O$220:O$244)*Detalle_24m!O$220:O$244+(1-(10&gt;Corte)*(10&lt;=Corte+n_Ventana)*ISNUMBER(Detalle_24m!O$220:O$244))*FC_V*(1+FC_g)^(O$173-1)*((FC_Desde=0)*(O$172+O$171)+(FC_Desde&gt;=1)*(O$170&gt;=FC_Desde)*O$171)))</f>
        <v>22893.585753424657</v>
      </c>
      <c r="P243" s="48">
        <f>SUMPRODUCT((FC_Clase="Administración")*((FC_Mon="PYG")*P$175+(FC_Mon&lt;&gt;"PYG"))*((11&gt;Corte)*(11&lt;=Corte+n_Ventana)*ISNUMBER(Detalle_24m!P$220:P$244)*Detalle_24m!P$220:P$244+(1-(11&gt;Corte)*(11&lt;=Corte+n_Ventana)*ISNUMBER(Detalle_24m!P$220:P$244))*FC_V*(1+FC_g)^(P$173-1)*((FC_Desde=0)*(P$172+P$171)+(FC_Desde&gt;=1)*(P$170&gt;=FC_Desde)*P$171)))</f>
        <v>22893.585753424657</v>
      </c>
      <c r="Q243" s="48">
        <f>SUMPRODUCT((FC_Clase="Administración")*((FC_Mon="PYG")*Q$175+(FC_Mon&lt;&gt;"PYG"))*((12&gt;Corte)*(12&lt;=Corte+n_Ventana)*ISNUMBER(Detalle_24m!Q$220:Q$244)*Detalle_24m!Q$220:Q$244+(1-(12&gt;Corte)*(12&lt;=Corte+n_Ventana)*ISNUMBER(Detalle_24m!Q$220:Q$244))*FC_V*(1+FC_g)^(Q$173-1)*((FC_Desde=0)*(Q$172+Q$171)+(FC_Desde&gt;=1)*(Q$170&gt;=FC_Desde)*Q$171)))</f>
        <v>22893.585753424657</v>
      </c>
      <c r="R243" s="48">
        <f>SUMPRODUCT((FC_Clase="Administración")*((FC_Mon="PYG")*R$175+(FC_Mon&lt;&gt;"PYG"))*((13&gt;Corte)*(13&lt;=Corte+n_Ventana)*ISNUMBER(Detalle_24m!R$220:R$244)*Detalle_24m!R$220:R$244+(1-(13&gt;Corte)*(13&lt;=Corte+n_Ventana)*ISNUMBER(Detalle_24m!R$220:R$244))*FC_V*(1+FC_g)^(R$173-1)*((FC_Desde=0)*(R$172+R$171)+(FC_Desde&gt;=1)*(R$170&gt;=FC_Desde)*R$171)))</f>
        <v>23426.95575342466</v>
      </c>
      <c r="S243" s="48">
        <f>SUMPRODUCT((FC_Clase="Administración")*((FC_Mon="PYG")*S$175+(FC_Mon&lt;&gt;"PYG"))*((14&gt;Corte)*(14&lt;=Corte+n_Ventana)*ISNUMBER(Detalle_24m!S$220:S$244)*Detalle_24m!S$220:S$244+(1-(14&gt;Corte)*(14&lt;=Corte+n_Ventana)*ISNUMBER(Detalle_24m!S$220:S$244))*FC_V*(1+FC_g)^(S$173-1)*((FC_Desde=0)*(S$172+S$171)+(FC_Desde&gt;=1)*(S$170&gt;=FC_Desde)*S$171)))</f>
        <v>23426.95575342466</v>
      </c>
      <c r="T243" s="48">
        <f>SUMPRODUCT((FC_Clase="Administración")*((FC_Mon="PYG")*T$175+(FC_Mon&lt;&gt;"PYG"))*((15&gt;Corte)*(15&lt;=Corte+n_Ventana)*ISNUMBER(Detalle_24m!T$220:T$244)*Detalle_24m!T$220:T$244+(1-(15&gt;Corte)*(15&lt;=Corte+n_Ventana)*ISNUMBER(Detalle_24m!T$220:T$244))*FC_V*(1+FC_g)^(T$173-1)*((FC_Desde=0)*(T$172+T$171)+(FC_Desde&gt;=1)*(T$170&gt;=FC_Desde)*T$171)))</f>
        <v>23426.95575342466</v>
      </c>
      <c r="U243" s="48">
        <f>SUMPRODUCT((FC_Clase="Administración")*((FC_Mon="PYG")*U$175+(FC_Mon&lt;&gt;"PYG"))*((16&gt;Corte)*(16&lt;=Corte+n_Ventana)*ISNUMBER(Detalle_24m!U$220:U$244)*Detalle_24m!U$220:U$244+(1-(16&gt;Corte)*(16&lt;=Corte+n_Ventana)*ISNUMBER(Detalle_24m!U$220:U$244))*FC_V*(1+FC_g)^(U$173-1)*((FC_Desde=0)*(U$172+U$171)+(FC_Desde&gt;=1)*(U$170&gt;=FC_Desde)*U$171)))</f>
        <v>23426.95575342466</v>
      </c>
      <c r="V243" s="48">
        <f>SUMPRODUCT((FC_Clase="Administración")*((FC_Mon="PYG")*V$175+(FC_Mon&lt;&gt;"PYG"))*((17&gt;Corte)*(17&lt;=Corte+n_Ventana)*ISNUMBER(Detalle_24m!V$220:V$244)*Detalle_24m!V$220:V$244+(1-(17&gt;Corte)*(17&lt;=Corte+n_Ventana)*ISNUMBER(Detalle_24m!V$220:V$244))*FC_V*(1+FC_g)^(V$173-1)*((FC_Desde=0)*(V$172+V$171)+(FC_Desde&gt;=1)*(V$170&gt;=FC_Desde)*V$171)))</f>
        <v>23426.95575342466</v>
      </c>
      <c r="W243" s="48">
        <f>SUMPRODUCT((FC_Clase="Administración")*((FC_Mon="PYG")*W$175+(FC_Mon&lt;&gt;"PYG"))*((18&gt;Corte)*(18&lt;=Corte+n_Ventana)*ISNUMBER(Detalle_24m!W$220:W$244)*Detalle_24m!W$220:W$244+(1-(18&gt;Corte)*(18&lt;=Corte+n_Ventana)*ISNUMBER(Detalle_24m!W$220:W$244))*FC_V*(1+FC_g)^(W$173-1)*((FC_Desde=0)*(W$172+W$171)+(FC_Desde&gt;=1)*(W$170&gt;=FC_Desde)*W$171)))</f>
        <v>23426.95575342466</v>
      </c>
      <c r="X243" s="48">
        <f>SUMPRODUCT((FC_Clase="Administración")*((FC_Mon="PYG")*X$175+(FC_Mon&lt;&gt;"PYG"))*((19&gt;Corte)*(19&lt;=Corte+n_Ventana)*ISNUMBER(Detalle_24m!X$220:X$244)*Detalle_24m!X$220:X$244+(1-(19&gt;Corte)*(19&lt;=Corte+n_Ventana)*ISNUMBER(Detalle_24m!X$220:X$244))*FC_V*(1+FC_g)^(X$173-1)*((FC_Desde=0)*(X$172+X$171)+(FC_Desde&gt;=1)*(X$170&gt;=FC_Desde)*X$171)))</f>
        <v>23426.95575342466</v>
      </c>
      <c r="Y243" s="48">
        <f>SUMPRODUCT((FC_Clase="Administración")*((FC_Mon="PYG")*Y$175+(FC_Mon&lt;&gt;"PYG"))*((20&gt;Corte)*(20&lt;=Corte+n_Ventana)*ISNUMBER(Detalle_24m!Y$220:Y$244)*Detalle_24m!Y$220:Y$244+(1-(20&gt;Corte)*(20&lt;=Corte+n_Ventana)*ISNUMBER(Detalle_24m!Y$220:Y$244))*FC_V*(1+FC_g)^(Y$173-1)*((FC_Desde=0)*(Y$172+Y$171)+(FC_Desde&gt;=1)*(Y$170&gt;=FC_Desde)*Y$171)))</f>
        <v>23426.95575342466</v>
      </c>
      <c r="Z243" s="48">
        <f>SUMPRODUCT((FC_Clase="Administración")*((FC_Mon="PYG")*Z$175+(FC_Mon&lt;&gt;"PYG"))*((21&gt;Corte)*(21&lt;=Corte+n_Ventana)*ISNUMBER(Detalle_24m!Z$220:Z$244)*Detalle_24m!Z$220:Z$244+(1-(21&gt;Corte)*(21&lt;=Corte+n_Ventana)*ISNUMBER(Detalle_24m!Z$220:Z$244))*FC_V*(1+FC_g)^(Z$173-1)*((FC_Desde=0)*(Z$172+Z$171)+(FC_Desde&gt;=1)*(Z$170&gt;=FC_Desde)*Z$171)))</f>
        <v>23426.95575342466</v>
      </c>
      <c r="AA243" s="48">
        <f>SUMPRODUCT((FC_Clase="Administración")*((FC_Mon="PYG")*AA$175+(FC_Mon&lt;&gt;"PYG"))*((22&gt;Corte)*(22&lt;=Corte+n_Ventana)*ISNUMBER(Detalle_24m!AA$220:AA$244)*Detalle_24m!AA$220:AA$244+(1-(22&gt;Corte)*(22&lt;=Corte+n_Ventana)*ISNUMBER(Detalle_24m!AA$220:AA$244))*FC_V*(1+FC_g)^(AA$173-1)*((FC_Desde=0)*(AA$172+AA$171)+(FC_Desde&gt;=1)*(AA$170&gt;=FC_Desde)*AA$171)))</f>
        <v>23426.95575342466</v>
      </c>
      <c r="AB243" s="48">
        <f>SUMPRODUCT((FC_Clase="Administración")*((FC_Mon="PYG")*AB$175+(FC_Mon&lt;&gt;"PYG"))*((23&gt;Corte)*(23&lt;=Corte+n_Ventana)*ISNUMBER(Detalle_24m!AB$220:AB$244)*Detalle_24m!AB$220:AB$244+(1-(23&gt;Corte)*(23&lt;=Corte+n_Ventana)*ISNUMBER(Detalle_24m!AB$220:AB$244))*FC_V*(1+FC_g)^(AB$173-1)*((FC_Desde=0)*(AB$172+AB$171)+(FC_Desde&gt;=1)*(AB$170&gt;=FC_Desde)*AB$171)))</f>
        <v>23426.95575342466</v>
      </c>
      <c r="AC243" s="48">
        <f>SUMPRODUCT((FC_Clase="Administración")*((FC_Mon="PYG")*AC$175+(FC_Mon&lt;&gt;"PYG"))*((24&gt;Corte)*(24&lt;=Corte+n_Ventana)*ISNUMBER(Detalle_24m!AC$220:AC$244)*Detalle_24m!AC$220:AC$244+(1-(24&gt;Corte)*(24&lt;=Corte+n_Ventana)*ISNUMBER(Detalle_24m!AC$220:AC$244))*FC_V*(1+FC_g)^(AC$173-1)*((FC_Desde=0)*(AC$172+AC$171)+(FC_Desde&gt;=1)*(AC$170&gt;=FC_Desde)*AC$171)))</f>
        <v>23426.95575342466</v>
      </c>
      <c r="AD243" s="48">
        <f>SUMPRODUCT((FC_Clase="Administración")*((FC_Mon="PYG")*AD$175+(FC_Mon&lt;&gt;"PYG"))*((25&gt;Corte)*(25&lt;=Corte+n_Ventana)*ISNUMBER(Detalle_24m!AD$220:AD$244)*Detalle_24m!AD$220:AD$244+(1-(25&gt;Corte)*(25&lt;=Corte+n_Ventana)*ISNUMBER(Detalle_24m!AD$220:AD$244))*FC_V*(1+FC_g)^(AD$173-1)*((FC_Desde=0)*(AD$172+AD$171)+(FC_Desde&gt;=1)*(AD$170&gt;=FC_Desde)*AD$171)))</f>
        <v>23976.326853424656</v>
      </c>
      <c r="AE243" s="48">
        <f>SUMPRODUCT((FC_Clase="Administración")*((FC_Mon="PYG")*AE$175+(FC_Mon&lt;&gt;"PYG"))*((26&gt;Corte)*(26&lt;=Corte+n_Ventana)*ISNUMBER(Detalle_24m!AE$220:AE$244)*Detalle_24m!AE$220:AE$244+(1-(26&gt;Corte)*(26&lt;=Corte+n_Ventana)*ISNUMBER(Detalle_24m!AE$220:AE$244))*FC_V*(1+FC_g)^(AE$173-1)*((FC_Desde=0)*(AE$172+AE$171)+(FC_Desde&gt;=1)*(AE$170&gt;=FC_Desde)*AE$171)))</f>
        <v>23976.326853424656</v>
      </c>
      <c r="AF243" s="48">
        <f>SUMPRODUCT((FC_Clase="Administración")*((FC_Mon="PYG")*AF$175+(FC_Mon&lt;&gt;"PYG"))*((27&gt;Corte)*(27&lt;=Corte+n_Ventana)*ISNUMBER(Detalle_24m!AF$220:AF$244)*Detalle_24m!AF$220:AF$244+(1-(27&gt;Corte)*(27&lt;=Corte+n_Ventana)*ISNUMBER(Detalle_24m!AF$220:AF$244))*FC_V*(1+FC_g)^(AF$173-1)*((FC_Desde=0)*(AF$172+AF$171)+(FC_Desde&gt;=1)*(AF$170&gt;=FC_Desde)*AF$171)))</f>
        <v>23976.326853424656</v>
      </c>
      <c r="AG243" s="48">
        <f>SUMPRODUCT((FC_Clase="Administración")*((FC_Mon="PYG")*AG$175+(FC_Mon&lt;&gt;"PYG"))*((28&gt;Corte)*(28&lt;=Corte+n_Ventana)*ISNUMBER(Detalle_24m!AG$220:AG$244)*Detalle_24m!AG$220:AG$244+(1-(28&gt;Corte)*(28&lt;=Corte+n_Ventana)*ISNUMBER(Detalle_24m!AG$220:AG$244))*FC_V*(1+FC_g)^(AG$173-1)*((FC_Desde=0)*(AG$172+AG$171)+(FC_Desde&gt;=1)*(AG$170&gt;=FC_Desde)*AG$171)))</f>
        <v>23976.326853424656</v>
      </c>
      <c r="AH243" s="48">
        <f>SUMPRODUCT((FC_Clase="Administración")*((FC_Mon="PYG")*AH$175+(FC_Mon&lt;&gt;"PYG"))*((29&gt;Corte)*(29&lt;=Corte+n_Ventana)*ISNUMBER(Detalle_24m!AH$220:AH$244)*Detalle_24m!AH$220:AH$244+(1-(29&gt;Corte)*(29&lt;=Corte+n_Ventana)*ISNUMBER(Detalle_24m!AH$220:AH$244))*FC_V*(1+FC_g)^(AH$173-1)*((FC_Desde=0)*(AH$172+AH$171)+(FC_Desde&gt;=1)*(AH$170&gt;=FC_Desde)*AH$171)))</f>
        <v>23976.326853424656</v>
      </c>
      <c r="AI243" s="48">
        <f>SUMPRODUCT((FC_Clase="Administración")*((FC_Mon="PYG")*AI$175+(FC_Mon&lt;&gt;"PYG"))*((30&gt;Corte)*(30&lt;=Corte+n_Ventana)*ISNUMBER(Detalle_24m!AI$220:AI$244)*Detalle_24m!AI$220:AI$244+(1-(30&gt;Corte)*(30&lt;=Corte+n_Ventana)*ISNUMBER(Detalle_24m!AI$220:AI$244))*FC_V*(1+FC_g)^(AI$173-1)*((FC_Desde=0)*(AI$172+AI$171)+(FC_Desde&gt;=1)*(AI$170&gt;=FC_Desde)*AI$171)))</f>
        <v>23976.326853424656</v>
      </c>
      <c r="AJ243" s="48">
        <f>SUMPRODUCT((FC_Clase="Administración")*((FC_Mon="PYG")*AJ$175+(FC_Mon&lt;&gt;"PYG"))*((31&gt;Corte)*(31&lt;=Corte+n_Ventana)*ISNUMBER(Detalle_24m!AJ$220:AJ$244)*Detalle_24m!AJ$220:AJ$244+(1-(31&gt;Corte)*(31&lt;=Corte+n_Ventana)*ISNUMBER(Detalle_24m!AJ$220:AJ$244))*FC_V*(1+FC_g)^(AJ$173-1)*((FC_Desde=0)*(AJ$172+AJ$171)+(FC_Desde&gt;=1)*(AJ$170&gt;=FC_Desde)*AJ$171)))</f>
        <v>23976.326853424656</v>
      </c>
      <c r="AK243" s="48">
        <f>SUMPRODUCT((FC_Clase="Administración")*((FC_Mon="PYG")*AK$175+(FC_Mon&lt;&gt;"PYG"))*((32&gt;Corte)*(32&lt;=Corte+n_Ventana)*ISNUMBER(Detalle_24m!AK$220:AK$244)*Detalle_24m!AK$220:AK$244+(1-(32&gt;Corte)*(32&lt;=Corte+n_Ventana)*ISNUMBER(Detalle_24m!AK$220:AK$244))*FC_V*(1+FC_g)^(AK$173-1)*((FC_Desde=0)*(AK$172+AK$171)+(FC_Desde&gt;=1)*(AK$170&gt;=FC_Desde)*AK$171)))</f>
        <v>23976.326853424656</v>
      </c>
      <c r="AL243" s="48">
        <f>SUMPRODUCT((FC_Clase="Administración")*((FC_Mon="PYG")*AL$175+(FC_Mon&lt;&gt;"PYG"))*((33&gt;Corte)*(33&lt;=Corte+n_Ventana)*ISNUMBER(Detalle_24m!AL$220:AL$244)*Detalle_24m!AL$220:AL$244+(1-(33&gt;Corte)*(33&lt;=Corte+n_Ventana)*ISNUMBER(Detalle_24m!AL$220:AL$244))*FC_V*(1+FC_g)^(AL$173-1)*((FC_Desde=0)*(AL$172+AL$171)+(FC_Desde&gt;=1)*(AL$170&gt;=FC_Desde)*AL$171)))</f>
        <v>23976.326853424656</v>
      </c>
      <c r="AM243" s="48">
        <f>SUMPRODUCT((FC_Clase="Administración")*((FC_Mon="PYG")*AM$175+(FC_Mon&lt;&gt;"PYG"))*((34&gt;Corte)*(34&lt;=Corte+n_Ventana)*ISNUMBER(Detalle_24m!AM$220:AM$244)*Detalle_24m!AM$220:AM$244+(1-(34&gt;Corte)*(34&lt;=Corte+n_Ventana)*ISNUMBER(Detalle_24m!AM$220:AM$244))*FC_V*(1+FC_g)^(AM$173-1)*((FC_Desde=0)*(AM$172+AM$171)+(FC_Desde&gt;=1)*(AM$170&gt;=FC_Desde)*AM$171)))</f>
        <v>23976.326853424656</v>
      </c>
      <c r="AN243" s="48">
        <f>SUMPRODUCT((FC_Clase="Administración")*((FC_Mon="PYG")*AN$175+(FC_Mon&lt;&gt;"PYG"))*((35&gt;Corte)*(35&lt;=Corte+n_Ventana)*ISNUMBER(Detalle_24m!AN$220:AN$244)*Detalle_24m!AN$220:AN$244+(1-(35&gt;Corte)*(35&lt;=Corte+n_Ventana)*ISNUMBER(Detalle_24m!AN$220:AN$244))*FC_V*(1+FC_g)^(AN$173-1)*((FC_Desde=0)*(AN$172+AN$171)+(FC_Desde&gt;=1)*(AN$170&gt;=FC_Desde)*AN$171)))</f>
        <v>23976.326853424656</v>
      </c>
      <c r="AO243" s="48">
        <f>SUMPRODUCT((FC_Clase="Administración")*((FC_Mon="PYG")*AO$175+(FC_Mon&lt;&gt;"PYG"))*((36&gt;Corte)*(36&lt;=Corte+n_Ventana)*ISNUMBER(Detalle_24m!AO$220:AO$244)*Detalle_24m!AO$220:AO$244+(1-(36&gt;Corte)*(36&lt;=Corte+n_Ventana)*ISNUMBER(Detalle_24m!AO$220:AO$244))*FC_V*(1+FC_g)^(AO$173-1)*((FC_Desde=0)*(AO$172+AO$171)+(FC_Desde&gt;=1)*(AO$170&gt;=FC_Desde)*AO$171)))</f>
        <v>23976.326853424656</v>
      </c>
      <c r="AP243" s="48">
        <f>SUMPRODUCT((FC_Clase="Administración")*((FC_Mon="PYG")*AP$175+(FC_Mon&lt;&gt;"PYG"))*((37&gt;Corte)*(37&lt;=Corte+n_Ventana)*ISNUMBER(Detalle_24m!AP$220:AP$244)*Detalle_24m!AP$220:AP$244+(1-(37&gt;Corte)*(37&lt;=Corte+n_Ventana)*ISNUMBER(Detalle_24m!AP$220:AP$244))*FC_V*(1+FC_g)^(AP$173-1)*((FC_Desde=0)*(AP$172+AP$171)+(FC_Desde&gt;=1)*(AP$170&gt;=FC_Desde)*AP$171)))</f>
        <v>24542.179086424661</v>
      </c>
      <c r="AQ243" s="48">
        <f>SUMPRODUCT((FC_Clase="Administración")*((FC_Mon="PYG")*AQ$175+(FC_Mon&lt;&gt;"PYG"))*((38&gt;Corte)*(38&lt;=Corte+n_Ventana)*ISNUMBER(Detalle_24m!AQ$220:AQ$244)*Detalle_24m!AQ$220:AQ$244+(1-(38&gt;Corte)*(38&lt;=Corte+n_Ventana)*ISNUMBER(Detalle_24m!AQ$220:AQ$244))*FC_V*(1+FC_g)^(AQ$173-1)*((FC_Desde=0)*(AQ$172+AQ$171)+(FC_Desde&gt;=1)*(AQ$170&gt;=FC_Desde)*AQ$171)))</f>
        <v>24542.179086424661</v>
      </c>
      <c r="AR243" s="48">
        <f>SUMPRODUCT((FC_Clase="Administración")*((FC_Mon="PYG")*AR$175+(FC_Mon&lt;&gt;"PYG"))*((39&gt;Corte)*(39&lt;=Corte+n_Ventana)*ISNUMBER(Detalle_24m!AR$220:AR$244)*Detalle_24m!AR$220:AR$244+(1-(39&gt;Corte)*(39&lt;=Corte+n_Ventana)*ISNUMBER(Detalle_24m!AR$220:AR$244))*FC_V*(1+FC_g)^(AR$173-1)*((FC_Desde=0)*(AR$172+AR$171)+(FC_Desde&gt;=1)*(AR$170&gt;=FC_Desde)*AR$171)))</f>
        <v>24542.179086424661</v>
      </c>
      <c r="AS243" s="48">
        <f>SUMPRODUCT((FC_Clase="Administración")*((FC_Mon="PYG")*AS$175+(FC_Mon&lt;&gt;"PYG"))*((40&gt;Corte)*(40&lt;=Corte+n_Ventana)*ISNUMBER(Detalle_24m!AS$220:AS$244)*Detalle_24m!AS$220:AS$244+(1-(40&gt;Corte)*(40&lt;=Corte+n_Ventana)*ISNUMBER(Detalle_24m!AS$220:AS$244))*FC_V*(1+FC_g)^(AS$173-1)*((FC_Desde=0)*(AS$172+AS$171)+(FC_Desde&gt;=1)*(AS$170&gt;=FC_Desde)*AS$171)))</f>
        <v>24542.179086424661</v>
      </c>
      <c r="AT243" s="48">
        <f>SUMPRODUCT((FC_Clase="Administración")*((FC_Mon="PYG")*AT$175+(FC_Mon&lt;&gt;"PYG"))*((41&gt;Corte)*(41&lt;=Corte+n_Ventana)*ISNUMBER(Detalle_24m!AT$220:AT$244)*Detalle_24m!AT$220:AT$244+(1-(41&gt;Corte)*(41&lt;=Corte+n_Ventana)*ISNUMBER(Detalle_24m!AT$220:AT$244))*FC_V*(1+FC_g)^(AT$173-1)*((FC_Desde=0)*(AT$172+AT$171)+(FC_Desde&gt;=1)*(AT$170&gt;=FC_Desde)*AT$171)))</f>
        <v>24542.179086424661</v>
      </c>
      <c r="AU243" s="48">
        <f>SUMPRODUCT((FC_Clase="Administración")*((FC_Mon="PYG")*AU$175+(FC_Mon&lt;&gt;"PYG"))*((42&gt;Corte)*(42&lt;=Corte+n_Ventana)*ISNUMBER(Detalle_24m!AU$220:AU$244)*Detalle_24m!AU$220:AU$244+(1-(42&gt;Corte)*(42&lt;=Corte+n_Ventana)*ISNUMBER(Detalle_24m!AU$220:AU$244))*FC_V*(1+FC_g)^(AU$173-1)*((FC_Desde=0)*(AU$172+AU$171)+(FC_Desde&gt;=1)*(AU$170&gt;=FC_Desde)*AU$171)))</f>
        <v>24542.179086424661</v>
      </c>
      <c r="AV243" s="48">
        <f>SUMPRODUCT((FC_Clase="Administración")*((FC_Mon="PYG")*AV$175+(FC_Mon&lt;&gt;"PYG"))*((43&gt;Corte)*(43&lt;=Corte+n_Ventana)*ISNUMBER(Detalle_24m!AV$220:AV$244)*Detalle_24m!AV$220:AV$244+(1-(43&gt;Corte)*(43&lt;=Corte+n_Ventana)*ISNUMBER(Detalle_24m!AV$220:AV$244))*FC_V*(1+FC_g)^(AV$173-1)*((FC_Desde=0)*(AV$172+AV$171)+(FC_Desde&gt;=1)*(AV$170&gt;=FC_Desde)*AV$171)))</f>
        <v>24542.179086424661</v>
      </c>
      <c r="AW243" s="48">
        <f>SUMPRODUCT((FC_Clase="Administración")*((FC_Mon="PYG")*AW$175+(FC_Mon&lt;&gt;"PYG"))*((44&gt;Corte)*(44&lt;=Corte+n_Ventana)*ISNUMBER(Detalle_24m!AW$220:AW$244)*Detalle_24m!AW$220:AW$244+(1-(44&gt;Corte)*(44&lt;=Corte+n_Ventana)*ISNUMBER(Detalle_24m!AW$220:AW$244))*FC_V*(1+FC_g)^(AW$173-1)*((FC_Desde=0)*(AW$172+AW$171)+(FC_Desde&gt;=1)*(AW$170&gt;=FC_Desde)*AW$171)))</f>
        <v>24542.179086424661</v>
      </c>
      <c r="AX243" s="48">
        <f>SUMPRODUCT((FC_Clase="Administración")*((FC_Mon="PYG")*AX$175+(FC_Mon&lt;&gt;"PYG"))*((45&gt;Corte)*(45&lt;=Corte+n_Ventana)*ISNUMBER(Detalle_24m!AX$220:AX$244)*Detalle_24m!AX$220:AX$244+(1-(45&gt;Corte)*(45&lt;=Corte+n_Ventana)*ISNUMBER(Detalle_24m!AX$220:AX$244))*FC_V*(1+FC_g)^(AX$173-1)*((FC_Desde=0)*(AX$172+AX$171)+(FC_Desde&gt;=1)*(AX$170&gt;=FC_Desde)*AX$171)))</f>
        <v>24542.179086424661</v>
      </c>
      <c r="AY243" s="48">
        <f>SUMPRODUCT((FC_Clase="Administración")*((FC_Mon="PYG")*AY$175+(FC_Mon&lt;&gt;"PYG"))*((46&gt;Corte)*(46&lt;=Corte+n_Ventana)*ISNUMBER(Detalle_24m!AY$220:AY$244)*Detalle_24m!AY$220:AY$244+(1-(46&gt;Corte)*(46&lt;=Corte+n_Ventana)*ISNUMBER(Detalle_24m!AY$220:AY$244))*FC_V*(1+FC_g)^(AY$173-1)*((FC_Desde=0)*(AY$172+AY$171)+(FC_Desde&gt;=1)*(AY$170&gt;=FC_Desde)*AY$171)))</f>
        <v>24542.179086424661</v>
      </c>
      <c r="AZ243" s="48">
        <f>SUMPRODUCT((FC_Clase="Administración")*((FC_Mon="PYG")*AZ$175+(FC_Mon&lt;&gt;"PYG"))*((47&gt;Corte)*(47&lt;=Corte+n_Ventana)*ISNUMBER(Detalle_24m!AZ$220:AZ$244)*Detalle_24m!AZ$220:AZ$244+(1-(47&gt;Corte)*(47&lt;=Corte+n_Ventana)*ISNUMBER(Detalle_24m!AZ$220:AZ$244))*FC_V*(1+FC_g)^(AZ$173-1)*((FC_Desde=0)*(AZ$172+AZ$171)+(FC_Desde&gt;=1)*(AZ$170&gt;=FC_Desde)*AZ$171)))</f>
        <v>24542.179086424661</v>
      </c>
      <c r="BA243" s="48">
        <f>SUMPRODUCT((FC_Clase="Administración")*((FC_Mon="PYG")*BA$175+(FC_Mon&lt;&gt;"PYG"))*((48&gt;Corte)*(48&lt;=Corte+n_Ventana)*ISNUMBER(Detalle_24m!BA$220:BA$244)*Detalle_24m!BA$220:BA$244+(1-(48&gt;Corte)*(48&lt;=Corte+n_Ventana)*ISNUMBER(Detalle_24m!BA$220:BA$244))*FC_V*(1+FC_g)^(BA$173-1)*((FC_Desde=0)*(BA$172+BA$171)+(FC_Desde&gt;=1)*(BA$170&gt;=FC_Desde)*BA$171)))</f>
        <v>24542.179086424661</v>
      </c>
      <c r="BB243" s="48">
        <f>SUMPRODUCT((FC_Clase="Administración")*((FC_Mon="PYG")*BB$175+(FC_Mon&lt;&gt;"PYG"))*((49&gt;Corte)*(49&lt;=Corte+n_Ventana)*ISNUMBER(Detalle_24m!BB$220:BB$244)*Detalle_24m!BB$220:BB$244+(1-(49&gt;Corte)*(49&lt;=Corte+n_Ventana)*ISNUMBER(Detalle_24m!BB$220:BB$244))*FC_V*(1+FC_g)^(BB$173-1)*((FC_Desde=0)*(BB$172+BB$171)+(FC_Desde&gt;=1)*(BB$170&gt;=FC_Desde)*BB$171)))</f>
        <v>25125.006886414656</v>
      </c>
      <c r="BC243" s="48">
        <f>SUMPRODUCT((FC_Clase="Administración")*((FC_Mon="PYG")*BC$175+(FC_Mon&lt;&gt;"PYG"))*((50&gt;Corte)*(50&lt;=Corte+n_Ventana)*ISNUMBER(Detalle_24m!BC$220:BC$244)*Detalle_24m!BC$220:BC$244+(1-(50&gt;Corte)*(50&lt;=Corte+n_Ventana)*ISNUMBER(Detalle_24m!BC$220:BC$244))*FC_V*(1+FC_g)^(BC$173-1)*((FC_Desde=0)*(BC$172+BC$171)+(FC_Desde&gt;=1)*(BC$170&gt;=FC_Desde)*BC$171)))</f>
        <v>25125.006886414656</v>
      </c>
      <c r="BD243" s="48">
        <f>SUMPRODUCT((FC_Clase="Administración")*((FC_Mon="PYG")*BD$175+(FC_Mon&lt;&gt;"PYG"))*((51&gt;Corte)*(51&lt;=Corte+n_Ventana)*ISNUMBER(Detalle_24m!BD$220:BD$244)*Detalle_24m!BD$220:BD$244+(1-(51&gt;Corte)*(51&lt;=Corte+n_Ventana)*ISNUMBER(Detalle_24m!BD$220:BD$244))*FC_V*(1+FC_g)^(BD$173-1)*((FC_Desde=0)*(BD$172+BD$171)+(FC_Desde&gt;=1)*(BD$170&gt;=FC_Desde)*BD$171)))</f>
        <v>25125.006886414656</v>
      </c>
      <c r="BE243" s="48">
        <f>SUMPRODUCT((FC_Clase="Administración")*((FC_Mon="PYG")*BE$175+(FC_Mon&lt;&gt;"PYG"))*((52&gt;Corte)*(52&lt;=Corte+n_Ventana)*ISNUMBER(Detalle_24m!BE$220:BE$244)*Detalle_24m!BE$220:BE$244+(1-(52&gt;Corte)*(52&lt;=Corte+n_Ventana)*ISNUMBER(Detalle_24m!BE$220:BE$244))*FC_V*(1+FC_g)^(BE$173-1)*((FC_Desde=0)*(BE$172+BE$171)+(FC_Desde&gt;=1)*(BE$170&gt;=FC_Desde)*BE$171)))</f>
        <v>25125.006886414656</v>
      </c>
      <c r="BF243" s="48">
        <f>SUMPRODUCT((FC_Clase="Administración")*((FC_Mon="PYG")*BF$175+(FC_Mon&lt;&gt;"PYG"))*((53&gt;Corte)*(53&lt;=Corte+n_Ventana)*ISNUMBER(Detalle_24m!BF$220:BF$244)*Detalle_24m!BF$220:BF$244+(1-(53&gt;Corte)*(53&lt;=Corte+n_Ventana)*ISNUMBER(Detalle_24m!BF$220:BF$244))*FC_V*(1+FC_g)^(BF$173-1)*((FC_Desde=0)*(BF$172+BF$171)+(FC_Desde&gt;=1)*(BF$170&gt;=FC_Desde)*BF$171)))</f>
        <v>25125.006886414656</v>
      </c>
      <c r="BG243" s="48">
        <f>SUMPRODUCT((FC_Clase="Administración")*((FC_Mon="PYG")*BG$175+(FC_Mon&lt;&gt;"PYG"))*((54&gt;Corte)*(54&lt;=Corte+n_Ventana)*ISNUMBER(Detalle_24m!BG$220:BG$244)*Detalle_24m!BG$220:BG$244+(1-(54&gt;Corte)*(54&lt;=Corte+n_Ventana)*ISNUMBER(Detalle_24m!BG$220:BG$244))*FC_V*(1+FC_g)^(BG$173-1)*((FC_Desde=0)*(BG$172+BG$171)+(FC_Desde&gt;=1)*(BG$170&gt;=FC_Desde)*BG$171)))</f>
        <v>25125.006886414656</v>
      </c>
      <c r="BH243" s="48">
        <f>SUMPRODUCT((FC_Clase="Administración")*((FC_Mon="PYG")*BH$175+(FC_Mon&lt;&gt;"PYG"))*((55&gt;Corte)*(55&lt;=Corte+n_Ventana)*ISNUMBER(Detalle_24m!BH$220:BH$244)*Detalle_24m!BH$220:BH$244+(1-(55&gt;Corte)*(55&lt;=Corte+n_Ventana)*ISNUMBER(Detalle_24m!BH$220:BH$244))*FC_V*(1+FC_g)^(BH$173-1)*((FC_Desde=0)*(BH$172+BH$171)+(FC_Desde&gt;=1)*(BH$170&gt;=FC_Desde)*BH$171)))</f>
        <v>25125.006886414656</v>
      </c>
      <c r="BI243" s="48">
        <f>SUMPRODUCT((FC_Clase="Administración")*((FC_Mon="PYG")*BI$175+(FC_Mon&lt;&gt;"PYG"))*((56&gt;Corte)*(56&lt;=Corte+n_Ventana)*ISNUMBER(Detalle_24m!BI$220:BI$244)*Detalle_24m!BI$220:BI$244+(1-(56&gt;Corte)*(56&lt;=Corte+n_Ventana)*ISNUMBER(Detalle_24m!BI$220:BI$244))*FC_V*(1+FC_g)^(BI$173-1)*((FC_Desde=0)*(BI$172+BI$171)+(FC_Desde&gt;=1)*(BI$170&gt;=FC_Desde)*BI$171)))</f>
        <v>25125.006886414656</v>
      </c>
      <c r="BJ243" s="48">
        <f>SUMPRODUCT((FC_Clase="Administración")*((FC_Mon="PYG")*BJ$175+(FC_Mon&lt;&gt;"PYG"))*((57&gt;Corte)*(57&lt;=Corte+n_Ventana)*ISNUMBER(Detalle_24m!BJ$220:BJ$244)*Detalle_24m!BJ$220:BJ$244+(1-(57&gt;Corte)*(57&lt;=Corte+n_Ventana)*ISNUMBER(Detalle_24m!BJ$220:BJ$244))*FC_V*(1+FC_g)^(BJ$173-1)*((FC_Desde=0)*(BJ$172+BJ$171)+(FC_Desde&gt;=1)*(BJ$170&gt;=FC_Desde)*BJ$171)))</f>
        <v>25125.006886414656</v>
      </c>
      <c r="BK243" s="48">
        <f>SUMPRODUCT((FC_Clase="Administración")*((FC_Mon="PYG")*BK$175+(FC_Mon&lt;&gt;"PYG"))*((58&gt;Corte)*(58&lt;=Corte+n_Ventana)*ISNUMBER(Detalle_24m!BK$220:BK$244)*Detalle_24m!BK$220:BK$244+(1-(58&gt;Corte)*(58&lt;=Corte+n_Ventana)*ISNUMBER(Detalle_24m!BK$220:BK$244))*FC_V*(1+FC_g)^(BK$173-1)*((FC_Desde=0)*(BK$172+BK$171)+(FC_Desde&gt;=1)*(BK$170&gt;=FC_Desde)*BK$171)))</f>
        <v>25125.006886414656</v>
      </c>
      <c r="BL243" s="48">
        <f>SUMPRODUCT((FC_Clase="Administración")*((FC_Mon="PYG")*BL$175+(FC_Mon&lt;&gt;"PYG"))*((59&gt;Corte)*(59&lt;=Corte+n_Ventana)*ISNUMBER(Detalle_24m!BL$220:BL$244)*Detalle_24m!BL$220:BL$244+(1-(59&gt;Corte)*(59&lt;=Corte+n_Ventana)*ISNUMBER(Detalle_24m!BL$220:BL$244))*FC_V*(1+FC_g)^(BL$173-1)*((FC_Desde=0)*(BL$172+BL$171)+(FC_Desde&gt;=1)*(BL$170&gt;=FC_Desde)*BL$171)))</f>
        <v>25125.006886414656</v>
      </c>
      <c r="BM243" s="48">
        <f>SUMPRODUCT((FC_Clase="Administración")*((FC_Mon="PYG")*BM$175+(FC_Mon&lt;&gt;"PYG"))*((60&gt;Corte)*(60&lt;=Corte+n_Ventana)*ISNUMBER(Detalle_24m!BM$220:BM$244)*Detalle_24m!BM$220:BM$244+(1-(60&gt;Corte)*(60&lt;=Corte+n_Ventana)*ISNUMBER(Detalle_24m!BM$220:BM$244))*FC_V*(1+FC_g)^(BM$173-1)*((FC_Desde=0)*(BM$172+BM$171)+(FC_Desde&gt;=1)*(BM$170&gt;=FC_Desde)*BM$171)))</f>
        <v>25125.006886414656</v>
      </c>
      <c r="BN243" s="48">
        <f>SUMPRODUCT((FC_Clase="Administración")*((FC_Mon="PYG")*BN$175+(FC_Mon&lt;&gt;"PYG"))*((61&gt;Corte)*(61&lt;=Corte+n_Ventana)*ISNUMBER(Detalle_24m!BN$220:BN$244)*Detalle_24m!BN$220:BN$244+(1-(61&gt;Corte)*(61&lt;=Corte+n_Ventana)*ISNUMBER(Detalle_24m!BN$220:BN$244))*FC_V*(1+FC_g)^(BN$173-1)*((FC_Desde=0)*(BN$172+BN$171)+(FC_Desde&gt;=1)*(BN$170&gt;=FC_Desde)*BN$171)))</f>
        <v>25725.319520404355</v>
      </c>
      <c r="BO243" s="48">
        <f>SUMPRODUCT((FC_Clase="Administración")*((FC_Mon="PYG")*BO$175+(FC_Mon&lt;&gt;"PYG"))*((62&gt;Corte)*(62&lt;=Corte+n_Ventana)*ISNUMBER(Detalle_24m!BO$220:BO$244)*Detalle_24m!BO$220:BO$244+(1-(62&gt;Corte)*(62&lt;=Corte+n_Ventana)*ISNUMBER(Detalle_24m!BO$220:BO$244))*FC_V*(1+FC_g)^(BO$173-1)*((FC_Desde=0)*(BO$172+BO$171)+(FC_Desde&gt;=1)*(BO$170&gt;=FC_Desde)*BO$171)))</f>
        <v>25725.319520404355</v>
      </c>
      <c r="BP243" s="48">
        <f>SUMPRODUCT((FC_Clase="Administración")*((FC_Mon="PYG")*BP$175+(FC_Mon&lt;&gt;"PYG"))*((63&gt;Corte)*(63&lt;=Corte+n_Ventana)*ISNUMBER(Detalle_24m!BP$220:BP$244)*Detalle_24m!BP$220:BP$244+(1-(63&gt;Corte)*(63&lt;=Corte+n_Ventana)*ISNUMBER(Detalle_24m!BP$220:BP$244))*FC_V*(1+FC_g)^(BP$173-1)*((FC_Desde=0)*(BP$172+BP$171)+(FC_Desde&gt;=1)*(BP$170&gt;=FC_Desde)*BP$171)))</f>
        <v>25725.319520404355</v>
      </c>
      <c r="BQ243" s="48">
        <f>SUMPRODUCT((FC_Clase="Administración")*((FC_Mon="PYG")*BQ$175+(FC_Mon&lt;&gt;"PYG"))*((64&gt;Corte)*(64&lt;=Corte+n_Ventana)*ISNUMBER(Detalle_24m!BQ$220:BQ$244)*Detalle_24m!BQ$220:BQ$244+(1-(64&gt;Corte)*(64&lt;=Corte+n_Ventana)*ISNUMBER(Detalle_24m!BQ$220:BQ$244))*FC_V*(1+FC_g)^(BQ$173-1)*((FC_Desde=0)*(BQ$172+BQ$171)+(FC_Desde&gt;=1)*(BQ$170&gt;=FC_Desde)*BQ$171)))</f>
        <v>25725.319520404355</v>
      </c>
      <c r="BR243" s="48">
        <f>SUMPRODUCT((FC_Clase="Administración")*((FC_Mon="PYG")*BR$175+(FC_Mon&lt;&gt;"PYG"))*((65&gt;Corte)*(65&lt;=Corte+n_Ventana)*ISNUMBER(Detalle_24m!BR$220:BR$244)*Detalle_24m!BR$220:BR$244+(1-(65&gt;Corte)*(65&lt;=Corte+n_Ventana)*ISNUMBER(Detalle_24m!BR$220:BR$244))*FC_V*(1+FC_g)^(BR$173-1)*((FC_Desde=0)*(BR$172+BR$171)+(FC_Desde&gt;=1)*(BR$170&gt;=FC_Desde)*BR$171)))</f>
        <v>25725.319520404355</v>
      </c>
      <c r="BS243" s="48">
        <f>SUMPRODUCT((FC_Clase="Administración")*((FC_Mon="PYG")*BS$175+(FC_Mon&lt;&gt;"PYG"))*((66&gt;Corte)*(66&lt;=Corte+n_Ventana)*ISNUMBER(Detalle_24m!BS$220:BS$244)*Detalle_24m!BS$220:BS$244+(1-(66&gt;Corte)*(66&lt;=Corte+n_Ventana)*ISNUMBER(Detalle_24m!BS$220:BS$244))*FC_V*(1+FC_g)^(BS$173-1)*((FC_Desde=0)*(BS$172+BS$171)+(FC_Desde&gt;=1)*(BS$170&gt;=FC_Desde)*BS$171)))</f>
        <v>25725.319520404355</v>
      </c>
      <c r="BT243" s="48">
        <f>SUMPRODUCT((FC_Clase="Administración")*((FC_Mon="PYG")*BT$175+(FC_Mon&lt;&gt;"PYG"))*((67&gt;Corte)*(67&lt;=Corte+n_Ventana)*ISNUMBER(Detalle_24m!BT$220:BT$244)*Detalle_24m!BT$220:BT$244+(1-(67&gt;Corte)*(67&lt;=Corte+n_Ventana)*ISNUMBER(Detalle_24m!BT$220:BT$244))*FC_V*(1+FC_g)^(BT$173-1)*((FC_Desde=0)*(BT$172+BT$171)+(FC_Desde&gt;=1)*(BT$170&gt;=FC_Desde)*BT$171)))</f>
        <v>25725.319520404355</v>
      </c>
      <c r="BU243" s="48">
        <f>SUMPRODUCT((FC_Clase="Administración")*((FC_Mon="PYG")*BU$175+(FC_Mon&lt;&gt;"PYG"))*((68&gt;Corte)*(68&lt;=Corte+n_Ventana)*ISNUMBER(Detalle_24m!BU$220:BU$244)*Detalle_24m!BU$220:BU$244+(1-(68&gt;Corte)*(68&lt;=Corte+n_Ventana)*ISNUMBER(Detalle_24m!BU$220:BU$244))*FC_V*(1+FC_g)^(BU$173-1)*((FC_Desde=0)*(BU$172+BU$171)+(FC_Desde&gt;=1)*(BU$170&gt;=FC_Desde)*BU$171)))</f>
        <v>25725.319520404355</v>
      </c>
      <c r="BV243" s="48">
        <f>SUMPRODUCT((FC_Clase="Administración")*((FC_Mon="PYG")*BV$175+(FC_Mon&lt;&gt;"PYG"))*((69&gt;Corte)*(69&lt;=Corte+n_Ventana)*ISNUMBER(Detalle_24m!BV$220:BV$244)*Detalle_24m!BV$220:BV$244+(1-(69&gt;Corte)*(69&lt;=Corte+n_Ventana)*ISNUMBER(Detalle_24m!BV$220:BV$244))*FC_V*(1+FC_g)^(BV$173-1)*((FC_Desde=0)*(BV$172+BV$171)+(FC_Desde&gt;=1)*(BV$170&gt;=FC_Desde)*BV$171)))</f>
        <v>25725.319520404355</v>
      </c>
      <c r="BW243" s="48">
        <f>SUMPRODUCT((FC_Clase="Administración")*((FC_Mon="PYG")*BW$175+(FC_Mon&lt;&gt;"PYG"))*((70&gt;Corte)*(70&lt;=Corte+n_Ventana)*ISNUMBER(Detalle_24m!BW$220:BW$244)*Detalle_24m!BW$220:BW$244+(1-(70&gt;Corte)*(70&lt;=Corte+n_Ventana)*ISNUMBER(Detalle_24m!BW$220:BW$244))*FC_V*(1+FC_g)^(BW$173-1)*((FC_Desde=0)*(BW$172+BW$171)+(FC_Desde&gt;=1)*(BW$170&gt;=FC_Desde)*BW$171)))</f>
        <v>25725.319520404355</v>
      </c>
      <c r="BX243" s="48">
        <f>SUMPRODUCT((FC_Clase="Administración")*((FC_Mon="PYG")*BX$175+(FC_Mon&lt;&gt;"PYG"))*((71&gt;Corte)*(71&lt;=Corte+n_Ventana)*ISNUMBER(Detalle_24m!BX$220:BX$244)*Detalle_24m!BX$220:BX$244+(1-(71&gt;Corte)*(71&lt;=Corte+n_Ventana)*ISNUMBER(Detalle_24m!BX$220:BX$244))*FC_V*(1+FC_g)^(BX$173-1)*((FC_Desde=0)*(BX$172+BX$171)+(FC_Desde&gt;=1)*(BX$170&gt;=FC_Desde)*BX$171)))</f>
        <v>25725.319520404355</v>
      </c>
      <c r="BY243" s="48">
        <f>SUMPRODUCT((FC_Clase="Administración")*((FC_Mon="PYG")*BY$175+(FC_Mon&lt;&gt;"PYG"))*((72&gt;Corte)*(72&lt;=Corte+n_Ventana)*ISNUMBER(Detalle_24m!BY$220:BY$244)*Detalle_24m!BY$220:BY$244+(1-(72&gt;Corte)*(72&lt;=Corte+n_Ventana)*ISNUMBER(Detalle_24m!BY$220:BY$244))*FC_V*(1+FC_g)^(BY$173-1)*((FC_Desde=0)*(BY$172+BY$171)+(FC_Desde&gt;=1)*(BY$170&gt;=FC_Desde)*BY$171)))</f>
        <v>25725.319520404355</v>
      </c>
      <c r="BZ243" s="48">
        <f>SUMPRODUCT((FC_Clase="Administración")*((FC_Mon="PYG")*BZ$175+(FC_Mon&lt;&gt;"PYG"))*((73&gt;Corte)*(73&lt;=Corte+n_Ventana)*ISNUMBER(Detalle_24m!BZ$220:BZ$244)*Detalle_24m!BZ$220:BZ$244+(1-(73&gt;Corte)*(73&lt;=Corte+n_Ventana)*ISNUMBER(Detalle_24m!BZ$220:BZ$244))*FC_V*(1+FC_g)^(BZ$173-1)*((FC_Desde=0)*(BZ$172+BZ$171)+(FC_Desde&gt;=1)*(BZ$170&gt;=FC_Desde)*BZ$171)))</f>
        <v>26343.641533413745</v>
      </c>
      <c r="CA243" s="48">
        <f>SUMPRODUCT((FC_Clase="Administración")*((FC_Mon="PYG")*CA$175+(FC_Mon&lt;&gt;"PYG"))*((74&gt;Corte)*(74&lt;=Corte+n_Ventana)*ISNUMBER(Detalle_24m!CA$220:CA$244)*Detalle_24m!CA$220:CA$244+(1-(74&gt;Corte)*(74&lt;=Corte+n_Ventana)*ISNUMBER(Detalle_24m!CA$220:CA$244))*FC_V*(1+FC_g)^(CA$173-1)*((FC_Desde=0)*(CA$172+CA$171)+(FC_Desde&gt;=1)*(CA$170&gt;=FC_Desde)*CA$171)))</f>
        <v>26343.641533413745</v>
      </c>
      <c r="CB243" s="48">
        <f>SUMPRODUCT((FC_Clase="Administración")*((FC_Mon="PYG")*CB$175+(FC_Mon&lt;&gt;"PYG"))*((75&gt;Corte)*(75&lt;=Corte+n_Ventana)*ISNUMBER(Detalle_24m!CB$220:CB$244)*Detalle_24m!CB$220:CB$244+(1-(75&gt;Corte)*(75&lt;=Corte+n_Ventana)*ISNUMBER(Detalle_24m!CB$220:CB$244))*FC_V*(1+FC_g)^(CB$173-1)*((FC_Desde=0)*(CB$172+CB$171)+(FC_Desde&gt;=1)*(CB$170&gt;=FC_Desde)*CB$171)))</f>
        <v>26343.641533413745</v>
      </c>
      <c r="CC243" s="48">
        <f>SUMPRODUCT((FC_Clase="Administración")*((FC_Mon="PYG")*CC$175+(FC_Mon&lt;&gt;"PYG"))*((76&gt;Corte)*(76&lt;=Corte+n_Ventana)*ISNUMBER(Detalle_24m!CC$220:CC$244)*Detalle_24m!CC$220:CC$244+(1-(76&gt;Corte)*(76&lt;=Corte+n_Ventana)*ISNUMBER(Detalle_24m!CC$220:CC$244))*FC_V*(1+FC_g)^(CC$173-1)*((FC_Desde=0)*(CC$172+CC$171)+(FC_Desde&gt;=1)*(CC$170&gt;=FC_Desde)*CC$171)))</f>
        <v>26343.641533413745</v>
      </c>
      <c r="CD243" s="48">
        <f>SUMPRODUCT((FC_Clase="Administración")*((FC_Mon="PYG")*CD$175+(FC_Mon&lt;&gt;"PYG"))*((77&gt;Corte)*(77&lt;=Corte+n_Ventana)*ISNUMBER(Detalle_24m!CD$220:CD$244)*Detalle_24m!CD$220:CD$244+(1-(77&gt;Corte)*(77&lt;=Corte+n_Ventana)*ISNUMBER(Detalle_24m!CD$220:CD$244))*FC_V*(1+FC_g)^(CD$173-1)*((FC_Desde=0)*(CD$172+CD$171)+(FC_Desde&gt;=1)*(CD$170&gt;=FC_Desde)*CD$171)))</f>
        <v>26343.641533413745</v>
      </c>
      <c r="CE243" s="48">
        <f>SUMPRODUCT((FC_Clase="Administración")*((FC_Mon="PYG")*CE$175+(FC_Mon&lt;&gt;"PYG"))*((78&gt;Corte)*(78&lt;=Corte+n_Ventana)*ISNUMBER(Detalle_24m!CE$220:CE$244)*Detalle_24m!CE$220:CE$244+(1-(78&gt;Corte)*(78&lt;=Corte+n_Ventana)*ISNUMBER(Detalle_24m!CE$220:CE$244))*FC_V*(1+FC_g)^(CE$173-1)*((FC_Desde=0)*(CE$172+CE$171)+(FC_Desde&gt;=1)*(CE$170&gt;=FC_Desde)*CE$171)))</f>
        <v>26343.641533413745</v>
      </c>
      <c r="CF243" s="48">
        <f>SUMPRODUCT((FC_Clase="Administración")*((FC_Mon="PYG")*CF$175+(FC_Mon&lt;&gt;"PYG"))*((79&gt;Corte)*(79&lt;=Corte+n_Ventana)*ISNUMBER(Detalle_24m!CF$220:CF$244)*Detalle_24m!CF$220:CF$244+(1-(79&gt;Corte)*(79&lt;=Corte+n_Ventana)*ISNUMBER(Detalle_24m!CF$220:CF$244))*FC_V*(1+FC_g)^(CF$173-1)*((FC_Desde=0)*(CF$172+CF$171)+(FC_Desde&gt;=1)*(CF$170&gt;=FC_Desde)*CF$171)))</f>
        <v>26343.641533413745</v>
      </c>
      <c r="CG243" s="48">
        <f>SUMPRODUCT((FC_Clase="Administración")*((FC_Mon="PYG")*CG$175+(FC_Mon&lt;&gt;"PYG"))*((80&gt;Corte)*(80&lt;=Corte+n_Ventana)*ISNUMBER(Detalle_24m!CG$220:CG$244)*Detalle_24m!CG$220:CG$244+(1-(80&gt;Corte)*(80&lt;=Corte+n_Ventana)*ISNUMBER(Detalle_24m!CG$220:CG$244))*FC_V*(1+FC_g)^(CG$173-1)*((FC_Desde=0)*(CG$172+CG$171)+(FC_Desde&gt;=1)*(CG$170&gt;=FC_Desde)*CG$171)))</f>
        <v>26343.641533413745</v>
      </c>
      <c r="CH243" s="48">
        <f>SUMPRODUCT((FC_Clase="Administración")*((FC_Mon="PYG")*CH$175+(FC_Mon&lt;&gt;"PYG"))*((81&gt;Corte)*(81&lt;=Corte+n_Ventana)*ISNUMBER(Detalle_24m!CH$220:CH$244)*Detalle_24m!CH$220:CH$244+(1-(81&gt;Corte)*(81&lt;=Corte+n_Ventana)*ISNUMBER(Detalle_24m!CH$220:CH$244))*FC_V*(1+FC_g)^(CH$173-1)*((FC_Desde=0)*(CH$172+CH$171)+(FC_Desde&gt;=1)*(CH$170&gt;=FC_Desde)*CH$171)))</f>
        <v>26343.641533413745</v>
      </c>
      <c r="CI243" s="48">
        <f>SUMPRODUCT((FC_Clase="Administración")*((FC_Mon="PYG")*CI$175+(FC_Mon&lt;&gt;"PYG"))*((82&gt;Corte)*(82&lt;=Corte+n_Ventana)*ISNUMBER(Detalle_24m!CI$220:CI$244)*Detalle_24m!CI$220:CI$244+(1-(82&gt;Corte)*(82&lt;=Corte+n_Ventana)*ISNUMBER(Detalle_24m!CI$220:CI$244))*FC_V*(1+FC_g)^(CI$173-1)*((FC_Desde=0)*(CI$172+CI$171)+(FC_Desde&gt;=1)*(CI$170&gt;=FC_Desde)*CI$171)))</f>
        <v>26343.641533413745</v>
      </c>
      <c r="CJ243" s="48">
        <f>SUMPRODUCT((FC_Clase="Administración")*((FC_Mon="PYG")*CJ$175+(FC_Mon&lt;&gt;"PYG"))*((83&gt;Corte)*(83&lt;=Corte+n_Ventana)*ISNUMBER(Detalle_24m!CJ$220:CJ$244)*Detalle_24m!CJ$220:CJ$244+(1-(83&gt;Corte)*(83&lt;=Corte+n_Ventana)*ISNUMBER(Detalle_24m!CJ$220:CJ$244))*FC_V*(1+FC_g)^(CJ$173-1)*((FC_Desde=0)*(CJ$172+CJ$171)+(FC_Desde&gt;=1)*(CJ$170&gt;=FC_Desde)*CJ$171)))</f>
        <v>26343.641533413745</v>
      </c>
      <c r="CK243" s="48">
        <f>SUMPRODUCT((FC_Clase="Administración")*((FC_Mon="PYG")*CK$175+(FC_Mon&lt;&gt;"PYG"))*((84&gt;Corte)*(84&lt;=Corte+n_Ventana)*ISNUMBER(Detalle_24m!CK$220:CK$244)*Detalle_24m!CK$220:CK$244+(1-(84&gt;Corte)*(84&lt;=Corte+n_Ventana)*ISNUMBER(Detalle_24m!CK$220:CK$244))*FC_V*(1+FC_g)^(CK$173-1)*((FC_Desde=0)*(CK$172+CK$171)+(FC_Desde&gt;=1)*(CK$170&gt;=FC_Desde)*CK$171)))</f>
        <v>26343.641533413745</v>
      </c>
      <c r="CL243" s="48">
        <f>SUMPRODUCT((FC_Clase="Administración")*((FC_Mon="PYG")*CL$175+(FC_Mon&lt;&gt;"PYG"))*((85&gt;Corte)*(85&lt;=Corte+n_Ventana)*ISNUMBER(Detalle_24m!CL$220:CL$244)*Detalle_24m!CL$220:CL$244+(1-(85&gt;Corte)*(85&lt;=Corte+n_Ventana)*ISNUMBER(Detalle_24m!CL$220:CL$244))*FC_V*(1+FC_g)^(CL$173-1)*((FC_Desde=0)*(CL$172+CL$171)+(FC_Desde&gt;=1)*(CL$170&gt;=FC_Desde)*CL$171)))</f>
        <v>26980.513206813423</v>
      </c>
      <c r="CM243" s="48">
        <f>SUMPRODUCT((FC_Clase="Administración")*((FC_Mon="PYG")*CM$175+(FC_Mon&lt;&gt;"PYG"))*((86&gt;Corte)*(86&lt;=Corte+n_Ventana)*ISNUMBER(Detalle_24m!CM$220:CM$244)*Detalle_24m!CM$220:CM$244+(1-(86&gt;Corte)*(86&lt;=Corte+n_Ventana)*ISNUMBER(Detalle_24m!CM$220:CM$244))*FC_V*(1+FC_g)^(CM$173-1)*((FC_Desde=0)*(CM$172+CM$171)+(FC_Desde&gt;=1)*(CM$170&gt;=FC_Desde)*CM$171)))</f>
        <v>26980.513206813423</v>
      </c>
      <c r="CN243" s="48">
        <f>SUMPRODUCT((FC_Clase="Administración")*((FC_Mon="PYG")*CN$175+(FC_Mon&lt;&gt;"PYG"))*((87&gt;Corte)*(87&lt;=Corte+n_Ventana)*ISNUMBER(Detalle_24m!CN$220:CN$244)*Detalle_24m!CN$220:CN$244+(1-(87&gt;Corte)*(87&lt;=Corte+n_Ventana)*ISNUMBER(Detalle_24m!CN$220:CN$244))*FC_V*(1+FC_g)^(CN$173-1)*((FC_Desde=0)*(CN$172+CN$171)+(FC_Desde&gt;=1)*(CN$170&gt;=FC_Desde)*CN$171)))</f>
        <v>26980.513206813423</v>
      </c>
      <c r="CO243" s="48">
        <f>SUMPRODUCT((FC_Clase="Administración")*((FC_Mon="PYG")*CO$175+(FC_Mon&lt;&gt;"PYG"))*((88&gt;Corte)*(88&lt;=Corte+n_Ventana)*ISNUMBER(Detalle_24m!CO$220:CO$244)*Detalle_24m!CO$220:CO$244+(1-(88&gt;Corte)*(88&lt;=Corte+n_Ventana)*ISNUMBER(Detalle_24m!CO$220:CO$244))*FC_V*(1+FC_g)^(CO$173-1)*((FC_Desde=0)*(CO$172+CO$171)+(FC_Desde&gt;=1)*(CO$170&gt;=FC_Desde)*CO$171)))</f>
        <v>26980.513206813423</v>
      </c>
      <c r="CP243" s="48">
        <f>SUMPRODUCT((FC_Clase="Administración")*((FC_Mon="PYG")*CP$175+(FC_Mon&lt;&gt;"PYG"))*((89&gt;Corte)*(89&lt;=Corte+n_Ventana)*ISNUMBER(Detalle_24m!CP$220:CP$244)*Detalle_24m!CP$220:CP$244+(1-(89&gt;Corte)*(89&lt;=Corte+n_Ventana)*ISNUMBER(Detalle_24m!CP$220:CP$244))*FC_V*(1+FC_g)^(CP$173-1)*((FC_Desde=0)*(CP$172+CP$171)+(FC_Desde&gt;=1)*(CP$170&gt;=FC_Desde)*CP$171)))</f>
        <v>26980.513206813423</v>
      </c>
      <c r="CQ243" s="48">
        <f>SUMPRODUCT((FC_Clase="Administración")*((FC_Mon="PYG")*CQ$175+(FC_Mon&lt;&gt;"PYG"))*((90&gt;Corte)*(90&lt;=Corte+n_Ventana)*ISNUMBER(Detalle_24m!CQ$220:CQ$244)*Detalle_24m!CQ$220:CQ$244+(1-(90&gt;Corte)*(90&lt;=Corte+n_Ventana)*ISNUMBER(Detalle_24m!CQ$220:CQ$244))*FC_V*(1+FC_g)^(CQ$173-1)*((FC_Desde=0)*(CQ$172+CQ$171)+(FC_Desde&gt;=1)*(CQ$170&gt;=FC_Desde)*CQ$171)))</f>
        <v>26980.513206813423</v>
      </c>
      <c r="CR243" s="48">
        <f>SUMPRODUCT((FC_Clase="Administración")*((FC_Mon="PYG")*CR$175+(FC_Mon&lt;&gt;"PYG"))*((91&gt;Corte)*(91&lt;=Corte+n_Ventana)*ISNUMBER(Detalle_24m!CR$220:CR$244)*Detalle_24m!CR$220:CR$244+(1-(91&gt;Corte)*(91&lt;=Corte+n_Ventana)*ISNUMBER(Detalle_24m!CR$220:CR$244))*FC_V*(1+FC_g)^(CR$173-1)*((FC_Desde=0)*(CR$172+CR$171)+(FC_Desde&gt;=1)*(CR$170&gt;=FC_Desde)*CR$171)))</f>
        <v>26980.513206813423</v>
      </c>
      <c r="CS243" s="48">
        <f>SUMPRODUCT((FC_Clase="Administración")*((FC_Mon="PYG")*CS$175+(FC_Mon&lt;&gt;"PYG"))*((92&gt;Corte)*(92&lt;=Corte+n_Ventana)*ISNUMBER(Detalle_24m!CS$220:CS$244)*Detalle_24m!CS$220:CS$244+(1-(92&gt;Corte)*(92&lt;=Corte+n_Ventana)*ISNUMBER(Detalle_24m!CS$220:CS$244))*FC_V*(1+FC_g)^(CS$173-1)*((FC_Desde=0)*(CS$172+CS$171)+(FC_Desde&gt;=1)*(CS$170&gt;=FC_Desde)*CS$171)))</f>
        <v>26980.513206813423</v>
      </c>
      <c r="CT243" s="48">
        <f>SUMPRODUCT((FC_Clase="Administración")*((FC_Mon="PYG")*CT$175+(FC_Mon&lt;&gt;"PYG"))*((93&gt;Corte)*(93&lt;=Corte+n_Ventana)*ISNUMBER(Detalle_24m!CT$220:CT$244)*Detalle_24m!CT$220:CT$244+(1-(93&gt;Corte)*(93&lt;=Corte+n_Ventana)*ISNUMBER(Detalle_24m!CT$220:CT$244))*FC_V*(1+FC_g)^(CT$173-1)*((FC_Desde=0)*(CT$172+CT$171)+(FC_Desde&gt;=1)*(CT$170&gt;=FC_Desde)*CT$171)))</f>
        <v>26980.513206813423</v>
      </c>
      <c r="CU243" s="48">
        <f>SUMPRODUCT((FC_Clase="Administración")*((FC_Mon="PYG")*CU$175+(FC_Mon&lt;&gt;"PYG"))*((94&gt;Corte)*(94&lt;=Corte+n_Ventana)*ISNUMBER(Detalle_24m!CU$220:CU$244)*Detalle_24m!CU$220:CU$244+(1-(94&gt;Corte)*(94&lt;=Corte+n_Ventana)*ISNUMBER(Detalle_24m!CU$220:CU$244))*FC_V*(1+FC_g)^(CU$173-1)*((FC_Desde=0)*(CU$172+CU$171)+(FC_Desde&gt;=1)*(CU$170&gt;=FC_Desde)*CU$171)))</f>
        <v>26980.513206813423</v>
      </c>
      <c r="CV243" s="48">
        <f>SUMPRODUCT((FC_Clase="Administración")*((FC_Mon="PYG")*CV$175+(FC_Mon&lt;&gt;"PYG"))*((95&gt;Corte)*(95&lt;=Corte+n_Ventana)*ISNUMBER(Detalle_24m!CV$220:CV$244)*Detalle_24m!CV$220:CV$244+(1-(95&gt;Corte)*(95&lt;=Corte+n_Ventana)*ISNUMBER(Detalle_24m!CV$220:CV$244))*FC_V*(1+FC_g)^(CV$173-1)*((FC_Desde=0)*(CV$172+CV$171)+(FC_Desde&gt;=1)*(CV$170&gt;=FC_Desde)*CV$171)))</f>
        <v>26980.513206813423</v>
      </c>
      <c r="CW243" s="48">
        <f>SUMPRODUCT((FC_Clase="Administración")*((FC_Mon="PYG")*CW$175+(FC_Mon&lt;&gt;"PYG"))*((96&gt;Corte)*(96&lt;=Corte+n_Ventana)*ISNUMBER(Detalle_24m!CW$220:CW$244)*Detalle_24m!CW$220:CW$244+(1-(96&gt;Corte)*(96&lt;=Corte+n_Ventana)*ISNUMBER(Detalle_24m!CW$220:CW$244))*FC_V*(1+FC_g)^(CW$173-1)*((FC_Desde=0)*(CW$172+CW$171)+(FC_Desde&gt;=1)*(CW$170&gt;=FC_Desde)*CW$171)))</f>
        <v>26980.513206813423</v>
      </c>
      <c r="CX243" s="48">
        <f>SUMPRODUCT((FC_Clase="Administración")*((FC_Mon="PYG")*CX$175+(FC_Mon&lt;&gt;"PYG"))*((97&gt;Corte)*(97&lt;=Corte+n_Ventana)*ISNUMBER(Detalle_24m!CX$220:CX$244)*Detalle_24m!CX$220:CX$244+(1-(97&gt;Corte)*(97&lt;=Corte+n_Ventana)*ISNUMBER(Detalle_24m!CX$220:CX$244))*FC_V*(1+FC_g)^(CX$173-1)*((FC_Desde=0)*(CX$172+CX$171)+(FC_Desde&gt;=1)*(CX$170&gt;=FC_Desde)*CX$171)))</f>
        <v>27636.49103041508</v>
      </c>
      <c r="CY243" s="48">
        <f>SUMPRODUCT((FC_Clase="Administración")*((FC_Mon="PYG")*CY$175+(FC_Mon&lt;&gt;"PYG"))*((98&gt;Corte)*(98&lt;=Corte+n_Ventana)*ISNUMBER(Detalle_24m!CY$220:CY$244)*Detalle_24m!CY$220:CY$244+(1-(98&gt;Corte)*(98&lt;=Corte+n_Ventana)*ISNUMBER(Detalle_24m!CY$220:CY$244))*FC_V*(1+FC_g)^(CY$173-1)*((FC_Desde=0)*(CY$172+CY$171)+(FC_Desde&gt;=1)*(CY$170&gt;=FC_Desde)*CY$171)))</f>
        <v>27636.49103041508</v>
      </c>
      <c r="CZ243" s="48">
        <f>SUMPRODUCT((FC_Clase="Administración")*((FC_Mon="PYG")*CZ$175+(FC_Mon&lt;&gt;"PYG"))*((99&gt;Corte)*(99&lt;=Corte+n_Ventana)*ISNUMBER(Detalle_24m!CZ$220:CZ$244)*Detalle_24m!CZ$220:CZ$244+(1-(99&gt;Corte)*(99&lt;=Corte+n_Ventana)*ISNUMBER(Detalle_24m!CZ$220:CZ$244))*FC_V*(1+FC_g)^(CZ$173-1)*((FC_Desde=0)*(CZ$172+CZ$171)+(FC_Desde&gt;=1)*(CZ$170&gt;=FC_Desde)*CZ$171)))</f>
        <v>27636.49103041508</v>
      </c>
      <c r="DA243" s="48">
        <f>SUMPRODUCT((FC_Clase="Administración")*((FC_Mon="PYG")*DA$175+(FC_Mon&lt;&gt;"PYG"))*((100&gt;Corte)*(100&lt;=Corte+n_Ventana)*ISNUMBER(Detalle_24m!DA$220:DA$244)*Detalle_24m!DA$220:DA$244+(1-(100&gt;Corte)*(100&lt;=Corte+n_Ventana)*ISNUMBER(Detalle_24m!DA$220:DA$244))*FC_V*(1+FC_g)^(DA$173-1)*((FC_Desde=0)*(DA$172+DA$171)+(FC_Desde&gt;=1)*(DA$170&gt;=FC_Desde)*DA$171)))</f>
        <v>27636.49103041508</v>
      </c>
      <c r="DB243" s="48">
        <f>SUMPRODUCT((FC_Clase="Administración")*((FC_Mon="PYG")*DB$175+(FC_Mon&lt;&gt;"PYG"))*((101&gt;Corte)*(101&lt;=Corte+n_Ventana)*ISNUMBER(Detalle_24m!DB$220:DB$244)*Detalle_24m!DB$220:DB$244+(1-(101&gt;Corte)*(101&lt;=Corte+n_Ventana)*ISNUMBER(Detalle_24m!DB$220:DB$244))*FC_V*(1+FC_g)^(DB$173-1)*((FC_Desde=0)*(DB$172+DB$171)+(FC_Desde&gt;=1)*(DB$170&gt;=FC_Desde)*DB$171)))</f>
        <v>27636.49103041508</v>
      </c>
      <c r="DC243" s="48">
        <f>SUMPRODUCT((FC_Clase="Administración")*((FC_Mon="PYG")*DC$175+(FC_Mon&lt;&gt;"PYG"))*((102&gt;Corte)*(102&lt;=Corte+n_Ventana)*ISNUMBER(Detalle_24m!DC$220:DC$244)*Detalle_24m!DC$220:DC$244+(1-(102&gt;Corte)*(102&lt;=Corte+n_Ventana)*ISNUMBER(Detalle_24m!DC$220:DC$244))*FC_V*(1+FC_g)^(DC$173-1)*((FC_Desde=0)*(DC$172+DC$171)+(FC_Desde&gt;=1)*(DC$170&gt;=FC_Desde)*DC$171)))</f>
        <v>27636.49103041508</v>
      </c>
      <c r="DD243" s="48">
        <f>SUMPRODUCT((FC_Clase="Administración")*((FC_Mon="PYG")*DD$175+(FC_Mon&lt;&gt;"PYG"))*((103&gt;Corte)*(103&lt;=Corte+n_Ventana)*ISNUMBER(Detalle_24m!DD$220:DD$244)*Detalle_24m!DD$220:DD$244+(1-(103&gt;Corte)*(103&lt;=Corte+n_Ventana)*ISNUMBER(Detalle_24m!DD$220:DD$244))*FC_V*(1+FC_g)^(DD$173-1)*((FC_Desde=0)*(DD$172+DD$171)+(FC_Desde&gt;=1)*(DD$170&gt;=FC_Desde)*DD$171)))</f>
        <v>27636.49103041508</v>
      </c>
      <c r="DE243" s="48">
        <f>SUMPRODUCT((FC_Clase="Administración")*((FC_Mon="PYG")*DE$175+(FC_Mon&lt;&gt;"PYG"))*((104&gt;Corte)*(104&lt;=Corte+n_Ventana)*ISNUMBER(Detalle_24m!DE$220:DE$244)*Detalle_24m!DE$220:DE$244+(1-(104&gt;Corte)*(104&lt;=Corte+n_Ventana)*ISNUMBER(Detalle_24m!DE$220:DE$244))*FC_V*(1+FC_g)^(DE$173-1)*((FC_Desde=0)*(DE$172+DE$171)+(FC_Desde&gt;=1)*(DE$170&gt;=FC_Desde)*DE$171)))</f>
        <v>27636.49103041508</v>
      </c>
      <c r="DF243" s="48">
        <f>SUMPRODUCT((FC_Clase="Administración")*((FC_Mon="PYG")*DF$175+(FC_Mon&lt;&gt;"PYG"))*((105&gt;Corte)*(105&lt;=Corte+n_Ventana)*ISNUMBER(Detalle_24m!DF$220:DF$244)*Detalle_24m!DF$220:DF$244+(1-(105&gt;Corte)*(105&lt;=Corte+n_Ventana)*ISNUMBER(Detalle_24m!DF$220:DF$244))*FC_V*(1+FC_g)^(DF$173-1)*((FC_Desde=0)*(DF$172+DF$171)+(FC_Desde&gt;=1)*(DF$170&gt;=FC_Desde)*DF$171)))</f>
        <v>27636.49103041508</v>
      </c>
      <c r="DG243" s="48">
        <f>SUMPRODUCT((FC_Clase="Administración")*((FC_Mon="PYG")*DG$175+(FC_Mon&lt;&gt;"PYG"))*((106&gt;Corte)*(106&lt;=Corte+n_Ventana)*ISNUMBER(Detalle_24m!DG$220:DG$244)*Detalle_24m!DG$220:DG$244+(1-(106&gt;Corte)*(106&lt;=Corte+n_Ventana)*ISNUMBER(Detalle_24m!DG$220:DG$244))*FC_V*(1+FC_g)^(DG$173-1)*((FC_Desde=0)*(DG$172+DG$171)+(FC_Desde&gt;=1)*(DG$170&gt;=FC_Desde)*DG$171)))</f>
        <v>27636.49103041508</v>
      </c>
      <c r="DH243" s="48">
        <f>SUMPRODUCT((FC_Clase="Administración")*((FC_Mon="PYG")*DH$175+(FC_Mon&lt;&gt;"PYG"))*((107&gt;Corte)*(107&lt;=Corte+n_Ventana)*ISNUMBER(Detalle_24m!DH$220:DH$244)*Detalle_24m!DH$220:DH$244+(1-(107&gt;Corte)*(107&lt;=Corte+n_Ventana)*ISNUMBER(Detalle_24m!DH$220:DH$244))*FC_V*(1+FC_g)^(DH$173-1)*((FC_Desde=0)*(DH$172+DH$171)+(FC_Desde&gt;=1)*(DH$170&gt;=FC_Desde)*DH$171)))</f>
        <v>27636.49103041508</v>
      </c>
      <c r="DI243" s="48">
        <f>SUMPRODUCT((FC_Clase="Administración")*((FC_Mon="PYG")*DI$175+(FC_Mon&lt;&gt;"PYG"))*((108&gt;Corte)*(108&lt;=Corte+n_Ventana)*ISNUMBER(Detalle_24m!DI$220:DI$244)*Detalle_24m!DI$220:DI$244+(1-(108&gt;Corte)*(108&lt;=Corte+n_Ventana)*ISNUMBER(Detalle_24m!DI$220:DI$244))*FC_V*(1+FC_g)^(DI$173-1)*((FC_Desde=0)*(DI$172+DI$171)+(FC_Desde&gt;=1)*(DI$170&gt;=FC_Desde)*DI$171)))</f>
        <v>27636.49103041508</v>
      </c>
      <c r="DJ243" s="48">
        <f>SUMPRODUCT((FC_Clase="Administración")*((FC_Mon="PYG")*DJ$175+(FC_Mon&lt;&gt;"PYG"))*((109&gt;Corte)*(109&lt;=Corte+n_Ventana)*ISNUMBER(Detalle_24m!DJ$220:DJ$244)*Detalle_24m!DJ$220:DJ$244+(1-(109&gt;Corte)*(109&lt;=Corte+n_Ventana)*ISNUMBER(Detalle_24m!DJ$220:DJ$244))*FC_V*(1+FC_g)^(DJ$173-1)*((FC_Desde=0)*(DJ$172+DJ$171)+(FC_Desde&gt;=1)*(DJ$170&gt;=FC_Desde)*DJ$171)))</f>
        <v>28312.148188724797</v>
      </c>
      <c r="DK243" s="48">
        <f>SUMPRODUCT((FC_Clase="Administración")*((FC_Mon="PYG")*DK$175+(FC_Mon&lt;&gt;"PYG"))*((110&gt;Corte)*(110&lt;=Corte+n_Ventana)*ISNUMBER(Detalle_24m!DK$220:DK$244)*Detalle_24m!DK$220:DK$244+(1-(110&gt;Corte)*(110&lt;=Corte+n_Ventana)*ISNUMBER(Detalle_24m!DK$220:DK$244))*FC_V*(1+FC_g)^(DK$173-1)*((FC_Desde=0)*(DK$172+DK$171)+(FC_Desde&gt;=1)*(DK$170&gt;=FC_Desde)*DK$171)))</f>
        <v>28312.148188724797</v>
      </c>
      <c r="DL243" s="48">
        <f>SUMPRODUCT((FC_Clase="Administración")*((FC_Mon="PYG")*DL$175+(FC_Mon&lt;&gt;"PYG"))*((111&gt;Corte)*(111&lt;=Corte+n_Ventana)*ISNUMBER(Detalle_24m!DL$220:DL$244)*Detalle_24m!DL$220:DL$244+(1-(111&gt;Corte)*(111&lt;=Corte+n_Ventana)*ISNUMBER(Detalle_24m!DL$220:DL$244))*FC_V*(1+FC_g)^(DL$173-1)*((FC_Desde=0)*(DL$172+DL$171)+(FC_Desde&gt;=1)*(DL$170&gt;=FC_Desde)*DL$171)))</f>
        <v>28312.148188724797</v>
      </c>
      <c r="DM243" s="48">
        <f>SUMPRODUCT((FC_Clase="Administración")*((FC_Mon="PYG")*DM$175+(FC_Mon&lt;&gt;"PYG"))*((112&gt;Corte)*(112&lt;=Corte+n_Ventana)*ISNUMBER(Detalle_24m!DM$220:DM$244)*Detalle_24m!DM$220:DM$244+(1-(112&gt;Corte)*(112&lt;=Corte+n_Ventana)*ISNUMBER(Detalle_24m!DM$220:DM$244))*FC_V*(1+FC_g)^(DM$173-1)*((FC_Desde=0)*(DM$172+DM$171)+(FC_Desde&gt;=1)*(DM$170&gt;=FC_Desde)*DM$171)))</f>
        <v>28312.148188724797</v>
      </c>
      <c r="DN243" s="48">
        <f>SUMPRODUCT((FC_Clase="Administración")*((FC_Mon="PYG")*DN$175+(FC_Mon&lt;&gt;"PYG"))*((113&gt;Corte)*(113&lt;=Corte+n_Ventana)*ISNUMBER(Detalle_24m!DN$220:DN$244)*Detalle_24m!DN$220:DN$244+(1-(113&gt;Corte)*(113&lt;=Corte+n_Ventana)*ISNUMBER(Detalle_24m!DN$220:DN$244))*FC_V*(1+FC_g)^(DN$173-1)*((FC_Desde=0)*(DN$172+DN$171)+(FC_Desde&gt;=1)*(DN$170&gt;=FC_Desde)*DN$171)))</f>
        <v>28312.148188724797</v>
      </c>
      <c r="DO243" s="48">
        <f>SUMPRODUCT((FC_Clase="Administración")*((FC_Mon="PYG")*DO$175+(FC_Mon&lt;&gt;"PYG"))*((114&gt;Corte)*(114&lt;=Corte+n_Ventana)*ISNUMBER(Detalle_24m!DO$220:DO$244)*Detalle_24m!DO$220:DO$244+(1-(114&gt;Corte)*(114&lt;=Corte+n_Ventana)*ISNUMBER(Detalle_24m!DO$220:DO$244))*FC_V*(1+FC_g)^(DO$173-1)*((FC_Desde=0)*(DO$172+DO$171)+(FC_Desde&gt;=1)*(DO$170&gt;=FC_Desde)*DO$171)))</f>
        <v>28312.148188724797</v>
      </c>
      <c r="DP243" s="48">
        <f>SUMPRODUCT((FC_Clase="Administración")*((FC_Mon="PYG")*DP$175+(FC_Mon&lt;&gt;"PYG"))*((115&gt;Corte)*(115&lt;=Corte+n_Ventana)*ISNUMBER(Detalle_24m!DP$220:DP$244)*Detalle_24m!DP$220:DP$244+(1-(115&gt;Corte)*(115&lt;=Corte+n_Ventana)*ISNUMBER(Detalle_24m!DP$220:DP$244))*FC_V*(1+FC_g)^(DP$173-1)*((FC_Desde=0)*(DP$172+DP$171)+(FC_Desde&gt;=1)*(DP$170&gt;=FC_Desde)*DP$171)))</f>
        <v>28312.148188724797</v>
      </c>
      <c r="DQ243" s="48">
        <f>SUMPRODUCT((FC_Clase="Administración")*((FC_Mon="PYG")*DQ$175+(FC_Mon&lt;&gt;"PYG"))*((116&gt;Corte)*(116&lt;=Corte+n_Ventana)*ISNUMBER(Detalle_24m!DQ$220:DQ$244)*Detalle_24m!DQ$220:DQ$244+(1-(116&gt;Corte)*(116&lt;=Corte+n_Ventana)*ISNUMBER(Detalle_24m!DQ$220:DQ$244))*FC_V*(1+FC_g)^(DQ$173-1)*((FC_Desde=0)*(DQ$172+DQ$171)+(FC_Desde&gt;=1)*(DQ$170&gt;=FC_Desde)*DQ$171)))</f>
        <v>28312.148188724797</v>
      </c>
      <c r="DR243" s="48">
        <f>SUMPRODUCT((FC_Clase="Administración")*((FC_Mon="PYG")*DR$175+(FC_Mon&lt;&gt;"PYG"))*((117&gt;Corte)*(117&lt;=Corte+n_Ventana)*ISNUMBER(Detalle_24m!DR$220:DR$244)*Detalle_24m!DR$220:DR$244+(1-(117&gt;Corte)*(117&lt;=Corte+n_Ventana)*ISNUMBER(Detalle_24m!DR$220:DR$244))*FC_V*(1+FC_g)^(DR$173-1)*((FC_Desde=0)*(DR$172+DR$171)+(FC_Desde&gt;=1)*(DR$170&gt;=FC_Desde)*DR$171)))</f>
        <v>28312.148188724797</v>
      </c>
      <c r="DS243" s="48">
        <f>SUMPRODUCT((FC_Clase="Administración")*((FC_Mon="PYG")*DS$175+(FC_Mon&lt;&gt;"PYG"))*((118&gt;Corte)*(118&lt;=Corte+n_Ventana)*ISNUMBER(Detalle_24m!DS$220:DS$244)*Detalle_24m!DS$220:DS$244+(1-(118&gt;Corte)*(118&lt;=Corte+n_Ventana)*ISNUMBER(Detalle_24m!DS$220:DS$244))*FC_V*(1+FC_g)^(DS$173-1)*((FC_Desde=0)*(DS$172+DS$171)+(FC_Desde&gt;=1)*(DS$170&gt;=FC_Desde)*DS$171)))</f>
        <v>28312.148188724797</v>
      </c>
      <c r="DT243" s="48">
        <f>SUMPRODUCT((FC_Clase="Administración")*((FC_Mon="PYG")*DT$175+(FC_Mon&lt;&gt;"PYG"))*((119&gt;Corte)*(119&lt;=Corte+n_Ventana)*ISNUMBER(Detalle_24m!DT$220:DT$244)*Detalle_24m!DT$220:DT$244+(1-(119&gt;Corte)*(119&lt;=Corte+n_Ventana)*ISNUMBER(Detalle_24m!DT$220:DT$244))*FC_V*(1+FC_g)^(DT$173-1)*((FC_Desde=0)*(DT$172+DT$171)+(FC_Desde&gt;=1)*(DT$170&gt;=FC_Desde)*DT$171)))</f>
        <v>28312.148188724797</v>
      </c>
      <c r="DU243" s="48">
        <f>SUMPRODUCT((FC_Clase="Administración")*((FC_Mon="PYG")*DU$175+(FC_Mon&lt;&gt;"PYG"))*((120&gt;Corte)*(120&lt;=Corte+n_Ventana)*ISNUMBER(Detalle_24m!DU$220:DU$244)*Detalle_24m!DU$220:DU$244+(1-(120&gt;Corte)*(120&lt;=Corte+n_Ventana)*ISNUMBER(Detalle_24m!DU$220:DU$244))*FC_V*(1+FC_g)^(DU$173-1)*((FC_Desde=0)*(DU$172+DU$171)+(FC_Desde&gt;=1)*(DU$170&gt;=FC_Desde)*DU$171)))</f>
        <v>28312.148188724797</v>
      </c>
      <c r="DV243" s="48">
        <f>SUMPRODUCT((FC_Clase="Administración")*((FC_Mon="PYG")*DV$175+(FC_Mon&lt;&gt;"PYG"))*((121&gt;Corte)*(121&lt;=Corte+n_Ventana)*ISNUMBER(Detalle_24m!DV$220:DV$244)*Detalle_24m!DV$220:DV$244+(1-(121&gt;Corte)*(121&lt;=Corte+n_Ventana)*ISNUMBER(Detalle_24m!DV$220:DV$244))*FC_V*(1+FC_g)^(DV$173-1)*((FC_Desde=0)*(DV$172+DV$171)+(FC_Desde&gt;=1)*(DV$170&gt;=FC_Desde)*DV$171)))</f>
        <v>0</v>
      </c>
      <c r="DW243" s="48">
        <f>SUMPRODUCT((FC_Clase="Administración")*((FC_Mon="PYG")*DW$175+(FC_Mon&lt;&gt;"PYG"))*((122&gt;Corte)*(122&lt;=Corte+n_Ventana)*ISNUMBER(Detalle_24m!DW$220:DW$244)*Detalle_24m!DW$220:DW$244+(1-(122&gt;Corte)*(122&lt;=Corte+n_Ventana)*ISNUMBER(Detalle_24m!DW$220:DW$244))*FC_V*(1+FC_g)^(DW$173-1)*((FC_Desde=0)*(DW$172+DW$171)+(FC_Desde&gt;=1)*(DW$170&gt;=FC_Desde)*DW$171)))</f>
        <v>0</v>
      </c>
      <c r="DX243" s="48">
        <f>SUMPRODUCT((FC_Clase="Administración")*((FC_Mon="PYG")*DX$175+(FC_Mon&lt;&gt;"PYG"))*((123&gt;Corte)*(123&lt;=Corte+n_Ventana)*ISNUMBER(Detalle_24m!DX$220:DX$244)*Detalle_24m!DX$220:DX$244+(1-(123&gt;Corte)*(123&lt;=Corte+n_Ventana)*ISNUMBER(Detalle_24m!DX$220:DX$244))*FC_V*(1+FC_g)^(DX$173-1)*((FC_Desde=0)*(DX$172+DX$171)+(FC_Desde&gt;=1)*(DX$170&gt;=FC_Desde)*DX$171)))</f>
        <v>0</v>
      </c>
      <c r="DY243" s="48">
        <f>SUMPRODUCT((FC_Clase="Administración")*((FC_Mon="PYG")*DY$175+(FC_Mon&lt;&gt;"PYG"))*((124&gt;Corte)*(124&lt;=Corte+n_Ventana)*ISNUMBER(Detalle_24m!DY$220:DY$244)*Detalle_24m!DY$220:DY$244+(1-(124&gt;Corte)*(124&lt;=Corte+n_Ventana)*ISNUMBER(Detalle_24m!DY$220:DY$244))*FC_V*(1+FC_g)^(DY$173-1)*((FC_Desde=0)*(DY$172+DY$171)+(FC_Desde&gt;=1)*(DY$170&gt;=FC_Desde)*DY$171)))</f>
        <v>0</v>
      </c>
      <c r="DZ243" s="48">
        <f>SUMPRODUCT((FC_Clase="Administración")*((FC_Mon="PYG")*DZ$175+(FC_Mon&lt;&gt;"PYG"))*((125&gt;Corte)*(125&lt;=Corte+n_Ventana)*ISNUMBER(Detalle_24m!DZ$220:DZ$244)*Detalle_24m!DZ$220:DZ$244+(1-(125&gt;Corte)*(125&lt;=Corte+n_Ventana)*ISNUMBER(Detalle_24m!DZ$220:DZ$244))*FC_V*(1+FC_g)^(DZ$173-1)*((FC_Desde=0)*(DZ$172+DZ$171)+(FC_Desde&gt;=1)*(DZ$170&gt;=FC_Desde)*DZ$171)))</f>
        <v>0</v>
      </c>
      <c r="EA243" s="48">
        <f>SUMPRODUCT((FC_Clase="Administración")*((FC_Mon="PYG")*EA$175+(FC_Mon&lt;&gt;"PYG"))*((126&gt;Corte)*(126&lt;=Corte+n_Ventana)*ISNUMBER(Detalle_24m!EA$220:EA$244)*Detalle_24m!EA$220:EA$244+(1-(126&gt;Corte)*(126&lt;=Corte+n_Ventana)*ISNUMBER(Detalle_24m!EA$220:EA$244))*FC_V*(1+FC_g)^(EA$173-1)*((FC_Desde=0)*(EA$172+EA$171)+(FC_Desde&gt;=1)*(EA$170&gt;=FC_Desde)*EA$171)))</f>
        <v>0</v>
      </c>
      <c r="EB243" s="48">
        <f>SUMPRODUCT((FC_Clase="Administración")*((FC_Mon="PYG")*EB$175+(FC_Mon&lt;&gt;"PYG"))*((127&gt;Corte)*(127&lt;=Corte+n_Ventana)*ISNUMBER(Detalle_24m!EB$220:EB$244)*Detalle_24m!EB$220:EB$244+(1-(127&gt;Corte)*(127&lt;=Corte+n_Ventana)*ISNUMBER(Detalle_24m!EB$220:EB$244))*FC_V*(1+FC_g)^(EB$173-1)*((FC_Desde=0)*(EB$172+EB$171)+(FC_Desde&gt;=1)*(EB$170&gt;=FC_Desde)*EB$171)))</f>
        <v>0</v>
      </c>
      <c r="EC243" s="48">
        <f>SUMPRODUCT((FC_Clase="Administración")*((FC_Mon="PYG")*EC$175+(FC_Mon&lt;&gt;"PYG"))*((128&gt;Corte)*(128&lt;=Corte+n_Ventana)*ISNUMBER(Detalle_24m!EC$220:EC$244)*Detalle_24m!EC$220:EC$244+(1-(128&gt;Corte)*(128&lt;=Corte+n_Ventana)*ISNUMBER(Detalle_24m!EC$220:EC$244))*FC_V*(1+FC_g)^(EC$173-1)*((FC_Desde=0)*(EC$172+EC$171)+(FC_Desde&gt;=1)*(EC$170&gt;=FC_Desde)*EC$171)))</f>
        <v>0</v>
      </c>
      <c r="ED243" s="48">
        <f>SUMPRODUCT((FC_Clase="Administración")*((FC_Mon="PYG")*ED$175+(FC_Mon&lt;&gt;"PYG"))*((129&gt;Corte)*(129&lt;=Corte+n_Ventana)*ISNUMBER(Detalle_24m!ED$220:ED$244)*Detalle_24m!ED$220:ED$244+(1-(129&gt;Corte)*(129&lt;=Corte+n_Ventana)*ISNUMBER(Detalle_24m!ED$220:ED$244))*FC_V*(1+FC_g)^(ED$173-1)*((FC_Desde=0)*(ED$172+ED$171)+(FC_Desde&gt;=1)*(ED$170&gt;=FC_Desde)*ED$171)))</f>
        <v>0</v>
      </c>
      <c r="EE243" s="48">
        <f>SUMPRODUCT((FC_Clase="Administración")*((FC_Mon="PYG")*EE$175+(FC_Mon&lt;&gt;"PYG"))*((130&gt;Corte)*(130&lt;=Corte+n_Ventana)*ISNUMBER(Detalle_24m!EE$220:EE$244)*Detalle_24m!EE$220:EE$244+(1-(130&gt;Corte)*(130&lt;=Corte+n_Ventana)*ISNUMBER(Detalle_24m!EE$220:EE$244))*FC_V*(1+FC_g)^(EE$173-1)*((FC_Desde=0)*(EE$172+EE$171)+(FC_Desde&gt;=1)*(EE$170&gt;=FC_Desde)*EE$171)))</f>
        <v>0</v>
      </c>
      <c r="EF243" s="48">
        <f>SUMPRODUCT((FC_Clase="Administración")*((FC_Mon="PYG")*EF$175+(FC_Mon&lt;&gt;"PYG"))*((131&gt;Corte)*(131&lt;=Corte+n_Ventana)*ISNUMBER(Detalle_24m!EF$220:EF$244)*Detalle_24m!EF$220:EF$244+(1-(131&gt;Corte)*(131&lt;=Corte+n_Ventana)*ISNUMBER(Detalle_24m!EF$220:EF$244))*FC_V*(1+FC_g)^(EF$173-1)*((FC_Desde=0)*(EF$172+EF$171)+(FC_Desde&gt;=1)*(EF$170&gt;=FC_Desde)*EF$171)))</f>
        <v>0</v>
      </c>
      <c r="EG243" s="48">
        <f>SUMPRODUCT((FC_Clase="Administración")*((FC_Mon="PYG")*EG$175+(FC_Mon&lt;&gt;"PYG"))*((132&gt;Corte)*(132&lt;=Corte+n_Ventana)*ISNUMBER(Detalle_24m!EG$220:EG$244)*Detalle_24m!EG$220:EG$244+(1-(132&gt;Corte)*(132&lt;=Corte+n_Ventana)*ISNUMBER(Detalle_24m!EG$220:EG$244))*FC_V*(1+FC_g)^(EG$173-1)*((FC_Desde=0)*(EG$172+EG$171)+(FC_Desde&gt;=1)*(EG$170&gt;=FC_Desde)*EG$171)))</f>
        <v>0</v>
      </c>
      <c r="EH243" s="48">
        <f>SUMPRODUCT((FC_Clase="Administración")*((FC_Mon="PYG")*EH$175+(FC_Mon&lt;&gt;"PYG"))*((133&gt;Corte)*(133&lt;=Corte+n_Ventana)*ISNUMBER(Detalle_24m!EH$220:EH$244)*Detalle_24m!EH$220:EH$244+(1-(133&gt;Corte)*(133&lt;=Corte+n_Ventana)*ISNUMBER(Detalle_24m!EH$220:EH$244))*FC_V*(1+FC_g)^(EH$173-1)*((FC_Desde=0)*(EH$172+EH$171)+(FC_Desde&gt;=1)*(EH$170&gt;=FC_Desde)*EH$171)))</f>
        <v>0</v>
      </c>
      <c r="EI243" s="48">
        <f>SUMPRODUCT((FC_Clase="Administración")*((FC_Mon="PYG")*EI$175+(FC_Mon&lt;&gt;"PYG"))*((134&gt;Corte)*(134&lt;=Corte+n_Ventana)*ISNUMBER(Detalle_24m!EI$220:EI$244)*Detalle_24m!EI$220:EI$244+(1-(134&gt;Corte)*(134&lt;=Corte+n_Ventana)*ISNUMBER(Detalle_24m!EI$220:EI$244))*FC_V*(1+FC_g)^(EI$173-1)*((FC_Desde=0)*(EI$172+EI$171)+(FC_Desde&gt;=1)*(EI$170&gt;=FC_Desde)*EI$171)))</f>
        <v>0</v>
      </c>
      <c r="EJ243" s="48">
        <f>SUMPRODUCT((FC_Clase="Administración")*((FC_Mon="PYG")*EJ$175+(FC_Mon&lt;&gt;"PYG"))*((135&gt;Corte)*(135&lt;=Corte+n_Ventana)*ISNUMBER(Detalle_24m!EJ$220:EJ$244)*Detalle_24m!EJ$220:EJ$244+(1-(135&gt;Corte)*(135&lt;=Corte+n_Ventana)*ISNUMBER(Detalle_24m!EJ$220:EJ$244))*FC_V*(1+FC_g)^(EJ$173-1)*((FC_Desde=0)*(EJ$172+EJ$171)+(FC_Desde&gt;=1)*(EJ$170&gt;=FC_Desde)*EJ$171)))</f>
        <v>0</v>
      </c>
      <c r="EK243" s="48">
        <f>SUMPRODUCT((FC_Clase="Administración")*((FC_Mon="PYG")*EK$175+(FC_Mon&lt;&gt;"PYG"))*((136&gt;Corte)*(136&lt;=Corte+n_Ventana)*ISNUMBER(Detalle_24m!EK$220:EK$244)*Detalle_24m!EK$220:EK$244+(1-(136&gt;Corte)*(136&lt;=Corte+n_Ventana)*ISNUMBER(Detalle_24m!EK$220:EK$244))*FC_V*(1+FC_g)^(EK$173-1)*((FC_Desde=0)*(EK$172+EK$171)+(FC_Desde&gt;=1)*(EK$170&gt;=FC_Desde)*EK$171)))</f>
        <v>0</v>
      </c>
      <c r="EL243" s="48">
        <f>SUMPRODUCT((FC_Clase="Administración")*((FC_Mon="PYG")*EL$175+(FC_Mon&lt;&gt;"PYG"))*((137&gt;Corte)*(137&lt;=Corte+n_Ventana)*ISNUMBER(Detalle_24m!EL$220:EL$244)*Detalle_24m!EL$220:EL$244+(1-(137&gt;Corte)*(137&lt;=Corte+n_Ventana)*ISNUMBER(Detalle_24m!EL$220:EL$244))*FC_V*(1+FC_g)^(EL$173-1)*((FC_Desde=0)*(EL$172+EL$171)+(FC_Desde&gt;=1)*(EL$170&gt;=FC_Desde)*EL$171)))</f>
        <v>0</v>
      </c>
      <c r="EM243" s="48">
        <f>SUMPRODUCT((FC_Clase="Administración")*((FC_Mon="PYG")*EM$175+(FC_Mon&lt;&gt;"PYG"))*((138&gt;Corte)*(138&lt;=Corte+n_Ventana)*ISNUMBER(Detalle_24m!EM$220:EM$244)*Detalle_24m!EM$220:EM$244+(1-(138&gt;Corte)*(138&lt;=Corte+n_Ventana)*ISNUMBER(Detalle_24m!EM$220:EM$244))*FC_V*(1+FC_g)^(EM$173-1)*((FC_Desde=0)*(EM$172+EM$171)+(FC_Desde&gt;=1)*(EM$170&gt;=FC_Desde)*EM$171)))</f>
        <v>0</v>
      </c>
      <c r="EN243" s="48">
        <f>SUMPRODUCT((FC_Clase="Administración")*((FC_Mon="PYG")*EN$175+(FC_Mon&lt;&gt;"PYG"))*((139&gt;Corte)*(139&lt;=Corte+n_Ventana)*ISNUMBER(Detalle_24m!EN$220:EN$244)*Detalle_24m!EN$220:EN$244+(1-(139&gt;Corte)*(139&lt;=Corte+n_Ventana)*ISNUMBER(Detalle_24m!EN$220:EN$244))*FC_V*(1+FC_g)^(EN$173-1)*((FC_Desde=0)*(EN$172+EN$171)+(FC_Desde&gt;=1)*(EN$170&gt;=FC_Desde)*EN$171)))</f>
        <v>0</v>
      </c>
      <c r="EO243" s="48">
        <f>SUMPRODUCT((FC_Clase="Administración")*((FC_Mon="PYG")*EO$175+(FC_Mon&lt;&gt;"PYG"))*((140&gt;Corte)*(140&lt;=Corte+n_Ventana)*ISNUMBER(Detalle_24m!EO$220:EO$244)*Detalle_24m!EO$220:EO$244+(1-(140&gt;Corte)*(140&lt;=Corte+n_Ventana)*ISNUMBER(Detalle_24m!EO$220:EO$244))*FC_V*(1+FC_g)^(EO$173-1)*((FC_Desde=0)*(EO$172+EO$171)+(FC_Desde&gt;=1)*(EO$170&gt;=FC_Desde)*EO$171)))</f>
        <v>0</v>
      </c>
      <c r="EP243" s="48">
        <f>SUMPRODUCT((FC_Clase="Administración")*((FC_Mon="PYG")*EP$175+(FC_Mon&lt;&gt;"PYG"))*((141&gt;Corte)*(141&lt;=Corte+n_Ventana)*ISNUMBER(Detalle_24m!EP$220:EP$244)*Detalle_24m!EP$220:EP$244+(1-(141&gt;Corte)*(141&lt;=Corte+n_Ventana)*ISNUMBER(Detalle_24m!EP$220:EP$244))*FC_V*(1+FC_g)^(EP$173-1)*((FC_Desde=0)*(EP$172+EP$171)+(FC_Desde&gt;=1)*(EP$170&gt;=FC_Desde)*EP$171)))</f>
        <v>0</v>
      </c>
      <c r="EQ243" s="48">
        <f>SUMPRODUCT((FC_Clase="Administración")*((FC_Mon="PYG")*EQ$175+(FC_Mon&lt;&gt;"PYG"))*((142&gt;Corte)*(142&lt;=Corte+n_Ventana)*ISNUMBER(Detalle_24m!EQ$220:EQ$244)*Detalle_24m!EQ$220:EQ$244+(1-(142&gt;Corte)*(142&lt;=Corte+n_Ventana)*ISNUMBER(Detalle_24m!EQ$220:EQ$244))*FC_V*(1+FC_g)^(EQ$173-1)*((FC_Desde=0)*(EQ$172+EQ$171)+(FC_Desde&gt;=1)*(EQ$170&gt;=FC_Desde)*EQ$171)))</f>
        <v>0</v>
      </c>
      <c r="ER243" s="48">
        <f>SUMPRODUCT((FC_Clase="Administración")*((FC_Mon="PYG")*ER$175+(FC_Mon&lt;&gt;"PYG"))*((143&gt;Corte)*(143&lt;=Corte+n_Ventana)*ISNUMBER(Detalle_24m!ER$220:ER$244)*Detalle_24m!ER$220:ER$244+(1-(143&gt;Corte)*(143&lt;=Corte+n_Ventana)*ISNUMBER(Detalle_24m!ER$220:ER$244))*FC_V*(1+FC_g)^(ER$173-1)*((FC_Desde=0)*(ER$172+ER$171)+(FC_Desde&gt;=1)*(ER$170&gt;=FC_Desde)*ER$171)))</f>
        <v>0</v>
      </c>
      <c r="ES243" s="48">
        <f>SUMPRODUCT((FC_Clase="Administración")*((FC_Mon="PYG")*ES$175+(FC_Mon&lt;&gt;"PYG"))*((144&gt;Corte)*(144&lt;=Corte+n_Ventana)*ISNUMBER(Detalle_24m!ES$220:ES$244)*Detalle_24m!ES$220:ES$244+(1-(144&gt;Corte)*(144&lt;=Corte+n_Ventana)*ISNUMBER(Detalle_24m!ES$220:ES$244))*FC_V*(1+FC_g)^(ES$173-1)*((FC_Desde=0)*(ES$172+ES$171)+(FC_Desde&gt;=1)*(ES$170&gt;=FC_Desde)*ES$171)))</f>
        <v>0</v>
      </c>
    </row>
    <row r="244" spans="1:149" x14ac:dyDescent="0.3">
      <c r="A244" s="14" t="s">
        <v>1298</v>
      </c>
      <c r="B244" s="18" t="s">
        <v>1081</v>
      </c>
      <c r="C244" s="18" t="s">
        <v>439</v>
      </c>
      <c r="E244" s="54">
        <f t="shared" si="616"/>
        <v>613750.29041095986</v>
      </c>
      <c r="F244" s="48">
        <f>SUMPRODUCT((FC_Clase="Administración")*FC_Base*((FC_Mon="PYG")*F$175+(FC_Mon&lt;&gt;"PYG"))*((1&gt;Corte)*(1&lt;=Corte+n_Ventana)*ISNUMBER(Detalle_24m!F$220:F$244)*Detalle_24m!F$220:F$244+(1-(1&gt;Corte)*(1&lt;=Corte+n_Ventana)*ISNUMBER(Detalle_24m!F$220:F$244))*FC_V*(1+FC_g)^(F$173-1)*((FC_Desde=0)*(F$172+F$171)+(FC_Desde&gt;=1)*(F$170&gt;=FC_Desde)*F$171)))</f>
        <v>5114.585753424657</v>
      </c>
      <c r="G244" s="48">
        <f>SUMPRODUCT((FC_Clase="Administración")*FC_Base*((FC_Mon="PYG")*G$175+(FC_Mon&lt;&gt;"PYG"))*((2&gt;Corte)*(2&lt;=Corte+n_Ventana)*ISNUMBER(Detalle_24m!G$220:G$244)*Detalle_24m!G$220:G$244+(1-(2&gt;Corte)*(2&lt;=Corte+n_Ventana)*ISNUMBER(Detalle_24m!G$220:G$244))*FC_V*(1+FC_g)^(G$173-1)*((FC_Desde=0)*(G$172+G$171)+(FC_Desde&gt;=1)*(G$170&gt;=FC_Desde)*G$171)))</f>
        <v>5114.585753424657</v>
      </c>
      <c r="H244" s="48">
        <f>SUMPRODUCT((FC_Clase="Administración")*FC_Base*((FC_Mon="PYG")*H$175+(FC_Mon&lt;&gt;"PYG"))*((3&gt;Corte)*(3&lt;=Corte+n_Ventana)*ISNUMBER(Detalle_24m!H$220:H$244)*Detalle_24m!H$220:H$244+(1-(3&gt;Corte)*(3&lt;=Corte+n_Ventana)*ISNUMBER(Detalle_24m!H$220:H$244))*FC_V*(1+FC_g)^(H$173-1)*((FC_Desde=0)*(H$172+H$171)+(FC_Desde&gt;=1)*(H$170&gt;=FC_Desde)*H$171)))</f>
        <v>5114.585753424657</v>
      </c>
      <c r="I244" s="48">
        <f>SUMPRODUCT((FC_Clase="Administración")*FC_Base*((FC_Mon="PYG")*I$175+(FC_Mon&lt;&gt;"PYG"))*((4&gt;Corte)*(4&lt;=Corte+n_Ventana)*ISNUMBER(Detalle_24m!I$220:I$244)*Detalle_24m!I$220:I$244+(1-(4&gt;Corte)*(4&lt;=Corte+n_Ventana)*ISNUMBER(Detalle_24m!I$220:I$244))*FC_V*(1+FC_g)^(I$173-1)*((FC_Desde=0)*(I$172+I$171)+(FC_Desde&gt;=1)*(I$170&gt;=FC_Desde)*I$171)))</f>
        <v>5114.585753424657</v>
      </c>
      <c r="J244" s="48">
        <f>SUMPRODUCT((FC_Clase="Administración")*FC_Base*((FC_Mon="PYG")*J$175+(FC_Mon&lt;&gt;"PYG"))*((5&gt;Corte)*(5&lt;=Corte+n_Ventana)*ISNUMBER(Detalle_24m!J$220:J$244)*Detalle_24m!J$220:J$244+(1-(5&gt;Corte)*(5&lt;=Corte+n_Ventana)*ISNUMBER(Detalle_24m!J$220:J$244))*FC_V*(1+FC_g)^(J$173-1)*((FC_Desde=0)*(J$172+J$171)+(FC_Desde&gt;=1)*(J$170&gt;=FC_Desde)*J$171)))</f>
        <v>5114.585753424657</v>
      </c>
      <c r="K244" s="48">
        <f>SUMPRODUCT((FC_Clase="Administración")*FC_Base*((FC_Mon="PYG")*K$175+(FC_Mon&lt;&gt;"PYG"))*((6&gt;Corte)*(6&lt;=Corte+n_Ventana)*ISNUMBER(Detalle_24m!K$220:K$244)*Detalle_24m!K$220:K$244+(1-(6&gt;Corte)*(6&lt;=Corte+n_Ventana)*ISNUMBER(Detalle_24m!K$220:K$244))*FC_V*(1+FC_g)^(K$173-1)*((FC_Desde=0)*(K$172+K$171)+(FC_Desde&gt;=1)*(K$170&gt;=FC_Desde)*K$171)))</f>
        <v>5114.585753424657</v>
      </c>
      <c r="L244" s="48">
        <f>SUMPRODUCT((FC_Clase="Administración")*FC_Base*((FC_Mon="PYG")*L$175+(FC_Mon&lt;&gt;"PYG"))*((7&gt;Corte)*(7&lt;=Corte+n_Ventana)*ISNUMBER(Detalle_24m!L$220:L$244)*Detalle_24m!L$220:L$244+(1-(7&gt;Corte)*(7&lt;=Corte+n_Ventana)*ISNUMBER(Detalle_24m!L$220:L$244))*FC_V*(1+FC_g)^(L$173-1)*((FC_Desde=0)*(L$172+L$171)+(FC_Desde&gt;=1)*(L$170&gt;=FC_Desde)*L$171)))</f>
        <v>5114.585753424657</v>
      </c>
      <c r="M244" s="48">
        <f>SUMPRODUCT((FC_Clase="Administración")*FC_Base*((FC_Mon="PYG")*M$175+(FC_Mon&lt;&gt;"PYG"))*((8&gt;Corte)*(8&lt;=Corte+n_Ventana)*ISNUMBER(Detalle_24m!M$220:M$244)*Detalle_24m!M$220:M$244+(1-(8&gt;Corte)*(8&lt;=Corte+n_Ventana)*ISNUMBER(Detalle_24m!M$220:M$244))*FC_V*(1+FC_g)^(M$173-1)*((FC_Desde=0)*(M$172+M$171)+(FC_Desde&gt;=1)*(M$170&gt;=FC_Desde)*M$171)))</f>
        <v>5114.585753424657</v>
      </c>
      <c r="N244" s="48">
        <f>SUMPRODUCT((FC_Clase="Administración")*FC_Base*((FC_Mon="PYG")*N$175+(FC_Mon&lt;&gt;"PYG"))*((9&gt;Corte)*(9&lt;=Corte+n_Ventana)*ISNUMBER(Detalle_24m!N$220:N$244)*Detalle_24m!N$220:N$244+(1-(9&gt;Corte)*(9&lt;=Corte+n_Ventana)*ISNUMBER(Detalle_24m!N$220:N$244))*FC_V*(1+FC_g)^(N$173-1)*((FC_Desde=0)*(N$172+N$171)+(FC_Desde&gt;=1)*(N$170&gt;=FC_Desde)*N$171)))</f>
        <v>5114.585753424657</v>
      </c>
      <c r="O244" s="48">
        <f>SUMPRODUCT((FC_Clase="Administración")*FC_Base*((FC_Mon="PYG")*O$175+(FC_Mon&lt;&gt;"PYG"))*((10&gt;Corte)*(10&lt;=Corte+n_Ventana)*ISNUMBER(Detalle_24m!O$220:O$244)*Detalle_24m!O$220:O$244+(1-(10&gt;Corte)*(10&lt;=Corte+n_Ventana)*ISNUMBER(Detalle_24m!O$220:O$244))*FC_V*(1+FC_g)^(O$173-1)*((FC_Desde=0)*(O$172+O$171)+(FC_Desde&gt;=1)*(O$170&gt;=FC_Desde)*O$171)))</f>
        <v>5114.585753424657</v>
      </c>
      <c r="P244" s="48">
        <f>SUMPRODUCT((FC_Clase="Administración")*FC_Base*((FC_Mon="PYG")*P$175+(FC_Mon&lt;&gt;"PYG"))*((11&gt;Corte)*(11&lt;=Corte+n_Ventana)*ISNUMBER(Detalle_24m!P$220:P$244)*Detalle_24m!P$220:P$244+(1-(11&gt;Corte)*(11&lt;=Corte+n_Ventana)*ISNUMBER(Detalle_24m!P$220:P$244))*FC_V*(1+FC_g)^(P$173-1)*((FC_Desde=0)*(P$172+P$171)+(FC_Desde&gt;=1)*(P$170&gt;=FC_Desde)*P$171)))</f>
        <v>5114.585753424657</v>
      </c>
      <c r="Q244" s="48">
        <f>SUMPRODUCT((FC_Clase="Administración")*FC_Base*((FC_Mon="PYG")*Q$175+(FC_Mon&lt;&gt;"PYG"))*((12&gt;Corte)*(12&lt;=Corte+n_Ventana)*ISNUMBER(Detalle_24m!Q$220:Q$244)*Detalle_24m!Q$220:Q$244+(1-(12&gt;Corte)*(12&lt;=Corte+n_Ventana)*ISNUMBER(Detalle_24m!Q$220:Q$244))*FC_V*(1+FC_g)^(Q$173-1)*((FC_Desde=0)*(Q$172+Q$171)+(FC_Desde&gt;=1)*(Q$170&gt;=FC_Desde)*Q$171)))</f>
        <v>5114.585753424657</v>
      </c>
      <c r="R244" s="48">
        <f>SUMPRODUCT((FC_Clase="Administración")*FC_Base*((FC_Mon="PYG")*R$175+(FC_Mon&lt;&gt;"PYG"))*((13&gt;Corte)*(13&lt;=Corte+n_Ventana)*ISNUMBER(Detalle_24m!R$220:R$244)*Detalle_24m!R$220:R$244+(1-(13&gt;Corte)*(13&lt;=Corte+n_Ventana)*ISNUMBER(Detalle_24m!R$220:R$244))*FC_V*(1+FC_g)^(R$173-1)*((FC_Desde=0)*(R$172+R$171)+(FC_Desde&gt;=1)*(R$170&gt;=FC_Desde)*R$171)))</f>
        <v>5114.585753424657</v>
      </c>
      <c r="S244" s="48">
        <f>SUMPRODUCT((FC_Clase="Administración")*FC_Base*((FC_Mon="PYG")*S$175+(FC_Mon&lt;&gt;"PYG"))*((14&gt;Corte)*(14&lt;=Corte+n_Ventana)*ISNUMBER(Detalle_24m!S$220:S$244)*Detalle_24m!S$220:S$244+(1-(14&gt;Corte)*(14&lt;=Corte+n_Ventana)*ISNUMBER(Detalle_24m!S$220:S$244))*FC_V*(1+FC_g)^(S$173-1)*((FC_Desde=0)*(S$172+S$171)+(FC_Desde&gt;=1)*(S$170&gt;=FC_Desde)*S$171)))</f>
        <v>5114.585753424657</v>
      </c>
      <c r="T244" s="48">
        <f>SUMPRODUCT((FC_Clase="Administración")*FC_Base*((FC_Mon="PYG")*T$175+(FC_Mon&lt;&gt;"PYG"))*((15&gt;Corte)*(15&lt;=Corte+n_Ventana)*ISNUMBER(Detalle_24m!T$220:T$244)*Detalle_24m!T$220:T$244+(1-(15&gt;Corte)*(15&lt;=Corte+n_Ventana)*ISNUMBER(Detalle_24m!T$220:T$244))*FC_V*(1+FC_g)^(T$173-1)*((FC_Desde=0)*(T$172+T$171)+(FC_Desde&gt;=1)*(T$170&gt;=FC_Desde)*T$171)))</f>
        <v>5114.585753424657</v>
      </c>
      <c r="U244" s="48">
        <f>SUMPRODUCT((FC_Clase="Administración")*FC_Base*((FC_Mon="PYG")*U$175+(FC_Mon&lt;&gt;"PYG"))*((16&gt;Corte)*(16&lt;=Corte+n_Ventana)*ISNUMBER(Detalle_24m!U$220:U$244)*Detalle_24m!U$220:U$244+(1-(16&gt;Corte)*(16&lt;=Corte+n_Ventana)*ISNUMBER(Detalle_24m!U$220:U$244))*FC_V*(1+FC_g)^(U$173-1)*((FC_Desde=0)*(U$172+U$171)+(FC_Desde&gt;=1)*(U$170&gt;=FC_Desde)*U$171)))</f>
        <v>5114.585753424657</v>
      </c>
      <c r="V244" s="48">
        <f>SUMPRODUCT((FC_Clase="Administración")*FC_Base*((FC_Mon="PYG")*V$175+(FC_Mon&lt;&gt;"PYG"))*((17&gt;Corte)*(17&lt;=Corte+n_Ventana)*ISNUMBER(Detalle_24m!V$220:V$244)*Detalle_24m!V$220:V$244+(1-(17&gt;Corte)*(17&lt;=Corte+n_Ventana)*ISNUMBER(Detalle_24m!V$220:V$244))*FC_V*(1+FC_g)^(V$173-1)*((FC_Desde=0)*(V$172+V$171)+(FC_Desde&gt;=1)*(V$170&gt;=FC_Desde)*V$171)))</f>
        <v>5114.585753424657</v>
      </c>
      <c r="W244" s="48">
        <f>SUMPRODUCT((FC_Clase="Administración")*FC_Base*((FC_Mon="PYG")*W$175+(FC_Mon&lt;&gt;"PYG"))*((18&gt;Corte)*(18&lt;=Corte+n_Ventana)*ISNUMBER(Detalle_24m!W$220:W$244)*Detalle_24m!W$220:W$244+(1-(18&gt;Corte)*(18&lt;=Corte+n_Ventana)*ISNUMBER(Detalle_24m!W$220:W$244))*FC_V*(1+FC_g)^(W$173-1)*((FC_Desde=0)*(W$172+W$171)+(FC_Desde&gt;=1)*(W$170&gt;=FC_Desde)*W$171)))</f>
        <v>5114.585753424657</v>
      </c>
      <c r="X244" s="48">
        <f>SUMPRODUCT((FC_Clase="Administración")*FC_Base*((FC_Mon="PYG")*X$175+(FC_Mon&lt;&gt;"PYG"))*((19&gt;Corte)*(19&lt;=Corte+n_Ventana)*ISNUMBER(Detalle_24m!X$220:X$244)*Detalle_24m!X$220:X$244+(1-(19&gt;Corte)*(19&lt;=Corte+n_Ventana)*ISNUMBER(Detalle_24m!X$220:X$244))*FC_V*(1+FC_g)^(X$173-1)*((FC_Desde=0)*(X$172+X$171)+(FC_Desde&gt;=1)*(X$170&gt;=FC_Desde)*X$171)))</f>
        <v>5114.585753424657</v>
      </c>
      <c r="Y244" s="48">
        <f>SUMPRODUCT((FC_Clase="Administración")*FC_Base*((FC_Mon="PYG")*Y$175+(FC_Mon&lt;&gt;"PYG"))*((20&gt;Corte)*(20&lt;=Corte+n_Ventana)*ISNUMBER(Detalle_24m!Y$220:Y$244)*Detalle_24m!Y$220:Y$244+(1-(20&gt;Corte)*(20&lt;=Corte+n_Ventana)*ISNUMBER(Detalle_24m!Y$220:Y$244))*FC_V*(1+FC_g)^(Y$173-1)*((FC_Desde=0)*(Y$172+Y$171)+(FC_Desde&gt;=1)*(Y$170&gt;=FC_Desde)*Y$171)))</f>
        <v>5114.585753424657</v>
      </c>
      <c r="Z244" s="48">
        <f>SUMPRODUCT((FC_Clase="Administración")*FC_Base*((FC_Mon="PYG")*Z$175+(FC_Mon&lt;&gt;"PYG"))*((21&gt;Corte)*(21&lt;=Corte+n_Ventana)*ISNUMBER(Detalle_24m!Z$220:Z$244)*Detalle_24m!Z$220:Z$244+(1-(21&gt;Corte)*(21&lt;=Corte+n_Ventana)*ISNUMBER(Detalle_24m!Z$220:Z$244))*FC_V*(1+FC_g)^(Z$173-1)*((FC_Desde=0)*(Z$172+Z$171)+(FC_Desde&gt;=1)*(Z$170&gt;=FC_Desde)*Z$171)))</f>
        <v>5114.585753424657</v>
      </c>
      <c r="AA244" s="48">
        <f>SUMPRODUCT((FC_Clase="Administración")*FC_Base*((FC_Mon="PYG")*AA$175+(FC_Mon&lt;&gt;"PYG"))*((22&gt;Corte)*(22&lt;=Corte+n_Ventana)*ISNUMBER(Detalle_24m!AA$220:AA$244)*Detalle_24m!AA$220:AA$244+(1-(22&gt;Corte)*(22&lt;=Corte+n_Ventana)*ISNUMBER(Detalle_24m!AA$220:AA$244))*FC_V*(1+FC_g)^(AA$173-1)*((FC_Desde=0)*(AA$172+AA$171)+(FC_Desde&gt;=1)*(AA$170&gt;=FC_Desde)*AA$171)))</f>
        <v>5114.585753424657</v>
      </c>
      <c r="AB244" s="48">
        <f>SUMPRODUCT((FC_Clase="Administración")*FC_Base*((FC_Mon="PYG")*AB$175+(FC_Mon&lt;&gt;"PYG"))*((23&gt;Corte)*(23&lt;=Corte+n_Ventana)*ISNUMBER(Detalle_24m!AB$220:AB$244)*Detalle_24m!AB$220:AB$244+(1-(23&gt;Corte)*(23&lt;=Corte+n_Ventana)*ISNUMBER(Detalle_24m!AB$220:AB$244))*FC_V*(1+FC_g)^(AB$173-1)*((FC_Desde=0)*(AB$172+AB$171)+(FC_Desde&gt;=1)*(AB$170&gt;=FC_Desde)*AB$171)))</f>
        <v>5114.585753424657</v>
      </c>
      <c r="AC244" s="48">
        <f>SUMPRODUCT((FC_Clase="Administración")*FC_Base*((FC_Mon="PYG")*AC$175+(FC_Mon&lt;&gt;"PYG"))*((24&gt;Corte)*(24&lt;=Corte+n_Ventana)*ISNUMBER(Detalle_24m!AC$220:AC$244)*Detalle_24m!AC$220:AC$244+(1-(24&gt;Corte)*(24&lt;=Corte+n_Ventana)*ISNUMBER(Detalle_24m!AC$220:AC$244))*FC_V*(1+FC_g)^(AC$173-1)*((FC_Desde=0)*(AC$172+AC$171)+(FC_Desde&gt;=1)*(AC$170&gt;=FC_Desde)*AC$171)))</f>
        <v>5114.585753424657</v>
      </c>
      <c r="AD244" s="48">
        <f>SUMPRODUCT((FC_Clase="Administración")*FC_Base*((FC_Mon="PYG")*AD$175+(FC_Mon&lt;&gt;"PYG"))*((25&gt;Corte)*(25&lt;=Corte+n_Ventana)*ISNUMBER(Detalle_24m!AD$220:AD$244)*Detalle_24m!AD$220:AD$244+(1-(25&gt;Corte)*(25&lt;=Corte+n_Ventana)*ISNUMBER(Detalle_24m!AD$220:AD$244))*FC_V*(1+FC_g)^(AD$173-1)*((FC_Desde=0)*(AD$172+AD$171)+(FC_Desde&gt;=1)*(AD$170&gt;=FC_Desde)*AD$171)))</f>
        <v>5114.585753424657</v>
      </c>
      <c r="AE244" s="48">
        <f>SUMPRODUCT((FC_Clase="Administración")*FC_Base*((FC_Mon="PYG")*AE$175+(FC_Mon&lt;&gt;"PYG"))*((26&gt;Corte)*(26&lt;=Corte+n_Ventana)*ISNUMBER(Detalle_24m!AE$220:AE$244)*Detalle_24m!AE$220:AE$244+(1-(26&gt;Corte)*(26&lt;=Corte+n_Ventana)*ISNUMBER(Detalle_24m!AE$220:AE$244))*FC_V*(1+FC_g)^(AE$173-1)*((FC_Desde=0)*(AE$172+AE$171)+(FC_Desde&gt;=1)*(AE$170&gt;=FC_Desde)*AE$171)))</f>
        <v>5114.585753424657</v>
      </c>
      <c r="AF244" s="48">
        <f>SUMPRODUCT((FC_Clase="Administración")*FC_Base*((FC_Mon="PYG")*AF$175+(FC_Mon&lt;&gt;"PYG"))*((27&gt;Corte)*(27&lt;=Corte+n_Ventana)*ISNUMBER(Detalle_24m!AF$220:AF$244)*Detalle_24m!AF$220:AF$244+(1-(27&gt;Corte)*(27&lt;=Corte+n_Ventana)*ISNUMBER(Detalle_24m!AF$220:AF$244))*FC_V*(1+FC_g)^(AF$173-1)*((FC_Desde=0)*(AF$172+AF$171)+(FC_Desde&gt;=1)*(AF$170&gt;=FC_Desde)*AF$171)))</f>
        <v>5114.585753424657</v>
      </c>
      <c r="AG244" s="48">
        <f>SUMPRODUCT((FC_Clase="Administración")*FC_Base*((FC_Mon="PYG")*AG$175+(FC_Mon&lt;&gt;"PYG"))*((28&gt;Corte)*(28&lt;=Corte+n_Ventana)*ISNUMBER(Detalle_24m!AG$220:AG$244)*Detalle_24m!AG$220:AG$244+(1-(28&gt;Corte)*(28&lt;=Corte+n_Ventana)*ISNUMBER(Detalle_24m!AG$220:AG$244))*FC_V*(1+FC_g)^(AG$173-1)*((FC_Desde=0)*(AG$172+AG$171)+(FC_Desde&gt;=1)*(AG$170&gt;=FC_Desde)*AG$171)))</f>
        <v>5114.585753424657</v>
      </c>
      <c r="AH244" s="48">
        <f>SUMPRODUCT((FC_Clase="Administración")*FC_Base*((FC_Mon="PYG")*AH$175+(FC_Mon&lt;&gt;"PYG"))*((29&gt;Corte)*(29&lt;=Corte+n_Ventana)*ISNUMBER(Detalle_24m!AH$220:AH$244)*Detalle_24m!AH$220:AH$244+(1-(29&gt;Corte)*(29&lt;=Corte+n_Ventana)*ISNUMBER(Detalle_24m!AH$220:AH$244))*FC_V*(1+FC_g)^(AH$173-1)*((FC_Desde=0)*(AH$172+AH$171)+(FC_Desde&gt;=1)*(AH$170&gt;=FC_Desde)*AH$171)))</f>
        <v>5114.585753424657</v>
      </c>
      <c r="AI244" s="48">
        <f>SUMPRODUCT((FC_Clase="Administración")*FC_Base*((FC_Mon="PYG")*AI$175+(FC_Mon&lt;&gt;"PYG"))*((30&gt;Corte)*(30&lt;=Corte+n_Ventana)*ISNUMBER(Detalle_24m!AI$220:AI$244)*Detalle_24m!AI$220:AI$244+(1-(30&gt;Corte)*(30&lt;=Corte+n_Ventana)*ISNUMBER(Detalle_24m!AI$220:AI$244))*FC_V*(1+FC_g)^(AI$173-1)*((FC_Desde=0)*(AI$172+AI$171)+(FC_Desde&gt;=1)*(AI$170&gt;=FC_Desde)*AI$171)))</f>
        <v>5114.585753424657</v>
      </c>
      <c r="AJ244" s="48">
        <f>SUMPRODUCT((FC_Clase="Administración")*FC_Base*((FC_Mon="PYG")*AJ$175+(FC_Mon&lt;&gt;"PYG"))*((31&gt;Corte)*(31&lt;=Corte+n_Ventana)*ISNUMBER(Detalle_24m!AJ$220:AJ$244)*Detalle_24m!AJ$220:AJ$244+(1-(31&gt;Corte)*(31&lt;=Corte+n_Ventana)*ISNUMBER(Detalle_24m!AJ$220:AJ$244))*FC_V*(1+FC_g)^(AJ$173-1)*((FC_Desde=0)*(AJ$172+AJ$171)+(FC_Desde&gt;=1)*(AJ$170&gt;=FC_Desde)*AJ$171)))</f>
        <v>5114.585753424657</v>
      </c>
      <c r="AK244" s="48">
        <f>SUMPRODUCT((FC_Clase="Administración")*FC_Base*((FC_Mon="PYG")*AK$175+(FC_Mon&lt;&gt;"PYG"))*((32&gt;Corte)*(32&lt;=Corte+n_Ventana)*ISNUMBER(Detalle_24m!AK$220:AK$244)*Detalle_24m!AK$220:AK$244+(1-(32&gt;Corte)*(32&lt;=Corte+n_Ventana)*ISNUMBER(Detalle_24m!AK$220:AK$244))*FC_V*(1+FC_g)^(AK$173-1)*((FC_Desde=0)*(AK$172+AK$171)+(FC_Desde&gt;=1)*(AK$170&gt;=FC_Desde)*AK$171)))</f>
        <v>5114.585753424657</v>
      </c>
      <c r="AL244" s="48">
        <f>SUMPRODUCT((FC_Clase="Administración")*FC_Base*((FC_Mon="PYG")*AL$175+(FC_Mon&lt;&gt;"PYG"))*((33&gt;Corte)*(33&lt;=Corte+n_Ventana)*ISNUMBER(Detalle_24m!AL$220:AL$244)*Detalle_24m!AL$220:AL$244+(1-(33&gt;Corte)*(33&lt;=Corte+n_Ventana)*ISNUMBER(Detalle_24m!AL$220:AL$244))*FC_V*(1+FC_g)^(AL$173-1)*((FC_Desde=0)*(AL$172+AL$171)+(FC_Desde&gt;=1)*(AL$170&gt;=FC_Desde)*AL$171)))</f>
        <v>5114.585753424657</v>
      </c>
      <c r="AM244" s="48">
        <f>SUMPRODUCT((FC_Clase="Administración")*FC_Base*((FC_Mon="PYG")*AM$175+(FC_Mon&lt;&gt;"PYG"))*((34&gt;Corte)*(34&lt;=Corte+n_Ventana)*ISNUMBER(Detalle_24m!AM$220:AM$244)*Detalle_24m!AM$220:AM$244+(1-(34&gt;Corte)*(34&lt;=Corte+n_Ventana)*ISNUMBER(Detalle_24m!AM$220:AM$244))*FC_V*(1+FC_g)^(AM$173-1)*((FC_Desde=0)*(AM$172+AM$171)+(FC_Desde&gt;=1)*(AM$170&gt;=FC_Desde)*AM$171)))</f>
        <v>5114.585753424657</v>
      </c>
      <c r="AN244" s="48">
        <f>SUMPRODUCT((FC_Clase="Administración")*FC_Base*((FC_Mon="PYG")*AN$175+(FC_Mon&lt;&gt;"PYG"))*((35&gt;Corte)*(35&lt;=Corte+n_Ventana)*ISNUMBER(Detalle_24m!AN$220:AN$244)*Detalle_24m!AN$220:AN$244+(1-(35&gt;Corte)*(35&lt;=Corte+n_Ventana)*ISNUMBER(Detalle_24m!AN$220:AN$244))*FC_V*(1+FC_g)^(AN$173-1)*((FC_Desde=0)*(AN$172+AN$171)+(FC_Desde&gt;=1)*(AN$170&gt;=FC_Desde)*AN$171)))</f>
        <v>5114.585753424657</v>
      </c>
      <c r="AO244" s="48">
        <f>SUMPRODUCT((FC_Clase="Administración")*FC_Base*((FC_Mon="PYG")*AO$175+(FC_Mon&lt;&gt;"PYG"))*((36&gt;Corte)*(36&lt;=Corte+n_Ventana)*ISNUMBER(Detalle_24m!AO$220:AO$244)*Detalle_24m!AO$220:AO$244+(1-(36&gt;Corte)*(36&lt;=Corte+n_Ventana)*ISNUMBER(Detalle_24m!AO$220:AO$244))*FC_V*(1+FC_g)^(AO$173-1)*((FC_Desde=0)*(AO$172+AO$171)+(FC_Desde&gt;=1)*(AO$170&gt;=FC_Desde)*AO$171)))</f>
        <v>5114.585753424657</v>
      </c>
      <c r="AP244" s="48">
        <f>SUMPRODUCT((FC_Clase="Administración")*FC_Base*((FC_Mon="PYG")*AP$175+(FC_Mon&lt;&gt;"PYG"))*((37&gt;Corte)*(37&lt;=Corte+n_Ventana)*ISNUMBER(Detalle_24m!AP$220:AP$244)*Detalle_24m!AP$220:AP$244+(1-(37&gt;Corte)*(37&lt;=Corte+n_Ventana)*ISNUMBER(Detalle_24m!AP$220:AP$244))*FC_V*(1+FC_g)^(AP$173-1)*((FC_Desde=0)*(AP$172+AP$171)+(FC_Desde&gt;=1)*(AP$170&gt;=FC_Desde)*AP$171)))</f>
        <v>5114.585753424657</v>
      </c>
      <c r="AQ244" s="48">
        <f>SUMPRODUCT((FC_Clase="Administración")*FC_Base*((FC_Mon="PYG")*AQ$175+(FC_Mon&lt;&gt;"PYG"))*((38&gt;Corte)*(38&lt;=Corte+n_Ventana)*ISNUMBER(Detalle_24m!AQ$220:AQ$244)*Detalle_24m!AQ$220:AQ$244+(1-(38&gt;Corte)*(38&lt;=Corte+n_Ventana)*ISNUMBER(Detalle_24m!AQ$220:AQ$244))*FC_V*(1+FC_g)^(AQ$173-1)*((FC_Desde=0)*(AQ$172+AQ$171)+(FC_Desde&gt;=1)*(AQ$170&gt;=FC_Desde)*AQ$171)))</f>
        <v>5114.585753424657</v>
      </c>
      <c r="AR244" s="48">
        <f>SUMPRODUCT((FC_Clase="Administración")*FC_Base*((FC_Mon="PYG")*AR$175+(FC_Mon&lt;&gt;"PYG"))*((39&gt;Corte)*(39&lt;=Corte+n_Ventana)*ISNUMBER(Detalle_24m!AR$220:AR$244)*Detalle_24m!AR$220:AR$244+(1-(39&gt;Corte)*(39&lt;=Corte+n_Ventana)*ISNUMBER(Detalle_24m!AR$220:AR$244))*FC_V*(1+FC_g)^(AR$173-1)*((FC_Desde=0)*(AR$172+AR$171)+(FC_Desde&gt;=1)*(AR$170&gt;=FC_Desde)*AR$171)))</f>
        <v>5114.585753424657</v>
      </c>
      <c r="AS244" s="48">
        <f>SUMPRODUCT((FC_Clase="Administración")*FC_Base*((FC_Mon="PYG")*AS$175+(FC_Mon&lt;&gt;"PYG"))*((40&gt;Corte)*(40&lt;=Corte+n_Ventana)*ISNUMBER(Detalle_24m!AS$220:AS$244)*Detalle_24m!AS$220:AS$244+(1-(40&gt;Corte)*(40&lt;=Corte+n_Ventana)*ISNUMBER(Detalle_24m!AS$220:AS$244))*FC_V*(1+FC_g)^(AS$173-1)*((FC_Desde=0)*(AS$172+AS$171)+(FC_Desde&gt;=1)*(AS$170&gt;=FC_Desde)*AS$171)))</f>
        <v>5114.585753424657</v>
      </c>
      <c r="AT244" s="48">
        <f>SUMPRODUCT((FC_Clase="Administración")*FC_Base*((FC_Mon="PYG")*AT$175+(FC_Mon&lt;&gt;"PYG"))*((41&gt;Corte)*(41&lt;=Corte+n_Ventana)*ISNUMBER(Detalle_24m!AT$220:AT$244)*Detalle_24m!AT$220:AT$244+(1-(41&gt;Corte)*(41&lt;=Corte+n_Ventana)*ISNUMBER(Detalle_24m!AT$220:AT$244))*FC_V*(1+FC_g)^(AT$173-1)*((FC_Desde=0)*(AT$172+AT$171)+(FC_Desde&gt;=1)*(AT$170&gt;=FC_Desde)*AT$171)))</f>
        <v>5114.585753424657</v>
      </c>
      <c r="AU244" s="48">
        <f>SUMPRODUCT((FC_Clase="Administración")*FC_Base*((FC_Mon="PYG")*AU$175+(FC_Mon&lt;&gt;"PYG"))*((42&gt;Corte)*(42&lt;=Corte+n_Ventana)*ISNUMBER(Detalle_24m!AU$220:AU$244)*Detalle_24m!AU$220:AU$244+(1-(42&gt;Corte)*(42&lt;=Corte+n_Ventana)*ISNUMBER(Detalle_24m!AU$220:AU$244))*FC_V*(1+FC_g)^(AU$173-1)*((FC_Desde=0)*(AU$172+AU$171)+(FC_Desde&gt;=1)*(AU$170&gt;=FC_Desde)*AU$171)))</f>
        <v>5114.585753424657</v>
      </c>
      <c r="AV244" s="48">
        <f>SUMPRODUCT((FC_Clase="Administración")*FC_Base*((FC_Mon="PYG")*AV$175+(FC_Mon&lt;&gt;"PYG"))*((43&gt;Corte)*(43&lt;=Corte+n_Ventana)*ISNUMBER(Detalle_24m!AV$220:AV$244)*Detalle_24m!AV$220:AV$244+(1-(43&gt;Corte)*(43&lt;=Corte+n_Ventana)*ISNUMBER(Detalle_24m!AV$220:AV$244))*FC_V*(1+FC_g)^(AV$173-1)*((FC_Desde=0)*(AV$172+AV$171)+(FC_Desde&gt;=1)*(AV$170&gt;=FC_Desde)*AV$171)))</f>
        <v>5114.585753424657</v>
      </c>
      <c r="AW244" s="48">
        <f>SUMPRODUCT((FC_Clase="Administración")*FC_Base*((FC_Mon="PYG")*AW$175+(FC_Mon&lt;&gt;"PYG"))*((44&gt;Corte)*(44&lt;=Corte+n_Ventana)*ISNUMBER(Detalle_24m!AW$220:AW$244)*Detalle_24m!AW$220:AW$244+(1-(44&gt;Corte)*(44&lt;=Corte+n_Ventana)*ISNUMBER(Detalle_24m!AW$220:AW$244))*FC_V*(1+FC_g)^(AW$173-1)*((FC_Desde=0)*(AW$172+AW$171)+(FC_Desde&gt;=1)*(AW$170&gt;=FC_Desde)*AW$171)))</f>
        <v>5114.585753424657</v>
      </c>
      <c r="AX244" s="48">
        <f>SUMPRODUCT((FC_Clase="Administración")*FC_Base*((FC_Mon="PYG")*AX$175+(FC_Mon&lt;&gt;"PYG"))*((45&gt;Corte)*(45&lt;=Corte+n_Ventana)*ISNUMBER(Detalle_24m!AX$220:AX$244)*Detalle_24m!AX$220:AX$244+(1-(45&gt;Corte)*(45&lt;=Corte+n_Ventana)*ISNUMBER(Detalle_24m!AX$220:AX$244))*FC_V*(1+FC_g)^(AX$173-1)*((FC_Desde=0)*(AX$172+AX$171)+(FC_Desde&gt;=1)*(AX$170&gt;=FC_Desde)*AX$171)))</f>
        <v>5114.585753424657</v>
      </c>
      <c r="AY244" s="48">
        <f>SUMPRODUCT((FC_Clase="Administración")*FC_Base*((FC_Mon="PYG")*AY$175+(FC_Mon&lt;&gt;"PYG"))*((46&gt;Corte)*(46&lt;=Corte+n_Ventana)*ISNUMBER(Detalle_24m!AY$220:AY$244)*Detalle_24m!AY$220:AY$244+(1-(46&gt;Corte)*(46&lt;=Corte+n_Ventana)*ISNUMBER(Detalle_24m!AY$220:AY$244))*FC_V*(1+FC_g)^(AY$173-1)*((FC_Desde=0)*(AY$172+AY$171)+(FC_Desde&gt;=1)*(AY$170&gt;=FC_Desde)*AY$171)))</f>
        <v>5114.585753424657</v>
      </c>
      <c r="AZ244" s="48">
        <f>SUMPRODUCT((FC_Clase="Administración")*FC_Base*((FC_Mon="PYG")*AZ$175+(FC_Mon&lt;&gt;"PYG"))*((47&gt;Corte)*(47&lt;=Corte+n_Ventana)*ISNUMBER(Detalle_24m!AZ$220:AZ$244)*Detalle_24m!AZ$220:AZ$244+(1-(47&gt;Corte)*(47&lt;=Corte+n_Ventana)*ISNUMBER(Detalle_24m!AZ$220:AZ$244))*FC_V*(1+FC_g)^(AZ$173-1)*((FC_Desde=0)*(AZ$172+AZ$171)+(FC_Desde&gt;=1)*(AZ$170&gt;=FC_Desde)*AZ$171)))</f>
        <v>5114.585753424657</v>
      </c>
      <c r="BA244" s="48">
        <f>SUMPRODUCT((FC_Clase="Administración")*FC_Base*((FC_Mon="PYG")*BA$175+(FC_Mon&lt;&gt;"PYG"))*((48&gt;Corte)*(48&lt;=Corte+n_Ventana)*ISNUMBER(Detalle_24m!BA$220:BA$244)*Detalle_24m!BA$220:BA$244+(1-(48&gt;Corte)*(48&lt;=Corte+n_Ventana)*ISNUMBER(Detalle_24m!BA$220:BA$244))*FC_V*(1+FC_g)^(BA$173-1)*((FC_Desde=0)*(BA$172+BA$171)+(FC_Desde&gt;=1)*(BA$170&gt;=FC_Desde)*BA$171)))</f>
        <v>5114.585753424657</v>
      </c>
      <c r="BB244" s="48">
        <f>SUMPRODUCT((FC_Clase="Administración")*FC_Base*((FC_Mon="PYG")*BB$175+(FC_Mon&lt;&gt;"PYG"))*((49&gt;Corte)*(49&lt;=Corte+n_Ventana)*ISNUMBER(Detalle_24m!BB$220:BB$244)*Detalle_24m!BB$220:BB$244+(1-(49&gt;Corte)*(49&lt;=Corte+n_Ventana)*ISNUMBER(Detalle_24m!BB$220:BB$244))*FC_V*(1+FC_g)^(BB$173-1)*((FC_Desde=0)*(BB$172+BB$171)+(FC_Desde&gt;=1)*(BB$170&gt;=FC_Desde)*BB$171)))</f>
        <v>5114.585753424657</v>
      </c>
      <c r="BC244" s="48">
        <f>SUMPRODUCT((FC_Clase="Administración")*FC_Base*((FC_Mon="PYG")*BC$175+(FC_Mon&lt;&gt;"PYG"))*((50&gt;Corte)*(50&lt;=Corte+n_Ventana)*ISNUMBER(Detalle_24m!BC$220:BC$244)*Detalle_24m!BC$220:BC$244+(1-(50&gt;Corte)*(50&lt;=Corte+n_Ventana)*ISNUMBER(Detalle_24m!BC$220:BC$244))*FC_V*(1+FC_g)^(BC$173-1)*((FC_Desde=0)*(BC$172+BC$171)+(FC_Desde&gt;=1)*(BC$170&gt;=FC_Desde)*BC$171)))</f>
        <v>5114.585753424657</v>
      </c>
      <c r="BD244" s="48">
        <f>SUMPRODUCT((FC_Clase="Administración")*FC_Base*((FC_Mon="PYG")*BD$175+(FC_Mon&lt;&gt;"PYG"))*((51&gt;Corte)*(51&lt;=Corte+n_Ventana)*ISNUMBER(Detalle_24m!BD$220:BD$244)*Detalle_24m!BD$220:BD$244+(1-(51&gt;Corte)*(51&lt;=Corte+n_Ventana)*ISNUMBER(Detalle_24m!BD$220:BD$244))*FC_V*(1+FC_g)^(BD$173-1)*((FC_Desde=0)*(BD$172+BD$171)+(FC_Desde&gt;=1)*(BD$170&gt;=FC_Desde)*BD$171)))</f>
        <v>5114.585753424657</v>
      </c>
      <c r="BE244" s="48">
        <f>SUMPRODUCT((FC_Clase="Administración")*FC_Base*((FC_Mon="PYG")*BE$175+(FC_Mon&lt;&gt;"PYG"))*((52&gt;Corte)*(52&lt;=Corte+n_Ventana)*ISNUMBER(Detalle_24m!BE$220:BE$244)*Detalle_24m!BE$220:BE$244+(1-(52&gt;Corte)*(52&lt;=Corte+n_Ventana)*ISNUMBER(Detalle_24m!BE$220:BE$244))*FC_V*(1+FC_g)^(BE$173-1)*((FC_Desde=0)*(BE$172+BE$171)+(FC_Desde&gt;=1)*(BE$170&gt;=FC_Desde)*BE$171)))</f>
        <v>5114.585753424657</v>
      </c>
      <c r="BF244" s="48">
        <f>SUMPRODUCT((FC_Clase="Administración")*FC_Base*((FC_Mon="PYG")*BF$175+(FC_Mon&lt;&gt;"PYG"))*((53&gt;Corte)*(53&lt;=Corte+n_Ventana)*ISNUMBER(Detalle_24m!BF$220:BF$244)*Detalle_24m!BF$220:BF$244+(1-(53&gt;Corte)*(53&lt;=Corte+n_Ventana)*ISNUMBER(Detalle_24m!BF$220:BF$244))*FC_V*(1+FC_g)^(BF$173-1)*((FC_Desde=0)*(BF$172+BF$171)+(FC_Desde&gt;=1)*(BF$170&gt;=FC_Desde)*BF$171)))</f>
        <v>5114.585753424657</v>
      </c>
      <c r="BG244" s="48">
        <f>SUMPRODUCT((FC_Clase="Administración")*FC_Base*((FC_Mon="PYG")*BG$175+(FC_Mon&lt;&gt;"PYG"))*((54&gt;Corte)*(54&lt;=Corte+n_Ventana)*ISNUMBER(Detalle_24m!BG$220:BG$244)*Detalle_24m!BG$220:BG$244+(1-(54&gt;Corte)*(54&lt;=Corte+n_Ventana)*ISNUMBER(Detalle_24m!BG$220:BG$244))*FC_V*(1+FC_g)^(BG$173-1)*((FC_Desde=0)*(BG$172+BG$171)+(FC_Desde&gt;=1)*(BG$170&gt;=FC_Desde)*BG$171)))</f>
        <v>5114.585753424657</v>
      </c>
      <c r="BH244" s="48">
        <f>SUMPRODUCT((FC_Clase="Administración")*FC_Base*((FC_Mon="PYG")*BH$175+(FC_Mon&lt;&gt;"PYG"))*((55&gt;Corte)*(55&lt;=Corte+n_Ventana)*ISNUMBER(Detalle_24m!BH$220:BH$244)*Detalle_24m!BH$220:BH$244+(1-(55&gt;Corte)*(55&lt;=Corte+n_Ventana)*ISNUMBER(Detalle_24m!BH$220:BH$244))*FC_V*(1+FC_g)^(BH$173-1)*((FC_Desde=0)*(BH$172+BH$171)+(FC_Desde&gt;=1)*(BH$170&gt;=FC_Desde)*BH$171)))</f>
        <v>5114.585753424657</v>
      </c>
      <c r="BI244" s="48">
        <f>SUMPRODUCT((FC_Clase="Administración")*FC_Base*((FC_Mon="PYG")*BI$175+(FC_Mon&lt;&gt;"PYG"))*((56&gt;Corte)*(56&lt;=Corte+n_Ventana)*ISNUMBER(Detalle_24m!BI$220:BI$244)*Detalle_24m!BI$220:BI$244+(1-(56&gt;Corte)*(56&lt;=Corte+n_Ventana)*ISNUMBER(Detalle_24m!BI$220:BI$244))*FC_V*(1+FC_g)^(BI$173-1)*((FC_Desde=0)*(BI$172+BI$171)+(FC_Desde&gt;=1)*(BI$170&gt;=FC_Desde)*BI$171)))</f>
        <v>5114.585753424657</v>
      </c>
      <c r="BJ244" s="48">
        <f>SUMPRODUCT((FC_Clase="Administración")*FC_Base*((FC_Mon="PYG")*BJ$175+(FC_Mon&lt;&gt;"PYG"))*((57&gt;Corte)*(57&lt;=Corte+n_Ventana)*ISNUMBER(Detalle_24m!BJ$220:BJ$244)*Detalle_24m!BJ$220:BJ$244+(1-(57&gt;Corte)*(57&lt;=Corte+n_Ventana)*ISNUMBER(Detalle_24m!BJ$220:BJ$244))*FC_V*(1+FC_g)^(BJ$173-1)*((FC_Desde=0)*(BJ$172+BJ$171)+(FC_Desde&gt;=1)*(BJ$170&gt;=FC_Desde)*BJ$171)))</f>
        <v>5114.585753424657</v>
      </c>
      <c r="BK244" s="48">
        <f>SUMPRODUCT((FC_Clase="Administración")*FC_Base*((FC_Mon="PYG")*BK$175+(FC_Mon&lt;&gt;"PYG"))*((58&gt;Corte)*(58&lt;=Corte+n_Ventana)*ISNUMBER(Detalle_24m!BK$220:BK$244)*Detalle_24m!BK$220:BK$244+(1-(58&gt;Corte)*(58&lt;=Corte+n_Ventana)*ISNUMBER(Detalle_24m!BK$220:BK$244))*FC_V*(1+FC_g)^(BK$173-1)*((FC_Desde=0)*(BK$172+BK$171)+(FC_Desde&gt;=1)*(BK$170&gt;=FC_Desde)*BK$171)))</f>
        <v>5114.585753424657</v>
      </c>
      <c r="BL244" s="48">
        <f>SUMPRODUCT((FC_Clase="Administración")*FC_Base*((FC_Mon="PYG")*BL$175+(FC_Mon&lt;&gt;"PYG"))*((59&gt;Corte)*(59&lt;=Corte+n_Ventana)*ISNUMBER(Detalle_24m!BL$220:BL$244)*Detalle_24m!BL$220:BL$244+(1-(59&gt;Corte)*(59&lt;=Corte+n_Ventana)*ISNUMBER(Detalle_24m!BL$220:BL$244))*FC_V*(1+FC_g)^(BL$173-1)*((FC_Desde=0)*(BL$172+BL$171)+(FC_Desde&gt;=1)*(BL$170&gt;=FC_Desde)*BL$171)))</f>
        <v>5114.585753424657</v>
      </c>
      <c r="BM244" s="48">
        <f>SUMPRODUCT((FC_Clase="Administración")*FC_Base*((FC_Mon="PYG")*BM$175+(FC_Mon&lt;&gt;"PYG"))*((60&gt;Corte)*(60&lt;=Corte+n_Ventana)*ISNUMBER(Detalle_24m!BM$220:BM$244)*Detalle_24m!BM$220:BM$244+(1-(60&gt;Corte)*(60&lt;=Corte+n_Ventana)*ISNUMBER(Detalle_24m!BM$220:BM$244))*FC_V*(1+FC_g)^(BM$173-1)*((FC_Desde=0)*(BM$172+BM$171)+(FC_Desde&gt;=1)*(BM$170&gt;=FC_Desde)*BM$171)))</f>
        <v>5114.585753424657</v>
      </c>
      <c r="BN244" s="48">
        <f>SUMPRODUCT((FC_Clase="Administración")*FC_Base*((FC_Mon="PYG")*BN$175+(FC_Mon&lt;&gt;"PYG"))*((61&gt;Corte)*(61&lt;=Corte+n_Ventana)*ISNUMBER(Detalle_24m!BN$220:BN$244)*Detalle_24m!BN$220:BN$244+(1-(61&gt;Corte)*(61&lt;=Corte+n_Ventana)*ISNUMBER(Detalle_24m!BN$220:BN$244))*FC_V*(1+FC_g)^(BN$173-1)*((FC_Desde=0)*(BN$172+BN$171)+(FC_Desde&gt;=1)*(BN$170&gt;=FC_Desde)*BN$171)))</f>
        <v>5114.585753424657</v>
      </c>
      <c r="BO244" s="48">
        <f>SUMPRODUCT((FC_Clase="Administración")*FC_Base*((FC_Mon="PYG")*BO$175+(FC_Mon&lt;&gt;"PYG"))*((62&gt;Corte)*(62&lt;=Corte+n_Ventana)*ISNUMBER(Detalle_24m!BO$220:BO$244)*Detalle_24m!BO$220:BO$244+(1-(62&gt;Corte)*(62&lt;=Corte+n_Ventana)*ISNUMBER(Detalle_24m!BO$220:BO$244))*FC_V*(1+FC_g)^(BO$173-1)*((FC_Desde=0)*(BO$172+BO$171)+(FC_Desde&gt;=1)*(BO$170&gt;=FC_Desde)*BO$171)))</f>
        <v>5114.585753424657</v>
      </c>
      <c r="BP244" s="48">
        <f>SUMPRODUCT((FC_Clase="Administración")*FC_Base*((FC_Mon="PYG")*BP$175+(FC_Mon&lt;&gt;"PYG"))*((63&gt;Corte)*(63&lt;=Corte+n_Ventana)*ISNUMBER(Detalle_24m!BP$220:BP$244)*Detalle_24m!BP$220:BP$244+(1-(63&gt;Corte)*(63&lt;=Corte+n_Ventana)*ISNUMBER(Detalle_24m!BP$220:BP$244))*FC_V*(1+FC_g)^(BP$173-1)*((FC_Desde=0)*(BP$172+BP$171)+(FC_Desde&gt;=1)*(BP$170&gt;=FC_Desde)*BP$171)))</f>
        <v>5114.585753424657</v>
      </c>
      <c r="BQ244" s="48">
        <f>SUMPRODUCT((FC_Clase="Administración")*FC_Base*((FC_Mon="PYG")*BQ$175+(FC_Mon&lt;&gt;"PYG"))*((64&gt;Corte)*(64&lt;=Corte+n_Ventana)*ISNUMBER(Detalle_24m!BQ$220:BQ$244)*Detalle_24m!BQ$220:BQ$244+(1-(64&gt;Corte)*(64&lt;=Corte+n_Ventana)*ISNUMBER(Detalle_24m!BQ$220:BQ$244))*FC_V*(1+FC_g)^(BQ$173-1)*((FC_Desde=0)*(BQ$172+BQ$171)+(FC_Desde&gt;=1)*(BQ$170&gt;=FC_Desde)*BQ$171)))</f>
        <v>5114.585753424657</v>
      </c>
      <c r="BR244" s="48">
        <f>SUMPRODUCT((FC_Clase="Administración")*FC_Base*((FC_Mon="PYG")*BR$175+(FC_Mon&lt;&gt;"PYG"))*((65&gt;Corte)*(65&lt;=Corte+n_Ventana)*ISNUMBER(Detalle_24m!BR$220:BR$244)*Detalle_24m!BR$220:BR$244+(1-(65&gt;Corte)*(65&lt;=Corte+n_Ventana)*ISNUMBER(Detalle_24m!BR$220:BR$244))*FC_V*(1+FC_g)^(BR$173-1)*((FC_Desde=0)*(BR$172+BR$171)+(FC_Desde&gt;=1)*(BR$170&gt;=FC_Desde)*BR$171)))</f>
        <v>5114.585753424657</v>
      </c>
      <c r="BS244" s="48">
        <f>SUMPRODUCT((FC_Clase="Administración")*FC_Base*((FC_Mon="PYG")*BS$175+(FC_Mon&lt;&gt;"PYG"))*((66&gt;Corte)*(66&lt;=Corte+n_Ventana)*ISNUMBER(Detalle_24m!BS$220:BS$244)*Detalle_24m!BS$220:BS$244+(1-(66&gt;Corte)*(66&lt;=Corte+n_Ventana)*ISNUMBER(Detalle_24m!BS$220:BS$244))*FC_V*(1+FC_g)^(BS$173-1)*((FC_Desde=0)*(BS$172+BS$171)+(FC_Desde&gt;=1)*(BS$170&gt;=FC_Desde)*BS$171)))</f>
        <v>5114.585753424657</v>
      </c>
      <c r="BT244" s="48">
        <f>SUMPRODUCT((FC_Clase="Administración")*FC_Base*((FC_Mon="PYG")*BT$175+(FC_Mon&lt;&gt;"PYG"))*((67&gt;Corte)*(67&lt;=Corte+n_Ventana)*ISNUMBER(Detalle_24m!BT$220:BT$244)*Detalle_24m!BT$220:BT$244+(1-(67&gt;Corte)*(67&lt;=Corte+n_Ventana)*ISNUMBER(Detalle_24m!BT$220:BT$244))*FC_V*(1+FC_g)^(BT$173-1)*((FC_Desde=0)*(BT$172+BT$171)+(FC_Desde&gt;=1)*(BT$170&gt;=FC_Desde)*BT$171)))</f>
        <v>5114.585753424657</v>
      </c>
      <c r="BU244" s="48">
        <f>SUMPRODUCT((FC_Clase="Administración")*FC_Base*((FC_Mon="PYG")*BU$175+(FC_Mon&lt;&gt;"PYG"))*((68&gt;Corte)*(68&lt;=Corte+n_Ventana)*ISNUMBER(Detalle_24m!BU$220:BU$244)*Detalle_24m!BU$220:BU$244+(1-(68&gt;Corte)*(68&lt;=Corte+n_Ventana)*ISNUMBER(Detalle_24m!BU$220:BU$244))*FC_V*(1+FC_g)^(BU$173-1)*((FC_Desde=0)*(BU$172+BU$171)+(FC_Desde&gt;=1)*(BU$170&gt;=FC_Desde)*BU$171)))</f>
        <v>5114.585753424657</v>
      </c>
      <c r="BV244" s="48">
        <f>SUMPRODUCT((FC_Clase="Administración")*FC_Base*((FC_Mon="PYG")*BV$175+(FC_Mon&lt;&gt;"PYG"))*((69&gt;Corte)*(69&lt;=Corte+n_Ventana)*ISNUMBER(Detalle_24m!BV$220:BV$244)*Detalle_24m!BV$220:BV$244+(1-(69&gt;Corte)*(69&lt;=Corte+n_Ventana)*ISNUMBER(Detalle_24m!BV$220:BV$244))*FC_V*(1+FC_g)^(BV$173-1)*((FC_Desde=0)*(BV$172+BV$171)+(FC_Desde&gt;=1)*(BV$170&gt;=FC_Desde)*BV$171)))</f>
        <v>5114.585753424657</v>
      </c>
      <c r="BW244" s="48">
        <f>SUMPRODUCT((FC_Clase="Administración")*FC_Base*((FC_Mon="PYG")*BW$175+(FC_Mon&lt;&gt;"PYG"))*((70&gt;Corte)*(70&lt;=Corte+n_Ventana)*ISNUMBER(Detalle_24m!BW$220:BW$244)*Detalle_24m!BW$220:BW$244+(1-(70&gt;Corte)*(70&lt;=Corte+n_Ventana)*ISNUMBER(Detalle_24m!BW$220:BW$244))*FC_V*(1+FC_g)^(BW$173-1)*((FC_Desde=0)*(BW$172+BW$171)+(FC_Desde&gt;=1)*(BW$170&gt;=FC_Desde)*BW$171)))</f>
        <v>5114.585753424657</v>
      </c>
      <c r="BX244" s="48">
        <f>SUMPRODUCT((FC_Clase="Administración")*FC_Base*((FC_Mon="PYG")*BX$175+(FC_Mon&lt;&gt;"PYG"))*((71&gt;Corte)*(71&lt;=Corte+n_Ventana)*ISNUMBER(Detalle_24m!BX$220:BX$244)*Detalle_24m!BX$220:BX$244+(1-(71&gt;Corte)*(71&lt;=Corte+n_Ventana)*ISNUMBER(Detalle_24m!BX$220:BX$244))*FC_V*(1+FC_g)^(BX$173-1)*((FC_Desde=0)*(BX$172+BX$171)+(FC_Desde&gt;=1)*(BX$170&gt;=FC_Desde)*BX$171)))</f>
        <v>5114.585753424657</v>
      </c>
      <c r="BY244" s="48">
        <f>SUMPRODUCT((FC_Clase="Administración")*FC_Base*((FC_Mon="PYG")*BY$175+(FC_Mon&lt;&gt;"PYG"))*((72&gt;Corte)*(72&lt;=Corte+n_Ventana)*ISNUMBER(Detalle_24m!BY$220:BY$244)*Detalle_24m!BY$220:BY$244+(1-(72&gt;Corte)*(72&lt;=Corte+n_Ventana)*ISNUMBER(Detalle_24m!BY$220:BY$244))*FC_V*(1+FC_g)^(BY$173-1)*((FC_Desde=0)*(BY$172+BY$171)+(FC_Desde&gt;=1)*(BY$170&gt;=FC_Desde)*BY$171)))</f>
        <v>5114.585753424657</v>
      </c>
      <c r="BZ244" s="48">
        <f>SUMPRODUCT((FC_Clase="Administración")*FC_Base*((FC_Mon="PYG")*BZ$175+(FC_Mon&lt;&gt;"PYG"))*((73&gt;Corte)*(73&lt;=Corte+n_Ventana)*ISNUMBER(Detalle_24m!BZ$220:BZ$244)*Detalle_24m!BZ$220:BZ$244+(1-(73&gt;Corte)*(73&lt;=Corte+n_Ventana)*ISNUMBER(Detalle_24m!BZ$220:BZ$244))*FC_V*(1+FC_g)^(BZ$173-1)*((FC_Desde=0)*(BZ$172+BZ$171)+(FC_Desde&gt;=1)*(BZ$170&gt;=FC_Desde)*BZ$171)))</f>
        <v>5114.585753424657</v>
      </c>
      <c r="CA244" s="48">
        <f>SUMPRODUCT((FC_Clase="Administración")*FC_Base*((FC_Mon="PYG")*CA$175+(FC_Mon&lt;&gt;"PYG"))*((74&gt;Corte)*(74&lt;=Corte+n_Ventana)*ISNUMBER(Detalle_24m!CA$220:CA$244)*Detalle_24m!CA$220:CA$244+(1-(74&gt;Corte)*(74&lt;=Corte+n_Ventana)*ISNUMBER(Detalle_24m!CA$220:CA$244))*FC_V*(1+FC_g)^(CA$173-1)*((FC_Desde=0)*(CA$172+CA$171)+(FC_Desde&gt;=1)*(CA$170&gt;=FC_Desde)*CA$171)))</f>
        <v>5114.585753424657</v>
      </c>
      <c r="CB244" s="48">
        <f>SUMPRODUCT((FC_Clase="Administración")*FC_Base*((FC_Mon="PYG")*CB$175+(FC_Mon&lt;&gt;"PYG"))*((75&gt;Corte)*(75&lt;=Corte+n_Ventana)*ISNUMBER(Detalle_24m!CB$220:CB$244)*Detalle_24m!CB$220:CB$244+(1-(75&gt;Corte)*(75&lt;=Corte+n_Ventana)*ISNUMBER(Detalle_24m!CB$220:CB$244))*FC_V*(1+FC_g)^(CB$173-1)*((FC_Desde=0)*(CB$172+CB$171)+(FC_Desde&gt;=1)*(CB$170&gt;=FC_Desde)*CB$171)))</f>
        <v>5114.585753424657</v>
      </c>
      <c r="CC244" s="48">
        <f>SUMPRODUCT((FC_Clase="Administración")*FC_Base*((FC_Mon="PYG")*CC$175+(FC_Mon&lt;&gt;"PYG"))*((76&gt;Corte)*(76&lt;=Corte+n_Ventana)*ISNUMBER(Detalle_24m!CC$220:CC$244)*Detalle_24m!CC$220:CC$244+(1-(76&gt;Corte)*(76&lt;=Corte+n_Ventana)*ISNUMBER(Detalle_24m!CC$220:CC$244))*FC_V*(1+FC_g)^(CC$173-1)*((FC_Desde=0)*(CC$172+CC$171)+(FC_Desde&gt;=1)*(CC$170&gt;=FC_Desde)*CC$171)))</f>
        <v>5114.585753424657</v>
      </c>
      <c r="CD244" s="48">
        <f>SUMPRODUCT((FC_Clase="Administración")*FC_Base*((FC_Mon="PYG")*CD$175+(FC_Mon&lt;&gt;"PYG"))*((77&gt;Corte)*(77&lt;=Corte+n_Ventana)*ISNUMBER(Detalle_24m!CD$220:CD$244)*Detalle_24m!CD$220:CD$244+(1-(77&gt;Corte)*(77&lt;=Corte+n_Ventana)*ISNUMBER(Detalle_24m!CD$220:CD$244))*FC_V*(1+FC_g)^(CD$173-1)*((FC_Desde=0)*(CD$172+CD$171)+(FC_Desde&gt;=1)*(CD$170&gt;=FC_Desde)*CD$171)))</f>
        <v>5114.585753424657</v>
      </c>
      <c r="CE244" s="48">
        <f>SUMPRODUCT((FC_Clase="Administración")*FC_Base*((FC_Mon="PYG")*CE$175+(FC_Mon&lt;&gt;"PYG"))*((78&gt;Corte)*(78&lt;=Corte+n_Ventana)*ISNUMBER(Detalle_24m!CE$220:CE$244)*Detalle_24m!CE$220:CE$244+(1-(78&gt;Corte)*(78&lt;=Corte+n_Ventana)*ISNUMBER(Detalle_24m!CE$220:CE$244))*FC_V*(1+FC_g)^(CE$173-1)*((FC_Desde=0)*(CE$172+CE$171)+(FC_Desde&gt;=1)*(CE$170&gt;=FC_Desde)*CE$171)))</f>
        <v>5114.585753424657</v>
      </c>
      <c r="CF244" s="48">
        <f>SUMPRODUCT((FC_Clase="Administración")*FC_Base*((FC_Mon="PYG")*CF$175+(FC_Mon&lt;&gt;"PYG"))*((79&gt;Corte)*(79&lt;=Corte+n_Ventana)*ISNUMBER(Detalle_24m!CF$220:CF$244)*Detalle_24m!CF$220:CF$244+(1-(79&gt;Corte)*(79&lt;=Corte+n_Ventana)*ISNUMBER(Detalle_24m!CF$220:CF$244))*FC_V*(1+FC_g)^(CF$173-1)*((FC_Desde=0)*(CF$172+CF$171)+(FC_Desde&gt;=1)*(CF$170&gt;=FC_Desde)*CF$171)))</f>
        <v>5114.585753424657</v>
      </c>
      <c r="CG244" s="48">
        <f>SUMPRODUCT((FC_Clase="Administración")*FC_Base*((FC_Mon="PYG")*CG$175+(FC_Mon&lt;&gt;"PYG"))*((80&gt;Corte)*(80&lt;=Corte+n_Ventana)*ISNUMBER(Detalle_24m!CG$220:CG$244)*Detalle_24m!CG$220:CG$244+(1-(80&gt;Corte)*(80&lt;=Corte+n_Ventana)*ISNUMBER(Detalle_24m!CG$220:CG$244))*FC_V*(1+FC_g)^(CG$173-1)*((FC_Desde=0)*(CG$172+CG$171)+(FC_Desde&gt;=1)*(CG$170&gt;=FC_Desde)*CG$171)))</f>
        <v>5114.585753424657</v>
      </c>
      <c r="CH244" s="48">
        <f>SUMPRODUCT((FC_Clase="Administración")*FC_Base*((FC_Mon="PYG")*CH$175+(FC_Mon&lt;&gt;"PYG"))*((81&gt;Corte)*(81&lt;=Corte+n_Ventana)*ISNUMBER(Detalle_24m!CH$220:CH$244)*Detalle_24m!CH$220:CH$244+(1-(81&gt;Corte)*(81&lt;=Corte+n_Ventana)*ISNUMBER(Detalle_24m!CH$220:CH$244))*FC_V*(1+FC_g)^(CH$173-1)*((FC_Desde=0)*(CH$172+CH$171)+(FC_Desde&gt;=1)*(CH$170&gt;=FC_Desde)*CH$171)))</f>
        <v>5114.585753424657</v>
      </c>
      <c r="CI244" s="48">
        <f>SUMPRODUCT((FC_Clase="Administración")*FC_Base*((FC_Mon="PYG")*CI$175+(FC_Mon&lt;&gt;"PYG"))*((82&gt;Corte)*(82&lt;=Corte+n_Ventana)*ISNUMBER(Detalle_24m!CI$220:CI$244)*Detalle_24m!CI$220:CI$244+(1-(82&gt;Corte)*(82&lt;=Corte+n_Ventana)*ISNUMBER(Detalle_24m!CI$220:CI$244))*FC_V*(1+FC_g)^(CI$173-1)*((FC_Desde=0)*(CI$172+CI$171)+(FC_Desde&gt;=1)*(CI$170&gt;=FC_Desde)*CI$171)))</f>
        <v>5114.585753424657</v>
      </c>
      <c r="CJ244" s="48">
        <f>SUMPRODUCT((FC_Clase="Administración")*FC_Base*((FC_Mon="PYG")*CJ$175+(FC_Mon&lt;&gt;"PYG"))*((83&gt;Corte)*(83&lt;=Corte+n_Ventana)*ISNUMBER(Detalle_24m!CJ$220:CJ$244)*Detalle_24m!CJ$220:CJ$244+(1-(83&gt;Corte)*(83&lt;=Corte+n_Ventana)*ISNUMBER(Detalle_24m!CJ$220:CJ$244))*FC_V*(1+FC_g)^(CJ$173-1)*((FC_Desde=0)*(CJ$172+CJ$171)+(FC_Desde&gt;=1)*(CJ$170&gt;=FC_Desde)*CJ$171)))</f>
        <v>5114.585753424657</v>
      </c>
      <c r="CK244" s="48">
        <f>SUMPRODUCT((FC_Clase="Administración")*FC_Base*((FC_Mon="PYG")*CK$175+(FC_Mon&lt;&gt;"PYG"))*((84&gt;Corte)*(84&lt;=Corte+n_Ventana)*ISNUMBER(Detalle_24m!CK$220:CK$244)*Detalle_24m!CK$220:CK$244+(1-(84&gt;Corte)*(84&lt;=Corte+n_Ventana)*ISNUMBER(Detalle_24m!CK$220:CK$244))*FC_V*(1+FC_g)^(CK$173-1)*((FC_Desde=0)*(CK$172+CK$171)+(FC_Desde&gt;=1)*(CK$170&gt;=FC_Desde)*CK$171)))</f>
        <v>5114.585753424657</v>
      </c>
      <c r="CL244" s="48">
        <f>SUMPRODUCT((FC_Clase="Administración")*FC_Base*((FC_Mon="PYG")*CL$175+(FC_Mon&lt;&gt;"PYG"))*((85&gt;Corte)*(85&lt;=Corte+n_Ventana)*ISNUMBER(Detalle_24m!CL$220:CL$244)*Detalle_24m!CL$220:CL$244+(1-(85&gt;Corte)*(85&lt;=Corte+n_Ventana)*ISNUMBER(Detalle_24m!CL$220:CL$244))*FC_V*(1+FC_g)^(CL$173-1)*((FC_Desde=0)*(CL$172+CL$171)+(FC_Desde&gt;=1)*(CL$170&gt;=FC_Desde)*CL$171)))</f>
        <v>5114.585753424657</v>
      </c>
      <c r="CM244" s="48">
        <f>SUMPRODUCT((FC_Clase="Administración")*FC_Base*((FC_Mon="PYG")*CM$175+(FC_Mon&lt;&gt;"PYG"))*((86&gt;Corte)*(86&lt;=Corte+n_Ventana)*ISNUMBER(Detalle_24m!CM$220:CM$244)*Detalle_24m!CM$220:CM$244+(1-(86&gt;Corte)*(86&lt;=Corte+n_Ventana)*ISNUMBER(Detalle_24m!CM$220:CM$244))*FC_V*(1+FC_g)^(CM$173-1)*((FC_Desde=0)*(CM$172+CM$171)+(FC_Desde&gt;=1)*(CM$170&gt;=FC_Desde)*CM$171)))</f>
        <v>5114.585753424657</v>
      </c>
      <c r="CN244" s="48">
        <f>SUMPRODUCT((FC_Clase="Administración")*FC_Base*((FC_Mon="PYG")*CN$175+(FC_Mon&lt;&gt;"PYG"))*((87&gt;Corte)*(87&lt;=Corte+n_Ventana)*ISNUMBER(Detalle_24m!CN$220:CN$244)*Detalle_24m!CN$220:CN$244+(1-(87&gt;Corte)*(87&lt;=Corte+n_Ventana)*ISNUMBER(Detalle_24m!CN$220:CN$244))*FC_V*(1+FC_g)^(CN$173-1)*((FC_Desde=0)*(CN$172+CN$171)+(FC_Desde&gt;=1)*(CN$170&gt;=FC_Desde)*CN$171)))</f>
        <v>5114.585753424657</v>
      </c>
      <c r="CO244" s="48">
        <f>SUMPRODUCT((FC_Clase="Administración")*FC_Base*((FC_Mon="PYG")*CO$175+(FC_Mon&lt;&gt;"PYG"))*((88&gt;Corte)*(88&lt;=Corte+n_Ventana)*ISNUMBER(Detalle_24m!CO$220:CO$244)*Detalle_24m!CO$220:CO$244+(1-(88&gt;Corte)*(88&lt;=Corte+n_Ventana)*ISNUMBER(Detalle_24m!CO$220:CO$244))*FC_V*(1+FC_g)^(CO$173-1)*((FC_Desde=0)*(CO$172+CO$171)+(FC_Desde&gt;=1)*(CO$170&gt;=FC_Desde)*CO$171)))</f>
        <v>5114.585753424657</v>
      </c>
      <c r="CP244" s="48">
        <f>SUMPRODUCT((FC_Clase="Administración")*FC_Base*((FC_Mon="PYG")*CP$175+(FC_Mon&lt;&gt;"PYG"))*((89&gt;Corte)*(89&lt;=Corte+n_Ventana)*ISNUMBER(Detalle_24m!CP$220:CP$244)*Detalle_24m!CP$220:CP$244+(1-(89&gt;Corte)*(89&lt;=Corte+n_Ventana)*ISNUMBER(Detalle_24m!CP$220:CP$244))*FC_V*(1+FC_g)^(CP$173-1)*((FC_Desde=0)*(CP$172+CP$171)+(FC_Desde&gt;=1)*(CP$170&gt;=FC_Desde)*CP$171)))</f>
        <v>5114.585753424657</v>
      </c>
      <c r="CQ244" s="48">
        <f>SUMPRODUCT((FC_Clase="Administración")*FC_Base*((FC_Mon="PYG")*CQ$175+(FC_Mon&lt;&gt;"PYG"))*((90&gt;Corte)*(90&lt;=Corte+n_Ventana)*ISNUMBER(Detalle_24m!CQ$220:CQ$244)*Detalle_24m!CQ$220:CQ$244+(1-(90&gt;Corte)*(90&lt;=Corte+n_Ventana)*ISNUMBER(Detalle_24m!CQ$220:CQ$244))*FC_V*(1+FC_g)^(CQ$173-1)*((FC_Desde=0)*(CQ$172+CQ$171)+(FC_Desde&gt;=1)*(CQ$170&gt;=FC_Desde)*CQ$171)))</f>
        <v>5114.585753424657</v>
      </c>
      <c r="CR244" s="48">
        <f>SUMPRODUCT((FC_Clase="Administración")*FC_Base*((FC_Mon="PYG")*CR$175+(FC_Mon&lt;&gt;"PYG"))*((91&gt;Corte)*(91&lt;=Corte+n_Ventana)*ISNUMBER(Detalle_24m!CR$220:CR$244)*Detalle_24m!CR$220:CR$244+(1-(91&gt;Corte)*(91&lt;=Corte+n_Ventana)*ISNUMBER(Detalle_24m!CR$220:CR$244))*FC_V*(1+FC_g)^(CR$173-1)*((FC_Desde=0)*(CR$172+CR$171)+(FC_Desde&gt;=1)*(CR$170&gt;=FC_Desde)*CR$171)))</f>
        <v>5114.585753424657</v>
      </c>
      <c r="CS244" s="48">
        <f>SUMPRODUCT((FC_Clase="Administración")*FC_Base*((FC_Mon="PYG")*CS$175+(FC_Mon&lt;&gt;"PYG"))*((92&gt;Corte)*(92&lt;=Corte+n_Ventana)*ISNUMBER(Detalle_24m!CS$220:CS$244)*Detalle_24m!CS$220:CS$244+(1-(92&gt;Corte)*(92&lt;=Corte+n_Ventana)*ISNUMBER(Detalle_24m!CS$220:CS$244))*FC_V*(1+FC_g)^(CS$173-1)*((FC_Desde=0)*(CS$172+CS$171)+(FC_Desde&gt;=1)*(CS$170&gt;=FC_Desde)*CS$171)))</f>
        <v>5114.585753424657</v>
      </c>
      <c r="CT244" s="48">
        <f>SUMPRODUCT((FC_Clase="Administración")*FC_Base*((FC_Mon="PYG")*CT$175+(FC_Mon&lt;&gt;"PYG"))*((93&gt;Corte)*(93&lt;=Corte+n_Ventana)*ISNUMBER(Detalle_24m!CT$220:CT$244)*Detalle_24m!CT$220:CT$244+(1-(93&gt;Corte)*(93&lt;=Corte+n_Ventana)*ISNUMBER(Detalle_24m!CT$220:CT$244))*FC_V*(1+FC_g)^(CT$173-1)*((FC_Desde=0)*(CT$172+CT$171)+(FC_Desde&gt;=1)*(CT$170&gt;=FC_Desde)*CT$171)))</f>
        <v>5114.585753424657</v>
      </c>
      <c r="CU244" s="48">
        <f>SUMPRODUCT((FC_Clase="Administración")*FC_Base*((FC_Mon="PYG")*CU$175+(FC_Mon&lt;&gt;"PYG"))*((94&gt;Corte)*(94&lt;=Corte+n_Ventana)*ISNUMBER(Detalle_24m!CU$220:CU$244)*Detalle_24m!CU$220:CU$244+(1-(94&gt;Corte)*(94&lt;=Corte+n_Ventana)*ISNUMBER(Detalle_24m!CU$220:CU$244))*FC_V*(1+FC_g)^(CU$173-1)*((FC_Desde=0)*(CU$172+CU$171)+(FC_Desde&gt;=1)*(CU$170&gt;=FC_Desde)*CU$171)))</f>
        <v>5114.585753424657</v>
      </c>
      <c r="CV244" s="48">
        <f>SUMPRODUCT((FC_Clase="Administración")*FC_Base*((FC_Mon="PYG")*CV$175+(FC_Mon&lt;&gt;"PYG"))*((95&gt;Corte)*(95&lt;=Corte+n_Ventana)*ISNUMBER(Detalle_24m!CV$220:CV$244)*Detalle_24m!CV$220:CV$244+(1-(95&gt;Corte)*(95&lt;=Corte+n_Ventana)*ISNUMBER(Detalle_24m!CV$220:CV$244))*FC_V*(1+FC_g)^(CV$173-1)*((FC_Desde=0)*(CV$172+CV$171)+(FC_Desde&gt;=1)*(CV$170&gt;=FC_Desde)*CV$171)))</f>
        <v>5114.585753424657</v>
      </c>
      <c r="CW244" s="48">
        <f>SUMPRODUCT((FC_Clase="Administración")*FC_Base*((FC_Mon="PYG")*CW$175+(FC_Mon&lt;&gt;"PYG"))*((96&gt;Corte)*(96&lt;=Corte+n_Ventana)*ISNUMBER(Detalle_24m!CW$220:CW$244)*Detalle_24m!CW$220:CW$244+(1-(96&gt;Corte)*(96&lt;=Corte+n_Ventana)*ISNUMBER(Detalle_24m!CW$220:CW$244))*FC_V*(1+FC_g)^(CW$173-1)*((FC_Desde=0)*(CW$172+CW$171)+(FC_Desde&gt;=1)*(CW$170&gt;=FC_Desde)*CW$171)))</f>
        <v>5114.585753424657</v>
      </c>
      <c r="CX244" s="48">
        <f>SUMPRODUCT((FC_Clase="Administración")*FC_Base*((FC_Mon="PYG")*CX$175+(FC_Mon&lt;&gt;"PYG"))*((97&gt;Corte)*(97&lt;=Corte+n_Ventana)*ISNUMBER(Detalle_24m!CX$220:CX$244)*Detalle_24m!CX$220:CX$244+(1-(97&gt;Corte)*(97&lt;=Corte+n_Ventana)*ISNUMBER(Detalle_24m!CX$220:CX$244))*FC_V*(1+FC_g)^(CX$173-1)*((FC_Desde=0)*(CX$172+CX$171)+(FC_Desde&gt;=1)*(CX$170&gt;=FC_Desde)*CX$171)))</f>
        <v>5114.585753424657</v>
      </c>
      <c r="CY244" s="48">
        <f>SUMPRODUCT((FC_Clase="Administración")*FC_Base*((FC_Mon="PYG")*CY$175+(FC_Mon&lt;&gt;"PYG"))*((98&gt;Corte)*(98&lt;=Corte+n_Ventana)*ISNUMBER(Detalle_24m!CY$220:CY$244)*Detalle_24m!CY$220:CY$244+(1-(98&gt;Corte)*(98&lt;=Corte+n_Ventana)*ISNUMBER(Detalle_24m!CY$220:CY$244))*FC_V*(1+FC_g)^(CY$173-1)*((FC_Desde=0)*(CY$172+CY$171)+(FC_Desde&gt;=1)*(CY$170&gt;=FC_Desde)*CY$171)))</f>
        <v>5114.585753424657</v>
      </c>
      <c r="CZ244" s="48">
        <f>SUMPRODUCT((FC_Clase="Administración")*FC_Base*((FC_Mon="PYG")*CZ$175+(FC_Mon&lt;&gt;"PYG"))*((99&gt;Corte)*(99&lt;=Corte+n_Ventana)*ISNUMBER(Detalle_24m!CZ$220:CZ$244)*Detalle_24m!CZ$220:CZ$244+(1-(99&gt;Corte)*(99&lt;=Corte+n_Ventana)*ISNUMBER(Detalle_24m!CZ$220:CZ$244))*FC_V*(1+FC_g)^(CZ$173-1)*((FC_Desde=0)*(CZ$172+CZ$171)+(FC_Desde&gt;=1)*(CZ$170&gt;=FC_Desde)*CZ$171)))</f>
        <v>5114.585753424657</v>
      </c>
      <c r="DA244" s="48">
        <f>SUMPRODUCT((FC_Clase="Administración")*FC_Base*((FC_Mon="PYG")*DA$175+(FC_Mon&lt;&gt;"PYG"))*((100&gt;Corte)*(100&lt;=Corte+n_Ventana)*ISNUMBER(Detalle_24m!DA$220:DA$244)*Detalle_24m!DA$220:DA$244+(1-(100&gt;Corte)*(100&lt;=Corte+n_Ventana)*ISNUMBER(Detalle_24m!DA$220:DA$244))*FC_V*(1+FC_g)^(DA$173-1)*((FC_Desde=0)*(DA$172+DA$171)+(FC_Desde&gt;=1)*(DA$170&gt;=FC_Desde)*DA$171)))</f>
        <v>5114.585753424657</v>
      </c>
      <c r="DB244" s="48">
        <f>SUMPRODUCT((FC_Clase="Administración")*FC_Base*((FC_Mon="PYG")*DB$175+(FC_Mon&lt;&gt;"PYG"))*((101&gt;Corte)*(101&lt;=Corte+n_Ventana)*ISNUMBER(Detalle_24m!DB$220:DB$244)*Detalle_24m!DB$220:DB$244+(1-(101&gt;Corte)*(101&lt;=Corte+n_Ventana)*ISNUMBER(Detalle_24m!DB$220:DB$244))*FC_V*(1+FC_g)^(DB$173-1)*((FC_Desde=0)*(DB$172+DB$171)+(FC_Desde&gt;=1)*(DB$170&gt;=FC_Desde)*DB$171)))</f>
        <v>5114.585753424657</v>
      </c>
      <c r="DC244" s="48">
        <f>SUMPRODUCT((FC_Clase="Administración")*FC_Base*((FC_Mon="PYG")*DC$175+(FC_Mon&lt;&gt;"PYG"))*((102&gt;Corte)*(102&lt;=Corte+n_Ventana)*ISNUMBER(Detalle_24m!DC$220:DC$244)*Detalle_24m!DC$220:DC$244+(1-(102&gt;Corte)*(102&lt;=Corte+n_Ventana)*ISNUMBER(Detalle_24m!DC$220:DC$244))*FC_V*(1+FC_g)^(DC$173-1)*((FC_Desde=0)*(DC$172+DC$171)+(FC_Desde&gt;=1)*(DC$170&gt;=FC_Desde)*DC$171)))</f>
        <v>5114.585753424657</v>
      </c>
      <c r="DD244" s="48">
        <f>SUMPRODUCT((FC_Clase="Administración")*FC_Base*((FC_Mon="PYG")*DD$175+(FC_Mon&lt;&gt;"PYG"))*((103&gt;Corte)*(103&lt;=Corte+n_Ventana)*ISNUMBER(Detalle_24m!DD$220:DD$244)*Detalle_24m!DD$220:DD$244+(1-(103&gt;Corte)*(103&lt;=Corte+n_Ventana)*ISNUMBER(Detalle_24m!DD$220:DD$244))*FC_V*(1+FC_g)^(DD$173-1)*((FC_Desde=0)*(DD$172+DD$171)+(FC_Desde&gt;=1)*(DD$170&gt;=FC_Desde)*DD$171)))</f>
        <v>5114.585753424657</v>
      </c>
      <c r="DE244" s="48">
        <f>SUMPRODUCT((FC_Clase="Administración")*FC_Base*((FC_Mon="PYG")*DE$175+(FC_Mon&lt;&gt;"PYG"))*((104&gt;Corte)*(104&lt;=Corte+n_Ventana)*ISNUMBER(Detalle_24m!DE$220:DE$244)*Detalle_24m!DE$220:DE$244+(1-(104&gt;Corte)*(104&lt;=Corte+n_Ventana)*ISNUMBER(Detalle_24m!DE$220:DE$244))*FC_V*(1+FC_g)^(DE$173-1)*((FC_Desde=0)*(DE$172+DE$171)+(FC_Desde&gt;=1)*(DE$170&gt;=FC_Desde)*DE$171)))</f>
        <v>5114.585753424657</v>
      </c>
      <c r="DF244" s="48">
        <f>SUMPRODUCT((FC_Clase="Administración")*FC_Base*((FC_Mon="PYG")*DF$175+(FC_Mon&lt;&gt;"PYG"))*((105&gt;Corte)*(105&lt;=Corte+n_Ventana)*ISNUMBER(Detalle_24m!DF$220:DF$244)*Detalle_24m!DF$220:DF$244+(1-(105&gt;Corte)*(105&lt;=Corte+n_Ventana)*ISNUMBER(Detalle_24m!DF$220:DF$244))*FC_V*(1+FC_g)^(DF$173-1)*((FC_Desde=0)*(DF$172+DF$171)+(FC_Desde&gt;=1)*(DF$170&gt;=FC_Desde)*DF$171)))</f>
        <v>5114.585753424657</v>
      </c>
      <c r="DG244" s="48">
        <f>SUMPRODUCT((FC_Clase="Administración")*FC_Base*((FC_Mon="PYG")*DG$175+(FC_Mon&lt;&gt;"PYG"))*((106&gt;Corte)*(106&lt;=Corte+n_Ventana)*ISNUMBER(Detalle_24m!DG$220:DG$244)*Detalle_24m!DG$220:DG$244+(1-(106&gt;Corte)*(106&lt;=Corte+n_Ventana)*ISNUMBER(Detalle_24m!DG$220:DG$244))*FC_V*(1+FC_g)^(DG$173-1)*((FC_Desde=0)*(DG$172+DG$171)+(FC_Desde&gt;=1)*(DG$170&gt;=FC_Desde)*DG$171)))</f>
        <v>5114.585753424657</v>
      </c>
      <c r="DH244" s="48">
        <f>SUMPRODUCT((FC_Clase="Administración")*FC_Base*((FC_Mon="PYG")*DH$175+(FC_Mon&lt;&gt;"PYG"))*((107&gt;Corte)*(107&lt;=Corte+n_Ventana)*ISNUMBER(Detalle_24m!DH$220:DH$244)*Detalle_24m!DH$220:DH$244+(1-(107&gt;Corte)*(107&lt;=Corte+n_Ventana)*ISNUMBER(Detalle_24m!DH$220:DH$244))*FC_V*(1+FC_g)^(DH$173-1)*((FC_Desde=0)*(DH$172+DH$171)+(FC_Desde&gt;=1)*(DH$170&gt;=FC_Desde)*DH$171)))</f>
        <v>5114.585753424657</v>
      </c>
      <c r="DI244" s="48">
        <f>SUMPRODUCT((FC_Clase="Administración")*FC_Base*((FC_Mon="PYG")*DI$175+(FC_Mon&lt;&gt;"PYG"))*((108&gt;Corte)*(108&lt;=Corte+n_Ventana)*ISNUMBER(Detalle_24m!DI$220:DI$244)*Detalle_24m!DI$220:DI$244+(1-(108&gt;Corte)*(108&lt;=Corte+n_Ventana)*ISNUMBER(Detalle_24m!DI$220:DI$244))*FC_V*(1+FC_g)^(DI$173-1)*((FC_Desde=0)*(DI$172+DI$171)+(FC_Desde&gt;=1)*(DI$170&gt;=FC_Desde)*DI$171)))</f>
        <v>5114.585753424657</v>
      </c>
      <c r="DJ244" s="48">
        <f>SUMPRODUCT((FC_Clase="Administración")*FC_Base*((FC_Mon="PYG")*DJ$175+(FC_Mon&lt;&gt;"PYG"))*((109&gt;Corte)*(109&lt;=Corte+n_Ventana)*ISNUMBER(Detalle_24m!DJ$220:DJ$244)*Detalle_24m!DJ$220:DJ$244+(1-(109&gt;Corte)*(109&lt;=Corte+n_Ventana)*ISNUMBER(Detalle_24m!DJ$220:DJ$244))*FC_V*(1+FC_g)^(DJ$173-1)*((FC_Desde=0)*(DJ$172+DJ$171)+(FC_Desde&gt;=1)*(DJ$170&gt;=FC_Desde)*DJ$171)))</f>
        <v>5114.585753424657</v>
      </c>
      <c r="DK244" s="48">
        <f>SUMPRODUCT((FC_Clase="Administración")*FC_Base*((FC_Mon="PYG")*DK$175+(FC_Mon&lt;&gt;"PYG"))*((110&gt;Corte)*(110&lt;=Corte+n_Ventana)*ISNUMBER(Detalle_24m!DK$220:DK$244)*Detalle_24m!DK$220:DK$244+(1-(110&gt;Corte)*(110&lt;=Corte+n_Ventana)*ISNUMBER(Detalle_24m!DK$220:DK$244))*FC_V*(1+FC_g)^(DK$173-1)*((FC_Desde=0)*(DK$172+DK$171)+(FC_Desde&gt;=1)*(DK$170&gt;=FC_Desde)*DK$171)))</f>
        <v>5114.585753424657</v>
      </c>
      <c r="DL244" s="48">
        <f>SUMPRODUCT((FC_Clase="Administración")*FC_Base*((FC_Mon="PYG")*DL$175+(FC_Mon&lt;&gt;"PYG"))*((111&gt;Corte)*(111&lt;=Corte+n_Ventana)*ISNUMBER(Detalle_24m!DL$220:DL$244)*Detalle_24m!DL$220:DL$244+(1-(111&gt;Corte)*(111&lt;=Corte+n_Ventana)*ISNUMBER(Detalle_24m!DL$220:DL$244))*FC_V*(1+FC_g)^(DL$173-1)*((FC_Desde=0)*(DL$172+DL$171)+(FC_Desde&gt;=1)*(DL$170&gt;=FC_Desde)*DL$171)))</f>
        <v>5114.585753424657</v>
      </c>
      <c r="DM244" s="48">
        <f>SUMPRODUCT((FC_Clase="Administración")*FC_Base*((FC_Mon="PYG")*DM$175+(FC_Mon&lt;&gt;"PYG"))*((112&gt;Corte)*(112&lt;=Corte+n_Ventana)*ISNUMBER(Detalle_24m!DM$220:DM$244)*Detalle_24m!DM$220:DM$244+(1-(112&gt;Corte)*(112&lt;=Corte+n_Ventana)*ISNUMBER(Detalle_24m!DM$220:DM$244))*FC_V*(1+FC_g)^(DM$173-1)*((FC_Desde=0)*(DM$172+DM$171)+(FC_Desde&gt;=1)*(DM$170&gt;=FC_Desde)*DM$171)))</f>
        <v>5114.585753424657</v>
      </c>
      <c r="DN244" s="48">
        <f>SUMPRODUCT((FC_Clase="Administración")*FC_Base*((FC_Mon="PYG")*DN$175+(FC_Mon&lt;&gt;"PYG"))*((113&gt;Corte)*(113&lt;=Corte+n_Ventana)*ISNUMBER(Detalle_24m!DN$220:DN$244)*Detalle_24m!DN$220:DN$244+(1-(113&gt;Corte)*(113&lt;=Corte+n_Ventana)*ISNUMBER(Detalle_24m!DN$220:DN$244))*FC_V*(1+FC_g)^(DN$173-1)*((FC_Desde=0)*(DN$172+DN$171)+(FC_Desde&gt;=1)*(DN$170&gt;=FC_Desde)*DN$171)))</f>
        <v>5114.585753424657</v>
      </c>
      <c r="DO244" s="48">
        <f>SUMPRODUCT((FC_Clase="Administración")*FC_Base*((FC_Mon="PYG")*DO$175+(FC_Mon&lt;&gt;"PYG"))*((114&gt;Corte)*(114&lt;=Corte+n_Ventana)*ISNUMBER(Detalle_24m!DO$220:DO$244)*Detalle_24m!DO$220:DO$244+(1-(114&gt;Corte)*(114&lt;=Corte+n_Ventana)*ISNUMBER(Detalle_24m!DO$220:DO$244))*FC_V*(1+FC_g)^(DO$173-1)*((FC_Desde=0)*(DO$172+DO$171)+(FC_Desde&gt;=1)*(DO$170&gt;=FC_Desde)*DO$171)))</f>
        <v>5114.585753424657</v>
      </c>
      <c r="DP244" s="48">
        <f>SUMPRODUCT((FC_Clase="Administración")*FC_Base*((FC_Mon="PYG")*DP$175+(FC_Mon&lt;&gt;"PYG"))*((115&gt;Corte)*(115&lt;=Corte+n_Ventana)*ISNUMBER(Detalle_24m!DP$220:DP$244)*Detalle_24m!DP$220:DP$244+(1-(115&gt;Corte)*(115&lt;=Corte+n_Ventana)*ISNUMBER(Detalle_24m!DP$220:DP$244))*FC_V*(1+FC_g)^(DP$173-1)*((FC_Desde=0)*(DP$172+DP$171)+(FC_Desde&gt;=1)*(DP$170&gt;=FC_Desde)*DP$171)))</f>
        <v>5114.585753424657</v>
      </c>
      <c r="DQ244" s="48">
        <f>SUMPRODUCT((FC_Clase="Administración")*FC_Base*((FC_Mon="PYG")*DQ$175+(FC_Mon&lt;&gt;"PYG"))*((116&gt;Corte)*(116&lt;=Corte+n_Ventana)*ISNUMBER(Detalle_24m!DQ$220:DQ$244)*Detalle_24m!DQ$220:DQ$244+(1-(116&gt;Corte)*(116&lt;=Corte+n_Ventana)*ISNUMBER(Detalle_24m!DQ$220:DQ$244))*FC_V*(1+FC_g)^(DQ$173-1)*((FC_Desde=0)*(DQ$172+DQ$171)+(FC_Desde&gt;=1)*(DQ$170&gt;=FC_Desde)*DQ$171)))</f>
        <v>5114.585753424657</v>
      </c>
      <c r="DR244" s="48">
        <f>SUMPRODUCT((FC_Clase="Administración")*FC_Base*((FC_Mon="PYG")*DR$175+(FC_Mon&lt;&gt;"PYG"))*((117&gt;Corte)*(117&lt;=Corte+n_Ventana)*ISNUMBER(Detalle_24m!DR$220:DR$244)*Detalle_24m!DR$220:DR$244+(1-(117&gt;Corte)*(117&lt;=Corte+n_Ventana)*ISNUMBER(Detalle_24m!DR$220:DR$244))*FC_V*(1+FC_g)^(DR$173-1)*((FC_Desde=0)*(DR$172+DR$171)+(FC_Desde&gt;=1)*(DR$170&gt;=FC_Desde)*DR$171)))</f>
        <v>5114.585753424657</v>
      </c>
      <c r="DS244" s="48">
        <f>SUMPRODUCT((FC_Clase="Administración")*FC_Base*((FC_Mon="PYG")*DS$175+(FC_Mon&lt;&gt;"PYG"))*((118&gt;Corte)*(118&lt;=Corte+n_Ventana)*ISNUMBER(Detalle_24m!DS$220:DS$244)*Detalle_24m!DS$220:DS$244+(1-(118&gt;Corte)*(118&lt;=Corte+n_Ventana)*ISNUMBER(Detalle_24m!DS$220:DS$244))*FC_V*(1+FC_g)^(DS$173-1)*((FC_Desde=0)*(DS$172+DS$171)+(FC_Desde&gt;=1)*(DS$170&gt;=FC_Desde)*DS$171)))</f>
        <v>5114.585753424657</v>
      </c>
      <c r="DT244" s="48">
        <f>SUMPRODUCT((FC_Clase="Administración")*FC_Base*((FC_Mon="PYG")*DT$175+(FC_Mon&lt;&gt;"PYG"))*((119&gt;Corte)*(119&lt;=Corte+n_Ventana)*ISNUMBER(Detalle_24m!DT$220:DT$244)*Detalle_24m!DT$220:DT$244+(1-(119&gt;Corte)*(119&lt;=Corte+n_Ventana)*ISNUMBER(Detalle_24m!DT$220:DT$244))*FC_V*(1+FC_g)^(DT$173-1)*((FC_Desde=0)*(DT$172+DT$171)+(FC_Desde&gt;=1)*(DT$170&gt;=FC_Desde)*DT$171)))</f>
        <v>5114.585753424657</v>
      </c>
      <c r="DU244" s="48">
        <f>SUMPRODUCT((FC_Clase="Administración")*FC_Base*((FC_Mon="PYG")*DU$175+(FC_Mon&lt;&gt;"PYG"))*((120&gt;Corte)*(120&lt;=Corte+n_Ventana)*ISNUMBER(Detalle_24m!DU$220:DU$244)*Detalle_24m!DU$220:DU$244+(1-(120&gt;Corte)*(120&lt;=Corte+n_Ventana)*ISNUMBER(Detalle_24m!DU$220:DU$244))*FC_V*(1+FC_g)^(DU$173-1)*((FC_Desde=0)*(DU$172+DU$171)+(FC_Desde&gt;=1)*(DU$170&gt;=FC_Desde)*DU$171)))</f>
        <v>5114.585753424657</v>
      </c>
      <c r="DV244" s="48">
        <f>SUMPRODUCT((FC_Clase="Administración")*FC_Base*((FC_Mon="PYG")*DV$175+(FC_Mon&lt;&gt;"PYG"))*((121&gt;Corte)*(121&lt;=Corte+n_Ventana)*ISNUMBER(Detalle_24m!DV$220:DV$244)*Detalle_24m!DV$220:DV$244+(1-(121&gt;Corte)*(121&lt;=Corte+n_Ventana)*ISNUMBER(Detalle_24m!DV$220:DV$244))*FC_V*(1+FC_g)^(DV$173-1)*((FC_Desde=0)*(DV$172+DV$171)+(FC_Desde&gt;=1)*(DV$170&gt;=FC_Desde)*DV$171)))</f>
        <v>0</v>
      </c>
      <c r="DW244" s="48">
        <f>SUMPRODUCT((FC_Clase="Administración")*FC_Base*((FC_Mon="PYG")*DW$175+(FC_Mon&lt;&gt;"PYG"))*((122&gt;Corte)*(122&lt;=Corte+n_Ventana)*ISNUMBER(Detalle_24m!DW$220:DW$244)*Detalle_24m!DW$220:DW$244+(1-(122&gt;Corte)*(122&lt;=Corte+n_Ventana)*ISNUMBER(Detalle_24m!DW$220:DW$244))*FC_V*(1+FC_g)^(DW$173-1)*((FC_Desde=0)*(DW$172+DW$171)+(FC_Desde&gt;=1)*(DW$170&gt;=FC_Desde)*DW$171)))</f>
        <v>0</v>
      </c>
      <c r="DX244" s="48">
        <f>SUMPRODUCT((FC_Clase="Administración")*FC_Base*((FC_Mon="PYG")*DX$175+(FC_Mon&lt;&gt;"PYG"))*((123&gt;Corte)*(123&lt;=Corte+n_Ventana)*ISNUMBER(Detalle_24m!DX$220:DX$244)*Detalle_24m!DX$220:DX$244+(1-(123&gt;Corte)*(123&lt;=Corte+n_Ventana)*ISNUMBER(Detalle_24m!DX$220:DX$244))*FC_V*(1+FC_g)^(DX$173-1)*((FC_Desde=0)*(DX$172+DX$171)+(FC_Desde&gt;=1)*(DX$170&gt;=FC_Desde)*DX$171)))</f>
        <v>0</v>
      </c>
      <c r="DY244" s="48">
        <f>SUMPRODUCT((FC_Clase="Administración")*FC_Base*((FC_Mon="PYG")*DY$175+(FC_Mon&lt;&gt;"PYG"))*((124&gt;Corte)*(124&lt;=Corte+n_Ventana)*ISNUMBER(Detalle_24m!DY$220:DY$244)*Detalle_24m!DY$220:DY$244+(1-(124&gt;Corte)*(124&lt;=Corte+n_Ventana)*ISNUMBER(Detalle_24m!DY$220:DY$244))*FC_V*(1+FC_g)^(DY$173-1)*((FC_Desde=0)*(DY$172+DY$171)+(FC_Desde&gt;=1)*(DY$170&gt;=FC_Desde)*DY$171)))</f>
        <v>0</v>
      </c>
      <c r="DZ244" s="48">
        <f>SUMPRODUCT((FC_Clase="Administración")*FC_Base*((FC_Mon="PYG")*DZ$175+(FC_Mon&lt;&gt;"PYG"))*((125&gt;Corte)*(125&lt;=Corte+n_Ventana)*ISNUMBER(Detalle_24m!DZ$220:DZ$244)*Detalle_24m!DZ$220:DZ$244+(1-(125&gt;Corte)*(125&lt;=Corte+n_Ventana)*ISNUMBER(Detalle_24m!DZ$220:DZ$244))*FC_V*(1+FC_g)^(DZ$173-1)*((FC_Desde=0)*(DZ$172+DZ$171)+(FC_Desde&gt;=1)*(DZ$170&gt;=FC_Desde)*DZ$171)))</f>
        <v>0</v>
      </c>
      <c r="EA244" s="48">
        <f>SUMPRODUCT((FC_Clase="Administración")*FC_Base*((FC_Mon="PYG")*EA$175+(FC_Mon&lt;&gt;"PYG"))*((126&gt;Corte)*(126&lt;=Corte+n_Ventana)*ISNUMBER(Detalle_24m!EA$220:EA$244)*Detalle_24m!EA$220:EA$244+(1-(126&gt;Corte)*(126&lt;=Corte+n_Ventana)*ISNUMBER(Detalle_24m!EA$220:EA$244))*FC_V*(1+FC_g)^(EA$173-1)*((FC_Desde=0)*(EA$172+EA$171)+(FC_Desde&gt;=1)*(EA$170&gt;=FC_Desde)*EA$171)))</f>
        <v>0</v>
      </c>
      <c r="EB244" s="48">
        <f>SUMPRODUCT((FC_Clase="Administración")*FC_Base*((FC_Mon="PYG")*EB$175+(FC_Mon&lt;&gt;"PYG"))*((127&gt;Corte)*(127&lt;=Corte+n_Ventana)*ISNUMBER(Detalle_24m!EB$220:EB$244)*Detalle_24m!EB$220:EB$244+(1-(127&gt;Corte)*(127&lt;=Corte+n_Ventana)*ISNUMBER(Detalle_24m!EB$220:EB$244))*FC_V*(1+FC_g)^(EB$173-1)*((FC_Desde=0)*(EB$172+EB$171)+(FC_Desde&gt;=1)*(EB$170&gt;=FC_Desde)*EB$171)))</f>
        <v>0</v>
      </c>
      <c r="EC244" s="48">
        <f>SUMPRODUCT((FC_Clase="Administración")*FC_Base*((FC_Mon="PYG")*EC$175+(FC_Mon&lt;&gt;"PYG"))*((128&gt;Corte)*(128&lt;=Corte+n_Ventana)*ISNUMBER(Detalle_24m!EC$220:EC$244)*Detalle_24m!EC$220:EC$244+(1-(128&gt;Corte)*(128&lt;=Corte+n_Ventana)*ISNUMBER(Detalle_24m!EC$220:EC$244))*FC_V*(1+FC_g)^(EC$173-1)*((FC_Desde=0)*(EC$172+EC$171)+(FC_Desde&gt;=1)*(EC$170&gt;=FC_Desde)*EC$171)))</f>
        <v>0</v>
      </c>
      <c r="ED244" s="48">
        <f>SUMPRODUCT((FC_Clase="Administración")*FC_Base*((FC_Mon="PYG")*ED$175+(FC_Mon&lt;&gt;"PYG"))*((129&gt;Corte)*(129&lt;=Corte+n_Ventana)*ISNUMBER(Detalle_24m!ED$220:ED$244)*Detalle_24m!ED$220:ED$244+(1-(129&gt;Corte)*(129&lt;=Corte+n_Ventana)*ISNUMBER(Detalle_24m!ED$220:ED$244))*FC_V*(1+FC_g)^(ED$173-1)*((FC_Desde=0)*(ED$172+ED$171)+(FC_Desde&gt;=1)*(ED$170&gt;=FC_Desde)*ED$171)))</f>
        <v>0</v>
      </c>
      <c r="EE244" s="48">
        <f>SUMPRODUCT((FC_Clase="Administración")*FC_Base*((FC_Mon="PYG")*EE$175+(FC_Mon&lt;&gt;"PYG"))*((130&gt;Corte)*(130&lt;=Corte+n_Ventana)*ISNUMBER(Detalle_24m!EE$220:EE$244)*Detalle_24m!EE$220:EE$244+(1-(130&gt;Corte)*(130&lt;=Corte+n_Ventana)*ISNUMBER(Detalle_24m!EE$220:EE$244))*FC_V*(1+FC_g)^(EE$173-1)*((FC_Desde=0)*(EE$172+EE$171)+(FC_Desde&gt;=1)*(EE$170&gt;=FC_Desde)*EE$171)))</f>
        <v>0</v>
      </c>
      <c r="EF244" s="48">
        <f>SUMPRODUCT((FC_Clase="Administración")*FC_Base*((FC_Mon="PYG")*EF$175+(FC_Mon&lt;&gt;"PYG"))*((131&gt;Corte)*(131&lt;=Corte+n_Ventana)*ISNUMBER(Detalle_24m!EF$220:EF$244)*Detalle_24m!EF$220:EF$244+(1-(131&gt;Corte)*(131&lt;=Corte+n_Ventana)*ISNUMBER(Detalle_24m!EF$220:EF$244))*FC_V*(1+FC_g)^(EF$173-1)*((FC_Desde=0)*(EF$172+EF$171)+(FC_Desde&gt;=1)*(EF$170&gt;=FC_Desde)*EF$171)))</f>
        <v>0</v>
      </c>
      <c r="EG244" s="48">
        <f>SUMPRODUCT((FC_Clase="Administración")*FC_Base*((FC_Mon="PYG")*EG$175+(FC_Mon&lt;&gt;"PYG"))*((132&gt;Corte)*(132&lt;=Corte+n_Ventana)*ISNUMBER(Detalle_24m!EG$220:EG$244)*Detalle_24m!EG$220:EG$244+(1-(132&gt;Corte)*(132&lt;=Corte+n_Ventana)*ISNUMBER(Detalle_24m!EG$220:EG$244))*FC_V*(1+FC_g)^(EG$173-1)*((FC_Desde=0)*(EG$172+EG$171)+(FC_Desde&gt;=1)*(EG$170&gt;=FC_Desde)*EG$171)))</f>
        <v>0</v>
      </c>
      <c r="EH244" s="48">
        <f>SUMPRODUCT((FC_Clase="Administración")*FC_Base*((FC_Mon="PYG")*EH$175+(FC_Mon&lt;&gt;"PYG"))*((133&gt;Corte)*(133&lt;=Corte+n_Ventana)*ISNUMBER(Detalle_24m!EH$220:EH$244)*Detalle_24m!EH$220:EH$244+(1-(133&gt;Corte)*(133&lt;=Corte+n_Ventana)*ISNUMBER(Detalle_24m!EH$220:EH$244))*FC_V*(1+FC_g)^(EH$173-1)*((FC_Desde=0)*(EH$172+EH$171)+(FC_Desde&gt;=1)*(EH$170&gt;=FC_Desde)*EH$171)))</f>
        <v>0</v>
      </c>
      <c r="EI244" s="48">
        <f>SUMPRODUCT((FC_Clase="Administración")*FC_Base*((FC_Mon="PYG")*EI$175+(FC_Mon&lt;&gt;"PYG"))*((134&gt;Corte)*(134&lt;=Corte+n_Ventana)*ISNUMBER(Detalle_24m!EI$220:EI$244)*Detalle_24m!EI$220:EI$244+(1-(134&gt;Corte)*(134&lt;=Corte+n_Ventana)*ISNUMBER(Detalle_24m!EI$220:EI$244))*FC_V*(1+FC_g)^(EI$173-1)*((FC_Desde=0)*(EI$172+EI$171)+(FC_Desde&gt;=1)*(EI$170&gt;=FC_Desde)*EI$171)))</f>
        <v>0</v>
      </c>
      <c r="EJ244" s="48">
        <f>SUMPRODUCT((FC_Clase="Administración")*FC_Base*((FC_Mon="PYG")*EJ$175+(FC_Mon&lt;&gt;"PYG"))*((135&gt;Corte)*(135&lt;=Corte+n_Ventana)*ISNUMBER(Detalle_24m!EJ$220:EJ$244)*Detalle_24m!EJ$220:EJ$244+(1-(135&gt;Corte)*(135&lt;=Corte+n_Ventana)*ISNUMBER(Detalle_24m!EJ$220:EJ$244))*FC_V*(1+FC_g)^(EJ$173-1)*((FC_Desde=0)*(EJ$172+EJ$171)+(FC_Desde&gt;=1)*(EJ$170&gt;=FC_Desde)*EJ$171)))</f>
        <v>0</v>
      </c>
      <c r="EK244" s="48">
        <f>SUMPRODUCT((FC_Clase="Administración")*FC_Base*((FC_Mon="PYG")*EK$175+(FC_Mon&lt;&gt;"PYG"))*((136&gt;Corte)*(136&lt;=Corte+n_Ventana)*ISNUMBER(Detalle_24m!EK$220:EK$244)*Detalle_24m!EK$220:EK$244+(1-(136&gt;Corte)*(136&lt;=Corte+n_Ventana)*ISNUMBER(Detalle_24m!EK$220:EK$244))*FC_V*(1+FC_g)^(EK$173-1)*((FC_Desde=0)*(EK$172+EK$171)+(FC_Desde&gt;=1)*(EK$170&gt;=FC_Desde)*EK$171)))</f>
        <v>0</v>
      </c>
      <c r="EL244" s="48">
        <f>SUMPRODUCT((FC_Clase="Administración")*FC_Base*((FC_Mon="PYG")*EL$175+(FC_Mon&lt;&gt;"PYG"))*((137&gt;Corte)*(137&lt;=Corte+n_Ventana)*ISNUMBER(Detalle_24m!EL$220:EL$244)*Detalle_24m!EL$220:EL$244+(1-(137&gt;Corte)*(137&lt;=Corte+n_Ventana)*ISNUMBER(Detalle_24m!EL$220:EL$244))*FC_V*(1+FC_g)^(EL$173-1)*((FC_Desde=0)*(EL$172+EL$171)+(FC_Desde&gt;=1)*(EL$170&gt;=FC_Desde)*EL$171)))</f>
        <v>0</v>
      </c>
      <c r="EM244" s="48">
        <f>SUMPRODUCT((FC_Clase="Administración")*FC_Base*((FC_Mon="PYG")*EM$175+(FC_Mon&lt;&gt;"PYG"))*((138&gt;Corte)*(138&lt;=Corte+n_Ventana)*ISNUMBER(Detalle_24m!EM$220:EM$244)*Detalle_24m!EM$220:EM$244+(1-(138&gt;Corte)*(138&lt;=Corte+n_Ventana)*ISNUMBER(Detalle_24m!EM$220:EM$244))*FC_V*(1+FC_g)^(EM$173-1)*((FC_Desde=0)*(EM$172+EM$171)+(FC_Desde&gt;=1)*(EM$170&gt;=FC_Desde)*EM$171)))</f>
        <v>0</v>
      </c>
      <c r="EN244" s="48">
        <f>SUMPRODUCT((FC_Clase="Administración")*FC_Base*((FC_Mon="PYG")*EN$175+(FC_Mon&lt;&gt;"PYG"))*((139&gt;Corte)*(139&lt;=Corte+n_Ventana)*ISNUMBER(Detalle_24m!EN$220:EN$244)*Detalle_24m!EN$220:EN$244+(1-(139&gt;Corte)*(139&lt;=Corte+n_Ventana)*ISNUMBER(Detalle_24m!EN$220:EN$244))*FC_V*(1+FC_g)^(EN$173-1)*((FC_Desde=0)*(EN$172+EN$171)+(FC_Desde&gt;=1)*(EN$170&gt;=FC_Desde)*EN$171)))</f>
        <v>0</v>
      </c>
      <c r="EO244" s="48">
        <f>SUMPRODUCT((FC_Clase="Administración")*FC_Base*((FC_Mon="PYG")*EO$175+(FC_Mon&lt;&gt;"PYG"))*((140&gt;Corte)*(140&lt;=Corte+n_Ventana)*ISNUMBER(Detalle_24m!EO$220:EO$244)*Detalle_24m!EO$220:EO$244+(1-(140&gt;Corte)*(140&lt;=Corte+n_Ventana)*ISNUMBER(Detalle_24m!EO$220:EO$244))*FC_V*(1+FC_g)^(EO$173-1)*((FC_Desde=0)*(EO$172+EO$171)+(FC_Desde&gt;=1)*(EO$170&gt;=FC_Desde)*EO$171)))</f>
        <v>0</v>
      </c>
      <c r="EP244" s="48">
        <f>SUMPRODUCT((FC_Clase="Administración")*FC_Base*((FC_Mon="PYG")*EP$175+(FC_Mon&lt;&gt;"PYG"))*((141&gt;Corte)*(141&lt;=Corte+n_Ventana)*ISNUMBER(Detalle_24m!EP$220:EP$244)*Detalle_24m!EP$220:EP$244+(1-(141&gt;Corte)*(141&lt;=Corte+n_Ventana)*ISNUMBER(Detalle_24m!EP$220:EP$244))*FC_V*(1+FC_g)^(EP$173-1)*((FC_Desde=0)*(EP$172+EP$171)+(FC_Desde&gt;=1)*(EP$170&gt;=FC_Desde)*EP$171)))</f>
        <v>0</v>
      </c>
      <c r="EQ244" s="48">
        <f>SUMPRODUCT((FC_Clase="Administración")*FC_Base*((FC_Mon="PYG")*EQ$175+(FC_Mon&lt;&gt;"PYG"))*((142&gt;Corte)*(142&lt;=Corte+n_Ventana)*ISNUMBER(Detalle_24m!EQ$220:EQ$244)*Detalle_24m!EQ$220:EQ$244+(1-(142&gt;Corte)*(142&lt;=Corte+n_Ventana)*ISNUMBER(Detalle_24m!EQ$220:EQ$244))*FC_V*(1+FC_g)^(EQ$173-1)*((FC_Desde=0)*(EQ$172+EQ$171)+(FC_Desde&gt;=1)*(EQ$170&gt;=FC_Desde)*EQ$171)))</f>
        <v>0</v>
      </c>
      <c r="ER244" s="48">
        <f>SUMPRODUCT((FC_Clase="Administración")*FC_Base*((FC_Mon="PYG")*ER$175+(FC_Mon&lt;&gt;"PYG"))*((143&gt;Corte)*(143&lt;=Corte+n_Ventana)*ISNUMBER(Detalle_24m!ER$220:ER$244)*Detalle_24m!ER$220:ER$244+(1-(143&gt;Corte)*(143&lt;=Corte+n_Ventana)*ISNUMBER(Detalle_24m!ER$220:ER$244))*FC_V*(1+FC_g)^(ER$173-1)*((FC_Desde=0)*(ER$172+ER$171)+(FC_Desde&gt;=1)*(ER$170&gt;=FC_Desde)*ER$171)))</f>
        <v>0</v>
      </c>
      <c r="ES244" s="48">
        <f>SUMPRODUCT((FC_Clase="Administración")*FC_Base*((FC_Mon="PYG")*ES$175+(FC_Mon&lt;&gt;"PYG"))*((144&gt;Corte)*(144&lt;=Corte+n_Ventana)*ISNUMBER(Detalle_24m!ES$220:ES$244)*Detalle_24m!ES$220:ES$244+(1-(144&gt;Corte)*(144&lt;=Corte+n_Ventana)*ISNUMBER(Detalle_24m!ES$220:ES$244))*FC_V*(1+FC_g)^(ES$173-1)*((FC_Desde=0)*(ES$172+ES$171)+(FC_Desde&gt;=1)*(ES$170&gt;=FC_Desde)*ES$171)))</f>
        <v>0</v>
      </c>
    </row>
    <row r="245" spans="1:149" x14ac:dyDescent="0.3">
      <c r="A245" s="14" t="s">
        <v>1299</v>
      </c>
      <c r="B245" s="18" t="s">
        <v>1083</v>
      </c>
      <c r="C245" s="18" t="s">
        <v>439</v>
      </c>
      <c r="E245" s="54">
        <f t="shared" si="616"/>
        <v>2851501.2974909078</v>
      </c>
      <c r="F245" s="48">
        <f t="shared" ref="F245:AK245" si="632">V_ImpP*(F$229+F$230+F$231+F$232+F$239+F$240+F$234+F$236+F$242)</f>
        <v>15479.533208497649</v>
      </c>
      <c r="G245" s="48">
        <f t="shared" si="632"/>
        <v>15479.533208497649</v>
      </c>
      <c r="H245" s="48">
        <f t="shared" si="632"/>
        <v>15479.533208497649</v>
      </c>
      <c r="I245" s="48">
        <f t="shared" si="632"/>
        <v>15479.533208497649</v>
      </c>
      <c r="J245" s="48">
        <f t="shared" si="632"/>
        <v>15479.533208497649</v>
      </c>
      <c r="K245" s="48">
        <f t="shared" si="632"/>
        <v>15479.533208497649</v>
      </c>
      <c r="L245" s="48">
        <f t="shared" si="632"/>
        <v>15479.533208497649</v>
      </c>
      <c r="M245" s="48">
        <f t="shared" si="632"/>
        <v>15479.533208497649</v>
      </c>
      <c r="N245" s="48">
        <f t="shared" si="632"/>
        <v>15479.533208497649</v>
      </c>
      <c r="O245" s="48">
        <f t="shared" si="632"/>
        <v>15479.533208497649</v>
      </c>
      <c r="P245" s="48">
        <f t="shared" si="632"/>
        <v>15479.533208497649</v>
      </c>
      <c r="Q245" s="48">
        <f t="shared" si="632"/>
        <v>15479.533208497649</v>
      </c>
      <c r="R245" s="48">
        <f t="shared" si="632"/>
        <v>18874.377374289317</v>
      </c>
      <c r="S245" s="48">
        <f t="shared" si="632"/>
        <v>18874.377374289317</v>
      </c>
      <c r="T245" s="48">
        <f t="shared" si="632"/>
        <v>18874.377374289317</v>
      </c>
      <c r="U245" s="48">
        <f t="shared" si="632"/>
        <v>18874.377374289317</v>
      </c>
      <c r="V245" s="48">
        <f t="shared" si="632"/>
        <v>18874.377374289317</v>
      </c>
      <c r="W245" s="48">
        <f t="shared" si="632"/>
        <v>18874.377374289317</v>
      </c>
      <c r="X245" s="48">
        <f t="shared" si="632"/>
        <v>18874.377374289317</v>
      </c>
      <c r="Y245" s="48">
        <f t="shared" si="632"/>
        <v>18874.377374289317</v>
      </c>
      <c r="Z245" s="48">
        <f t="shared" si="632"/>
        <v>18874.377374289317</v>
      </c>
      <c r="AA245" s="48">
        <f t="shared" si="632"/>
        <v>18874.377374289317</v>
      </c>
      <c r="AB245" s="48">
        <f t="shared" si="632"/>
        <v>18874.377374289317</v>
      </c>
      <c r="AC245" s="48">
        <f t="shared" si="632"/>
        <v>18874.377374289317</v>
      </c>
      <c r="AD245" s="48">
        <f t="shared" si="632"/>
        <v>22438.304447091225</v>
      </c>
      <c r="AE245" s="48">
        <f t="shared" si="632"/>
        <v>22438.304447091225</v>
      </c>
      <c r="AF245" s="48">
        <f t="shared" si="632"/>
        <v>22438.304447091225</v>
      </c>
      <c r="AG245" s="48">
        <f t="shared" si="632"/>
        <v>22438.304447091225</v>
      </c>
      <c r="AH245" s="48">
        <f t="shared" si="632"/>
        <v>22438.304447091225</v>
      </c>
      <c r="AI245" s="48">
        <f t="shared" si="632"/>
        <v>22438.304447091225</v>
      </c>
      <c r="AJ245" s="48">
        <f t="shared" si="632"/>
        <v>22438.304447091225</v>
      </c>
      <c r="AK245" s="48">
        <f t="shared" si="632"/>
        <v>22438.304447091225</v>
      </c>
      <c r="AL245" s="48">
        <f t="shared" ref="AL245:BQ245" si="633">V_ImpP*(AL$229+AL$230+AL$231+AL$232+AL$239+AL$240+AL$234+AL$236+AL$242)</f>
        <v>22438.304447091225</v>
      </c>
      <c r="AM245" s="48">
        <f t="shared" si="633"/>
        <v>22438.304447091225</v>
      </c>
      <c r="AN245" s="48">
        <f t="shared" si="633"/>
        <v>22438.304447091225</v>
      </c>
      <c r="AO245" s="48">
        <f t="shared" si="633"/>
        <v>22438.304447091225</v>
      </c>
      <c r="AP245" s="48">
        <f t="shared" si="633"/>
        <v>25354.719648389615</v>
      </c>
      <c r="AQ245" s="48">
        <f t="shared" si="633"/>
        <v>25354.719648389615</v>
      </c>
      <c r="AR245" s="48">
        <f t="shared" si="633"/>
        <v>25354.719648389615</v>
      </c>
      <c r="AS245" s="48">
        <f t="shared" si="633"/>
        <v>25354.719648389615</v>
      </c>
      <c r="AT245" s="48">
        <f t="shared" si="633"/>
        <v>25354.719648389615</v>
      </c>
      <c r="AU245" s="48">
        <f t="shared" si="633"/>
        <v>25354.719648389615</v>
      </c>
      <c r="AV245" s="48">
        <f t="shared" si="633"/>
        <v>25354.719648389615</v>
      </c>
      <c r="AW245" s="48">
        <f t="shared" si="633"/>
        <v>25354.719648389615</v>
      </c>
      <c r="AX245" s="48">
        <f t="shared" si="633"/>
        <v>25354.719648389615</v>
      </c>
      <c r="AY245" s="48">
        <f t="shared" si="633"/>
        <v>25354.719648389615</v>
      </c>
      <c r="AZ245" s="48">
        <f t="shared" si="633"/>
        <v>25354.719648389615</v>
      </c>
      <c r="BA245" s="48">
        <f t="shared" si="633"/>
        <v>25354.719648389615</v>
      </c>
      <c r="BB245" s="48">
        <f t="shared" si="633"/>
        <v>25605.34217616318</v>
      </c>
      <c r="BC245" s="48">
        <f t="shared" si="633"/>
        <v>25605.34217616318</v>
      </c>
      <c r="BD245" s="48">
        <f t="shared" si="633"/>
        <v>25605.34217616318</v>
      </c>
      <c r="BE245" s="48">
        <f t="shared" si="633"/>
        <v>25605.34217616318</v>
      </c>
      <c r="BF245" s="48">
        <f t="shared" si="633"/>
        <v>25605.34217616318</v>
      </c>
      <c r="BG245" s="48">
        <f t="shared" si="633"/>
        <v>25605.34217616318</v>
      </c>
      <c r="BH245" s="48">
        <f t="shared" si="633"/>
        <v>25605.34217616318</v>
      </c>
      <c r="BI245" s="48">
        <f t="shared" si="633"/>
        <v>25605.34217616318</v>
      </c>
      <c r="BJ245" s="48">
        <f t="shared" si="633"/>
        <v>25605.34217616318</v>
      </c>
      <c r="BK245" s="48">
        <f t="shared" si="633"/>
        <v>25605.34217616318</v>
      </c>
      <c r="BL245" s="48">
        <f t="shared" si="633"/>
        <v>25605.34217616318</v>
      </c>
      <c r="BM245" s="48">
        <f t="shared" si="633"/>
        <v>25605.34217616318</v>
      </c>
      <c r="BN245" s="48">
        <f t="shared" si="633"/>
        <v>25726.749375358675</v>
      </c>
      <c r="BO245" s="48">
        <f t="shared" si="633"/>
        <v>25726.749375358675</v>
      </c>
      <c r="BP245" s="48">
        <f t="shared" si="633"/>
        <v>25726.749375358675</v>
      </c>
      <c r="BQ245" s="48">
        <f t="shared" si="633"/>
        <v>25726.749375358675</v>
      </c>
      <c r="BR245" s="48">
        <f t="shared" ref="BR245:CW245" si="634">V_ImpP*(BR$229+BR$230+BR$231+BR$232+BR$239+BR$240+BR$234+BR$236+BR$242)</f>
        <v>25726.749375358675</v>
      </c>
      <c r="BS245" s="48">
        <f t="shared" si="634"/>
        <v>25726.749375358675</v>
      </c>
      <c r="BT245" s="48">
        <f t="shared" si="634"/>
        <v>25726.749375358675</v>
      </c>
      <c r="BU245" s="48">
        <f t="shared" si="634"/>
        <v>25726.749375358675</v>
      </c>
      <c r="BV245" s="48">
        <f t="shared" si="634"/>
        <v>25726.749375358675</v>
      </c>
      <c r="BW245" s="48">
        <f t="shared" si="634"/>
        <v>25726.749375358675</v>
      </c>
      <c r="BX245" s="48">
        <f t="shared" si="634"/>
        <v>25726.749375358675</v>
      </c>
      <c r="BY245" s="48">
        <f t="shared" si="634"/>
        <v>25726.749375358675</v>
      </c>
      <c r="BZ245" s="48">
        <f t="shared" si="634"/>
        <v>25849.397443994381</v>
      </c>
      <c r="CA245" s="48">
        <f t="shared" si="634"/>
        <v>25849.397443994381</v>
      </c>
      <c r="CB245" s="48">
        <f t="shared" si="634"/>
        <v>25849.397443994381</v>
      </c>
      <c r="CC245" s="48">
        <f t="shared" si="634"/>
        <v>25849.397443994381</v>
      </c>
      <c r="CD245" s="48">
        <f t="shared" si="634"/>
        <v>25849.397443994381</v>
      </c>
      <c r="CE245" s="48">
        <f t="shared" si="634"/>
        <v>25849.397443994381</v>
      </c>
      <c r="CF245" s="48">
        <f t="shared" si="634"/>
        <v>25849.397443994381</v>
      </c>
      <c r="CG245" s="48">
        <f t="shared" si="634"/>
        <v>25849.397443994381</v>
      </c>
      <c r="CH245" s="48">
        <f t="shared" si="634"/>
        <v>25849.397443994381</v>
      </c>
      <c r="CI245" s="48">
        <f t="shared" si="634"/>
        <v>25849.397443994381</v>
      </c>
      <c r="CJ245" s="48">
        <f t="shared" si="634"/>
        <v>25849.397443994381</v>
      </c>
      <c r="CK245" s="48">
        <f t="shared" si="634"/>
        <v>25849.397443994381</v>
      </c>
      <c r="CL245" s="48">
        <f t="shared" si="634"/>
        <v>25973.299326713666</v>
      </c>
      <c r="CM245" s="48">
        <f t="shared" si="634"/>
        <v>25973.299326713666</v>
      </c>
      <c r="CN245" s="48">
        <f t="shared" si="634"/>
        <v>25973.299326713666</v>
      </c>
      <c r="CO245" s="48">
        <f t="shared" si="634"/>
        <v>25973.299326713666</v>
      </c>
      <c r="CP245" s="48">
        <f t="shared" si="634"/>
        <v>25973.299326713666</v>
      </c>
      <c r="CQ245" s="48">
        <f t="shared" si="634"/>
        <v>25973.299326713666</v>
      </c>
      <c r="CR245" s="48">
        <f t="shared" si="634"/>
        <v>25973.299326713666</v>
      </c>
      <c r="CS245" s="48">
        <f t="shared" si="634"/>
        <v>25973.299326713666</v>
      </c>
      <c r="CT245" s="48">
        <f t="shared" si="634"/>
        <v>25973.299326713666</v>
      </c>
      <c r="CU245" s="48">
        <f t="shared" si="634"/>
        <v>25973.299326713666</v>
      </c>
      <c r="CV245" s="48">
        <f t="shared" si="634"/>
        <v>25973.299326713666</v>
      </c>
      <c r="CW245" s="48">
        <f t="shared" si="634"/>
        <v>25973.299326713666</v>
      </c>
      <c r="CX245" s="48">
        <f t="shared" ref="CX245:EC245" si="635">V_ImpP*(CX$229+CX$230+CX$231+CX$232+CX$239+CX$240+CX$234+CX$236+CX$242)</f>
        <v>26098.468108325309</v>
      </c>
      <c r="CY245" s="48">
        <f t="shared" si="635"/>
        <v>26098.468108325309</v>
      </c>
      <c r="CZ245" s="48">
        <f t="shared" si="635"/>
        <v>26098.468108325309</v>
      </c>
      <c r="DA245" s="48">
        <f t="shared" si="635"/>
        <v>26098.468108325309</v>
      </c>
      <c r="DB245" s="48">
        <f t="shared" si="635"/>
        <v>26098.468108325309</v>
      </c>
      <c r="DC245" s="48">
        <f t="shared" si="635"/>
        <v>26098.468108325309</v>
      </c>
      <c r="DD245" s="48">
        <f t="shared" si="635"/>
        <v>26098.468108325309</v>
      </c>
      <c r="DE245" s="48">
        <f t="shared" si="635"/>
        <v>26098.468108325309</v>
      </c>
      <c r="DF245" s="48">
        <f t="shared" si="635"/>
        <v>26098.468108325309</v>
      </c>
      <c r="DG245" s="48">
        <f t="shared" si="635"/>
        <v>26098.468108325309</v>
      </c>
      <c r="DH245" s="48">
        <f t="shared" si="635"/>
        <v>26098.468108325309</v>
      </c>
      <c r="DI245" s="48">
        <f t="shared" si="635"/>
        <v>26098.468108325309</v>
      </c>
      <c r="DJ245" s="48">
        <f t="shared" si="635"/>
        <v>26224.917015419531</v>
      </c>
      <c r="DK245" s="48">
        <f t="shared" si="635"/>
        <v>26224.917015419531</v>
      </c>
      <c r="DL245" s="48">
        <f t="shared" si="635"/>
        <v>26224.917015419531</v>
      </c>
      <c r="DM245" s="48">
        <f t="shared" si="635"/>
        <v>26224.917015419531</v>
      </c>
      <c r="DN245" s="48">
        <f t="shared" si="635"/>
        <v>26224.917015419531</v>
      </c>
      <c r="DO245" s="48">
        <f t="shared" si="635"/>
        <v>26224.917015419531</v>
      </c>
      <c r="DP245" s="48">
        <f t="shared" si="635"/>
        <v>26224.917015419531</v>
      </c>
      <c r="DQ245" s="48">
        <f t="shared" si="635"/>
        <v>26224.917015419531</v>
      </c>
      <c r="DR245" s="48">
        <f t="shared" si="635"/>
        <v>26224.917015419531</v>
      </c>
      <c r="DS245" s="48">
        <f t="shared" si="635"/>
        <v>26224.917015419531</v>
      </c>
      <c r="DT245" s="48">
        <f t="shared" si="635"/>
        <v>26224.917015419531</v>
      </c>
      <c r="DU245" s="48">
        <f t="shared" si="635"/>
        <v>26224.917015419531</v>
      </c>
      <c r="DV245" s="48">
        <f t="shared" si="635"/>
        <v>0</v>
      </c>
      <c r="DW245" s="48">
        <f t="shared" si="635"/>
        <v>0</v>
      </c>
      <c r="DX245" s="48">
        <f t="shared" si="635"/>
        <v>0</v>
      </c>
      <c r="DY245" s="48">
        <f t="shared" si="635"/>
        <v>0</v>
      </c>
      <c r="DZ245" s="48">
        <f t="shared" si="635"/>
        <v>0</v>
      </c>
      <c r="EA245" s="48">
        <f t="shared" si="635"/>
        <v>0</v>
      </c>
      <c r="EB245" s="48">
        <f t="shared" si="635"/>
        <v>0</v>
      </c>
      <c r="EC245" s="48">
        <f t="shared" si="635"/>
        <v>0</v>
      </c>
      <c r="ED245" s="48">
        <f t="shared" ref="ED245:ES245" si="636">V_ImpP*(ED$229+ED$230+ED$231+ED$232+ED$239+ED$240+ED$234+ED$236+ED$242)</f>
        <v>0</v>
      </c>
      <c r="EE245" s="48">
        <f t="shared" si="636"/>
        <v>0</v>
      </c>
      <c r="EF245" s="48">
        <f t="shared" si="636"/>
        <v>0</v>
      </c>
      <c r="EG245" s="48">
        <f t="shared" si="636"/>
        <v>0</v>
      </c>
      <c r="EH245" s="48">
        <f t="shared" si="636"/>
        <v>0</v>
      </c>
      <c r="EI245" s="48">
        <f t="shared" si="636"/>
        <v>0</v>
      </c>
      <c r="EJ245" s="48">
        <f t="shared" si="636"/>
        <v>0</v>
      </c>
      <c r="EK245" s="48">
        <f t="shared" si="636"/>
        <v>0</v>
      </c>
      <c r="EL245" s="48">
        <f t="shared" si="636"/>
        <v>0</v>
      </c>
      <c r="EM245" s="48">
        <f t="shared" si="636"/>
        <v>0</v>
      </c>
      <c r="EN245" s="48">
        <f t="shared" si="636"/>
        <v>0</v>
      </c>
      <c r="EO245" s="48">
        <f t="shared" si="636"/>
        <v>0</v>
      </c>
      <c r="EP245" s="48">
        <f t="shared" si="636"/>
        <v>0</v>
      </c>
      <c r="EQ245" s="48">
        <f t="shared" si="636"/>
        <v>0</v>
      </c>
      <c r="ER245" s="48">
        <f t="shared" si="636"/>
        <v>0</v>
      </c>
      <c r="ES245" s="48">
        <f t="shared" si="636"/>
        <v>0</v>
      </c>
    </row>
    <row r="246" spans="1:149" x14ac:dyDescent="0.3">
      <c r="A246" s="14" t="s">
        <v>1300</v>
      </c>
      <c r="B246" s="18" t="s">
        <v>1085</v>
      </c>
      <c r="C246" s="18" t="s">
        <v>439</v>
      </c>
      <c r="E246" s="54">
        <f t="shared" si="616"/>
        <v>84447.440834054738</v>
      </c>
      <c r="F246" s="48">
        <f t="shared" ref="F246:AK246" si="637">V_ImpA*(F$238+F$244)</f>
        <v>703.72867361712326</v>
      </c>
      <c r="G246" s="48">
        <f t="shared" si="637"/>
        <v>703.72867361712326</v>
      </c>
      <c r="H246" s="48">
        <f t="shared" si="637"/>
        <v>703.72867361712326</v>
      </c>
      <c r="I246" s="48">
        <f t="shared" si="637"/>
        <v>703.72867361712326</v>
      </c>
      <c r="J246" s="48">
        <f t="shared" si="637"/>
        <v>703.72867361712326</v>
      </c>
      <c r="K246" s="48">
        <f t="shared" si="637"/>
        <v>703.72867361712326</v>
      </c>
      <c r="L246" s="48">
        <f t="shared" si="637"/>
        <v>703.72867361712326</v>
      </c>
      <c r="M246" s="48">
        <f t="shared" si="637"/>
        <v>703.72867361712326</v>
      </c>
      <c r="N246" s="48">
        <f t="shared" si="637"/>
        <v>703.72867361712326</v>
      </c>
      <c r="O246" s="48">
        <f t="shared" si="637"/>
        <v>703.72867361712326</v>
      </c>
      <c r="P246" s="48">
        <f t="shared" si="637"/>
        <v>703.72867361712326</v>
      </c>
      <c r="Q246" s="48">
        <f t="shared" si="637"/>
        <v>703.72867361712326</v>
      </c>
      <c r="R246" s="48">
        <f t="shared" si="637"/>
        <v>703.72867361712326</v>
      </c>
      <c r="S246" s="48">
        <f t="shared" si="637"/>
        <v>703.72867361712326</v>
      </c>
      <c r="T246" s="48">
        <f t="shared" si="637"/>
        <v>703.72867361712326</v>
      </c>
      <c r="U246" s="48">
        <f t="shared" si="637"/>
        <v>703.72867361712326</v>
      </c>
      <c r="V246" s="48">
        <f t="shared" si="637"/>
        <v>703.72867361712326</v>
      </c>
      <c r="W246" s="48">
        <f t="shared" si="637"/>
        <v>703.72867361712326</v>
      </c>
      <c r="X246" s="48">
        <f t="shared" si="637"/>
        <v>703.72867361712326</v>
      </c>
      <c r="Y246" s="48">
        <f t="shared" si="637"/>
        <v>703.72867361712326</v>
      </c>
      <c r="Z246" s="48">
        <f t="shared" si="637"/>
        <v>703.72867361712326</v>
      </c>
      <c r="AA246" s="48">
        <f t="shared" si="637"/>
        <v>703.72867361712326</v>
      </c>
      <c r="AB246" s="48">
        <f t="shared" si="637"/>
        <v>703.72867361712326</v>
      </c>
      <c r="AC246" s="48">
        <f t="shared" si="637"/>
        <v>703.72867361712326</v>
      </c>
      <c r="AD246" s="48">
        <f t="shared" si="637"/>
        <v>703.72867361712326</v>
      </c>
      <c r="AE246" s="48">
        <f t="shared" si="637"/>
        <v>703.72867361712326</v>
      </c>
      <c r="AF246" s="48">
        <f t="shared" si="637"/>
        <v>703.72867361712326</v>
      </c>
      <c r="AG246" s="48">
        <f t="shared" si="637"/>
        <v>703.72867361712326</v>
      </c>
      <c r="AH246" s="48">
        <f t="shared" si="637"/>
        <v>703.72867361712326</v>
      </c>
      <c r="AI246" s="48">
        <f t="shared" si="637"/>
        <v>703.72867361712326</v>
      </c>
      <c r="AJ246" s="48">
        <f t="shared" si="637"/>
        <v>703.72867361712326</v>
      </c>
      <c r="AK246" s="48">
        <f t="shared" si="637"/>
        <v>703.72867361712326</v>
      </c>
      <c r="AL246" s="48">
        <f t="shared" ref="AL246:BQ246" si="638">V_ImpA*(AL$238+AL$244)</f>
        <v>703.72867361712326</v>
      </c>
      <c r="AM246" s="48">
        <f t="shared" si="638"/>
        <v>703.72867361712326</v>
      </c>
      <c r="AN246" s="48">
        <f t="shared" si="638"/>
        <v>703.72867361712326</v>
      </c>
      <c r="AO246" s="48">
        <f t="shared" si="638"/>
        <v>703.72867361712326</v>
      </c>
      <c r="AP246" s="48">
        <f t="shared" si="638"/>
        <v>703.72867361712326</v>
      </c>
      <c r="AQ246" s="48">
        <f t="shared" si="638"/>
        <v>703.72867361712326</v>
      </c>
      <c r="AR246" s="48">
        <f t="shared" si="638"/>
        <v>703.72867361712326</v>
      </c>
      <c r="AS246" s="48">
        <f t="shared" si="638"/>
        <v>703.72867361712326</v>
      </c>
      <c r="AT246" s="48">
        <f t="shared" si="638"/>
        <v>703.72867361712326</v>
      </c>
      <c r="AU246" s="48">
        <f t="shared" si="638"/>
        <v>703.72867361712326</v>
      </c>
      <c r="AV246" s="48">
        <f t="shared" si="638"/>
        <v>703.72867361712326</v>
      </c>
      <c r="AW246" s="48">
        <f t="shared" si="638"/>
        <v>703.72867361712326</v>
      </c>
      <c r="AX246" s="48">
        <f t="shared" si="638"/>
        <v>703.72867361712326</v>
      </c>
      <c r="AY246" s="48">
        <f t="shared" si="638"/>
        <v>703.72867361712326</v>
      </c>
      <c r="AZ246" s="48">
        <f t="shared" si="638"/>
        <v>703.72867361712326</v>
      </c>
      <c r="BA246" s="48">
        <f t="shared" si="638"/>
        <v>703.72867361712326</v>
      </c>
      <c r="BB246" s="48">
        <f t="shared" si="638"/>
        <v>703.72867361712326</v>
      </c>
      <c r="BC246" s="48">
        <f t="shared" si="638"/>
        <v>703.72867361712326</v>
      </c>
      <c r="BD246" s="48">
        <f t="shared" si="638"/>
        <v>703.72867361712326</v>
      </c>
      <c r="BE246" s="48">
        <f t="shared" si="638"/>
        <v>703.72867361712326</v>
      </c>
      <c r="BF246" s="48">
        <f t="shared" si="638"/>
        <v>703.72867361712326</v>
      </c>
      <c r="BG246" s="48">
        <f t="shared" si="638"/>
        <v>703.72867361712326</v>
      </c>
      <c r="BH246" s="48">
        <f t="shared" si="638"/>
        <v>703.72867361712326</v>
      </c>
      <c r="BI246" s="48">
        <f t="shared" si="638"/>
        <v>703.72867361712326</v>
      </c>
      <c r="BJ246" s="48">
        <f t="shared" si="638"/>
        <v>703.72867361712326</v>
      </c>
      <c r="BK246" s="48">
        <f t="shared" si="638"/>
        <v>703.72867361712326</v>
      </c>
      <c r="BL246" s="48">
        <f t="shared" si="638"/>
        <v>703.72867361712326</v>
      </c>
      <c r="BM246" s="48">
        <f t="shared" si="638"/>
        <v>703.72867361712326</v>
      </c>
      <c r="BN246" s="48">
        <f t="shared" si="638"/>
        <v>703.72867361712326</v>
      </c>
      <c r="BO246" s="48">
        <f t="shared" si="638"/>
        <v>703.72867361712326</v>
      </c>
      <c r="BP246" s="48">
        <f t="shared" si="638"/>
        <v>703.72867361712326</v>
      </c>
      <c r="BQ246" s="48">
        <f t="shared" si="638"/>
        <v>703.72867361712326</v>
      </c>
      <c r="BR246" s="48">
        <f t="shared" ref="BR246:CW246" si="639">V_ImpA*(BR$238+BR$244)</f>
        <v>703.72867361712326</v>
      </c>
      <c r="BS246" s="48">
        <f t="shared" si="639"/>
        <v>703.72867361712326</v>
      </c>
      <c r="BT246" s="48">
        <f t="shared" si="639"/>
        <v>703.72867361712326</v>
      </c>
      <c r="BU246" s="48">
        <f t="shared" si="639"/>
        <v>703.72867361712326</v>
      </c>
      <c r="BV246" s="48">
        <f t="shared" si="639"/>
        <v>703.72867361712326</v>
      </c>
      <c r="BW246" s="48">
        <f t="shared" si="639"/>
        <v>703.72867361712326</v>
      </c>
      <c r="BX246" s="48">
        <f t="shared" si="639"/>
        <v>703.72867361712326</v>
      </c>
      <c r="BY246" s="48">
        <f t="shared" si="639"/>
        <v>703.72867361712326</v>
      </c>
      <c r="BZ246" s="48">
        <f t="shared" si="639"/>
        <v>703.72867361712326</v>
      </c>
      <c r="CA246" s="48">
        <f t="shared" si="639"/>
        <v>703.72867361712326</v>
      </c>
      <c r="CB246" s="48">
        <f t="shared" si="639"/>
        <v>703.72867361712326</v>
      </c>
      <c r="CC246" s="48">
        <f t="shared" si="639"/>
        <v>703.72867361712326</v>
      </c>
      <c r="CD246" s="48">
        <f t="shared" si="639"/>
        <v>703.72867361712326</v>
      </c>
      <c r="CE246" s="48">
        <f t="shared" si="639"/>
        <v>703.72867361712326</v>
      </c>
      <c r="CF246" s="48">
        <f t="shared" si="639"/>
        <v>703.72867361712326</v>
      </c>
      <c r="CG246" s="48">
        <f t="shared" si="639"/>
        <v>703.72867361712326</v>
      </c>
      <c r="CH246" s="48">
        <f t="shared" si="639"/>
        <v>703.72867361712326</v>
      </c>
      <c r="CI246" s="48">
        <f t="shared" si="639"/>
        <v>703.72867361712326</v>
      </c>
      <c r="CJ246" s="48">
        <f t="shared" si="639"/>
        <v>703.72867361712326</v>
      </c>
      <c r="CK246" s="48">
        <f t="shared" si="639"/>
        <v>703.72867361712326</v>
      </c>
      <c r="CL246" s="48">
        <f t="shared" si="639"/>
        <v>703.72867361712326</v>
      </c>
      <c r="CM246" s="48">
        <f t="shared" si="639"/>
        <v>703.72867361712326</v>
      </c>
      <c r="CN246" s="48">
        <f t="shared" si="639"/>
        <v>703.72867361712326</v>
      </c>
      <c r="CO246" s="48">
        <f t="shared" si="639"/>
        <v>703.72867361712326</v>
      </c>
      <c r="CP246" s="48">
        <f t="shared" si="639"/>
        <v>703.72867361712326</v>
      </c>
      <c r="CQ246" s="48">
        <f t="shared" si="639"/>
        <v>703.72867361712326</v>
      </c>
      <c r="CR246" s="48">
        <f t="shared" si="639"/>
        <v>703.72867361712326</v>
      </c>
      <c r="CS246" s="48">
        <f t="shared" si="639"/>
        <v>703.72867361712326</v>
      </c>
      <c r="CT246" s="48">
        <f t="shared" si="639"/>
        <v>703.72867361712326</v>
      </c>
      <c r="CU246" s="48">
        <f t="shared" si="639"/>
        <v>703.72867361712326</v>
      </c>
      <c r="CV246" s="48">
        <f t="shared" si="639"/>
        <v>703.72867361712326</v>
      </c>
      <c r="CW246" s="48">
        <f t="shared" si="639"/>
        <v>703.72867361712326</v>
      </c>
      <c r="CX246" s="48">
        <f t="shared" ref="CX246:EC246" si="640">V_ImpA*(CX$238+CX$244)</f>
        <v>703.72867361712326</v>
      </c>
      <c r="CY246" s="48">
        <f t="shared" si="640"/>
        <v>703.72867361712326</v>
      </c>
      <c r="CZ246" s="48">
        <f t="shared" si="640"/>
        <v>703.72867361712326</v>
      </c>
      <c r="DA246" s="48">
        <f t="shared" si="640"/>
        <v>703.72867361712326</v>
      </c>
      <c r="DB246" s="48">
        <f t="shared" si="640"/>
        <v>703.72867361712326</v>
      </c>
      <c r="DC246" s="48">
        <f t="shared" si="640"/>
        <v>703.72867361712326</v>
      </c>
      <c r="DD246" s="48">
        <f t="shared" si="640"/>
        <v>703.72867361712326</v>
      </c>
      <c r="DE246" s="48">
        <f t="shared" si="640"/>
        <v>703.72867361712326</v>
      </c>
      <c r="DF246" s="48">
        <f t="shared" si="640"/>
        <v>703.72867361712326</v>
      </c>
      <c r="DG246" s="48">
        <f t="shared" si="640"/>
        <v>703.72867361712326</v>
      </c>
      <c r="DH246" s="48">
        <f t="shared" si="640"/>
        <v>703.72867361712326</v>
      </c>
      <c r="DI246" s="48">
        <f t="shared" si="640"/>
        <v>703.72867361712326</v>
      </c>
      <c r="DJ246" s="48">
        <f t="shared" si="640"/>
        <v>703.72867361712326</v>
      </c>
      <c r="DK246" s="48">
        <f t="shared" si="640"/>
        <v>703.72867361712326</v>
      </c>
      <c r="DL246" s="48">
        <f t="shared" si="640"/>
        <v>703.72867361712326</v>
      </c>
      <c r="DM246" s="48">
        <f t="shared" si="640"/>
        <v>703.72867361712326</v>
      </c>
      <c r="DN246" s="48">
        <f t="shared" si="640"/>
        <v>703.72867361712326</v>
      </c>
      <c r="DO246" s="48">
        <f t="shared" si="640"/>
        <v>703.72867361712326</v>
      </c>
      <c r="DP246" s="48">
        <f t="shared" si="640"/>
        <v>703.72867361712326</v>
      </c>
      <c r="DQ246" s="48">
        <f t="shared" si="640"/>
        <v>703.72867361712326</v>
      </c>
      <c r="DR246" s="48">
        <f t="shared" si="640"/>
        <v>703.72867361712326</v>
      </c>
      <c r="DS246" s="48">
        <f t="shared" si="640"/>
        <v>703.72867361712326</v>
      </c>
      <c r="DT246" s="48">
        <f t="shared" si="640"/>
        <v>703.72867361712326</v>
      </c>
      <c r="DU246" s="48">
        <f t="shared" si="640"/>
        <v>703.72867361712326</v>
      </c>
      <c r="DV246" s="48">
        <f t="shared" si="640"/>
        <v>0</v>
      </c>
      <c r="DW246" s="48">
        <f t="shared" si="640"/>
        <v>0</v>
      </c>
      <c r="DX246" s="48">
        <f t="shared" si="640"/>
        <v>0</v>
      </c>
      <c r="DY246" s="48">
        <f t="shared" si="640"/>
        <v>0</v>
      </c>
      <c r="DZ246" s="48">
        <f t="shared" si="640"/>
        <v>0</v>
      </c>
      <c r="EA246" s="48">
        <f t="shared" si="640"/>
        <v>0</v>
      </c>
      <c r="EB246" s="48">
        <f t="shared" si="640"/>
        <v>0</v>
      </c>
      <c r="EC246" s="48">
        <f t="shared" si="640"/>
        <v>0</v>
      </c>
      <c r="ED246" s="48">
        <f t="shared" ref="ED246:ES246" si="641">V_ImpA*(ED$238+ED$244)</f>
        <v>0</v>
      </c>
      <c r="EE246" s="48">
        <f t="shared" si="641"/>
        <v>0</v>
      </c>
      <c r="EF246" s="48">
        <f t="shared" si="641"/>
        <v>0</v>
      </c>
      <c r="EG246" s="48">
        <f t="shared" si="641"/>
        <v>0</v>
      </c>
      <c r="EH246" s="48">
        <f t="shared" si="641"/>
        <v>0</v>
      </c>
      <c r="EI246" s="48">
        <f t="shared" si="641"/>
        <v>0</v>
      </c>
      <c r="EJ246" s="48">
        <f t="shared" si="641"/>
        <v>0</v>
      </c>
      <c r="EK246" s="48">
        <f t="shared" si="641"/>
        <v>0</v>
      </c>
      <c r="EL246" s="48">
        <f t="shared" si="641"/>
        <v>0</v>
      </c>
      <c r="EM246" s="48">
        <f t="shared" si="641"/>
        <v>0</v>
      </c>
      <c r="EN246" s="48">
        <f t="shared" si="641"/>
        <v>0</v>
      </c>
      <c r="EO246" s="48">
        <f t="shared" si="641"/>
        <v>0</v>
      </c>
      <c r="EP246" s="48">
        <f t="shared" si="641"/>
        <v>0</v>
      </c>
      <c r="EQ246" s="48">
        <f t="shared" si="641"/>
        <v>0</v>
      </c>
      <c r="ER246" s="48">
        <f t="shared" si="641"/>
        <v>0</v>
      </c>
      <c r="ES246" s="48">
        <f t="shared" si="641"/>
        <v>0</v>
      </c>
    </row>
    <row r="247" spans="1:149" x14ac:dyDescent="0.3">
      <c r="A247" s="14" t="s">
        <v>1301</v>
      </c>
      <c r="B247" s="18" t="s">
        <v>1087</v>
      </c>
      <c r="C247" s="18" t="s">
        <v>439</v>
      </c>
      <c r="E247" s="54">
        <f t="shared" si="616"/>
        <v>212677.88898640499</v>
      </c>
      <c r="F247" s="48">
        <f>SUMPRODUCT(((FC_Mon="PYG")*F$175+(FC_Mon&lt;&gt;"PYG"))*((1&gt;Corte)*(1&lt;=Corte+n_Ventana)*ISNUMBER(Detalle_24m!F$220:F$244)*Detalle_24m!F$220:F$244+(1-(1&gt;Corte)*(1&lt;=Corte+n_Ventana)*ISNUMBER(Detalle_24m!F$220:F$244))*FC_V*(1+FC_g)^(F$173-1)*((FC_Desde=0)*(F$172+F$171)+(FC_Desde&gt;=1)*(F$170&gt;=FC_Desde)*F$171))*FC_IVA/(1+FC_IVA))</f>
        <v>1546</v>
      </c>
      <c r="G247" s="48">
        <f>SUMPRODUCT(((FC_Mon="PYG")*G$175+(FC_Mon&lt;&gt;"PYG"))*((2&gt;Corte)*(2&lt;=Corte+n_Ventana)*ISNUMBER(Detalle_24m!G$220:G$244)*Detalle_24m!G$220:G$244+(1-(2&gt;Corte)*(2&lt;=Corte+n_Ventana)*ISNUMBER(Detalle_24m!G$220:G$244))*FC_V*(1+FC_g)^(G$173-1)*((FC_Desde=0)*(G$172+G$171)+(FC_Desde&gt;=1)*(G$170&gt;=FC_Desde)*G$171))*FC_IVA/(1+FC_IVA))</f>
        <v>1546</v>
      </c>
      <c r="H247" s="48">
        <f>SUMPRODUCT(((FC_Mon="PYG")*H$175+(FC_Mon&lt;&gt;"PYG"))*((3&gt;Corte)*(3&lt;=Corte+n_Ventana)*ISNUMBER(Detalle_24m!H$220:H$244)*Detalle_24m!H$220:H$244+(1-(3&gt;Corte)*(3&lt;=Corte+n_Ventana)*ISNUMBER(Detalle_24m!H$220:H$244))*FC_V*(1+FC_g)^(H$173-1)*((FC_Desde=0)*(H$172+H$171)+(FC_Desde&gt;=1)*(H$170&gt;=FC_Desde)*H$171))*FC_IVA/(1+FC_IVA))</f>
        <v>1546</v>
      </c>
      <c r="I247" s="48">
        <f>SUMPRODUCT(((FC_Mon="PYG")*I$175+(FC_Mon&lt;&gt;"PYG"))*((4&gt;Corte)*(4&lt;=Corte+n_Ventana)*ISNUMBER(Detalle_24m!I$220:I$244)*Detalle_24m!I$220:I$244+(1-(4&gt;Corte)*(4&lt;=Corte+n_Ventana)*ISNUMBER(Detalle_24m!I$220:I$244))*FC_V*(1+FC_g)^(I$173-1)*((FC_Desde=0)*(I$172+I$171)+(FC_Desde&gt;=1)*(I$170&gt;=FC_Desde)*I$171))*FC_IVA/(1+FC_IVA))</f>
        <v>1546</v>
      </c>
      <c r="J247" s="48">
        <f>SUMPRODUCT(((FC_Mon="PYG")*J$175+(FC_Mon&lt;&gt;"PYG"))*((5&gt;Corte)*(5&lt;=Corte+n_Ventana)*ISNUMBER(Detalle_24m!J$220:J$244)*Detalle_24m!J$220:J$244+(1-(5&gt;Corte)*(5&lt;=Corte+n_Ventana)*ISNUMBER(Detalle_24m!J$220:J$244))*FC_V*(1+FC_g)^(J$173-1)*((FC_Desde=0)*(J$172+J$171)+(FC_Desde&gt;=1)*(J$170&gt;=FC_Desde)*J$171))*FC_IVA/(1+FC_IVA))</f>
        <v>1546</v>
      </c>
      <c r="K247" s="48">
        <f>SUMPRODUCT(((FC_Mon="PYG")*K$175+(FC_Mon&lt;&gt;"PYG"))*((6&gt;Corte)*(6&lt;=Corte+n_Ventana)*ISNUMBER(Detalle_24m!K$220:K$244)*Detalle_24m!K$220:K$244+(1-(6&gt;Corte)*(6&lt;=Corte+n_Ventana)*ISNUMBER(Detalle_24m!K$220:K$244))*FC_V*(1+FC_g)^(K$173-1)*((FC_Desde=0)*(K$172+K$171)+(FC_Desde&gt;=1)*(K$170&gt;=FC_Desde)*K$171))*FC_IVA/(1+FC_IVA))</f>
        <v>1546</v>
      </c>
      <c r="L247" s="48">
        <f>SUMPRODUCT(((FC_Mon="PYG")*L$175+(FC_Mon&lt;&gt;"PYG"))*((7&gt;Corte)*(7&lt;=Corte+n_Ventana)*ISNUMBER(Detalle_24m!L$220:L$244)*Detalle_24m!L$220:L$244+(1-(7&gt;Corte)*(7&lt;=Corte+n_Ventana)*ISNUMBER(Detalle_24m!L$220:L$244))*FC_V*(1+FC_g)^(L$173-1)*((FC_Desde=0)*(L$172+L$171)+(FC_Desde&gt;=1)*(L$170&gt;=FC_Desde)*L$171))*FC_IVA/(1+FC_IVA))</f>
        <v>1546</v>
      </c>
      <c r="M247" s="48">
        <f>SUMPRODUCT(((FC_Mon="PYG")*M$175+(FC_Mon&lt;&gt;"PYG"))*((8&gt;Corte)*(8&lt;=Corte+n_Ventana)*ISNUMBER(Detalle_24m!M$220:M$244)*Detalle_24m!M$220:M$244+(1-(8&gt;Corte)*(8&lt;=Corte+n_Ventana)*ISNUMBER(Detalle_24m!M$220:M$244))*FC_V*(1+FC_g)^(M$173-1)*((FC_Desde=0)*(M$172+M$171)+(FC_Desde&gt;=1)*(M$170&gt;=FC_Desde)*M$171))*FC_IVA/(1+FC_IVA))</f>
        <v>1546</v>
      </c>
      <c r="N247" s="48">
        <f>SUMPRODUCT(((FC_Mon="PYG")*N$175+(FC_Mon&lt;&gt;"PYG"))*((9&gt;Corte)*(9&lt;=Corte+n_Ventana)*ISNUMBER(Detalle_24m!N$220:N$244)*Detalle_24m!N$220:N$244+(1-(9&gt;Corte)*(9&lt;=Corte+n_Ventana)*ISNUMBER(Detalle_24m!N$220:N$244))*FC_V*(1+FC_g)^(N$173-1)*((FC_Desde=0)*(N$172+N$171)+(FC_Desde&gt;=1)*(N$170&gt;=FC_Desde)*N$171))*FC_IVA/(1+FC_IVA))</f>
        <v>1546</v>
      </c>
      <c r="O247" s="48">
        <f>SUMPRODUCT(((FC_Mon="PYG")*O$175+(FC_Mon&lt;&gt;"PYG"))*((10&gt;Corte)*(10&lt;=Corte+n_Ventana)*ISNUMBER(Detalle_24m!O$220:O$244)*Detalle_24m!O$220:O$244+(1-(10&gt;Corte)*(10&lt;=Corte+n_Ventana)*ISNUMBER(Detalle_24m!O$220:O$244))*FC_V*(1+FC_g)^(O$173-1)*((FC_Desde=0)*(O$172+O$171)+(FC_Desde&gt;=1)*(O$170&gt;=FC_Desde)*O$171))*FC_IVA/(1+FC_IVA))</f>
        <v>1546</v>
      </c>
      <c r="P247" s="48">
        <f>SUMPRODUCT(((FC_Mon="PYG")*P$175+(FC_Mon&lt;&gt;"PYG"))*((11&gt;Corte)*(11&lt;=Corte+n_Ventana)*ISNUMBER(Detalle_24m!P$220:P$244)*Detalle_24m!P$220:P$244+(1-(11&gt;Corte)*(11&lt;=Corte+n_Ventana)*ISNUMBER(Detalle_24m!P$220:P$244))*FC_V*(1+FC_g)^(P$173-1)*((FC_Desde=0)*(P$172+P$171)+(FC_Desde&gt;=1)*(P$170&gt;=FC_Desde)*P$171))*FC_IVA/(1+FC_IVA))</f>
        <v>1546</v>
      </c>
      <c r="Q247" s="48">
        <f>SUMPRODUCT(((FC_Mon="PYG")*Q$175+(FC_Mon&lt;&gt;"PYG"))*((12&gt;Corte)*(12&lt;=Corte+n_Ventana)*ISNUMBER(Detalle_24m!Q$220:Q$244)*Detalle_24m!Q$220:Q$244+(1-(12&gt;Corte)*(12&lt;=Corte+n_Ventana)*ISNUMBER(Detalle_24m!Q$220:Q$244))*FC_V*(1+FC_g)^(Q$173-1)*((FC_Desde=0)*(Q$172+Q$171)+(FC_Desde&gt;=1)*(Q$170&gt;=FC_Desde)*Q$171))*FC_IVA/(1+FC_IVA))</f>
        <v>1546</v>
      </c>
      <c r="R247" s="48">
        <f>SUMPRODUCT(((FC_Mon="PYG")*R$175+(FC_Mon&lt;&gt;"PYG"))*((13&gt;Corte)*(13&lt;=Corte+n_Ventana)*ISNUMBER(Detalle_24m!R$220:R$244)*Detalle_24m!R$220:R$244+(1-(13&gt;Corte)*(13&lt;=Corte+n_Ventana)*ISNUMBER(Detalle_24m!R$220:R$244))*FC_V*(1+FC_g)^(R$173-1)*((FC_Desde=0)*(R$172+R$171)+(FC_Desde&gt;=1)*(R$170&gt;=FC_Desde)*R$171))*FC_IVA/(1+FC_IVA))</f>
        <v>1592.38</v>
      </c>
      <c r="S247" s="48">
        <f>SUMPRODUCT(((FC_Mon="PYG")*S$175+(FC_Mon&lt;&gt;"PYG"))*((14&gt;Corte)*(14&lt;=Corte+n_Ventana)*ISNUMBER(Detalle_24m!S$220:S$244)*Detalle_24m!S$220:S$244+(1-(14&gt;Corte)*(14&lt;=Corte+n_Ventana)*ISNUMBER(Detalle_24m!S$220:S$244))*FC_V*(1+FC_g)^(S$173-1)*((FC_Desde=0)*(S$172+S$171)+(FC_Desde&gt;=1)*(S$170&gt;=FC_Desde)*S$171))*FC_IVA/(1+FC_IVA))</f>
        <v>1592.38</v>
      </c>
      <c r="T247" s="48">
        <f>SUMPRODUCT(((FC_Mon="PYG")*T$175+(FC_Mon&lt;&gt;"PYG"))*((15&gt;Corte)*(15&lt;=Corte+n_Ventana)*ISNUMBER(Detalle_24m!T$220:T$244)*Detalle_24m!T$220:T$244+(1-(15&gt;Corte)*(15&lt;=Corte+n_Ventana)*ISNUMBER(Detalle_24m!T$220:T$244))*FC_V*(1+FC_g)^(T$173-1)*((FC_Desde=0)*(T$172+T$171)+(FC_Desde&gt;=1)*(T$170&gt;=FC_Desde)*T$171))*FC_IVA/(1+FC_IVA))</f>
        <v>1592.38</v>
      </c>
      <c r="U247" s="48">
        <f>SUMPRODUCT(((FC_Mon="PYG")*U$175+(FC_Mon&lt;&gt;"PYG"))*((16&gt;Corte)*(16&lt;=Corte+n_Ventana)*ISNUMBER(Detalle_24m!U$220:U$244)*Detalle_24m!U$220:U$244+(1-(16&gt;Corte)*(16&lt;=Corte+n_Ventana)*ISNUMBER(Detalle_24m!U$220:U$244))*FC_V*(1+FC_g)^(U$173-1)*((FC_Desde=0)*(U$172+U$171)+(FC_Desde&gt;=1)*(U$170&gt;=FC_Desde)*U$171))*FC_IVA/(1+FC_IVA))</f>
        <v>1592.38</v>
      </c>
      <c r="V247" s="48">
        <f>SUMPRODUCT(((FC_Mon="PYG")*V$175+(FC_Mon&lt;&gt;"PYG"))*((17&gt;Corte)*(17&lt;=Corte+n_Ventana)*ISNUMBER(Detalle_24m!V$220:V$244)*Detalle_24m!V$220:V$244+(1-(17&gt;Corte)*(17&lt;=Corte+n_Ventana)*ISNUMBER(Detalle_24m!V$220:V$244))*FC_V*(1+FC_g)^(V$173-1)*((FC_Desde=0)*(V$172+V$171)+(FC_Desde&gt;=1)*(V$170&gt;=FC_Desde)*V$171))*FC_IVA/(1+FC_IVA))</f>
        <v>1592.38</v>
      </c>
      <c r="W247" s="48">
        <f>SUMPRODUCT(((FC_Mon="PYG")*W$175+(FC_Mon&lt;&gt;"PYG"))*((18&gt;Corte)*(18&lt;=Corte+n_Ventana)*ISNUMBER(Detalle_24m!W$220:W$244)*Detalle_24m!W$220:W$244+(1-(18&gt;Corte)*(18&lt;=Corte+n_Ventana)*ISNUMBER(Detalle_24m!W$220:W$244))*FC_V*(1+FC_g)^(W$173-1)*((FC_Desde=0)*(W$172+W$171)+(FC_Desde&gt;=1)*(W$170&gt;=FC_Desde)*W$171))*FC_IVA/(1+FC_IVA))</f>
        <v>1592.38</v>
      </c>
      <c r="X247" s="48">
        <f>SUMPRODUCT(((FC_Mon="PYG")*X$175+(FC_Mon&lt;&gt;"PYG"))*((19&gt;Corte)*(19&lt;=Corte+n_Ventana)*ISNUMBER(Detalle_24m!X$220:X$244)*Detalle_24m!X$220:X$244+(1-(19&gt;Corte)*(19&lt;=Corte+n_Ventana)*ISNUMBER(Detalle_24m!X$220:X$244))*FC_V*(1+FC_g)^(X$173-1)*((FC_Desde=0)*(X$172+X$171)+(FC_Desde&gt;=1)*(X$170&gt;=FC_Desde)*X$171))*FC_IVA/(1+FC_IVA))</f>
        <v>1592.38</v>
      </c>
      <c r="Y247" s="48">
        <f>SUMPRODUCT(((FC_Mon="PYG")*Y$175+(FC_Mon&lt;&gt;"PYG"))*((20&gt;Corte)*(20&lt;=Corte+n_Ventana)*ISNUMBER(Detalle_24m!Y$220:Y$244)*Detalle_24m!Y$220:Y$244+(1-(20&gt;Corte)*(20&lt;=Corte+n_Ventana)*ISNUMBER(Detalle_24m!Y$220:Y$244))*FC_V*(1+FC_g)^(Y$173-1)*((FC_Desde=0)*(Y$172+Y$171)+(FC_Desde&gt;=1)*(Y$170&gt;=FC_Desde)*Y$171))*FC_IVA/(1+FC_IVA))</f>
        <v>1592.38</v>
      </c>
      <c r="Z247" s="48">
        <f>SUMPRODUCT(((FC_Mon="PYG")*Z$175+(FC_Mon&lt;&gt;"PYG"))*((21&gt;Corte)*(21&lt;=Corte+n_Ventana)*ISNUMBER(Detalle_24m!Z$220:Z$244)*Detalle_24m!Z$220:Z$244+(1-(21&gt;Corte)*(21&lt;=Corte+n_Ventana)*ISNUMBER(Detalle_24m!Z$220:Z$244))*FC_V*(1+FC_g)^(Z$173-1)*((FC_Desde=0)*(Z$172+Z$171)+(FC_Desde&gt;=1)*(Z$170&gt;=FC_Desde)*Z$171))*FC_IVA/(1+FC_IVA))</f>
        <v>1592.38</v>
      </c>
      <c r="AA247" s="48">
        <f>SUMPRODUCT(((FC_Mon="PYG")*AA$175+(FC_Mon&lt;&gt;"PYG"))*((22&gt;Corte)*(22&lt;=Corte+n_Ventana)*ISNUMBER(Detalle_24m!AA$220:AA$244)*Detalle_24m!AA$220:AA$244+(1-(22&gt;Corte)*(22&lt;=Corte+n_Ventana)*ISNUMBER(Detalle_24m!AA$220:AA$244))*FC_V*(1+FC_g)^(AA$173-1)*((FC_Desde=0)*(AA$172+AA$171)+(FC_Desde&gt;=1)*(AA$170&gt;=FC_Desde)*AA$171))*FC_IVA/(1+FC_IVA))</f>
        <v>1592.38</v>
      </c>
      <c r="AB247" s="48">
        <f>SUMPRODUCT(((FC_Mon="PYG")*AB$175+(FC_Mon&lt;&gt;"PYG"))*((23&gt;Corte)*(23&lt;=Corte+n_Ventana)*ISNUMBER(Detalle_24m!AB$220:AB$244)*Detalle_24m!AB$220:AB$244+(1-(23&gt;Corte)*(23&lt;=Corte+n_Ventana)*ISNUMBER(Detalle_24m!AB$220:AB$244))*FC_V*(1+FC_g)^(AB$173-1)*((FC_Desde=0)*(AB$172+AB$171)+(FC_Desde&gt;=1)*(AB$170&gt;=FC_Desde)*AB$171))*FC_IVA/(1+FC_IVA))</f>
        <v>1592.38</v>
      </c>
      <c r="AC247" s="48">
        <f>SUMPRODUCT(((FC_Mon="PYG")*AC$175+(FC_Mon&lt;&gt;"PYG"))*((24&gt;Corte)*(24&lt;=Corte+n_Ventana)*ISNUMBER(Detalle_24m!AC$220:AC$244)*Detalle_24m!AC$220:AC$244+(1-(24&gt;Corte)*(24&lt;=Corte+n_Ventana)*ISNUMBER(Detalle_24m!AC$220:AC$244))*FC_V*(1+FC_g)^(AC$173-1)*((FC_Desde=0)*(AC$172+AC$171)+(FC_Desde&gt;=1)*(AC$170&gt;=FC_Desde)*AC$171))*FC_IVA/(1+FC_IVA))</f>
        <v>1592.38</v>
      </c>
      <c r="AD247" s="48">
        <f>SUMPRODUCT(((FC_Mon="PYG")*AD$175+(FC_Mon&lt;&gt;"PYG"))*((25&gt;Corte)*(25&lt;=Corte+n_Ventana)*ISNUMBER(Detalle_24m!AD$220:AD$244)*Detalle_24m!AD$220:AD$244+(1-(25&gt;Corte)*(25&lt;=Corte+n_Ventana)*ISNUMBER(Detalle_24m!AD$220:AD$244))*FC_V*(1+FC_g)^(AD$173-1)*((FC_Desde=0)*(AD$172+AD$171)+(FC_Desde&gt;=1)*(AD$170&gt;=FC_Desde)*AD$171))*FC_IVA/(1+FC_IVA))</f>
        <v>1640.1513999999997</v>
      </c>
      <c r="AE247" s="48">
        <f>SUMPRODUCT(((FC_Mon="PYG")*AE$175+(FC_Mon&lt;&gt;"PYG"))*((26&gt;Corte)*(26&lt;=Corte+n_Ventana)*ISNUMBER(Detalle_24m!AE$220:AE$244)*Detalle_24m!AE$220:AE$244+(1-(26&gt;Corte)*(26&lt;=Corte+n_Ventana)*ISNUMBER(Detalle_24m!AE$220:AE$244))*FC_V*(1+FC_g)^(AE$173-1)*((FC_Desde=0)*(AE$172+AE$171)+(FC_Desde&gt;=1)*(AE$170&gt;=FC_Desde)*AE$171))*FC_IVA/(1+FC_IVA))</f>
        <v>1640.1513999999997</v>
      </c>
      <c r="AF247" s="48">
        <f>SUMPRODUCT(((FC_Mon="PYG")*AF$175+(FC_Mon&lt;&gt;"PYG"))*((27&gt;Corte)*(27&lt;=Corte+n_Ventana)*ISNUMBER(Detalle_24m!AF$220:AF$244)*Detalle_24m!AF$220:AF$244+(1-(27&gt;Corte)*(27&lt;=Corte+n_Ventana)*ISNUMBER(Detalle_24m!AF$220:AF$244))*FC_V*(1+FC_g)^(AF$173-1)*((FC_Desde=0)*(AF$172+AF$171)+(FC_Desde&gt;=1)*(AF$170&gt;=FC_Desde)*AF$171))*FC_IVA/(1+FC_IVA))</f>
        <v>1640.1513999999997</v>
      </c>
      <c r="AG247" s="48">
        <f>SUMPRODUCT(((FC_Mon="PYG")*AG$175+(FC_Mon&lt;&gt;"PYG"))*((28&gt;Corte)*(28&lt;=Corte+n_Ventana)*ISNUMBER(Detalle_24m!AG$220:AG$244)*Detalle_24m!AG$220:AG$244+(1-(28&gt;Corte)*(28&lt;=Corte+n_Ventana)*ISNUMBER(Detalle_24m!AG$220:AG$244))*FC_V*(1+FC_g)^(AG$173-1)*((FC_Desde=0)*(AG$172+AG$171)+(FC_Desde&gt;=1)*(AG$170&gt;=FC_Desde)*AG$171))*FC_IVA/(1+FC_IVA))</f>
        <v>1640.1513999999997</v>
      </c>
      <c r="AH247" s="48">
        <f>SUMPRODUCT(((FC_Mon="PYG")*AH$175+(FC_Mon&lt;&gt;"PYG"))*((29&gt;Corte)*(29&lt;=Corte+n_Ventana)*ISNUMBER(Detalle_24m!AH$220:AH$244)*Detalle_24m!AH$220:AH$244+(1-(29&gt;Corte)*(29&lt;=Corte+n_Ventana)*ISNUMBER(Detalle_24m!AH$220:AH$244))*FC_V*(1+FC_g)^(AH$173-1)*((FC_Desde=0)*(AH$172+AH$171)+(FC_Desde&gt;=1)*(AH$170&gt;=FC_Desde)*AH$171))*FC_IVA/(1+FC_IVA))</f>
        <v>1640.1513999999997</v>
      </c>
      <c r="AI247" s="48">
        <f>SUMPRODUCT(((FC_Mon="PYG")*AI$175+(FC_Mon&lt;&gt;"PYG"))*((30&gt;Corte)*(30&lt;=Corte+n_Ventana)*ISNUMBER(Detalle_24m!AI$220:AI$244)*Detalle_24m!AI$220:AI$244+(1-(30&gt;Corte)*(30&lt;=Corte+n_Ventana)*ISNUMBER(Detalle_24m!AI$220:AI$244))*FC_V*(1+FC_g)^(AI$173-1)*((FC_Desde=0)*(AI$172+AI$171)+(FC_Desde&gt;=1)*(AI$170&gt;=FC_Desde)*AI$171))*FC_IVA/(1+FC_IVA))</f>
        <v>1640.1513999999997</v>
      </c>
      <c r="AJ247" s="48">
        <f>SUMPRODUCT(((FC_Mon="PYG")*AJ$175+(FC_Mon&lt;&gt;"PYG"))*((31&gt;Corte)*(31&lt;=Corte+n_Ventana)*ISNUMBER(Detalle_24m!AJ$220:AJ$244)*Detalle_24m!AJ$220:AJ$244+(1-(31&gt;Corte)*(31&lt;=Corte+n_Ventana)*ISNUMBER(Detalle_24m!AJ$220:AJ$244))*FC_V*(1+FC_g)^(AJ$173-1)*((FC_Desde=0)*(AJ$172+AJ$171)+(FC_Desde&gt;=1)*(AJ$170&gt;=FC_Desde)*AJ$171))*FC_IVA/(1+FC_IVA))</f>
        <v>1640.1513999999997</v>
      </c>
      <c r="AK247" s="48">
        <f>SUMPRODUCT(((FC_Mon="PYG")*AK$175+(FC_Mon&lt;&gt;"PYG"))*((32&gt;Corte)*(32&lt;=Corte+n_Ventana)*ISNUMBER(Detalle_24m!AK$220:AK$244)*Detalle_24m!AK$220:AK$244+(1-(32&gt;Corte)*(32&lt;=Corte+n_Ventana)*ISNUMBER(Detalle_24m!AK$220:AK$244))*FC_V*(1+FC_g)^(AK$173-1)*((FC_Desde=0)*(AK$172+AK$171)+(FC_Desde&gt;=1)*(AK$170&gt;=FC_Desde)*AK$171))*FC_IVA/(1+FC_IVA))</f>
        <v>1640.1513999999997</v>
      </c>
      <c r="AL247" s="48">
        <f>SUMPRODUCT(((FC_Mon="PYG")*AL$175+(FC_Mon&lt;&gt;"PYG"))*((33&gt;Corte)*(33&lt;=Corte+n_Ventana)*ISNUMBER(Detalle_24m!AL$220:AL$244)*Detalle_24m!AL$220:AL$244+(1-(33&gt;Corte)*(33&lt;=Corte+n_Ventana)*ISNUMBER(Detalle_24m!AL$220:AL$244))*FC_V*(1+FC_g)^(AL$173-1)*((FC_Desde=0)*(AL$172+AL$171)+(FC_Desde&gt;=1)*(AL$170&gt;=FC_Desde)*AL$171))*FC_IVA/(1+FC_IVA))</f>
        <v>1640.1513999999997</v>
      </c>
      <c r="AM247" s="48">
        <f>SUMPRODUCT(((FC_Mon="PYG")*AM$175+(FC_Mon&lt;&gt;"PYG"))*((34&gt;Corte)*(34&lt;=Corte+n_Ventana)*ISNUMBER(Detalle_24m!AM$220:AM$244)*Detalle_24m!AM$220:AM$244+(1-(34&gt;Corte)*(34&lt;=Corte+n_Ventana)*ISNUMBER(Detalle_24m!AM$220:AM$244))*FC_V*(1+FC_g)^(AM$173-1)*((FC_Desde=0)*(AM$172+AM$171)+(FC_Desde&gt;=1)*(AM$170&gt;=FC_Desde)*AM$171))*FC_IVA/(1+FC_IVA))</f>
        <v>1640.1513999999997</v>
      </c>
      <c r="AN247" s="48">
        <f>SUMPRODUCT(((FC_Mon="PYG")*AN$175+(FC_Mon&lt;&gt;"PYG"))*((35&gt;Corte)*(35&lt;=Corte+n_Ventana)*ISNUMBER(Detalle_24m!AN$220:AN$244)*Detalle_24m!AN$220:AN$244+(1-(35&gt;Corte)*(35&lt;=Corte+n_Ventana)*ISNUMBER(Detalle_24m!AN$220:AN$244))*FC_V*(1+FC_g)^(AN$173-1)*((FC_Desde=0)*(AN$172+AN$171)+(FC_Desde&gt;=1)*(AN$170&gt;=FC_Desde)*AN$171))*FC_IVA/(1+FC_IVA))</f>
        <v>1640.1513999999997</v>
      </c>
      <c r="AO247" s="48">
        <f>SUMPRODUCT(((FC_Mon="PYG")*AO$175+(FC_Mon&lt;&gt;"PYG"))*((36&gt;Corte)*(36&lt;=Corte+n_Ventana)*ISNUMBER(Detalle_24m!AO$220:AO$244)*Detalle_24m!AO$220:AO$244+(1-(36&gt;Corte)*(36&lt;=Corte+n_Ventana)*ISNUMBER(Detalle_24m!AO$220:AO$244))*FC_V*(1+FC_g)^(AO$173-1)*((FC_Desde=0)*(AO$172+AO$171)+(FC_Desde&gt;=1)*(AO$170&gt;=FC_Desde)*AO$171))*FC_IVA/(1+FC_IVA))</f>
        <v>1640.1513999999997</v>
      </c>
      <c r="AP247" s="48">
        <f>SUMPRODUCT(((FC_Mon="PYG")*AP$175+(FC_Mon&lt;&gt;"PYG"))*((37&gt;Corte)*(37&lt;=Corte+n_Ventana)*ISNUMBER(Detalle_24m!AP$220:AP$244)*Detalle_24m!AP$220:AP$244+(1-(37&gt;Corte)*(37&lt;=Corte+n_Ventana)*ISNUMBER(Detalle_24m!AP$220:AP$244))*FC_V*(1+FC_g)^(AP$173-1)*((FC_Desde=0)*(AP$172+AP$171)+(FC_Desde&gt;=1)*(AP$170&gt;=FC_Desde)*AP$171))*FC_IVA/(1+FC_IVA))</f>
        <v>1689.3559419999999</v>
      </c>
      <c r="AQ247" s="48">
        <f>SUMPRODUCT(((FC_Mon="PYG")*AQ$175+(FC_Mon&lt;&gt;"PYG"))*((38&gt;Corte)*(38&lt;=Corte+n_Ventana)*ISNUMBER(Detalle_24m!AQ$220:AQ$244)*Detalle_24m!AQ$220:AQ$244+(1-(38&gt;Corte)*(38&lt;=Corte+n_Ventana)*ISNUMBER(Detalle_24m!AQ$220:AQ$244))*FC_V*(1+FC_g)^(AQ$173-1)*((FC_Desde=0)*(AQ$172+AQ$171)+(FC_Desde&gt;=1)*(AQ$170&gt;=FC_Desde)*AQ$171))*FC_IVA/(1+FC_IVA))</f>
        <v>1689.3559419999999</v>
      </c>
      <c r="AR247" s="48">
        <f>SUMPRODUCT(((FC_Mon="PYG")*AR$175+(FC_Mon&lt;&gt;"PYG"))*((39&gt;Corte)*(39&lt;=Corte+n_Ventana)*ISNUMBER(Detalle_24m!AR$220:AR$244)*Detalle_24m!AR$220:AR$244+(1-(39&gt;Corte)*(39&lt;=Corte+n_Ventana)*ISNUMBER(Detalle_24m!AR$220:AR$244))*FC_V*(1+FC_g)^(AR$173-1)*((FC_Desde=0)*(AR$172+AR$171)+(FC_Desde&gt;=1)*(AR$170&gt;=FC_Desde)*AR$171))*FC_IVA/(1+FC_IVA))</f>
        <v>1689.3559419999999</v>
      </c>
      <c r="AS247" s="48">
        <f>SUMPRODUCT(((FC_Mon="PYG")*AS$175+(FC_Mon&lt;&gt;"PYG"))*((40&gt;Corte)*(40&lt;=Corte+n_Ventana)*ISNUMBER(Detalle_24m!AS$220:AS$244)*Detalle_24m!AS$220:AS$244+(1-(40&gt;Corte)*(40&lt;=Corte+n_Ventana)*ISNUMBER(Detalle_24m!AS$220:AS$244))*FC_V*(1+FC_g)^(AS$173-1)*((FC_Desde=0)*(AS$172+AS$171)+(FC_Desde&gt;=1)*(AS$170&gt;=FC_Desde)*AS$171))*FC_IVA/(1+FC_IVA))</f>
        <v>1689.3559419999999</v>
      </c>
      <c r="AT247" s="48">
        <f>SUMPRODUCT(((FC_Mon="PYG")*AT$175+(FC_Mon&lt;&gt;"PYG"))*((41&gt;Corte)*(41&lt;=Corte+n_Ventana)*ISNUMBER(Detalle_24m!AT$220:AT$244)*Detalle_24m!AT$220:AT$244+(1-(41&gt;Corte)*(41&lt;=Corte+n_Ventana)*ISNUMBER(Detalle_24m!AT$220:AT$244))*FC_V*(1+FC_g)^(AT$173-1)*((FC_Desde=0)*(AT$172+AT$171)+(FC_Desde&gt;=1)*(AT$170&gt;=FC_Desde)*AT$171))*FC_IVA/(1+FC_IVA))</f>
        <v>1689.3559419999999</v>
      </c>
      <c r="AU247" s="48">
        <f>SUMPRODUCT(((FC_Mon="PYG")*AU$175+(FC_Mon&lt;&gt;"PYG"))*((42&gt;Corte)*(42&lt;=Corte+n_Ventana)*ISNUMBER(Detalle_24m!AU$220:AU$244)*Detalle_24m!AU$220:AU$244+(1-(42&gt;Corte)*(42&lt;=Corte+n_Ventana)*ISNUMBER(Detalle_24m!AU$220:AU$244))*FC_V*(1+FC_g)^(AU$173-1)*((FC_Desde=0)*(AU$172+AU$171)+(FC_Desde&gt;=1)*(AU$170&gt;=FC_Desde)*AU$171))*FC_IVA/(1+FC_IVA))</f>
        <v>1689.3559419999999</v>
      </c>
      <c r="AV247" s="48">
        <f>SUMPRODUCT(((FC_Mon="PYG")*AV$175+(FC_Mon&lt;&gt;"PYG"))*((43&gt;Corte)*(43&lt;=Corte+n_Ventana)*ISNUMBER(Detalle_24m!AV$220:AV$244)*Detalle_24m!AV$220:AV$244+(1-(43&gt;Corte)*(43&lt;=Corte+n_Ventana)*ISNUMBER(Detalle_24m!AV$220:AV$244))*FC_V*(1+FC_g)^(AV$173-1)*((FC_Desde=0)*(AV$172+AV$171)+(FC_Desde&gt;=1)*(AV$170&gt;=FC_Desde)*AV$171))*FC_IVA/(1+FC_IVA))</f>
        <v>1689.3559419999999</v>
      </c>
      <c r="AW247" s="48">
        <f>SUMPRODUCT(((FC_Mon="PYG")*AW$175+(FC_Mon&lt;&gt;"PYG"))*((44&gt;Corte)*(44&lt;=Corte+n_Ventana)*ISNUMBER(Detalle_24m!AW$220:AW$244)*Detalle_24m!AW$220:AW$244+(1-(44&gt;Corte)*(44&lt;=Corte+n_Ventana)*ISNUMBER(Detalle_24m!AW$220:AW$244))*FC_V*(1+FC_g)^(AW$173-1)*((FC_Desde=0)*(AW$172+AW$171)+(FC_Desde&gt;=1)*(AW$170&gt;=FC_Desde)*AW$171))*FC_IVA/(1+FC_IVA))</f>
        <v>1689.3559419999999</v>
      </c>
      <c r="AX247" s="48">
        <f>SUMPRODUCT(((FC_Mon="PYG")*AX$175+(FC_Mon&lt;&gt;"PYG"))*((45&gt;Corte)*(45&lt;=Corte+n_Ventana)*ISNUMBER(Detalle_24m!AX$220:AX$244)*Detalle_24m!AX$220:AX$244+(1-(45&gt;Corte)*(45&lt;=Corte+n_Ventana)*ISNUMBER(Detalle_24m!AX$220:AX$244))*FC_V*(1+FC_g)^(AX$173-1)*((FC_Desde=0)*(AX$172+AX$171)+(FC_Desde&gt;=1)*(AX$170&gt;=FC_Desde)*AX$171))*FC_IVA/(1+FC_IVA))</f>
        <v>1689.3559419999999</v>
      </c>
      <c r="AY247" s="48">
        <f>SUMPRODUCT(((FC_Mon="PYG")*AY$175+(FC_Mon&lt;&gt;"PYG"))*((46&gt;Corte)*(46&lt;=Corte+n_Ventana)*ISNUMBER(Detalle_24m!AY$220:AY$244)*Detalle_24m!AY$220:AY$244+(1-(46&gt;Corte)*(46&lt;=Corte+n_Ventana)*ISNUMBER(Detalle_24m!AY$220:AY$244))*FC_V*(1+FC_g)^(AY$173-1)*((FC_Desde=0)*(AY$172+AY$171)+(FC_Desde&gt;=1)*(AY$170&gt;=FC_Desde)*AY$171))*FC_IVA/(1+FC_IVA))</f>
        <v>1689.3559419999999</v>
      </c>
      <c r="AZ247" s="48">
        <f>SUMPRODUCT(((FC_Mon="PYG")*AZ$175+(FC_Mon&lt;&gt;"PYG"))*((47&gt;Corte)*(47&lt;=Corte+n_Ventana)*ISNUMBER(Detalle_24m!AZ$220:AZ$244)*Detalle_24m!AZ$220:AZ$244+(1-(47&gt;Corte)*(47&lt;=Corte+n_Ventana)*ISNUMBER(Detalle_24m!AZ$220:AZ$244))*FC_V*(1+FC_g)^(AZ$173-1)*((FC_Desde=0)*(AZ$172+AZ$171)+(FC_Desde&gt;=1)*(AZ$170&gt;=FC_Desde)*AZ$171))*FC_IVA/(1+FC_IVA))</f>
        <v>1689.3559419999999</v>
      </c>
      <c r="BA247" s="48">
        <f>SUMPRODUCT(((FC_Mon="PYG")*BA$175+(FC_Mon&lt;&gt;"PYG"))*((48&gt;Corte)*(48&lt;=Corte+n_Ventana)*ISNUMBER(Detalle_24m!BA$220:BA$244)*Detalle_24m!BA$220:BA$244+(1-(48&gt;Corte)*(48&lt;=Corte+n_Ventana)*ISNUMBER(Detalle_24m!BA$220:BA$244))*FC_V*(1+FC_g)^(BA$173-1)*((FC_Desde=0)*(BA$172+BA$171)+(FC_Desde&gt;=1)*(BA$170&gt;=FC_Desde)*BA$171))*FC_IVA/(1+FC_IVA))</f>
        <v>1689.3559419999999</v>
      </c>
      <c r="BB247" s="48">
        <f>SUMPRODUCT(((FC_Mon="PYG")*BB$175+(FC_Mon&lt;&gt;"PYG"))*((49&gt;Corte)*(49&lt;=Corte+n_Ventana)*ISNUMBER(Detalle_24m!BB$220:BB$244)*Detalle_24m!BB$220:BB$244+(1-(49&gt;Corte)*(49&lt;=Corte+n_Ventana)*ISNUMBER(Detalle_24m!BB$220:BB$244))*FC_V*(1+FC_g)^(BB$173-1)*((FC_Desde=0)*(BB$172+BB$171)+(FC_Desde&gt;=1)*(BB$170&gt;=FC_Desde)*BB$171))*FC_IVA/(1+FC_IVA))</f>
        <v>1740.0366202599998</v>
      </c>
      <c r="BC247" s="48">
        <f>SUMPRODUCT(((FC_Mon="PYG")*BC$175+(FC_Mon&lt;&gt;"PYG"))*((50&gt;Corte)*(50&lt;=Corte+n_Ventana)*ISNUMBER(Detalle_24m!BC$220:BC$244)*Detalle_24m!BC$220:BC$244+(1-(50&gt;Corte)*(50&lt;=Corte+n_Ventana)*ISNUMBER(Detalle_24m!BC$220:BC$244))*FC_V*(1+FC_g)^(BC$173-1)*((FC_Desde=0)*(BC$172+BC$171)+(FC_Desde&gt;=1)*(BC$170&gt;=FC_Desde)*BC$171))*FC_IVA/(1+FC_IVA))</f>
        <v>1740.0366202599998</v>
      </c>
      <c r="BD247" s="48">
        <f>SUMPRODUCT(((FC_Mon="PYG")*BD$175+(FC_Mon&lt;&gt;"PYG"))*((51&gt;Corte)*(51&lt;=Corte+n_Ventana)*ISNUMBER(Detalle_24m!BD$220:BD$244)*Detalle_24m!BD$220:BD$244+(1-(51&gt;Corte)*(51&lt;=Corte+n_Ventana)*ISNUMBER(Detalle_24m!BD$220:BD$244))*FC_V*(1+FC_g)^(BD$173-1)*((FC_Desde=0)*(BD$172+BD$171)+(FC_Desde&gt;=1)*(BD$170&gt;=FC_Desde)*BD$171))*FC_IVA/(1+FC_IVA))</f>
        <v>1740.0366202599998</v>
      </c>
      <c r="BE247" s="48">
        <f>SUMPRODUCT(((FC_Mon="PYG")*BE$175+(FC_Mon&lt;&gt;"PYG"))*((52&gt;Corte)*(52&lt;=Corte+n_Ventana)*ISNUMBER(Detalle_24m!BE$220:BE$244)*Detalle_24m!BE$220:BE$244+(1-(52&gt;Corte)*(52&lt;=Corte+n_Ventana)*ISNUMBER(Detalle_24m!BE$220:BE$244))*FC_V*(1+FC_g)^(BE$173-1)*((FC_Desde=0)*(BE$172+BE$171)+(FC_Desde&gt;=1)*(BE$170&gt;=FC_Desde)*BE$171))*FC_IVA/(1+FC_IVA))</f>
        <v>1740.0366202599998</v>
      </c>
      <c r="BF247" s="48">
        <f>SUMPRODUCT(((FC_Mon="PYG")*BF$175+(FC_Mon&lt;&gt;"PYG"))*((53&gt;Corte)*(53&lt;=Corte+n_Ventana)*ISNUMBER(Detalle_24m!BF$220:BF$244)*Detalle_24m!BF$220:BF$244+(1-(53&gt;Corte)*(53&lt;=Corte+n_Ventana)*ISNUMBER(Detalle_24m!BF$220:BF$244))*FC_V*(1+FC_g)^(BF$173-1)*((FC_Desde=0)*(BF$172+BF$171)+(FC_Desde&gt;=1)*(BF$170&gt;=FC_Desde)*BF$171))*FC_IVA/(1+FC_IVA))</f>
        <v>1740.0366202599998</v>
      </c>
      <c r="BG247" s="48">
        <f>SUMPRODUCT(((FC_Mon="PYG")*BG$175+(FC_Mon&lt;&gt;"PYG"))*((54&gt;Corte)*(54&lt;=Corte+n_Ventana)*ISNUMBER(Detalle_24m!BG$220:BG$244)*Detalle_24m!BG$220:BG$244+(1-(54&gt;Corte)*(54&lt;=Corte+n_Ventana)*ISNUMBER(Detalle_24m!BG$220:BG$244))*FC_V*(1+FC_g)^(BG$173-1)*((FC_Desde=0)*(BG$172+BG$171)+(FC_Desde&gt;=1)*(BG$170&gt;=FC_Desde)*BG$171))*FC_IVA/(1+FC_IVA))</f>
        <v>1740.0366202599998</v>
      </c>
      <c r="BH247" s="48">
        <f>SUMPRODUCT(((FC_Mon="PYG")*BH$175+(FC_Mon&lt;&gt;"PYG"))*((55&gt;Corte)*(55&lt;=Corte+n_Ventana)*ISNUMBER(Detalle_24m!BH$220:BH$244)*Detalle_24m!BH$220:BH$244+(1-(55&gt;Corte)*(55&lt;=Corte+n_Ventana)*ISNUMBER(Detalle_24m!BH$220:BH$244))*FC_V*(1+FC_g)^(BH$173-1)*((FC_Desde=0)*(BH$172+BH$171)+(FC_Desde&gt;=1)*(BH$170&gt;=FC_Desde)*BH$171))*FC_IVA/(1+FC_IVA))</f>
        <v>1740.0366202599998</v>
      </c>
      <c r="BI247" s="48">
        <f>SUMPRODUCT(((FC_Mon="PYG")*BI$175+(FC_Mon&lt;&gt;"PYG"))*((56&gt;Corte)*(56&lt;=Corte+n_Ventana)*ISNUMBER(Detalle_24m!BI$220:BI$244)*Detalle_24m!BI$220:BI$244+(1-(56&gt;Corte)*(56&lt;=Corte+n_Ventana)*ISNUMBER(Detalle_24m!BI$220:BI$244))*FC_V*(1+FC_g)^(BI$173-1)*((FC_Desde=0)*(BI$172+BI$171)+(FC_Desde&gt;=1)*(BI$170&gt;=FC_Desde)*BI$171))*FC_IVA/(1+FC_IVA))</f>
        <v>1740.0366202599998</v>
      </c>
      <c r="BJ247" s="48">
        <f>SUMPRODUCT(((FC_Mon="PYG")*BJ$175+(FC_Mon&lt;&gt;"PYG"))*((57&gt;Corte)*(57&lt;=Corte+n_Ventana)*ISNUMBER(Detalle_24m!BJ$220:BJ$244)*Detalle_24m!BJ$220:BJ$244+(1-(57&gt;Corte)*(57&lt;=Corte+n_Ventana)*ISNUMBER(Detalle_24m!BJ$220:BJ$244))*FC_V*(1+FC_g)^(BJ$173-1)*((FC_Desde=0)*(BJ$172+BJ$171)+(FC_Desde&gt;=1)*(BJ$170&gt;=FC_Desde)*BJ$171))*FC_IVA/(1+FC_IVA))</f>
        <v>1740.0366202599998</v>
      </c>
      <c r="BK247" s="48">
        <f>SUMPRODUCT(((FC_Mon="PYG")*BK$175+(FC_Mon&lt;&gt;"PYG"))*((58&gt;Corte)*(58&lt;=Corte+n_Ventana)*ISNUMBER(Detalle_24m!BK$220:BK$244)*Detalle_24m!BK$220:BK$244+(1-(58&gt;Corte)*(58&lt;=Corte+n_Ventana)*ISNUMBER(Detalle_24m!BK$220:BK$244))*FC_V*(1+FC_g)^(BK$173-1)*((FC_Desde=0)*(BK$172+BK$171)+(FC_Desde&gt;=1)*(BK$170&gt;=FC_Desde)*BK$171))*FC_IVA/(1+FC_IVA))</f>
        <v>1740.0366202599998</v>
      </c>
      <c r="BL247" s="48">
        <f>SUMPRODUCT(((FC_Mon="PYG")*BL$175+(FC_Mon&lt;&gt;"PYG"))*((59&gt;Corte)*(59&lt;=Corte+n_Ventana)*ISNUMBER(Detalle_24m!BL$220:BL$244)*Detalle_24m!BL$220:BL$244+(1-(59&gt;Corte)*(59&lt;=Corte+n_Ventana)*ISNUMBER(Detalle_24m!BL$220:BL$244))*FC_V*(1+FC_g)^(BL$173-1)*((FC_Desde=0)*(BL$172+BL$171)+(FC_Desde&gt;=1)*(BL$170&gt;=FC_Desde)*BL$171))*FC_IVA/(1+FC_IVA))</f>
        <v>1740.0366202599998</v>
      </c>
      <c r="BM247" s="48">
        <f>SUMPRODUCT(((FC_Mon="PYG")*BM$175+(FC_Mon&lt;&gt;"PYG"))*((60&gt;Corte)*(60&lt;=Corte+n_Ventana)*ISNUMBER(Detalle_24m!BM$220:BM$244)*Detalle_24m!BM$220:BM$244+(1-(60&gt;Corte)*(60&lt;=Corte+n_Ventana)*ISNUMBER(Detalle_24m!BM$220:BM$244))*FC_V*(1+FC_g)^(BM$173-1)*((FC_Desde=0)*(BM$172+BM$171)+(FC_Desde&gt;=1)*(BM$170&gt;=FC_Desde)*BM$171))*FC_IVA/(1+FC_IVA))</f>
        <v>1740.0366202599998</v>
      </c>
      <c r="BN247" s="48">
        <f>SUMPRODUCT(((FC_Mon="PYG")*BN$175+(FC_Mon&lt;&gt;"PYG"))*((61&gt;Corte)*(61&lt;=Corte+n_Ventana)*ISNUMBER(Detalle_24m!BN$220:BN$244)*Detalle_24m!BN$220:BN$244+(1-(61&gt;Corte)*(61&lt;=Corte+n_Ventana)*ISNUMBER(Detalle_24m!BN$220:BN$244))*FC_V*(1+FC_g)^(BN$173-1)*((FC_Desde=0)*(BN$172+BN$171)+(FC_Desde&gt;=1)*(BN$170&gt;=FC_Desde)*BN$171))*FC_IVA/(1+FC_IVA))</f>
        <v>1792.2377188677997</v>
      </c>
      <c r="BO247" s="48">
        <f>SUMPRODUCT(((FC_Mon="PYG")*BO$175+(FC_Mon&lt;&gt;"PYG"))*((62&gt;Corte)*(62&lt;=Corte+n_Ventana)*ISNUMBER(Detalle_24m!BO$220:BO$244)*Detalle_24m!BO$220:BO$244+(1-(62&gt;Corte)*(62&lt;=Corte+n_Ventana)*ISNUMBER(Detalle_24m!BO$220:BO$244))*FC_V*(1+FC_g)^(BO$173-1)*((FC_Desde=0)*(BO$172+BO$171)+(FC_Desde&gt;=1)*(BO$170&gt;=FC_Desde)*BO$171))*FC_IVA/(1+FC_IVA))</f>
        <v>1792.2377188677997</v>
      </c>
      <c r="BP247" s="48">
        <f>SUMPRODUCT(((FC_Mon="PYG")*BP$175+(FC_Mon&lt;&gt;"PYG"))*((63&gt;Corte)*(63&lt;=Corte+n_Ventana)*ISNUMBER(Detalle_24m!BP$220:BP$244)*Detalle_24m!BP$220:BP$244+(1-(63&gt;Corte)*(63&lt;=Corte+n_Ventana)*ISNUMBER(Detalle_24m!BP$220:BP$244))*FC_V*(1+FC_g)^(BP$173-1)*((FC_Desde=0)*(BP$172+BP$171)+(FC_Desde&gt;=1)*(BP$170&gt;=FC_Desde)*BP$171))*FC_IVA/(1+FC_IVA))</f>
        <v>1792.2377188677997</v>
      </c>
      <c r="BQ247" s="48">
        <f>SUMPRODUCT(((FC_Mon="PYG")*BQ$175+(FC_Mon&lt;&gt;"PYG"))*((64&gt;Corte)*(64&lt;=Corte+n_Ventana)*ISNUMBER(Detalle_24m!BQ$220:BQ$244)*Detalle_24m!BQ$220:BQ$244+(1-(64&gt;Corte)*(64&lt;=Corte+n_Ventana)*ISNUMBER(Detalle_24m!BQ$220:BQ$244))*FC_V*(1+FC_g)^(BQ$173-1)*((FC_Desde=0)*(BQ$172+BQ$171)+(FC_Desde&gt;=1)*(BQ$170&gt;=FC_Desde)*BQ$171))*FC_IVA/(1+FC_IVA))</f>
        <v>1792.2377188677997</v>
      </c>
      <c r="BR247" s="48">
        <f>SUMPRODUCT(((FC_Mon="PYG")*BR$175+(FC_Mon&lt;&gt;"PYG"))*((65&gt;Corte)*(65&lt;=Corte+n_Ventana)*ISNUMBER(Detalle_24m!BR$220:BR$244)*Detalle_24m!BR$220:BR$244+(1-(65&gt;Corte)*(65&lt;=Corte+n_Ventana)*ISNUMBER(Detalle_24m!BR$220:BR$244))*FC_V*(1+FC_g)^(BR$173-1)*((FC_Desde=0)*(BR$172+BR$171)+(FC_Desde&gt;=1)*(BR$170&gt;=FC_Desde)*BR$171))*FC_IVA/(1+FC_IVA))</f>
        <v>1792.2377188677997</v>
      </c>
      <c r="BS247" s="48">
        <f>SUMPRODUCT(((FC_Mon="PYG")*BS$175+(FC_Mon&lt;&gt;"PYG"))*((66&gt;Corte)*(66&lt;=Corte+n_Ventana)*ISNUMBER(Detalle_24m!BS$220:BS$244)*Detalle_24m!BS$220:BS$244+(1-(66&gt;Corte)*(66&lt;=Corte+n_Ventana)*ISNUMBER(Detalle_24m!BS$220:BS$244))*FC_V*(1+FC_g)^(BS$173-1)*((FC_Desde=0)*(BS$172+BS$171)+(FC_Desde&gt;=1)*(BS$170&gt;=FC_Desde)*BS$171))*FC_IVA/(1+FC_IVA))</f>
        <v>1792.2377188677997</v>
      </c>
      <c r="BT247" s="48">
        <f>SUMPRODUCT(((FC_Mon="PYG")*BT$175+(FC_Mon&lt;&gt;"PYG"))*((67&gt;Corte)*(67&lt;=Corte+n_Ventana)*ISNUMBER(Detalle_24m!BT$220:BT$244)*Detalle_24m!BT$220:BT$244+(1-(67&gt;Corte)*(67&lt;=Corte+n_Ventana)*ISNUMBER(Detalle_24m!BT$220:BT$244))*FC_V*(1+FC_g)^(BT$173-1)*((FC_Desde=0)*(BT$172+BT$171)+(FC_Desde&gt;=1)*(BT$170&gt;=FC_Desde)*BT$171))*FC_IVA/(1+FC_IVA))</f>
        <v>1792.2377188677997</v>
      </c>
      <c r="BU247" s="48">
        <f>SUMPRODUCT(((FC_Mon="PYG")*BU$175+(FC_Mon&lt;&gt;"PYG"))*((68&gt;Corte)*(68&lt;=Corte+n_Ventana)*ISNUMBER(Detalle_24m!BU$220:BU$244)*Detalle_24m!BU$220:BU$244+(1-(68&gt;Corte)*(68&lt;=Corte+n_Ventana)*ISNUMBER(Detalle_24m!BU$220:BU$244))*FC_V*(1+FC_g)^(BU$173-1)*((FC_Desde=0)*(BU$172+BU$171)+(FC_Desde&gt;=1)*(BU$170&gt;=FC_Desde)*BU$171))*FC_IVA/(1+FC_IVA))</f>
        <v>1792.2377188677997</v>
      </c>
      <c r="BV247" s="48">
        <f>SUMPRODUCT(((FC_Mon="PYG")*BV$175+(FC_Mon&lt;&gt;"PYG"))*((69&gt;Corte)*(69&lt;=Corte+n_Ventana)*ISNUMBER(Detalle_24m!BV$220:BV$244)*Detalle_24m!BV$220:BV$244+(1-(69&gt;Corte)*(69&lt;=Corte+n_Ventana)*ISNUMBER(Detalle_24m!BV$220:BV$244))*FC_V*(1+FC_g)^(BV$173-1)*((FC_Desde=0)*(BV$172+BV$171)+(FC_Desde&gt;=1)*(BV$170&gt;=FC_Desde)*BV$171))*FC_IVA/(1+FC_IVA))</f>
        <v>1792.2377188677997</v>
      </c>
      <c r="BW247" s="48">
        <f>SUMPRODUCT(((FC_Mon="PYG")*BW$175+(FC_Mon&lt;&gt;"PYG"))*((70&gt;Corte)*(70&lt;=Corte+n_Ventana)*ISNUMBER(Detalle_24m!BW$220:BW$244)*Detalle_24m!BW$220:BW$244+(1-(70&gt;Corte)*(70&lt;=Corte+n_Ventana)*ISNUMBER(Detalle_24m!BW$220:BW$244))*FC_V*(1+FC_g)^(BW$173-1)*((FC_Desde=0)*(BW$172+BW$171)+(FC_Desde&gt;=1)*(BW$170&gt;=FC_Desde)*BW$171))*FC_IVA/(1+FC_IVA))</f>
        <v>1792.2377188677997</v>
      </c>
      <c r="BX247" s="48">
        <f>SUMPRODUCT(((FC_Mon="PYG")*BX$175+(FC_Mon&lt;&gt;"PYG"))*((71&gt;Corte)*(71&lt;=Corte+n_Ventana)*ISNUMBER(Detalle_24m!BX$220:BX$244)*Detalle_24m!BX$220:BX$244+(1-(71&gt;Corte)*(71&lt;=Corte+n_Ventana)*ISNUMBER(Detalle_24m!BX$220:BX$244))*FC_V*(1+FC_g)^(BX$173-1)*((FC_Desde=0)*(BX$172+BX$171)+(FC_Desde&gt;=1)*(BX$170&gt;=FC_Desde)*BX$171))*FC_IVA/(1+FC_IVA))</f>
        <v>1792.2377188677997</v>
      </c>
      <c r="BY247" s="48">
        <f>SUMPRODUCT(((FC_Mon="PYG")*BY$175+(FC_Mon&lt;&gt;"PYG"))*((72&gt;Corte)*(72&lt;=Corte+n_Ventana)*ISNUMBER(Detalle_24m!BY$220:BY$244)*Detalle_24m!BY$220:BY$244+(1-(72&gt;Corte)*(72&lt;=Corte+n_Ventana)*ISNUMBER(Detalle_24m!BY$220:BY$244))*FC_V*(1+FC_g)^(BY$173-1)*((FC_Desde=0)*(BY$172+BY$171)+(FC_Desde&gt;=1)*(BY$170&gt;=FC_Desde)*BY$171))*FC_IVA/(1+FC_IVA))</f>
        <v>1792.2377188677997</v>
      </c>
      <c r="BZ247" s="48">
        <f>SUMPRODUCT(((FC_Mon="PYG")*BZ$175+(FC_Mon&lt;&gt;"PYG"))*((73&gt;Corte)*(73&lt;=Corte+n_Ventana)*ISNUMBER(Detalle_24m!BZ$220:BZ$244)*Detalle_24m!BZ$220:BZ$244+(1-(73&gt;Corte)*(73&lt;=Corte+n_Ventana)*ISNUMBER(Detalle_24m!BZ$220:BZ$244))*FC_V*(1+FC_g)^(BZ$173-1)*((FC_Desde=0)*(BZ$172+BZ$171)+(FC_Desde&gt;=1)*(BZ$170&gt;=FC_Desde)*BZ$171))*FC_IVA/(1+FC_IVA))</f>
        <v>1846.0048504338338</v>
      </c>
      <c r="CA247" s="48">
        <f>SUMPRODUCT(((FC_Mon="PYG")*CA$175+(FC_Mon&lt;&gt;"PYG"))*((74&gt;Corte)*(74&lt;=Corte+n_Ventana)*ISNUMBER(Detalle_24m!CA$220:CA$244)*Detalle_24m!CA$220:CA$244+(1-(74&gt;Corte)*(74&lt;=Corte+n_Ventana)*ISNUMBER(Detalle_24m!CA$220:CA$244))*FC_V*(1+FC_g)^(CA$173-1)*((FC_Desde=0)*(CA$172+CA$171)+(FC_Desde&gt;=1)*(CA$170&gt;=FC_Desde)*CA$171))*FC_IVA/(1+FC_IVA))</f>
        <v>1846.0048504338338</v>
      </c>
      <c r="CB247" s="48">
        <f>SUMPRODUCT(((FC_Mon="PYG")*CB$175+(FC_Mon&lt;&gt;"PYG"))*((75&gt;Corte)*(75&lt;=Corte+n_Ventana)*ISNUMBER(Detalle_24m!CB$220:CB$244)*Detalle_24m!CB$220:CB$244+(1-(75&gt;Corte)*(75&lt;=Corte+n_Ventana)*ISNUMBER(Detalle_24m!CB$220:CB$244))*FC_V*(1+FC_g)^(CB$173-1)*((FC_Desde=0)*(CB$172+CB$171)+(FC_Desde&gt;=1)*(CB$170&gt;=FC_Desde)*CB$171))*FC_IVA/(1+FC_IVA))</f>
        <v>1846.0048504338338</v>
      </c>
      <c r="CC247" s="48">
        <f>SUMPRODUCT(((FC_Mon="PYG")*CC$175+(FC_Mon&lt;&gt;"PYG"))*((76&gt;Corte)*(76&lt;=Corte+n_Ventana)*ISNUMBER(Detalle_24m!CC$220:CC$244)*Detalle_24m!CC$220:CC$244+(1-(76&gt;Corte)*(76&lt;=Corte+n_Ventana)*ISNUMBER(Detalle_24m!CC$220:CC$244))*FC_V*(1+FC_g)^(CC$173-1)*((FC_Desde=0)*(CC$172+CC$171)+(FC_Desde&gt;=1)*(CC$170&gt;=FC_Desde)*CC$171))*FC_IVA/(1+FC_IVA))</f>
        <v>1846.0048504338338</v>
      </c>
      <c r="CD247" s="48">
        <f>SUMPRODUCT(((FC_Mon="PYG")*CD$175+(FC_Mon&lt;&gt;"PYG"))*((77&gt;Corte)*(77&lt;=Corte+n_Ventana)*ISNUMBER(Detalle_24m!CD$220:CD$244)*Detalle_24m!CD$220:CD$244+(1-(77&gt;Corte)*(77&lt;=Corte+n_Ventana)*ISNUMBER(Detalle_24m!CD$220:CD$244))*FC_V*(1+FC_g)^(CD$173-1)*((FC_Desde=0)*(CD$172+CD$171)+(FC_Desde&gt;=1)*(CD$170&gt;=FC_Desde)*CD$171))*FC_IVA/(1+FC_IVA))</f>
        <v>1846.0048504338338</v>
      </c>
      <c r="CE247" s="48">
        <f>SUMPRODUCT(((FC_Mon="PYG")*CE$175+(FC_Mon&lt;&gt;"PYG"))*((78&gt;Corte)*(78&lt;=Corte+n_Ventana)*ISNUMBER(Detalle_24m!CE$220:CE$244)*Detalle_24m!CE$220:CE$244+(1-(78&gt;Corte)*(78&lt;=Corte+n_Ventana)*ISNUMBER(Detalle_24m!CE$220:CE$244))*FC_V*(1+FC_g)^(CE$173-1)*((FC_Desde=0)*(CE$172+CE$171)+(FC_Desde&gt;=1)*(CE$170&gt;=FC_Desde)*CE$171))*FC_IVA/(1+FC_IVA))</f>
        <v>1846.0048504338338</v>
      </c>
      <c r="CF247" s="48">
        <f>SUMPRODUCT(((FC_Mon="PYG")*CF$175+(FC_Mon&lt;&gt;"PYG"))*((79&gt;Corte)*(79&lt;=Corte+n_Ventana)*ISNUMBER(Detalle_24m!CF$220:CF$244)*Detalle_24m!CF$220:CF$244+(1-(79&gt;Corte)*(79&lt;=Corte+n_Ventana)*ISNUMBER(Detalle_24m!CF$220:CF$244))*FC_V*(1+FC_g)^(CF$173-1)*((FC_Desde=0)*(CF$172+CF$171)+(FC_Desde&gt;=1)*(CF$170&gt;=FC_Desde)*CF$171))*FC_IVA/(1+FC_IVA))</f>
        <v>1846.0048504338338</v>
      </c>
      <c r="CG247" s="48">
        <f>SUMPRODUCT(((FC_Mon="PYG")*CG$175+(FC_Mon&lt;&gt;"PYG"))*((80&gt;Corte)*(80&lt;=Corte+n_Ventana)*ISNUMBER(Detalle_24m!CG$220:CG$244)*Detalle_24m!CG$220:CG$244+(1-(80&gt;Corte)*(80&lt;=Corte+n_Ventana)*ISNUMBER(Detalle_24m!CG$220:CG$244))*FC_V*(1+FC_g)^(CG$173-1)*((FC_Desde=0)*(CG$172+CG$171)+(FC_Desde&gt;=1)*(CG$170&gt;=FC_Desde)*CG$171))*FC_IVA/(1+FC_IVA))</f>
        <v>1846.0048504338338</v>
      </c>
      <c r="CH247" s="48">
        <f>SUMPRODUCT(((FC_Mon="PYG")*CH$175+(FC_Mon&lt;&gt;"PYG"))*((81&gt;Corte)*(81&lt;=Corte+n_Ventana)*ISNUMBER(Detalle_24m!CH$220:CH$244)*Detalle_24m!CH$220:CH$244+(1-(81&gt;Corte)*(81&lt;=Corte+n_Ventana)*ISNUMBER(Detalle_24m!CH$220:CH$244))*FC_V*(1+FC_g)^(CH$173-1)*((FC_Desde=0)*(CH$172+CH$171)+(FC_Desde&gt;=1)*(CH$170&gt;=FC_Desde)*CH$171))*FC_IVA/(1+FC_IVA))</f>
        <v>1846.0048504338338</v>
      </c>
      <c r="CI247" s="48">
        <f>SUMPRODUCT(((FC_Mon="PYG")*CI$175+(FC_Mon&lt;&gt;"PYG"))*((82&gt;Corte)*(82&lt;=Corte+n_Ventana)*ISNUMBER(Detalle_24m!CI$220:CI$244)*Detalle_24m!CI$220:CI$244+(1-(82&gt;Corte)*(82&lt;=Corte+n_Ventana)*ISNUMBER(Detalle_24m!CI$220:CI$244))*FC_V*(1+FC_g)^(CI$173-1)*((FC_Desde=0)*(CI$172+CI$171)+(FC_Desde&gt;=1)*(CI$170&gt;=FC_Desde)*CI$171))*FC_IVA/(1+FC_IVA))</f>
        <v>1846.0048504338338</v>
      </c>
      <c r="CJ247" s="48">
        <f>SUMPRODUCT(((FC_Mon="PYG")*CJ$175+(FC_Mon&lt;&gt;"PYG"))*((83&gt;Corte)*(83&lt;=Corte+n_Ventana)*ISNUMBER(Detalle_24m!CJ$220:CJ$244)*Detalle_24m!CJ$220:CJ$244+(1-(83&gt;Corte)*(83&lt;=Corte+n_Ventana)*ISNUMBER(Detalle_24m!CJ$220:CJ$244))*FC_V*(1+FC_g)^(CJ$173-1)*((FC_Desde=0)*(CJ$172+CJ$171)+(FC_Desde&gt;=1)*(CJ$170&gt;=FC_Desde)*CJ$171))*FC_IVA/(1+FC_IVA))</f>
        <v>1846.0048504338338</v>
      </c>
      <c r="CK247" s="48">
        <f>SUMPRODUCT(((FC_Mon="PYG")*CK$175+(FC_Mon&lt;&gt;"PYG"))*((84&gt;Corte)*(84&lt;=Corte+n_Ventana)*ISNUMBER(Detalle_24m!CK$220:CK$244)*Detalle_24m!CK$220:CK$244+(1-(84&gt;Corte)*(84&lt;=Corte+n_Ventana)*ISNUMBER(Detalle_24m!CK$220:CK$244))*FC_V*(1+FC_g)^(CK$173-1)*((FC_Desde=0)*(CK$172+CK$171)+(FC_Desde&gt;=1)*(CK$170&gt;=FC_Desde)*CK$171))*FC_IVA/(1+FC_IVA))</f>
        <v>1846.0048504338338</v>
      </c>
      <c r="CL247" s="48">
        <f>SUMPRODUCT(((FC_Mon="PYG")*CL$175+(FC_Mon&lt;&gt;"PYG"))*((85&gt;Corte)*(85&lt;=Corte+n_Ventana)*ISNUMBER(Detalle_24m!CL$220:CL$244)*Detalle_24m!CL$220:CL$244+(1-(85&gt;Corte)*(85&lt;=Corte+n_Ventana)*ISNUMBER(Detalle_24m!CL$220:CL$244))*FC_V*(1+FC_g)^(CL$173-1)*((FC_Desde=0)*(CL$172+CL$171)+(FC_Desde&gt;=1)*(CL$170&gt;=FC_Desde)*CL$171))*FC_IVA/(1+FC_IVA))</f>
        <v>1901.3849959468489</v>
      </c>
      <c r="CM247" s="48">
        <f>SUMPRODUCT(((FC_Mon="PYG")*CM$175+(FC_Mon&lt;&gt;"PYG"))*((86&gt;Corte)*(86&lt;=Corte+n_Ventana)*ISNUMBER(Detalle_24m!CM$220:CM$244)*Detalle_24m!CM$220:CM$244+(1-(86&gt;Corte)*(86&lt;=Corte+n_Ventana)*ISNUMBER(Detalle_24m!CM$220:CM$244))*FC_V*(1+FC_g)^(CM$173-1)*((FC_Desde=0)*(CM$172+CM$171)+(FC_Desde&gt;=1)*(CM$170&gt;=FC_Desde)*CM$171))*FC_IVA/(1+FC_IVA))</f>
        <v>1901.3849959468489</v>
      </c>
      <c r="CN247" s="48">
        <f>SUMPRODUCT(((FC_Mon="PYG")*CN$175+(FC_Mon&lt;&gt;"PYG"))*((87&gt;Corte)*(87&lt;=Corte+n_Ventana)*ISNUMBER(Detalle_24m!CN$220:CN$244)*Detalle_24m!CN$220:CN$244+(1-(87&gt;Corte)*(87&lt;=Corte+n_Ventana)*ISNUMBER(Detalle_24m!CN$220:CN$244))*FC_V*(1+FC_g)^(CN$173-1)*((FC_Desde=0)*(CN$172+CN$171)+(FC_Desde&gt;=1)*(CN$170&gt;=FC_Desde)*CN$171))*FC_IVA/(1+FC_IVA))</f>
        <v>1901.3849959468489</v>
      </c>
      <c r="CO247" s="48">
        <f>SUMPRODUCT(((FC_Mon="PYG")*CO$175+(FC_Mon&lt;&gt;"PYG"))*((88&gt;Corte)*(88&lt;=Corte+n_Ventana)*ISNUMBER(Detalle_24m!CO$220:CO$244)*Detalle_24m!CO$220:CO$244+(1-(88&gt;Corte)*(88&lt;=Corte+n_Ventana)*ISNUMBER(Detalle_24m!CO$220:CO$244))*FC_V*(1+FC_g)^(CO$173-1)*((FC_Desde=0)*(CO$172+CO$171)+(FC_Desde&gt;=1)*(CO$170&gt;=FC_Desde)*CO$171))*FC_IVA/(1+FC_IVA))</f>
        <v>1901.3849959468489</v>
      </c>
      <c r="CP247" s="48">
        <f>SUMPRODUCT(((FC_Mon="PYG")*CP$175+(FC_Mon&lt;&gt;"PYG"))*((89&gt;Corte)*(89&lt;=Corte+n_Ventana)*ISNUMBER(Detalle_24m!CP$220:CP$244)*Detalle_24m!CP$220:CP$244+(1-(89&gt;Corte)*(89&lt;=Corte+n_Ventana)*ISNUMBER(Detalle_24m!CP$220:CP$244))*FC_V*(1+FC_g)^(CP$173-1)*((FC_Desde=0)*(CP$172+CP$171)+(FC_Desde&gt;=1)*(CP$170&gt;=FC_Desde)*CP$171))*FC_IVA/(1+FC_IVA))</f>
        <v>1901.3849959468489</v>
      </c>
      <c r="CQ247" s="48">
        <f>SUMPRODUCT(((FC_Mon="PYG")*CQ$175+(FC_Mon&lt;&gt;"PYG"))*((90&gt;Corte)*(90&lt;=Corte+n_Ventana)*ISNUMBER(Detalle_24m!CQ$220:CQ$244)*Detalle_24m!CQ$220:CQ$244+(1-(90&gt;Corte)*(90&lt;=Corte+n_Ventana)*ISNUMBER(Detalle_24m!CQ$220:CQ$244))*FC_V*(1+FC_g)^(CQ$173-1)*((FC_Desde=0)*(CQ$172+CQ$171)+(FC_Desde&gt;=1)*(CQ$170&gt;=FC_Desde)*CQ$171))*FC_IVA/(1+FC_IVA))</f>
        <v>1901.3849959468489</v>
      </c>
      <c r="CR247" s="48">
        <f>SUMPRODUCT(((FC_Mon="PYG")*CR$175+(FC_Mon&lt;&gt;"PYG"))*((91&gt;Corte)*(91&lt;=Corte+n_Ventana)*ISNUMBER(Detalle_24m!CR$220:CR$244)*Detalle_24m!CR$220:CR$244+(1-(91&gt;Corte)*(91&lt;=Corte+n_Ventana)*ISNUMBER(Detalle_24m!CR$220:CR$244))*FC_V*(1+FC_g)^(CR$173-1)*((FC_Desde=0)*(CR$172+CR$171)+(FC_Desde&gt;=1)*(CR$170&gt;=FC_Desde)*CR$171))*FC_IVA/(1+FC_IVA))</f>
        <v>1901.3849959468489</v>
      </c>
      <c r="CS247" s="48">
        <f>SUMPRODUCT(((FC_Mon="PYG")*CS$175+(FC_Mon&lt;&gt;"PYG"))*((92&gt;Corte)*(92&lt;=Corte+n_Ventana)*ISNUMBER(Detalle_24m!CS$220:CS$244)*Detalle_24m!CS$220:CS$244+(1-(92&gt;Corte)*(92&lt;=Corte+n_Ventana)*ISNUMBER(Detalle_24m!CS$220:CS$244))*FC_V*(1+FC_g)^(CS$173-1)*((FC_Desde=0)*(CS$172+CS$171)+(FC_Desde&gt;=1)*(CS$170&gt;=FC_Desde)*CS$171))*FC_IVA/(1+FC_IVA))</f>
        <v>1901.3849959468489</v>
      </c>
      <c r="CT247" s="48">
        <f>SUMPRODUCT(((FC_Mon="PYG")*CT$175+(FC_Mon&lt;&gt;"PYG"))*((93&gt;Corte)*(93&lt;=Corte+n_Ventana)*ISNUMBER(Detalle_24m!CT$220:CT$244)*Detalle_24m!CT$220:CT$244+(1-(93&gt;Corte)*(93&lt;=Corte+n_Ventana)*ISNUMBER(Detalle_24m!CT$220:CT$244))*FC_V*(1+FC_g)^(CT$173-1)*((FC_Desde=0)*(CT$172+CT$171)+(FC_Desde&gt;=1)*(CT$170&gt;=FC_Desde)*CT$171))*FC_IVA/(1+FC_IVA))</f>
        <v>1901.3849959468489</v>
      </c>
      <c r="CU247" s="48">
        <f>SUMPRODUCT(((FC_Mon="PYG")*CU$175+(FC_Mon&lt;&gt;"PYG"))*((94&gt;Corte)*(94&lt;=Corte+n_Ventana)*ISNUMBER(Detalle_24m!CU$220:CU$244)*Detalle_24m!CU$220:CU$244+(1-(94&gt;Corte)*(94&lt;=Corte+n_Ventana)*ISNUMBER(Detalle_24m!CU$220:CU$244))*FC_V*(1+FC_g)^(CU$173-1)*((FC_Desde=0)*(CU$172+CU$171)+(FC_Desde&gt;=1)*(CU$170&gt;=FC_Desde)*CU$171))*FC_IVA/(1+FC_IVA))</f>
        <v>1901.3849959468489</v>
      </c>
      <c r="CV247" s="48">
        <f>SUMPRODUCT(((FC_Mon="PYG")*CV$175+(FC_Mon&lt;&gt;"PYG"))*((95&gt;Corte)*(95&lt;=Corte+n_Ventana)*ISNUMBER(Detalle_24m!CV$220:CV$244)*Detalle_24m!CV$220:CV$244+(1-(95&gt;Corte)*(95&lt;=Corte+n_Ventana)*ISNUMBER(Detalle_24m!CV$220:CV$244))*FC_V*(1+FC_g)^(CV$173-1)*((FC_Desde=0)*(CV$172+CV$171)+(FC_Desde&gt;=1)*(CV$170&gt;=FC_Desde)*CV$171))*FC_IVA/(1+FC_IVA))</f>
        <v>1901.3849959468489</v>
      </c>
      <c r="CW247" s="48">
        <f>SUMPRODUCT(((FC_Mon="PYG")*CW$175+(FC_Mon&lt;&gt;"PYG"))*((96&gt;Corte)*(96&lt;=Corte+n_Ventana)*ISNUMBER(Detalle_24m!CW$220:CW$244)*Detalle_24m!CW$220:CW$244+(1-(96&gt;Corte)*(96&lt;=Corte+n_Ventana)*ISNUMBER(Detalle_24m!CW$220:CW$244))*FC_V*(1+FC_g)^(CW$173-1)*((FC_Desde=0)*(CW$172+CW$171)+(FC_Desde&gt;=1)*(CW$170&gt;=FC_Desde)*CW$171))*FC_IVA/(1+FC_IVA))</f>
        <v>1901.3849959468489</v>
      </c>
      <c r="CX247" s="48">
        <f>SUMPRODUCT(((FC_Mon="PYG")*CX$175+(FC_Mon&lt;&gt;"PYG"))*((97&gt;Corte)*(97&lt;=Corte+n_Ventana)*ISNUMBER(Detalle_24m!CX$220:CX$244)*Detalle_24m!CX$220:CX$244+(1-(97&gt;Corte)*(97&lt;=Corte+n_Ventana)*ISNUMBER(Detalle_24m!CX$220:CX$244))*FC_V*(1+FC_g)^(CX$173-1)*((FC_Desde=0)*(CX$172+CX$171)+(FC_Desde&gt;=1)*(CX$170&gt;=FC_Desde)*CX$171))*FC_IVA/(1+FC_IVA))</f>
        <v>1958.4265458252539</v>
      </c>
      <c r="CY247" s="48">
        <f>SUMPRODUCT(((FC_Mon="PYG")*CY$175+(FC_Mon&lt;&gt;"PYG"))*((98&gt;Corte)*(98&lt;=Corte+n_Ventana)*ISNUMBER(Detalle_24m!CY$220:CY$244)*Detalle_24m!CY$220:CY$244+(1-(98&gt;Corte)*(98&lt;=Corte+n_Ventana)*ISNUMBER(Detalle_24m!CY$220:CY$244))*FC_V*(1+FC_g)^(CY$173-1)*((FC_Desde=0)*(CY$172+CY$171)+(FC_Desde&gt;=1)*(CY$170&gt;=FC_Desde)*CY$171))*FC_IVA/(1+FC_IVA))</f>
        <v>1958.4265458252539</v>
      </c>
      <c r="CZ247" s="48">
        <f>SUMPRODUCT(((FC_Mon="PYG")*CZ$175+(FC_Mon&lt;&gt;"PYG"))*((99&gt;Corte)*(99&lt;=Corte+n_Ventana)*ISNUMBER(Detalle_24m!CZ$220:CZ$244)*Detalle_24m!CZ$220:CZ$244+(1-(99&gt;Corte)*(99&lt;=Corte+n_Ventana)*ISNUMBER(Detalle_24m!CZ$220:CZ$244))*FC_V*(1+FC_g)^(CZ$173-1)*((FC_Desde=0)*(CZ$172+CZ$171)+(FC_Desde&gt;=1)*(CZ$170&gt;=FC_Desde)*CZ$171))*FC_IVA/(1+FC_IVA))</f>
        <v>1958.4265458252539</v>
      </c>
      <c r="DA247" s="48">
        <f>SUMPRODUCT(((FC_Mon="PYG")*DA$175+(FC_Mon&lt;&gt;"PYG"))*((100&gt;Corte)*(100&lt;=Corte+n_Ventana)*ISNUMBER(Detalle_24m!DA$220:DA$244)*Detalle_24m!DA$220:DA$244+(1-(100&gt;Corte)*(100&lt;=Corte+n_Ventana)*ISNUMBER(Detalle_24m!DA$220:DA$244))*FC_V*(1+FC_g)^(DA$173-1)*((FC_Desde=0)*(DA$172+DA$171)+(FC_Desde&gt;=1)*(DA$170&gt;=FC_Desde)*DA$171))*FC_IVA/(1+FC_IVA))</f>
        <v>1958.4265458252539</v>
      </c>
      <c r="DB247" s="48">
        <f>SUMPRODUCT(((FC_Mon="PYG")*DB$175+(FC_Mon&lt;&gt;"PYG"))*((101&gt;Corte)*(101&lt;=Corte+n_Ventana)*ISNUMBER(Detalle_24m!DB$220:DB$244)*Detalle_24m!DB$220:DB$244+(1-(101&gt;Corte)*(101&lt;=Corte+n_Ventana)*ISNUMBER(Detalle_24m!DB$220:DB$244))*FC_V*(1+FC_g)^(DB$173-1)*((FC_Desde=0)*(DB$172+DB$171)+(FC_Desde&gt;=1)*(DB$170&gt;=FC_Desde)*DB$171))*FC_IVA/(1+FC_IVA))</f>
        <v>1958.4265458252539</v>
      </c>
      <c r="DC247" s="48">
        <f>SUMPRODUCT(((FC_Mon="PYG")*DC$175+(FC_Mon&lt;&gt;"PYG"))*((102&gt;Corte)*(102&lt;=Corte+n_Ventana)*ISNUMBER(Detalle_24m!DC$220:DC$244)*Detalle_24m!DC$220:DC$244+(1-(102&gt;Corte)*(102&lt;=Corte+n_Ventana)*ISNUMBER(Detalle_24m!DC$220:DC$244))*FC_V*(1+FC_g)^(DC$173-1)*((FC_Desde=0)*(DC$172+DC$171)+(FC_Desde&gt;=1)*(DC$170&gt;=FC_Desde)*DC$171))*FC_IVA/(1+FC_IVA))</f>
        <v>1958.4265458252539</v>
      </c>
      <c r="DD247" s="48">
        <f>SUMPRODUCT(((FC_Mon="PYG")*DD$175+(FC_Mon&lt;&gt;"PYG"))*((103&gt;Corte)*(103&lt;=Corte+n_Ventana)*ISNUMBER(Detalle_24m!DD$220:DD$244)*Detalle_24m!DD$220:DD$244+(1-(103&gt;Corte)*(103&lt;=Corte+n_Ventana)*ISNUMBER(Detalle_24m!DD$220:DD$244))*FC_V*(1+FC_g)^(DD$173-1)*((FC_Desde=0)*(DD$172+DD$171)+(FC_Desde&gt;=1)*(DD$170&gt;=FC_Desde)*DD$171))*FC_IVA/(1+FC_IVA))</f>
        <v>1958.4265458252539</v>
      </c>
      <c r="DE247" s="48">
        <f>SUMPRODUCT(((FC_Mon="PYG")*DE$175+(FC_Mon&lt;&gt;"PYG"))*((104&gt;Corte)*(104&lt;=Corte+n_Ventana)*ISNUMBER(Detalle_24m!DE$220:DE$244)*Detalle_24m!DE$220:DE$244+(1-(104&gt;Corte)*(104&lt;=Corte+n_Ventana)*ISNUMBER(Detalle_24m!DE$220:DE$244))*FC_V*(1+FC_g)^(DE$173-1)*((FC_Desde=0)*(DE$172+DE$171)+(FC_Desde&gt;=1)*(DE$170&gt;=FC_Desde)*DE$171))*FC_IVA/(1+FC_IVA))</f>
        <v>1958.4265458252539</v>
      </c>
      <c r="DF247" s="48">
        <f>SUMPRODUCT(((FC_Mon="PYG")*DF$175+(FC_Mon&lt;&gt;"PYG"))*((105&gt;Corte)*(105&lt;=Corte+n_Ventana)*ISNUMBER(Detalle_24m!DF$220:DF$244)*Detalle_24m!DF$220:DF$244+(1-(105&gt;Corte)*(105&lt;=Corte+n_Ventana)*ISNUMBER(Detalle_24m!DF$220:DF$244))*FC_V*(1+FC_g)^(DF$173-1)*((FC_Desde=0)*(DF$172+DF$171)+(FC_Desde&gt;=1)*(DF$170&gt;=FC_Desde)*DF$171))*FC_IVA/(1+FC_IVA))</f>
        <v>1958.4265458252539</v>
      </c>
      <c r="DG247" s="48">
        <f>SUMPRODUCT(((FC_Mon="PYG")*DG$175+(FC_Mon&lt;&gt;"PYG"))*((106&gt;Corte)*(106&lt;=Corte+n_Ventana)*ISNUMBER(Detalle_24m!DG$220:DG$244)*Detalle_24m!DG$220:DG$244+(1-(106&gt;Corte)*(106&lt;=Corte+n_Ventana)*ISNUMBER(Detalle_24m!DG$220:DG$244))*FC_V*(1+FC_g)^(DG$173-1)*((FC_Desde=0)*(DG$172+DG$171)+(FC_Desde&gt;=1)*(DG$170&gt;=FC_Desde)*DG$171))*FC_IVA/(1+FC_IVA))</f>
        <v>1958.4265458252539</v>
      </c>
      <c r="DH247" s="48">
        <f>SUMPRODUCT(((FC_Mon="PYG")*DH$175+(FC_Mon&lt;&gt;"PYG"))*((107&gt;Corte)*(107&lt;=Corte+n_Ventana)*ISNUMBER(Detalle_24m!DH$220:DH$244)*Detalle_24m!DH$220:DH$244+(1-(107&gt;Corte)*(107&lt;=Corte+n_Ventana)*ISNUMBER(Detalle_24m!DH$220:DH$244))*FC_V*(1+FC_g)^(DH$173-1)*((FC_Desde=0)*(DH$172+DH$171)+(FC_Desde&gt;=1)*(DH$170&gt;=FC_Desde)*DH$171))*FC_IVA/(1+FC_IVA))</f>
        <v>1958.4265458252539</v>
      </c>
      <c r="DI247" s="48">
        <f>SUMPRODUCT(((FC_Mon="PYG")*DI$175+(FC_Mon&lt;&gt;"PYG"))*((108&gt;Corte)*(108&lt;=Corte+n_Ventana)*ISNUMBER(Detalle_24m!DI$220:DI$244)*Detalle_24m!DI$220:DI$244+(1-(108&gt;Corte)*(108&lt;=Corte+n_Ventana)*ISNUMBER(Detalle_24m!DI$220:DI$244))*FC_V*(1+FC_g)^(DI$173-1)*((FC_Desde=0)*(DI$172+DI$171)+(FC_Desde&gt;=1)*(DI$170&gt;=FC_Desde)*DI$171))*FC_IVA/(1+FC_IVA))</f>
        <v>1958.4265458252539</v>
      </c>
      <c r="DJ247" s="48">
        <f>SUMPRODUCT(((FC_Mon="PYG")*DJ$175+(FC_Mon&lt;&gt;"PYG"))*((109&gt;Corte)*(109&lt;=Corte+n_Ventana)*ISNUMBER(Detalle_24m!DJ$220:DJ$244)*Detalle_24m!DJ$220:DJ$244+(1-(109&gt;Corte)*(109&lt;=Corte+n_Ventana)*ISNUMBER(Detalle_24m!DJ$220:DJ$244))*FC_V*(1+FC_g)^(DJ$173-1)*((FC_Desde=0)*(DJ$172+DJ$171)+(FC_Desde&gt;=1)*(DJ$170&gt;=FC_Desde)*DJ$171))*FC_IVA/(1+FC_IVA))</f>
        <v>2017.1793422000117</v>
      </c>
      <c r="DK247" s="48">
        <f>SUMPRODUCT(((FC_Mon="PYG")*DK$175+(FC_Mon&lt;&gt;"PYG"))*((110&gt;Corte)*(110&lt;=Corte+n_Ventana)*ISNUMBER(Detalle_24m!DK$220:DK$244)*Detalle_24m!DK$220:DK$244+(1-(110&gt;Corte)*(110&lt;=Corte+n_Ventana)*ISNUMBER(Detalle_24m!DK$220:DK$244))*FC_V*(1+FC_g)^(DK$173-1)*((FC_Desde=0)*(DK$172+DK$171)+(FC_Desde&gt;=1)*(DK$170&gt;=FC_Desde)*DK$171))*FC_IVA/(1+FC_IVA))</f>
        <v>2017.1793422000117</v>
      </c>
      <c r="DL247" s="48">
        <f>SUMPRODUCT(((FC_Mon="PYG")*DL$175+(FC_Mon&lt;&gt;"PYG"))*((111&gt;Corte)*(111&lt;=Corte+n_Ventana)*ISNUMBER(Detalle_24m!DL$220:DL$244)*Detalle_24m!DL$220:DL$244+(1-(111&gt;Corte)*(111&lt;=Corte+n_Ventana)*ISNUMBER(Detalle_24m!DL$220:DL$244))*FC_V*(1+FC_g)^(DL$173-1)*((FC_Desde=0)*(DL$172+DL$171)+(FC_Desde&gt;=1)*(DL$170&gt;=FC_Desde)*DL$171))*FC_IVA/(1+FC_IVA))</f>
        <v>2017.1793422000117</v>
      </c>
      <c r="DM247" s="48">
        <f>SUMPRODUCT(((FC_Mon="PYG")*DM$175+(FC_Mon&lt;&gt;"PYG"))*((112&gt;Corte)*(112&lt;=Corte+n_Ventana)*ISNUMBER(Detalle_24m!DM$220:DM$244)*Detalle_24m!DM$220:DM$244+(1-(112&gt;Corte)*(112&lt;=Corte+n_Ventana)*ISNUMBER(Detalle_24m!DM$220:DM$244))*FC_V*(1+FC_g)^(DM$173-1)*((FC_Desde=0)*(DM$172+DM$171)+(FC_Desde&gt;=1)*(DM$170&gt;=FC_Desde)*DM$171))*FC_IVA/(1+FC_IVA))</f>
        <v>2017.1793422000117</v>
      </c>
      <c r="DN247" s="48">
        <f>SUMPRODUCT(((FC_Mon="PYG")*DN$175+(FC_Mon&lt;&gt;"PYG"))*((113&gt;Corte)*(113&lt;=Corte+n_Ventana)*ISNUMBER(Detalle_24m!DN$220:DN$244)*Detalle_24m!DN$220:DN$244+(1-(113&gt;Corte)*(113&lt;=Corte+n_Ventana)*ISNUMBER(Detalle_24m!DN$220:DN$244))*FC_V*(1+FC_g)^(DN$173-1)*((FC_Desde=0)*(DN$172+DN$171)+(FC_Desde&gt;=1)*(DN$170&gt;=FC_Desde)*DN$171))*FC_IVA/(1+FC_IVA))</f>
        <v>2017.1793422000117</v>
      </c>
      <c r="DO247" s="48">
        <f>SUMPRODUCT(((FC_Mon="PYG")*DO$175+(FC_Mon&lt;&gt;"PYG"))*((114&gt;Corte)*(114&lt;=Corte+n_Ventana)*ISNUMBER(Detalle_24m!DO$220:DO$244)*Detalle_24m!DO$220:DO$244+(1-(114&gt;Corte)*(114&lt;=Corte+n_Ventana)*ISNUMBER(Detalle_24m!DO$220:DO$244))*FC_V*(1+FC_g)^(DO$173-1)*((FC_Desde=0)*(DO$172+DO$171)+(FC_Desde&gt;=1)*(DO$170&gt;=FC_Desde)*DO$171))*FC_IVA/(1+FC_IVA))</f>
        <v>2017.1793422000117</v>
      </c>
      <c r="DP247" s="48">
        <f>SUMPRODUCT(((FC_Mon="PYG")*DP$175+(FC_Mon&lt;&gt;"PYG"))*((115&gt;Corte)*(115&lt;=Corte+n_Ventana)*ISNUMBER(Detalle_24m!DP$220:DP$244)*Detalle_24m!DP$220:DP$244+(1-(115&gt;Corte)*(115&lt;=Corte+n_Ventana)*ISNUMBER(Detalle_24m!DP$220:DP$244))*FC_V*(1+FC_g)^(DP$173-1)*((FC_Desde=0)*(DP$172+DP$171)+(FC_Desde&gt;=1)*(DP$170&gt;=FC_Desde)*DP$171))*FC_IVA/(1+FC_IVA))</f>
        <v>2017.1793422000117</v>
      </c>
      <c r="DQ247" s="48">
        <f>SUMPRODUCT(((FC_Mon="PYG")*DQ$175+(FC_Mon&lt;&gt;"PYG"))*((116&gt;Corte)*(116&lt;=Corte+n_Ventana)*ISNUMBER(Detalle_24m!DQ$220:DQ$244)*Detalle_24m!DQ$220:DQ$244+(1-(116&gt;Corte)*(116&lt;=Corte+n_Ventana)*ISNUMBER(Detalle_24m!DQ$220:DQ$244))*FC_V*(1+FC_g)^(DQ$173-1)*((FC_Desde=0)*(DQ$172+DQ$171)+(FC_Desde&gt;=1)*(DQ$170&gt;=FC_Desde)*DQ$171))*FC_IVA/(1+FC_IVA))</f>
        <v>2017.1793422000117</v>
      </c>
      <c r="DR247" s="48">
        <f>SUMPRODUCT(((FC_Mon="PYG")*DR$175+(FC_Mon&lt;&gt;"PYG"))*((117&gt;Corte)*(117&lt;=Corte+n_Ventana)*ISNUMBER(Detalle_24m!DR$220:DR$244)*Detalle_24m!DR$220:DR$244+(1-(117&gt;Corte)*(117&lt;=Corte+n_Ventana)*ISNUMBER(Detalle_24m!DR$220:DR$244))*FC_V*(1+FC_g)^(DR$173-1)*((FC_Desde=0)*(DR$172+DR$171)+(FC_Desde&gt;=1)*(DR$170&gt;=FC_Desde)*DR$171))*FC_IVA/(1+FC_IVA))</f>
        <v>2017.1793422000117</v>
      </c>
      <c r="DS247" s="48">
        <f>SUMPRODUCT(((FC_Mon="PYG")*DS$175+(FC_Mon&lt;&gt;"PYG"))*((118&gt;Corte)*(118&lt;=Corte+n_Ventana)*ISNUMBER(Detalle_24m!DS$220:DS$244)*Detalle_24m!DS$220:DS$244+(1-(118&gt;Corte)*(118&lt;=Corte+n_Ventana)*ISNUMBER(Detalle_24m!DS$220:DS$244))*FC_V*(1+FC_g)^(DS$173-1)*((FC_Desde=0)*(DS$172+DS$171)+(FC_Desde&gt;=1)*(DS$170&gt;=FC_Desde)*DS$171))*FC_IVA/(1+FC_IVA))</f>
        <v>2017.1793422000117</v>
      </c>
      <c r="DT247" s="48">
        <f>SUMPRODUCT(((FC_Mon="PYG")*DT$175+(FC_Mon&lt;&gt;"PYG"))*((119&gt;Corte)*(119&lt;=Corte+n_Ventana)*ISNUMBER(Detalle_24m!DT$220:DT$244)*Detalle_24m!DT$220:DT$244+(1-(119&gt;Corte)*(119&lt;=Corte+n_Ventana)*ISNUMBER(Detalle_24m!DT$220:DT$244))*FC_V*(1+FC_g)^(DT$173-1)*((FC_Desde=0)*(DT$172+DT$171)+(FC_Desde&gt;=1)*(DT$170&gt;=FC_Desde)*DT$171))*FC_IVA/(1+FC_IVA))</f>
        <v>2017.1793422000117</v>
      </c>
      <c r="DU247" s="48">
        <f>SUMPRODUCT(((FC_Mon="PYG")*DU$175+(FC_Mon&lt;&gt;"PYG"))*((120&gt;Corte)*(120&lt;=Corte+n_Ventana)*ISNUMBER(Detalle_24m!DU$220:DU$244)*Detalle_24m!DU$220:DU$244+(1-(120&gt;Corte)*(120&lt;=Corte+n_Ventana)*ISNUMBER(Detalle_24m!DU$220:DU$244))*FC_V*(1+FC_g)^(DU$173-1)*((FC_Desde=0)*(DU$172+DU$171)+(FC_Desde&gt;=1)*(DU$170&gt;=FC_Desde)*DU$171))*FC_IVA/(1+FC_IVA))</f>
        <v>2017.1793422000117</v>
      </c>
      <c r="DV247" s="48">
        <f>SUMPRODUCT(((FC_Mon="PYG")*DV$175+(FC_Mon&lt;&gt;"PYG"))*((121&gt;Corte)*(121&lt;=Corte+n_Ventana)*ISNUMBER(Detalle_24m!DV$220:DV$244)*Detalle_24m!DV$220:DV$244+(1-(121&gt;Corte)*(121&lt;=Corte+n_Ventana)*ISNUMBER(Detalle_24m!DV$220:DV$244))*FC_V*(1+FC_g)^(DV$173-1)*((FC_Desde=0)*(DV$172+DV$171)+(FC_Desde&gt;=1)*(DV$170&gt;=FC_Desde)*DV$171))*FC_IVA/(1+FC_IVA))</f>
        <v>0</v>
      </c>
      <c r="DW247" s="48">
        <f>SUMPRODUCT(((FC_Mon="PYG")*DW$175+(FC_Mon&lt;&gt;"PYG"))*((122&gt;Corte)*(122&lt;=Corte+n_Ventana)*ISNUMBER(Detalle_24m!DW$220:DW$244)*Detalle_24m!DW$220:DW$244+(1-(122&gt;Corte)*(122&lt;=Corte+n_Ventana)*ISNUMBER(Detalle_24m!DW$220:DW$244))*FC_V*(1+FC_g)^(DW$173-1)*((FC_Desde=0)*(DW$172+DW$171)+(FC_Desde&gt;=1)*(DW$170&gt;=FC_Desde)*DW$171))*FC_IVA/(1+FC_IVA))</f>
        <v>0</v>
      </c>
      <c r="DX247" s="48">
        <f>SUMPRODUCT(((FC_Mon="PYG")*DX$175+(FC_Mon&lt;&gt;"PYG"))*((123&gt;Corte)*(123&lt;=Corte+n_Ventana)*ISNUMBER(Detalle_24m!DX$220:DX$244)*Detalle_24m!DX$220:DX$244+(1-(123&gt;Corte)*(123&lt;=Corte+n_Ventana)*ISNUMBER(Detalle_24m!DX$220:DX$244))*FC_V*(1+FC_g)^(DX$173-1)*((FC_Desde=0)*(DX$172+DX$171)+(FC_Desde&gt;=1)*(DX$170&gt;=FC_Desde)*DX$171))*FC_IVA/(1+FC_IVA))</f>
        <v>0</v>
      </c>
      <c r="DY247" s="48">
        <f>SUMPRODUCT(((FC_Mon="PYG")*DY$175+(FC_Mon&lt;&gt;"PYG"))*((124&gt;Corte)*(124&lt;=Corte+n_Ventana)*ISNUMBER(Detalle_24m!DY$220:DY$244)*Detalle_24m!DY$220:DY$244+(1-(124&gt;Corte)*(124&lt;=Corte+n_Ventana)*ISNUMBER(Detalle_24m!DY$220:DY$244))*FC_V*(1+FC_g)^(DY$173-1)*((FC_Desde=0)*(DY$172+DY$171)+(FC_Desde&gt;=1)*(DY$170&gt;=FC_Desde)*DY$171))*FC_IVA/(1+FC_IVA))</f>
        <v>0</v>
      </c>
      <c r="DZ247" s="48">
        <f>SUMPRODUCT(((FC_Mon="PYG")*DZ$175+(FC_Mon&lt;&gt;"PYG"))*((125&gt;Corte)*(125&lt;=Corte+n_Ventana)*ISNUMBER(Detalle_24m!DZ$220:DZ$244)*Detalle_24m!DZ$220:DZ$244+(1-(125&gt;Corte)*(125&lt;=Corte+n_Ventana)*ISNUMBER(Detalle_24m!DZ$220:DZ$244))*FC_V*(1+FC_g)^(DZ$173-1)*((FC_Desde=0)*(DZ$172+DZ$171)+(FC_Desde&gt;=1)*(DZ$170&gt;=FC_Desde)*DZ$171))*FC_IVA/(1+FC_IVA))</f>
        <v>0</v>
      </c>
      <c r="EA247" s="48">
        <f>SUMPRODUCT(((FC_Mon="PYG")*EA$175+(FC_Mon&lt;&gt;"PYG"))*((126&gt;Corte)*(126&lt;=Corte+n_Ventana)*ISNUMBER(Detalle_24m!EA$220:EA$244)*Detalle_24m!EA$220:EA$244+(1-(126&gt;Corte)*(126&lt;=Corte+n_Ventana)*ISNUMBER(Detalle_24m!EA$220:EA$244))*FC_V*(1+FC_g)^(EA$173-1)*((FC_Desde=0)*(EA$172+EA$171)+(FC_Desde&gt;=1)*(EA$170&gt;=FC_Desde)*EA$171))*FC_IVA/(1+FC_IVA))</f>
        <v>0</v>
      </c>
      <c r="EB247" s="48">
        <f>SUMPRODUCT(((FC_Mon="PYG")*EB$175+(FC_Mon&lt;&gt;"PYG"))*((127&gt;Corte)*(127&lt;=Corte+n_Ventana)*ISNUMBER(Detalle_24m!EB$220:EB$244)*Detalle_24m!EB$220:EB$244+(1-(127&gt;Corte)*(127&lt;=Corte+n_Ventana)*ISNUMBER(Detalle_24m!EB$220:EB$244))*FC_V*(1+FC_g)^(EB$173-1)*((FC_Desde=0)*(EB$172+EB$171)+(FC_Desde&gt;=1)*(EB$170&gt;=FC_Desde)*EB$171))*FC_IVA/(1+FC_IVA))</f>
        <v>0</v>
      </c>
      <c r="EC247" s="48">
        <f>SUMPRODUCT(((FC_Mon="PYG")*EC$175+(FC_Mon&lt;&gt;"PYG"))*((128&gt;Corte)*(128&lt;=Corte+n_Ventana)*ISNUMBER(Detalle_24m!EC$220:EC$244)*Detalle_24m!EC$220:EC$244+(1-(128&gt;Corte)*(128&lt;=Corte+n_Ventana)*ISNUMBER(Detalle_24m!EC$220:EC$244))*FC_V*(1+FC_g)^(EC$173-1)*((FC_Desde=0)*(EC$172+EC$171)+(FC_Desde&gt;=1)*(EC$170&gt;=FC_Desde)*EC$171))*FC_IVA/(1+FC_IVA))</f>
        <v>0</v>
      </c>
      <c r="ED247" s="48">
        <f>SUMPRODUCT(((FC_Mon="PYG")*ED$175+(FC_Mon&lt;&gt;"PYG"))*((129&gt;Corte)*(129&lt;=Corte+n_Ventana)*ISNUMBER(Detalle_24m!ED$220:ED$244)*Detalle_24m!ED$220:ED$244+(1-(129&gt;Corte)*(129&lt;=Corte+n_Ventana)*ISNUMBER(Detalle_24m!ED$220:ED$244))*FC_V*(1+FC_g)^(ED$173-1)*((FC_Desde=0)*(ED$172+ED$171)+(FC_Desde&gt;=1)*(ED$170&gt;=FC_Desde)*ED$171))*FC_IVA/(1+FC_IVA))</f>
        <v>0</v>
      </c>
      <c r="EE247" s="48">
        <f>SUMPRODUCT(((FC_Mon="PYG")*EE$175+(FC_Mon&lt;&gt;"PYG"))*((130&gt;Corte)*(130&lt;=Corte+n_Ventana)*ISNUMBER(Detalle_24m!EE$220:EE$244)*Detalle_24m!EE$220:EE$244+(1-(130&gt;Corte)*(130&lt;=Corte+n_Ventana)*ISNUMBER(Detalle_24m!EE$220:EE$244))*FC_V*(1+FC_g)^(EE$173-1)*((FC_Desde=0)*(EE$172+EE$171)+(FC_Desde&gt;=1)*(EE$170&gt;=FC_Desde)*EE$171))*FC_IVA/(1+FC_IVA))</f>
        <v>0</v>
      </c>
      <c r="EF247" s="48">
        <f>SUMPRODUCT(((FC_Mon="PYG")*EF$175+(FC_Mon&lt;&gt;"PYG"))*((131&gt;Corte)*(131&lt;=Corte+n_Ventana)*ISNUMBER(Detalle_24m!EF$220:EF$244)*Detalle_24m!EF$220:EF$244+(1-(131&gt;Corte)*(131&lt;=Corte+n_Ventana)*ISNUMBER(Detalle_24m!EF$220:EF$244))*FC_V*(1+FC_g)^(EF$173-1)*((FC_Desde=0)*(EF$172+EF$171)+(FC_Desde&gt;=1)*(EF$170&gt;=FC_Desde)*EF$171))*FC_IVA/(1+FC_IVA))</f>
        <v>0</v>
      </c>
      <c r="EG247" s="48">
        <f>SUMPRODUCT(((FC_Mon="PYG")*EG$175+(FC_Mon&lt;&gt;"PYG"))*((132&gt;Corte)*(132&lt;=Corte+n_Ventana)*ISNUMBER(Detalle_24m!EG$220:EG$244)*Detalle_24m!EG$220:EG$244+(1-(132&gt;Corte)*(132&lt;=Corte+n_Ventana)*ISNUMBER(Detalle_24m!EG$220:EG$244))*FC_V*(1+FC_g)^(EG$173-1)*((FC_Desde=0)*(EG$172+EG$171)+(FC_Desde&gt;=1)*(EG$170&gt;=FC_Desde)*EG$171))*FC_IVA/(1+FC_IVA))</f>
        <v>0</v>
      </c>
      <c r="EH247" s="48">
        <f>SUMPRODUCT(((FC_Mon="PYG")*EH$175+(FC_Mon&lt;&gt;"PYG"))*((133&gt;Corte)*(133&lt;=Corte+n_Ventana)*ISNUMBER(Detalle_24m!EH$220:EH$244)*Detalle_24m!EH$220:EH$244+(1-(133&gt;Corte)*(133&lt;=Corte+n_Ventana)*ISNUMBER(Detalle_24m!EH$220:EH$244))*FC_V*(1+FC_g)^(EH$173-1)*((FC_Desde=0)*(EH$172+EH$171)+(FC_Desde&gt;=1)*(EH$170&gt;=FC_Desde)*EH$171))*FC_IVA/(1+FC_IVA))</f>
        <v>0</v>
      </c>
      <c r="EI247" s="48">
        <f>SUMPRODUCT(((FC_Mon="PYG")*EI$175+(FC_Mon&lt;&gt;"PYG"))*((134&gt;Corte)*(134&lt;=Corte+n_Ventana)*ISNUMBER(Detalle_24m!EI$220:EI$244)*Detalle_24m!EI$220:EI$244+(1-(134&gt;Corte)*(134&lt;=Corte+n_Ventana)*ISNUMBER(Detalle_24m!EI$220:EI$244))*FC_V*(1+FC_g)^(EI$173-1)*((FC_Desde=0)*(EI$172+EI$171)+(FC_Desde&gt;=1)*(EI$170&gt;=FC_Desde)*EI$171))*FC_IVA/(1+FC_IVA))</f>
        <v>0</v>
      </c>
      <c r="EJ247" s="48">
        <f>SUMPRODUCT(((FC_Mon="PYG")*EJ$175+(FC_Mon&lt;&gt;"PYG"))*((135&gt;Corte)*(135&lt;=Corte+n_Ventana)*ISNUMBER(Detalle_24m!EJ$220:EJ$244)*Detalle_24m!EJ$220:EJ$244+(1-(135&gt;Corte)*(135&lt;=Corte+n_Ventana)*ISNUMBER(Detalle_24m!EJ$220:EJ$244))*FC_V*(1+FC_g)^(EJ$173-1)*((FC_Desde=0)*(EJ$172+EJ$171)+(FC_Desde&gt;=1)*(EJ$170&gt;=FC_Desde)*EJ$171))*FC_IVA/(1+FC_IVA))</f>
        <v>0</v>
      </c>
      <c r="EK247" s="48">
        <f>SUMPRODUCT(((FC_Mon="PYG")*EK$175+(FC_Mon&lt;&gt;"PYG"))*((136&gt;Corte)*(136&lt;=Corte+n_Ventana)*ISNUMBER(Detalle_24m!EK$220:EK$244)*Detalle_24m!EK$220:EK$244+(1-(136&gt;Corte)*(136&lt;=Corte+n_Ventana)*ISNUMBER(Detalle_24m!EK$220:EK$244))*FC_V*(1+FC_g)^(EK$173-1)*((FC_Desde=0)*(EK$172+EK$171)+(FC_Desde&gt;=1)*(EK$170&gt;=FC_Desde)*EK$171))*FC_IVA/(1+FC_IVA))</f>
        <v>0</v>
      </c>
      <c r="EL247" s="48">
        <f>SUMPRODUCT(((FC_Mon="PYG")*EL$175+(FC_Mon&lt;&gt;"PYG"))*((137&gt;Corte)*(137&lt;=Corte+n_Ventana)*ISNUMBER(Detalle_24m!EL$220:EL$244)*Detalle_24m!EL$220:EL$244+(1-(137&gt;Corte)*(137&lt;=Corte+n_Ventana)*ISNUMBER(Detalle_24m!EL$220:EL$244))*FC_V*(1+FC_g)^(EL$173-1)*((FC_Desde=0)*(EL$172+EL$171)+(FC_Desde&gt;=1)*(EL$170&gt;=FC_Desde)*EL$171))*FC_IVA/(1+FC_IVA))</f>
        <v>0</v>
      </c>
      <c r="EM247" s="48">
        <f>SUMPRODUCT(((FC_Mon="PYG")*EM$175+(FC_Mon&lt;&gt;"PYG"))*((138&gt;Corte)*(138&lt;=Corte+n_Ventana)*ISNUMBER(Detalle_24m!EM$220:EM$244)*Detalle_24m!EM$220:EM$244+(1-(138&gt;Corte)*(138&lt;=Corte+n_Ventana)*ISNUMBER(Detalle_24m!EM$220:EM$244))*FC_V*(1+FC_g)^(EM$173-1)*((FC_Desde=0)*(EM$172+EM$171)+(FC_Desde&gt;=1)*(EM$170&gt;=FC_Desde)*EM$171))*FC_IVA/(1+FC_IVA))</f>
        <v>0</v>
      </c>
      <c r="EN247" s="48">
        <f>SUMPRODUCT(((FC_Mon="PYG")*EN$175+(FC_Mon&lt;&gt;"PYG"))*((139&gt;Corte)*(139&lt;=Corte+n_Ventana)*ISNUMBER(Detalle_24m!EN$220:EN$244)*Detalle_24m!EN$220:EN$244+(1-(139&gt;Corte)*(139&lt;=Corte+n_Ventana)*ISNUMBER(Detalle_24m!EN$220:EN$244))*FC_V*(1+FC_g)^(EN$173-1)*((FC_Desde=0)*(EN$172+EN$171)+(FC_Desde&gt;=1)*(EN$170&gt;=FC_Desde)*EN$171))*FC_IVA/(1+FC_IVA))</f>
        <v>0</v>
      </c>
      <c r="EO247" s="48">
        <f>SUMPRODUCT(((FC_Mon="PYG")*EO$175+(FC_Mon&lt;&gt;"PYG"))*((140&gt;Corte)*(140&lt;=Corte+n_Ventana)*ISNUMBER(Detalle_24m!EO$220:EO$244)*Detalle_24m!EO$220:EO$244+(1-(140&gt;Corte)*(140&lt;=Corte+n_Ventana)*ISNUMBER(Detalle_24m!EO$220:EO$244))*FC_V*(1+FC_g)^(EO$173-1)*((FC_Desde=0)*(EO$172+EO$171)+(FC_Desde&gt;=1)*(EO$170&gt;=FC_Desde)*EO$171))*FC_IVA/(1+FC_IVA))</f>
        <v>0</v>
      </c>
      <c r="EP247" s="48">
        <f>SUMPRODUCT(((FC_Mon="PYG")*EP$175+(FC_Mon&lt;&gt;"PYG"))*((141&gt;Corte)*(141&lt;=Corte+n_Ventana)*ISNUMBER(Detalle_24m!EP$220:EP$244)*Detalle_24m!EP$220:EP$244+(1-(141&gt;Corte)*(141&lt;=Corte+n_Ventana)*ISNUMBER(Detalle_24m!EP$220:EP$244))*FC_V*(1+FC_g)^(EP$173-1)*((FC_Desde=0)*(EP$172+EP$171)+(FC_Desde&gt;=1)*(EP$170&gt;=FC_Desde)*EP$171))*FC_IVA/(1+FC_IVA))</f>
        <v>0</v>
      </c>
      <c r="EQ247" s="48">
        <f>SUMPRODUCT(((FC_Mon="PYG")*EQ$175+(FC_Mon&lt;&gt;"PYG"))*((142&gt;Corte)*(142&lt;=Corte+n_Ventana)*ISNUMBER(Detalle_24m!EQ$220:EQ$244)*Detalle_24m!EQ$220:EQ$244+(1-(142&gt;Corte)*(142&lt;=Corte+n_Ventana)*ISNUMBER(Detalle_24m!EQ$220:EQ$244))*FC_V*(1+FC_g)^(EQ$173-1)*((FC_Desde=0)*(EQ$172+EQ$171)+(FC_Desde&gt;=1)*(EQ$170&gt;=FC_Desde)*EQ$171))*FC_IVA/(1+FC_IVA))</f>
        <v>0</v>
      </c>
      <c r="ER247" s="48">
        <f>SUMPRODUCT(((FC_Mon="PYG")*ER$175+(FC_Mon&lt;&gt;"PYG"))*((143&gt;Corte)*(143&lt;=Corte+n_Ventana)*ISNUMBER(Detalle_24m!ER$220:ER$244)*Detalle_24m!ER$220:ER$244+(1-(143&gt;Corte)*(143&lt;=Corte+n_Ventana)*ISNUMBER(Detalle_24m!ER$220:ER$244))*FC_V*(1+FC_g)^(ER$173-1)*((FC_Desde=0)*(ER$172+ER$171)+(FC_Desde&gt;=1)*(ER$170&gt;=FC_Desde)*ER$171))*FC_IVA/(1+FC_IVA))</f>
        <v>0</v>
      </c>
      <c r="ES247" s="48">
        <f>SUMPRODUCT(((FC_Mon="PYG")*ES$175+(FC_Mon&lt;&gt;"PYG"))*((144&gt;Corte)*(144&lt;=Corte+n_Ventana)*ISNUMBER(Detalle_24m!ES$220:ES$244)*Detalle_24m!ES$220:ES$244+(1-(144&gt;Corte)*(144&lt;=Corte+n_Ventana)*ISNUMBER(Detalle_24m!ES$220:ES$244))*FC_V*(1+FC_g)^(ES$173-1)*((FC_Desde=0)*(ES$172+ES$171)+(FC_Desde&gt;=1)*(ES$170&gt;=FC_Desde)*ES$171))*FC_IVA/(1+FC_IVA))</f>
        <v>0</v>
      </c>
    </row>
    <row r="248" spans="1:149" x14ac:dyDescent="0.3">
      <c r="A248" s="16"/>
      <c r="B248" s="15" t="s">
        <v>1088</v>
      </c>
      <c r="C248" s="16"/>
      <c r="D248" s="16"/>
      <c r="E248" s="16"/>
    </row>
    <row r="249" spans="1:149" x14ac:dyDescent="0.3">
      <c r="A249" s="14" t="s">
        <v>1302</v>
      </c>
      <c r="B249" s="18" t="s">
        <v>1090</v>
      </c>
      <c r="C249" s="18" t="s">
        <v>439</v>
      </c>
      <c r="E249" s="54">
        <f t="shared" ref="E249:E263" si="642">SUM(F249:ES249)</f>
        <v>39318093.383559987</v>
      </c>
      <c r="F249" s="48">
        <f>IF(F$8=1,IF(Reales!$C$64="PYG",IF(F$10&gt;0,N(Reales!F64)/F$10,0),N(Reales!F64)),F$229+F$230)</f>
        <v>199172.5</v>
      </c>
      <c r="G249" s="48">
        <f>IF(G$8=1,IF(Reales!$C$64="PYG",IF(G$10&gt;0,N(Reales!G64)/G$10,0),N(Reales!G64)),G$229+G$230)</f>
        <v>199172.5</v>
      </c>
      <c r="H249" s="48">
        <f>IF(H$8=1,IF(Reales!$C$64="PYG",IF(H$10&gt;0,N(Reales!H64)/H$10,0),N(Reales!H64)),H$229+H$230)</f>
        <v>199172.5</v>
      </c>
      <c r="I249" s="48">
        <f>IF(I$8=1,IF(Reales!$C$64="PYG",IF(I$10&gt;0,N(Reales!I64)/I$10,0),N(Reales!I64)),I$229+I$230)</f>
        <v>199172.5</v>
      </c>
      <c r="J249" s="48">
        <f>IF(J$8=1,IF(Reales!$C$64="PYG",IF(J$10&gt;0,N(Reales!J64)/J$10,0),N(Reales!J64)),J$229+J$230)</f>
        <v>199172.5</v>
      </c>
      <c r="K249" s="48">
        <f>IF(K$8=1,IF(Reales!$C$64="PYG",IF(K$10&gt;0,N(Reales!K64)/K$10,0),N(Reales!K64)),K$229+K$230)</f>
        <v>199172.5</v>
      </c>
      <c r="L249" s="48">
        <f>IF(L$8=1,IF(Reales!$C$64="PYG",IF(L$10&gt;0,N(Reales!L64)/L$10,0),N(Reales!L64)),L$229+L$230)</f>
        <v>199172.5</v>
      </c>
      <c r="M249" s="48">
        <f>IF(M$8=1,IF(Reales!$C$64="PYG",IF(M$10&gt;0,N(Reales!M64)/M$10,0),N(Reales!M64)),M$229+M$230)</f>
        <v>199172.5</v>
      </c>
      <c r="N249" s="48">
        <f>IF(N$8=1,IF(Reales!$C$64="PYG",IF(N$10&gt;0,N(Reales!N64)/N$10,0),N(Reales!N64)),N$229+N$230)</f>
        <v>199172.5</v>
      </c>
      <c r="O249" s="48">
        <f>IF(O$8=1,IF(Reales!$C$64="PYG",IF(O$10&gt;0,N(Reales!O64)/O$10,0),N(Reales!O64)),O$229+O$230)</f>
        <v>199172.5</v>
      </c>
      <c r="P249" s="48">
        <f>IF(P$8=1,IF(Reales!$C$64="PYG",IF(P$10&gt;0,N(Reales!P64)/P$10,0),N(Reales!P64)),P$229+P$230)</f>
        <v>199172.5</v>
      </c>
      <c r="Q249" s="48">
        <f>IF(Q$8=1,IF(Reales!$C$64="PYG",IF(Q$10&gt;0,N(Reales!Q64)/Q$10,0),N(Reales!Q64)),Q$229+Q$230)</f>
        <v>199172.5</v>
      </c>
      <c r="R249" s="48">
        <f>IF(R$8=1,IF(Reales!$C$64="PYG",IF(R$10&gt;0,N(Reales!R64)/R$10,0),N(Reales!R64)),R$229+R$230)</f>
        <v>253108.875</v>
      </c>
      <c r="S249" s="48">
        <f>IF(S$8=1,IF(Reales!$C$64="PYG",IF(S$10&gt;0,N(Reales!S64)/S$10,0),N(Reales!S64)),S$229+S$230)</f>
        <v>253108.875</v>
      </c>
      <c r="T249" s="48">
        <f>IF(T$8=1,IF(Reales!$C$64="PYG",IF(T$10&gt;0,N(Reales!T64)/T$10,0),N(Reales!T64)),T$229+T$230)</f>
        <v>253108.875</v>
      </c>
      <c r="U249" s="48">
        <f>IF(U$8=1,IF(Reales!$C$64="PYG",IF(U$10&gt;0,N(Reales!U64)/U$10,0),N(Reales!U64)),U$229+U$230)</f>
        <v>253108.875</v>
      </c>
      <c r="V249" s="48">
        <f>IF(V$8=1,IF(Reales!$C$64="PYG",IF(V$10&gt;0,N(Reales!V64)/V$10,0),N(Reales!V64)),V$229+V$230)</f>
        <v>253108.875</v>
      </c>
      <c r="W249" s="48">
        <f>IF(W$8=1,IF(Reales!$C$64="PYG",IF(W$10&gt;0,N(Reales!W64)/W$10,0),N(Reales!W64)),W$229+W$230)</f>
        <v>253108.875</v>
      </c>
      <c r="X249" s="48">
        <f>IF(X$8=1,IF(Reales!$C$64="PYG",IF(X$10&gt;0,N(Reales!X64)/X$10,0),N(Reales!X64)),X$229+X$230)</f>
        <v>253108.875</v>
      </c>
      <c r="Y249" s="48">
        <f>IF(Y$8=1,IF(Reales!$C$64="PYG",IF(Y$10&gt;0,N(Reales!Y64)/Y$10,0),N(Reales!Y64)),Y$229+Y$230)</f>
        <v>253108.875</v>
      </c>
      <c r="Z249" s="48">
        <f>IF(Z$8=1,IF(Reales!$C$64="PYG",IF(Z$10&gt;0,N(Reales!Z64)/Z$10,0),N(Reales!Z64)),Z$229+Z$230)</f>
        <v>253108.875</v>
      </c>
      <c r="AA249" s="48">
        <f>IF(AA$8=1,IF(Reales!$C$64="PYG",IF(AA$10&gt;0,N(Reales!AA64)/AA$10,0),N(Reales!AA64)),AA$229+AA$230)</f>
        <v>253108.875</v>
      </c>
      <c r="AB249" s="48">
        <f>IF(AB$8=1,IF(Reales!$C$64="PYG",IF(AB$10&gt;0,N(Reales!AB64)/AB$10,0),N(Reales!AB64)),AB$229+AB$230)</f>
        <v>253108.875</v>
      </c>
      <c r="AC249" s="48">
        <f>IF(AC$8=1,IF(Reales!$C$64="PYG",IF(AC$10&gt;0,N(Reales!AC64)/AC$10,0),N(Reales!AC64)),AC$229+AC$230)</f>
        <v>253108.875</v>
      </c>
      <c r="AD249" s="48">
        <f>IF(AD$8=1,IF(Reales!$C$64="PYG",IF(AD$10&gt;0,N(Reales!AD64)/AD$10,0),N(Reales!AD64)),AD$229+AD$230)</f>
        <v>307724.69</v>
      </c>
      <c r="AE249" s="48">
        <f>IF(AE$8=1,IF(Reales!$C$64="PYG",IF(AE$10&gt;0,N(Reales!AE64)/AE$10,0),N(Reales!AE64)),AE$229+AE$230)</f>
        <v>307724.69</v>
      </c>
      <c r="AF249" s="48">
        <f>IF(AF$8=1,IF(Reales!$C$64="PYG",IF(AF$10&gt;0,N(Reales!AF64)/AF$10,0),N(Reales!AF64)),AF$229+AF$230)</f>
        <v>307724.69</v>
      </c>
      <c r="AG249" s="48">
        <f>IF(AG$8=1,IF(Reales!$C$64="PYG",IF(AG$10&gt;0,N(Reales!AG64)/AG$10,0),N(Reales!AG64)),AG$229+AG$230)</f>
        <v>307724.69</v>
      </c>
      <c r="AH249" s="48">
        <f>IF(AH$8=1,IF(Reales!$C$64="PYG",IF(AH$10&gt;0,N(Reales!AH64)/AH$10,0),N(Reales!AH64)),AH$229+AH$230)</f>
        <v>307724.69</v>
      </c>
      <c r="AI249" s="48">
        <f>IF(AI$8=1,IF(Reales!$C$64="PYG",IF(AI$10&gt;0,N(Reales!AI64)/AI$10,0),N(Reales!AI64)),AI$229+AI$230)</f>
        <v>307724.69</v>
      </c>
      <c r="AJ249" s="48">
        <f>IF(AJ$8=1,IF(Reales!$C$64="PYG",IF(AJ$10&gt;0,N(Reales!AJ64)/AJ$10,0),N(Reales!AJ64)),AJ$229+AJ$230)</f>
        <v>307724.69</v>
      </c>
      <c r="AK249" s="48">
        <f>IF(AK$8=1,IF(Reales!$C$64="PYG",IF(AK$10&gt;0,N(Reales!AK64)/AK$10,0),N(Reales!AK64)),AK$229+AK$230)</f>
        <v>307724.69</v>
      </c>
      <c r="AL249" s="48">
        <f>IF(AL$8=1,IF(Reales!$C$64="PYG",IF(AL$10&gt;0,N(Reales!AL64)/AL$10,0),N(Reales!AL64)),AL$229+AL$230)</f>
        <v>307724.69</v>
      </c>
      <c r="AM249" s="48">
        <f>IF(AM$8=1,IF(Reales!$C$64="PYG",IF(AM$10&gt;0,N(Reales!AM64)/AM$10,0),N(Reales!AM64)),AM$229+AM$230)</f>
        <v>307724.69</v>
      </c>
      <c r="AN249" s="48">
        <f>IF(AN$8=1,IF(Reales!$C$64="PYG",IF(AN$10&gt;0,N(Reales!AN64)/AN$10,0),N(Reales!AN64)),AN$229+AN$230)</f>
        <v>307724.69</v>
      </c>
      <c r="AO249" s="48">
        <f>IF(AO$8=1,IF(Reales!$C$64="PYG",IF(AO$10&gt;0,N(Reales!AO64)/AO$10,0),N(Reales!AO64)),AO$229+AO$230)</f>
        <v>307724.69</v>
      </c>
      <c r="AP249" s="48">
        <f>IF(AP$8=1,IF(Reales!$C$64="PYG",IF(AP$10&gt;0,N(Reales!AP64)/AP$10,0),N(Reales!AP64)),AP$229+AP$230)</f>
        <v>352625.46498749999</v>
      </c>
      <c r="AQ249" s="48">
        <f>IF(AQ$8=1,IF(Reales!$C$64="PYG",IF(AQ$10&gt;0,N(Reales!AQ64)/AQ$10,0),N(Reales!AQ64)),AQ$229+AQ$230)</f>
        <v>352625.46498749999</v>
      </c>
      <c r="AR249" s="48">
        <f>IF(AR$8=1,IF(Reales!$C$64="PYG",IF(AR$10&gt;0,N(Reales!AR64)/AR$10,0),N(Reales!AR64)),AR$229+AR$230)</f>
        <v>352625.46498749999</v>
      </c>
      <c r="AS249" s="48">
        <f>IF(AS$8=1,IF(Reales!$C$64="PYG",IF(AS$10&gt;0,N(Reales!AS64)/AS$10,0),N(Reales!AS64)),AS$229+AS$230)</f>
        <v>352625.46498749999</v>
      </c>
      <c r="AT249" s="48">
        <f>IF(AT$8=1,IF(Reales!$C$64="PYG",IF(AT$10&gt;0,N(Reales!AT64)/AT$10,0),N(Reales!AT64)),AT$229+AT$230)</f>
        <v>352625.46498749999</v>
      </c>
      <c r="AU249" s="48">
        <f>IF(AU$8=1,IF(Reales!$C$64="PYG",IF(AU$10&gt;0,N(Reales!AU64)/AU$10,0),N(Reales!AU64)),AU$229+AU$230)</f>
        <v>352625.46498749999</v>
      </c>
      <c r="AV249" s="48">
        <f>IF(AV$8=1,IF(Reales!$C$64="PYG",IF(AV$10&gt;0,N(Reales!AV64)/AV$10,0),N(Reales!AV64)),AV$229+AV$230)</f>
        <v>352625.46498749999</v>
      </c>
      <c r="AW249" s="48">
        <f>IF(AW$8=1,IF(Reales!$C$64="PYG",IF(AW$10&gt;0,N(Reales!AW64)/AW$10,0),N(Reales!AW64)),AW$229+AW$230)</f>
        <v>352625.46498749999</v>
      </c>
      <c r="AX249" s="48">
        <f>IF(AX$8=1,IF(Reales!$C$64="PYG",IF(AX$10&gt;0,N(Reales!AX64)/AX$10,0),N(Reales!AX64)),AX$229+AX$230)</f>
        <v>352625.46498749999</v>
      </c>
      <c r="AY249" s="48">
        <f>IF(AY$8=1,IF(Reales!$C$64="PYG",IF(AY$10&gt;0,N(Reales!AY64)/AY$10,0),N(Reales!AY64)),AY$229+AY$230)</f>
        <v>352625.46498749999</v>
      </c>
      <c r="AZ249" s="48">
        <f>IF(AZ$8=1,IF(Reales!$C$64="PYG",IF(AZ$10&gt;0,N(Reales!AZ64)/AZ$10,0),N(Reales!AZ64)),AZ$229+AZ$230)</f>
        <v>352625.46498749999</v>
      </c>
      <c r="BA249" s="48">
        <f>IF(BA$8=1,IF(Reales!$C$64="PYG",IF(BA$10&gt;0,N(Reales!BA64)/BA$10,0),N(Reales!BA64)),BA$229+BA$230)</f>
        <v>352625.46498749999</v>
      </c>
      <c r="BB249" s="48">
        <f>IF(BB$8=1,IF(Reales!$C$64="PYG",IF(BB$10&gt;0,N(Reales!BB64)/BB$10,0),N(Reales!BB64)),BB$229+BB$230)</f>
        <v>354879.119637375</v>
      </c>
      <c r="BC249" s="48">
        <f>IF(BC$8=1,IF(Reales!$C$64="PYG",IF(BC$10&gt;0,N(Reales!BC64)/BC$10,0),N(Reales!BC64)),BC$229+BC$230)</f>
        <v>354879.119637375</v>
      </c>
      <c r="BD249" s="48">
        <f>IF(BD$8=1,IF(Reales!$C$64="PYG",IF(BD$10&gt;0,N(Reales!BD64)/BD$10,0),N(Reales!BD64)),BD$229+BD$230)</f>
        <v>354879.119637375</v>
      </c>
      <c r="BE249" s="48">
        <f>IF(BE$8=1,IF(Reales!$C$64="PYG",IF(BE$10&gt;0,N(Reales!BE64)/BE$10,0),N(Reales!BE64)),BE$229+BE$230)</f>
        <v>354879.119637375</v>
      </c>
      <c r="BF249" s="48">
        <f>IF(BF$8=1,IF(Reales!$C$64="PYG",IF(BF$10&gt;0,N(Reales!BF64)/BF$10,0),N(Reales!BF64)),BF$229+BF$230)</f>
        <v>354879.119637375</v>
      </c>
      <c r="BG249" s="48">
        <f>IF(BG$8=1,IF(Reales!$C$64="PYG",IF(BG$10&gt;0,N(Reales!BG64)/BG$10,0),N(Reales!BG64)),BG$229+BG$230)</f>
        <v>354879.119637375</v>
      </c>
      <c r="BH249" s="48">
        <f>IF(BH$8=1,IF(Reales!$C$64="PYG",IF(BH$10&gt;0,N(Reales!BH64)/BH$10,0),N(Reales!BH64)),BH$229+BH$230)</f>
        <v>354879.119637375</v>
      </c>
      <c r="BI249" s="48">
        <f>IF(BI$8=1,IF(Reales!$C$64="PYG",IF(BI$10&gt;0,N(Reales!BI64)/BI$10,0),N(Reales!BI64)),BI$229+BI$230)</f>
        <v>354879.119637375</v>
      </c>
      <c r="BJ249" s="48">
        <f>IF(BJ$8=1,IF(Reales!$C$64="PYG",IF(BJ$10&gt;0,N(Reales!BJ64)/BJ$10,0),N(Reales!BJ64)),BJ$229+BJ$230)</f>
        <v>354879.119637375</v>
      </c>
      <c r="BK249" s="48">
        <f>IF(BK$8=1,IF(Reales!$C$64="PYG",IF(BK$10&gt;0,N(Reales!BK64)/BK$10,0),N(Reales!BK64)),BK$229+BK$230)</f>
        <v>354879.119637375</v>
      </c>
      <c r="BL249" s="48">
        <f>IF(BL$8=1,IF(Reales!$C$64="PYG",IF(BL$10&gt;0,N(Reales!BL64)/BL$10,0),N(Reales!BL64)),BL$229+BL$230)</f>
        <v>354879.119637375</v>
      </c>
      <c r="BM249" s="48">
        <f>IF(BM$8=1,IF(Reales!$C$64="PYG",IF(BM$10&gt;0,N(Reales!BM64)/BM$10,0),N(Reales!BM64)),BM$229+BM$230)</f>
        <v>354879.119637375</v>
      </c>
      <c r="BN249" s="48">
        <f>IF(BN$8=1,IF(Reales!$C$64="PYG",IF(BN$10&gt;0,N(Reales!BN64)/BN$10,0),N(Reales!BN64)),BN$229+BN$230)</f>
        <v>357155.31083374872</v>
      </c>
      <c r="BO249" s="48">
        <f>IF(BO$8=1,IF(Reales!$C$64="PYG",IF(BO$10&gt;0,N(Reales!BO64)/BO$10,0),N(Reales!BO64)),BO$229+BO$230)</f>
        <v>357155.31083374872</v>
      </c>
      <c r="BP249" s="48">
        <f>IF(BP$8=1,IF(Reales!$C$64="PYG",IF(BP$10&gt;0,N(Reales!BP64)/BP$10,0),N(Reales!BP64)),BP$229+BP$230)</f>
        <v>357155.31083374872</v>
      </c>
      <c r="BQ249" s="48">
        <f>IF(BQ$8=1,IF(Reales!$C$64="PYG",IF(BQ$10&gt;0,N(Reales!BQ64)/BQ$10,0),N(Reales!BQ64)),BQ$229+BQ$230)</f>
        <v>357155.31083374872</v>
      </c>
      <c r="BR249" s="48">
        <f>IF(BR$8=1,IF(Reales!$C$64="PYG",IF(BR$10&gt;0,N(Reales!BR64)/BR$10,0),N(Reales!BR64)),BR$229+BR$230)</f>
        <v>357155.31083374872</v>
      </c>
      <c r="BS249" s="48">
        <f>IF(BS$8=1,IF(Reales!$C$64="PYG",IF(BS$10&gt;0,N(Reales!BS64)/BS$10,0),N(Reales!BS64)),BS$229+BS$230)</f>
        <v>357155.31083374872</v>
      </c>
      <c r="BT249" s="48">
        <f>IF(BT$8=1,IF(Reales!$C$64="PYG",IF(BT$10&gt;0,N(Reales!BT64)/BT$10,0),N(Reales!BT64)),BT$229+BT$230)</f>
        <v>357155.31083374872</v>
      </c>
      <c r="BU249" s="48">
        <f>IF(BU$8=1,IF(Reales!$C$64="PYG",IF(BU$10&gt;0,N(Reales!BU64)/BU$10,0),N(Reales!BU64)),BU$229+BU$230)</f>
        <v>357155.31083374872</v>
      </c>
      <c r="BV249" s="48">
        <f>IF(BV$8=1,IF(Reales!$C$64="PYG",IF(BV$10&gt;0,N(Reales!BV64)/BV$10,0),N(Reales!BV64)),BV$229+BV$230)</f>
        <v>357155.31083374872</v>
      </c>
      <c r="BW249" s="48">
        <f>IF(BW$8=1,IF(Reales!$C$64="PYG",IF(BW$10&gt;0,N(Reales!BW64)/BW$10,0),N(Reales!BW64)),BW$229+BW$230)</f>
        <v>357155.31083374872</v>
      </c>
      <c r="BX249" s="48">
        <f>IF(BX$8=1,IF(Reales!$C$64="PYG",IF(BX$10&gt;0,N(Reales!BX64)/BX$10,0),N(Reales!BX64)),BX$229+BX$230)</f>
        <v>357155.31083374872</v>
      </c>
      <c r="BY249" s="48">
        <f>IF(BY$8=1,IF(Reales!$C$64="PYG",IF(BY$10&gt;0,N(Reales!BY64)/BY$10,0),N(Reales!BY64)),BY$229+BY$230)</f>
        <v>357155.31083374872</v>
      </c>
      <c r="BZ249" s="48">
        <f>IF(BZ$8=1,IF(Reales!$C$64="PYG",IF(BZ$10&gt;0,N(Reales!BZ64)/BZ$10,0),N(Reales!BZ64)),BZ$229+BZ$230)</f>
        <v>359454.26394208625</v>
      </c>
      <c r="CA249" s="48">
        <f>IF(CA$8=1,IF(Reales!$C$64="PYG",IF(CA$10&gt;0,N(Reales!CA64)/CA$10,0),N(Reales!CA64)),CA$229+CA$230)</f>
        <v>359454.26394208625</v>
      </c>
      <c r="CB249" s="48">
        <f>IF(CB$8=1,IF(Reales!$C$64="PYG",IF(CB$10&gt;0,N(Reales!CB64)/CB$10,0),N(Reales!CB64)),CB$229+CB$230)</f>
        <v>359454.26394208625</v>
      </c>
      <c r="CC249" s="48">
        <f>IF(CC$8=1,IF(Reales!$C$64="PYG",IF(CC$10&gt;0,N(Reales!CC64)/CC$10,0),N(Reales!CC64)),CC$229+CC$230)</f>
        <v>359454.26394208625</v>
      </c>
      <c r="CD249" s="48">
        <f>IF(CD$8=1,IF(Reales!$C$64="PYG",IF(CD$10&gt;0,N(Reales!CD64)/CD$10,0),N(Reales!CD64)),CD$229+CD$230)</f>
        <v>359454.26394208625</v>
      </c>
      <c r="CE249" s="48">
        <f>IF(CE$8=1,IF(Reales!$C$64="PYG",IF(CE$10&gt;0,N(Reales!CE64)/CE$10,0),N(Reales!CE64)),CE$229+CE$230)</f>
        <v>359454.26394208625</v>
      </c>
      <c r="CF249" s="48">
        <f>IF(CF$8=1,IF(Reales!$C$64="PYG",IF(CF$10&gt;0,N(Reales!CF64)/CF$10,0),N(Reales!CF64)),CF$229+CF$230)</f>
        <v>359454.26394208625</v>
      </c>
      <c r="CG249" s="48">
        <f>IF(CG$8=1,IF(Reales!$C$64="PYG",IF(CG$10&gt;0,N(Reales!CG64)/CG$10,0),N(Reales!CG64)),CG$229+CG$230)</f>
        <v>359454.26394208625</v>
      </c>
      <c r="CH249" s="48">
        <f>IF(CH$8=1,IF(Reales!$C$64="PYG",IF(CH$10&gt;0,N(Reales!CH64)/CH$10,0),N(Reales!CH64)),CH$229+CH$230)</f>
        <v>359454.26394208625</v>
      </c>
      <c r="CI249" s="48">
        <f>IF(CI$8=1,IF(Reales!$C$64="PYG",IF(CI$10&gt;0,N(Reales!CI64)/CI$10,0),N(Reales!CI64)),CI$229+CI$230)</f>
        <v>359454.26394208625</v>
      </c>
      <c r="CJ249" s="48">
        <f>IF(CJ$8=1,IF(Reales!$C$64="PYG",IF(CJ$10&gt;0,N(Reales!CJ64)/CJ$10,0),N(Reales!CJ64)),CJ$229+CJ$230)</f>
        <v>359454.26394208625</v>
      </c>
      <c r="CK249" s="48">
        <f>IF(CK$8=1,IF(Reales!$C$64="PYG",IF(CK$10&gt;0,N(Reales!CK64)/CK$10,0),N(Reales!CK64)),CK$229+CK$230)</f>
        <v>359454.26394208625</v>
      </c>
      <c r="CL249" s="48">
        <f>IF(CL$8=1,IF(Reales!$C$64="PYG",IF(CL$10&gt;0,N(Reales!CL64)/CL$10,0),N(Reales!CL64)),CL$229+CL$230)</f>
        <v>361776.20658150711</v>
      </c>
      <c r="CM249" s="48">
        <f>IF(CM$8=1,IF(Reales!$C$64="PYG",IF(CM$10&gt;0,N(Reales!CM64)/CM$10,0),N(Reales!CM64)),CM$229+CM$230)</f>
        <v>361776.20658150711</v>
      </c>
      <c r="CN249" s="48">
        <f>IF(CN$8=1,IF(Reales!$C$64="PYG",IF(CN$10&gt;0,N(Reales!CN64)/CN$10,0),N(Reales!CN64)),CN$229+CN$230)</f>
        <v>361776.20658150711</v>
      </c>
      <c r="CO249" s="48">
        <f>IF(CO$8=1,IF(Reales!$C$64="PYG",IF(CO$10&gt;0,N(Reales!CO64)/CO$10,0),N(Reales!CO64)),CO$229+CO$230)</f>
        <v>361776.20658150711</v>
      </c>
      <c r="CP249" s="48">
        <f>IF(CP$8=1,IF(Reales!$C$64="PYG",IF(CP$10&gt;0,N(Reales!CP64)/CP$10,0),N(Reales!CP64)),CP$229+CP$230)</f>
        <v>361776.20658150711</v>
      </c>
      <c r="CQ249" s="48">
        <f>IF(CQ$8=1,IF(Reales!$C$64="PYG",IF(CQ$10&gt;0,N(Reales!CQ64)/CQ$10,0),N(Reales!CQ64)),CQ$229+CQ$230)</f>
        <v>361776.20658150711</v>
      </c>
      <c r="CR249" s="48">
        <f>IF(CR$8=1,IF(Reales!$C$64="PYG",IF(CR$10&gt;0,N(Reales!CR64)/CR$10,0),N(Reales!CR64)),CR$229+CR$230)</f>
        <v>361776.20658150711</v>
      </c>
      <c r="CS249" s="48">
        <f>IF(CS$8=1,IF(Reales!$C$64="PYG",IF(CS$10&gt;0,N(Reales!CS64)/CS$10,0),N(Reales!CS64)),CS$229+CS$230)</f>
        <v>361776.20658150711</v>
      </c>
      <c r="CT249" s="48">
        <f>IF(CT$8=1,IF(Reales!$C$64="PYG",IF(CT$10&gt;0,N(Reales!CT64)/CT$10,0),N(Reales!CT64)),CT$229+CT$230)</f>
        <v>361776.20658150711</v>
      </c>
      <c r="CU249" s="48">
        <f>IF(CU$8=1,IF(Reales!$C$64="PYG",IF(CU$10&gt;0,N(Reales!CU64)/CU$10,0),N(Reales!CU64)),CU$229+CU$230)</f>
        <v>361776.20658150711</v>
      </c>
      <c r="CV249" s="48">
        <f>IF(CV$8=1,IF(Reales!$C$64="PYG",IF(CV$10&gt;0,N(Reales!CV64)/CV$10,0),N(Reales!CV64)),CV$229+CV$230)</f>
        <v>361776.20658150711</v>
      </c>
      <c r="CW249" s="48">
        <f>IF(CW$8=1,IF(Reales!$C$64="PYG",IF(CW$10&gt;0,N(Reales!CW64)/CW$10,0),N(Reales!CW64)),CW$229+CW$230)</f>
        <v>361776.20658150711</v>
      </c>
      <c r="CX249" s="48">
        <f>IF(CX$8=1,IF(Reales!$C$64="PYG",IF(CX$10&gt;0,N(Reales!CX64)/CX$10,0),N(Reales!CX64)),CX$229+CX$230)</f>
        <v>364121.36864732218</v>
      </c>
      <c r="CY249" s="48">
        <f>IF(CY$8=1,IF(Reales!$C$64="PYG",IF(CY$10&gt;0,N(Reales!CY64)/CY$10,0),N(Reales!CY64)),CY$229+CY$230)</f>
        <v>364121.36864732218</v>
      </c>
      <c r="CZ249" s="48">
        <f>IF(CZ$8=1,IF(Reales!$C$64="PYG",IF(CZ$10&gt;0,N(Reales!CZ64)/CZ$10,0),N(Reales!CZ64)),CZ$229+CZ$230)</f>
        <v>364121.36864732218</v>
      </c>
      <c r="DA249" s="48">
        <f>IF(DA$8=1,IF(Reales!$C$64="PYG",IF(DA$10&gt;0,N(Reales!DA64)/DA$10,0),N(Reales!DA64)),DA$229+DA$230)</f>
        <v>364121.36864732218</v>
      </c>
      <c r="DB249" s="48">
        <f>IF(DB$8=1,IF(Reales!$C$64="PYG",IF(DB$10&gt;0,N(Reales!DB64)/DB$10,0),N(Reales!DB64)),DB$229+DB$230)</f>
        <v>364121.36864732218</v>
      </c>
      <c r="DC249" s="48">
        <f>IF(DC$8=1,IF(Reales!$C$64="PYG",IF(DC$10&gt;0,N(Reales!DC64)/DC$10,0),N(Reales!DC64)),DC$229+DC$230)</f>
        <v>364121.36864732218</v>
      </c>
      <c r="DD249" s="48">
        <f>IF(DD$8=1,IF(Reales!$C$64="PYG",IF(DD$10&gt;0,N(Reales!DD64)/DD$10,0),N(Reales!DD64)),DD$229+DD$230)</f>
        <v>364121.36864732218</v>
      </c>
      <c r="DE249" s="48">
        <f>IF(DE$8=1,IF(Reales!$C$64="PYG",IF(DE$10&gt;0,N(Reales!DE64)/DE$10,0),N(Reales!DE64)),DE$229+DE$230)</f>
        <v>364121.36864732218</v>
      </c>
      <c r="DF249" s="48">
        <f>IF(DF$8=1,IF(Reales!$C$64="PYG",IF(DF$10&gt;0,N(Reales!DF64)/DF$10,0),N(Reales!DF64)),DF$229+DF$230)</f>
        <v>364121.36864732218</v>
      </c>
      <c r="DG249" s="48">
        <f>IF(DG$8=1,IF(Reales!$C$64="PYG",IF(DG$10&gt;0,N(Reales!DG64)/DG$10,0),N(Reales!DG64)),DG$229+DG$230)</f>
        <v>364121.36864732218</v>
      </c>
      <c r="DH249" s="48">
        <f>IF(DH$8=1,IF(Reales!$C$64="PYG",IF(DH$10&gt;0,N(Reales!DH64)/DH$10,0),N(Reales!DH64)),DH$229+DH$230)</f>
        <v>364121.36864732218</v>
      </c>
      <c r="DI249" s="48">
        <f>IF(DI$8=1,IF(Reales!$C$64="PYG",IF(DI$10&gt;0,N(Reales!DI64)/DI$10,0),N(Reales!DI64)),DI$229+DI$230)</f>
        <v>364121.36864732218</v>
      </c>
      <c r="DJ249" s="48">
        <f>IF(DJ$8=1,IF(Reales!$C$64="PYG",IF(DJ$10&gt;0,N(Reales!DJ64)/DJ$10,0),N(Reales!DJ64)),DJ$229+DJ$230)</f>
        <v>366489.9823337954</v>
      </c>
      <c r="DK249" s="48">
        <f>IF(DK$8=1,IF(Reales!$C$64="PYG",IF(DK$10&gt;0,N(Reales!DK64)/DK$10,0),N(Reales!DK64)),DK$229+DK$230)</f>
        <v>366489.9823337954</v>
      </c>
      <c r="DL249" s="48">
        <f>IF(DL$8=1,IF(Reales!$C$64="PYG",IF(DL$10&gt;0,N(Reales!DL64)/DL$10,0),N(Reales!DL64)),DL$229+DL$230)</f>
        <v>366489.9823337954</v>
      </c>
      <c r="DM249" s="48">
        <f>IF(DM$8=1,IF(Reales!$C$64="PYG",IF(DM$10&gt;0,N(Reales!DM64)/DM$10,0),N(Reales!DM64)),DM$229+DM$230)</f>
        <v>366489.9823337954</v>
      </c>
      <c r="DN249" s="48">
        <f>IF(DN$8=1,IF(Reales!$C$64="PYG",IF(DN$10&gt;0,N(Reales!DN64)/DN$10,0),N(Reales!DN64)),DN$229+DN$230)</f>
        <v>366489.9823337954</v>
      </c>
      <c r="DO249" s="48">
        <f>IF(DO$8=1,IF(Reales!$C$64="PYG",IF(DO$10&gt;0,N(Reales!DO64)/DO$10,0),N(Reales!DO64)),DO$229+DO$230)</f>
        <v>366489.9823337954</v>
      </c>
      <c r="DP249" s="48">
        <f>IF(DP$8=1,IF(Reales!$C$64="PYG",IF(DP$10&gt;0,N(Reales!DP64)/DP$10,0),N(Reales!DP64)),DP$229+DP$230)</f>
        <v>366489.9823337954</v>
      </c>
      <c r="DQ249" s="48">
        <f>IF(DQ$8=1,IF(Reales!$C$64="PYG",IF(DQ$10&gt;0,N(Reales!DQ64)/DQ$10,0),N(Reales!DQ64)),DQ$229+DQ$230)</f>
        <v>366489.9823337954</v>
      </c>
      <c r="DR249" s="48">
        <f>IF(DR$8=1,IF(Reales!$C$64="PYG",IF(DR$10&gt;0,N(Reales!DR64)/DR$10,0),N(Reales!DR64)),DR$229+DR$230)</f>
        <v>366489.9823337954</v>
      </c>
      <c r="DS249" s="48">
        <f>IF(DS$8=1,IF(Reales!$C$64="PYG",IF(DS$10&gt;0,N(Reales!DS64)/DS$10,0),N(Reales!DS64)),DS$229+DS$230)</f>
        <v>366489.9823337954</v>
      </c>
      <c r="DT249" s="48">
        <f>IF(DT$8=1,IF(Reales!$C$64="PYG",IF(DT$10&gt;0,N(Reales!DT64)/DT$10,0),N(Reales!DT64)),DT$229+DT$230)</f>
        <v>366489.9823337954</v>
      </c>
      <c r="DU249" s="48">
        <f>IF(DU$8=1,IF(Reales!$C$64="PYG",IF(DU$10&gt;0,N(Reales!DU64)/DU$10,0),N(Reales!DU64)),DU$229+DU$230)</f>
        <v>366489.9823337954</v>
      </c>
      <c r="DV249" s="48">
        <f>IF(DV$8=1,IF(Reales!$C$64="PYG",IF(DV$10&gt;0,N(Reales!DV64)/DV$10,0),N(Reales!DV64)),DV$229+DV$230)</f>
        <v>0</v>
      </c>
      <c r="DW249" s="48">
        <f>IF(DW$8=1,IF(Reales!$C$64="PYG",IF(DW$10&gt;0,N(Reales!DW64)/DW$10,0),N(Reales!DW64)),DW$229+DW$230)</f>
        <v>0</v>
      </c>
      <c r="DX249" s="48">
        <f>IF(DX$8=1,IF(Reales!$C$64="PYG",IF(DX$10&gt;0,N(Reales!DX64)/DX$10,0),N(Reales!DX64)),DX$229+DX$230)</f>
        <v>0</v>
      </c>
      <c r="DY249" s="48">
        <f>IF(DY$8=1,IF(Reales!$C$64="PYG",IF(DY$10&gt;0,N(Reales!DY64)/DY$10,0),N(Reales!DY64)),DY$229+DY$230)</f>
        <v>0</v>
      </c>
      <c r="DZ249" s="48">
        <f>IF(DZ$8=1,IF(Reales!$C$64="PYG",IF(DZ$10&gt;0,N(Reales!DZ64)/DZ$10,0),N(Reales!DZ64)),DZ$229+DZ$230)</f>
        <v>0</v>
      </c>
      <c r="EA249" s="48">
        <f>IF(EA$8=1,IF(Reales!$C$64="PYG",IF(EA$10&gt;0,N(Reales!EA64)/EA$10,0),N(Reales!EA64)),EA$229+EA$230)</f>
        <v>0</v>
      </c>
      <c r="EB249" s="48">
        <f>IF(EB$8=1,IF(Reales!$C$64="PYG",IF(EB$10&gt;0,N(Reales!EB64)/EB$10,0),N(Reales!EB64)),EB$229+EB$230)</f>
        <v>0</v>
      </c>
      <c r="EC249" s="48">
        <f>IF(EC$8=1,IF(Reales!$C$64="PYG",IF(EC$10&gt;0,N(Reales!EC64)/EC$10,0),N(Reales!EC64)),EC$229+EC$230)</f>
        <v>0</v>
      </c>
      <c r="ED249" s="48">
        <f>IF(ED$8=1,IF(Reales!$C$64="PYG",IF(ED$10&gt;0,N(Reales!ED64)/ED$10,0),N(Reales!ED64)),ED$229+ED$230)</f>
        <v>0</v>
      </c>
      <c r="EE249" s="48">
        <f>IF(EE$8=1,IF(Reales!$C$64="PYG",IF(EE$10&gt;0,N(Reales!EE64)/EE$10,0),N(Reales!EE64)),EE$229+EE$230)</f>
        <v>0</v>
      </c>
      <c r="EF249" s="48">
        <f>IF(EF$8=1,IF(Reales!$C$64="PYG",IF(EF$10&gt;0,N(Reales!EF64)/EF$10,0),N(Reales!EF64)),EF$229+EF$230)</f>
        <v>0</v>
      </c>
      <c r="EG249" s="48">
        <f>IF(EG$8=1,IF(Reales!$C$64="PYG",IF(EG$10&gt;0,N(Reales!EG64)/EG$10,0),N(Reales!EG64)),EG$229+EG$230)</f>
        <v>0</v>
      </c>
      <c r="EH249" s="48">
        <f>IF(EH$8=1,IF(Reales!$C$64="PYG",IF(EH$10&gt;0,N(Reales!EH64)/EH$10,0),N(Reales!EH64)),EH$229+EH$230)</f>
        <v>0</v>
      </c>
      <c r="EI249" s="48">
        <f>IF(EI$8=1,IF(Reales!$C$64="PYG",IF(EI$10&gt;0,N(Reales!EI64)/EI$10,0),N(Reales!EI64)),EI$229+EI$230)</f>
        <v>0</v>
      </c>
      <c r="EJ249" s="48">
        <f>IF(EJ$8=1,IF(Reales!$C$64="PYG",IF(EJ$10&gt;0,N(Reales!EJ64)/EJ$10,0),N(Reales!EJ64)),EJ$229+EJ$230)</f>
        <v>0</v>
      </c>
      <c r="EK249" s="48">
        <f>IF(EK$8=1,IF(Reales!$C$64="PYG",IF(EK$10&gt;0,N(Reales!EK64)/EK$10,0),N(Reales!EK64)),EK$229+EK$230)</f>
        <v>0</v>
      </c>
      <c r="EL249" s="48">
        <f>IF(EL$8=1,IF(Reales!$C$64="PYG",IF(EL$10&gt;0,N(Reales!EL64)/EL$10,0),N(Reales!EL64)),EL$229+EL$230)</f>
        <v>0</v>
      </c>
      <c r="EM249" s="48">
        <f>IF(EM$8=1,IF(Reales!$C$64="PYG",IF(EM$10&gt;0,N(Reales!EM64)/EM$10,0),N(Reales!EM64)),EM$229+EM$230)</f>
        <v>0</v>
      </c>
      <c r="EN249" s="48">
        <f>IF(EN$8=1,IF(Reales!$C$64="PYG",IF(EN$10&gt;0,N(Reales!EN64)/EN$10,0),N(Reales!EN64)),EN$229+EN$230)</f>
        <v>0</v>
      </c>
      <c r="EO249" s="48">
        <f>IF(EO$8=1,IF(Reales!$C$64="PYG",IF(EO$10&gt;0,N(Reales!EO64)/EO$10,0),N(Reales!EO64)),EO$229+EO$230)</f>
        <v>0</v>
      </c>
      <c r="EP249" s="48">
        <f>IF(EP$8=1,IF(Reales!$C$64="PYG",IF(EP$10&gt;0,N(Reales!EP64)/EP$10,0),N(Reales!EP64)),EP$229+EP$230)</f>
        <v>0</v>
      </c>
      <c r="EQ249" s="48">
        <f>IF(EQ$8=1,IF(Reales!$C$64="PYG",IF(EQ$10&gt;0,N(Reales!EQ64)/EQ$10,0),N(Reales!EQ64)),EQ$229+EQ$230)</f>
        <v>0</v>
      </c>
      <c r="ER249" s="48">
        <f>IF(ER$8=1,IF(Reales!$C$64="PYG",IF(ER$10&gt;0,N(Reales!ER64)/ER$10,0),N(Reales!ER64)),ER$229+ER$230)</f>
        <v>0</v>
      </c>
      <c r="ES249" s="48">
        <f>IF(ES$8=1,IF(Reales!$C$64="PYG",IF(ES$10&gt;0,N(Reales!ES64)/ES$10,0),N(Reales!ES64)),ES$229+ES$230)</f>
        <v>0</v>
      </c>
    </row>
    <row r="250" spans="1:149" x14ac:dyDescent="0.3">
      <c r="A250" s="14" t="s">
        <v>1303</v>
      </c>
      <c r="B250" s="18" t="s">
        <v>1092</v>
      </c>
      <c r="C250" s="18" t="s">
        <v>439</v>
      </c>
      <c r="E250" s="54">
        <f t="shared" si="642"/>
        <v>10172052.527574575</v>
      </c>
      <c r="F250" s="48">
        <f>IF(F$8=1,IF(Reales!$C$65="PYG",IF(F$10&gt;0,N(Reales!F65)/F$10,0),N(Reales!F65)),F$231+F$232+F$239+F$240)</f>
        <v>52969.9652546379</v>
      </c>
      <c r="G250" s="48">
        <f>IF(G$8=1,IF(Reales!$C$65="PYG",IF(G$10&gt;0,N(Reales!G65)/G$10,0),N(Reales!G65)),G$231+G$232+G$239+G$240)</f>
        <v>52969.9652546379</v>
      </c>
      <c r="H250" s="48">
        <f>IF(H$8=1,IF(Reales!$C$65="PYG",IF(H$10&gt;0,N(Reales!H65)/H$10,0),N(Reales!H65)),H$231+H$232+H$239+H$240)</f>
        <v>52969.9652546379</v>
      </c>
      <c r="I250" s="48">
        <f>IF(I$8=1,IF(Reales!$C$65="PYG",IF(I$10&gt;0,N(Reales!I65)/I$10,0),N(Reales!I65)),I$231+I$232+I$239+I$240)</f>
        <v>52969.9652546379</v>
      </c>
      <c r="J250" s="48">
        <f>IF(J$8=1,IF(Reales!$C$65="PYG",IF(J$10&gt;0,N(Reales!J65)/J$10,0),N(Reales!J65)),J$231+J$232+J$239+J$240)</f>
        <v>52969.9652546379</v>
      </c>
      <c r="K250" s="48">
        <f>IF(K$8=1,IF(Reales!$C$65="PYG",IF(K$10&gt;0,N(Reales!K65)/K$10,0),N(Reales!K65)),K$231+K$232+K$239+K$240)</f>
        <v>52969.9652546379</v>
      </c>
      <c r="L250" s="48">
        <f>IF(L$8=1,IF(Reales!$C$65="PYG",IF(L$10&gt;0,N(Reales!L65)/L$10,0),N(Reales!L65)),L$231+L$232+L$239+L$240)</f>
        <v>52969.9652546379</v>
      </c>
      <c r="M250" s="48">
        <f>IF(M$8=1,IF(Reales!$C$65="PYG",IF(M$10&gt;0,N(Reales!M65)/M$10,0),N(Reales!M65)),M$231+M$232+M$239+M$240)</f>
        <v>52969.9652546379</v>
      </c>
      <c r="N250" s="48">
        <f>IF(N$8=1,IF(Reales!$C$65="PYG",IF(N$10&gt;0,N(Reales!N65)/N$10,0),N(Reales!N65)),N$231+N$232+N$239+N$240)</f>
        <v>52969.9652546379</v>
      </c>
      <c r="O250" s="48">
        <f>IF(O$8=1,IF(Reales!$C$65="PYG",IF(O$10&gt;0,N(Reales!O65)/O$10,0),N(Reales!O65)),O$231+O$232+O$239+O$240)</f>
        <v>52969.9652546379</v>
      </c>
      <c r="P250" s="48">
        <f>IF(P$8=1,IF(Reales!$C$65="PYG",IF(P$10&gt;0,N(Reales!P65)/P$10,0),N(Reales!P65)),P$231+P$232+P$239+P$240)</f>
        <v>52969.9652546379</v>
      </c>
      <c r="Q250" s="48">
        <f>IF(Q$8=1,IF(Reales!$C$65="PYG",IF(Q$10&gt;0,N(Reales!Q65)/Q$10,0),N(Reales!Q65)),Q$231+Q$232+Q$239+Q$240)</f>
        <v>52969.9652546379</v>
      </c>
      <c r="R250" s="48">
        <f>IF(R$8=1,IF(Reales!$C$65="PYG",IF(R$10&gt;0,N(Reales!R65)/R$10,0),N(Reales!R65)),R$231+R$232+R$239+R$240)</f>
        <v>66880.96017047124</v>
      </c>
      <c r="S250" s="48">
        <f>IF(S$8=1,IF(Reales!$C$65="PYG",IF(S$10&gt;0,N(Reales!S65)/S$10,0),N(Reales!S65)),S$231+S$232+S$239+S$240)</f>
        <v>66880.96017047124</v>
      </c>
      <c r="T250" s="48">
        <f>IF(T$8=1,IF(Reales!$C$65="PYG",IF(T$10&gt;0,N(Reales!T65)/T$10,0),N(Reales!T65)),T$231+T$232+T$239+T$240)</f>
        <v>66880.96017047124</v>
      </c>
      <c r="U250" s="48">
        <f>IF(U$8=1,IF(Reales!$C$65="PYG",IF(U$10&gt;0,N(Reales!U65)/U$10,0),N(Reales!U65)),U$231+U$232+U$239+U$240)</f>
        <v>66880.96017047124</v>
      </c>
      <c r="V250" s="48">
        <f>IF(V$8=1,IF(Reales!$C$65="PYG",IF(V$10&gt;0,N(Reales!V65)/V$10,0),N(Reales!V65)),V$231+V$232+V$239+V$240)</f>
        <v>66880.96017047124</v>
      </c>
      <c r="W250" s="48">
        <f>IF(W$8=1,IF(Reales!$C$65="PYG",IF(W$10&gt;0,N(Reales!W65)/W$10,0),N(Reales!W65)),W$231+W$232+W$239+W$240)</f>
        <v>66880.96017047124</v>
      </c>
      <c r="X250" s="48">
        <f>IF(X$8=1,IF(Reales!$C$65="PYG",IF(X$10&gt;0,N(Reales!X65)/X$10,0),N(Reales!X65)),X$231+X$232+X$239+X$240)</f>
        <v>66880.96017047124</v>
      </c>
      <c r="Y250" s="48">
        <f>IF(Y$8=1,IF(Reales!$C$65="PYG",IF(Y$10&gt;0,N(Reales!Y65)/Y$10,0),N(Reales!Y65)),Y$231+Y$232+Y$239+Y$240)</f>
        <v>66880.96017047124</v>
      </c>
      <c r="Z250" s="48">
        <f>IF(Z$8=1,IF(Reales!$C$65="PYG",IF(Z$10&gt;0,N(Reales!Z65)/Z$10,0),N(Reales!Z65)),Z$231+Z$232+Z$239+Z$240)</f>
        <v>66880.96017047124</v>
      </c>
      <c r="AA250" s="48">
        <f>IF(AA$8=1,IF(Reales!$C$65="PYG",IF(AA$10&gt;0,N(Reales!AA65)/AA$10,0),N(Reales!AA65)),AA$231+AA$232+AA$239+AA$240)</f>
        <v>66880.96017047124</v>
      </c>
      <c r="AB250" s="48">
        <f>IF(AB$8=1,IF(Reales!$C$65="PYG",IF(AB$10&gt;0,N(Reales!AB65)/AB$10,0),N(Reales!AB65)),AB$231+AB$232+AB$239+AB$240)</f>
        <v>66880.96017047124</v>
      </c>
      <c r="AC250" s="48">
        <f>IF(AC$8=1,IF(Reales!$C$65="PYG",IF(AC$10&gt;0,N(Reales!AC65)/AC$10,0),N(Reales!AC65)),AC$231+AC$232+AC$239+AC$240)</f>
        <v>66880.96017047124</v>
      </c>
      <c r="AD250" s="48">
        <f>IF(AD$8=1,IF(Reales!$C$65="PYG",IF(AD$10&gt;0,N(Reales!AD65)/AD$10,0),N(Reales!AD65)),AD$231+AD$232+AD$239+AD$240)</f>
        <v>80847.765114742244</v>
      </c>
      <c r="AE250" s="48">
        <f>IF(AE$8=1,IF(Reales!$C$65="PYG",IF(AE$10&gt;0,N(Reales!AE65)/AE$10,0),N(Reales!AE65)),AE$231+AE$232+AE$239+AE$240)</f>
        <v>80847.765114742244</v>
      </c>
      <c r="AF250" s="48">
        <f>IF(AF$8=1,IF(Reales!$C$65="PYG",IF(AF$10&gt;0,N(Reales!AF65)/AF$10,0),N(Reales!AF65)),AF$231+AF$232+AF$239+AF$240)</f>
        <v>80847.765114742244</v>
      </c>
      <c r="AG250" s="48">
        <f>IF(AG$8=1,IF(Reales!$C$65="PYG",IF(AG$10&gt;0,N(Reales!AG65)/AG$10,0),N(Reales!AG65)),AG$231+AG$232+AG$239+AG$240)</f>
        <v>80847.765114742244</v>
      </c>
      <c r="AH250" s="48">
        <f>IF(AH$8=1,IF(Reales!$C$65="PYG",IF(AH$10&gt;0,N(Reales!AH65)/AH$10,0),N(Reales!AH65)),AH$231+AH$232+AH$239+AH$240)</f>
        <v>80847.765114742244</v>
      </c>
      <c r="AI250" s="48">
        <f>IF(AI$8=1,IF(Reales!$C$65="PYG",IF(AI$10&gt;0,N(Reales!AI65)/AI$10,0),N(Reales!AI65)),AI$231+AI$232+AI$239+AI$240)</f>
        <v>80847.765114742244</v>
      </c>
      <c r="AJ250" s="48">
        <f>IF(AJ$8=1,IF(Reales!$C$65="PYG",IF(AJ$10&gt;0,N(Reales!AJ65)/AJ$10,0),N(Reales!AJ65)),AJ$231+AJ$232+AJ$239+AJ$240)</f>
        <v>80847.765114742244</v>
      </c>
      <c r="AK250" s="48">
        <f>IF(AK$8=1,IF(Reales!$C$65="PYG",IF(AK$10&gt;0,N(Reales!AK65)/AK$10,0),N(Reales!AK65)),AK$231+AK$232+AK$239+AK$240)</f>
        <v>80847.765114742244</v>
      </c>
      <c r="AL250" s="48">
        <f>IF(AL$8=1,IF(Reales!$C$65="PYG",IF(AL$10&gt;0,N(Reales!AL65)/AL$10,0),N(Reales!AL65)),AL$231+AL$232+AL$239+AL$240)</f>
        <v>80847.765114742244</v>
      </c>
      <c r="AM250" s="48">
        <f>IF(AM$8=1,IF(Reales!$C$65="PYG",IF(AM$10&gt;0,N(Reales!AM65)/AM$10,0),N(Reales!AM65)),AM$231+AM$232+AM$239+AM$240)</f>
        <v>80847.765114742244</v>
      </c>
      <c r="AN250" s="48">
        <f>IF(AN$8=1,IF(Reales!$C$65="PYG",IF(AN$10&gt;0,N(Reales!AN65)/AN$10,0),N(Reales!AN65)),AN$231+AN$232+AN$239+AN$240)</f>
        <v>80847.765114742244</v>
      </c>
      <c r="AO250" s="48">
        <f>IF(AO$8=1,IF(Reales!$C$65="PYG",IF(AO$10&gt;0,N(Reales!AO65)/AO$10,0),N(Reales!AO65)),AO$231+AO$232+AO$239+AO$240)</f>
        <v>80847.765114742244</v>
      </c>
      <c r="AP250" s="48">
        <f>IF(AP$8=1,IF(Reales!$C$65="PYG",IF(AP$10&gt;0,N(Reales!AP65)/AP$10,0),N(Reales!AP65)),AP$231+AP$232+AP$239+AP$240)</f>
        <v>92105.411257452884</v>
      </c>
      <c r="AQ250" s="48">
        <f>IF(AQ$8=1,IF(Reales!$C$65="PYG",IF(AQ$10&gt;0,N(Reales!AQ65)/AQ$10,0),N(Reales!AQ65)),AQ$231+AQ$232+AQ$239+AQ$240)</f>
        <v>92105.411257452884</v>
      </c>
      <c r="AR250" s="48">
        <f>IF(AR$8=1,IF(Reales!$C$65="PYG",IF(AR$10&gt;0,N(Reales!AR65)/AR$10,0),N(Reales!AR65)),AR$231+AR$232+AR$239+AR$240)</f>
        <v>92105.411257452884</v>
      </c>
      <c r="AS250" s="48">
        <f>IF(AS$8=1,IF(Reales!$C$65="PYG",IF(AS$10&gt;0,N(Reales!AS65)/AS$10,0),N(Reales!AS65)),AS$231+AS$232+AS$239+AS$240)</f>
        <v>92105.411257452884</v>
      </c>
      <c r="AT250" s="48">
        <f>IF(AT$8=1,IF(Reales!$C$65="PYG",IF(AT$10&gt;0,N(Reales!AT65)/AT$10,0),N(Reales!AT65)),AT$231+AT$232+AT$239+AT$240)</f>
        <v>92105.411257452884</v>
      </c>
      <c r="AU250" s="48">
        <f>IF(AU$8=1,IF(Reales!$C$65="PYG",IF(AU$10&gt;0,N(Reales!AU65)/AU$10,0),N(Reales!AU65)),AU$231+AU$232+AU$239+AU$240)</f>
        <v>92105.411257452884</v>
      </c>
      <c r="AV250" s="48">
        <f>IF(AV$8=1,IF(Reales!$C$65="PYG",IF(AV$10&gt;0,N(Reales!AV65)/AV$10,0),N(Reales!AV65)),AV$231+AV$232+AV$239+AV$240)</f>
        <v>92105.411257452884</v>
      </c>
      <c r="AW250" s="48">
        <f>IF(AW$8=1,IF(Reales!$C$65="PYG",IF(AW$10&gt;0,N(Reales!AW65)/AW$10,0),N(Reales!AW65)),AW$231+AW$232+AW$239+AW$240)</f>
        <v>92105.411257452884</v>
      </c>
      <c r="AX250" s="48">
        <f>IF(AX$8=1,IF(Reales!$C$65="PYG",IF(AX$10&gt;0,N(Reales!AX65)/AX$10,0),N(Reales!AX65)),AX$231+AX$232+AX$239+AX$240)</f>
        <v>92105.411257452884</v>
      </c>
      <c r="AY250" s="48">
        <f>IF(AY$8=1,IF(Reales!$C$65="PYG",IF(AY$10&gt;0,N(Reales!AY65)/AY$10,0),N(Reales!AY65)),AY$231+AY$232+AY$239+AY$240)</f>
        <v>92105.411257452884</v>
      </c>
      <c r="AZ250" s="48">
        <f>IF(AZ$8=1,IF(Reales!$C$65="PYG",IF(AZ$10&gt;0,N(Reales!AZ65)/AZ$10,0),N(Reales!AZ65)),AZ$231+AZ$232+AZ$239+AZ$240)</f>
        <v>92105.411257452884</v>
      </c>
      <c r="BA250" s="48">
        <f>IF(BA$8=1,IF(Reales!$C$65="PYG",IF(BA$10&gt;0,N(Reales!BA65)/BA$10,0),N(Reales!BA65)),BA$231+BA$232+BA$239+BA$240)</f>
        <v>92105.411257452884</v>
      </c>
      <c r="BB250" s="48">
        <f>IF(BB$8=1,IF(Reales!$C$65="PYG",IF(BB$10&gt;0,N(Reales!BB65)/BB$10,0),N(Reales!BB65)),BB$231+BB$232+BB$239+BB$240)</f>
        <v>92228.62568261534</v>
      </c>
      <c r="BC250" s="48">
        <f>IF(BC$8=1,IF(Reales!$C$65="PYG",IF(BC$10&gt;0,N(Reales!BC65)/BC$10,0),N(Reales!BC65)),BC$231+BC$232+BC$239+BC$240)</f>
        <v>92228.62568261534</v>
      </c>
      <c r="BD250" s="48">
        <f>IF(BD$8=1,IF(Reales!$C$65="PYG",IF(BD$10&gt;0,N(Reales!BD65)/BD$10,0),N(Reales!BD65)),BD$231+BD$232+BD$239+BD$240)</f>
        <v>92228.62568261534</v>
      </c>
      <c r="BE250" s="48">
        <f>IF(BE$8=1,IF(Reales!$C$65="PYG",IF(BE$10&gt;0,N(Reales!BE65)/BE$10,0),N(Reales!BE65)),BE$231+BE$232+BE$239+BE$240)</f>
        <v>92228.62568261534</v>
      </c>
      <c r="BF250" s="48">
        <f>IF(BF$8=1,IF(Reales!$C$65="PYG",IF(BF$10&gt;0,N(Reales!BF65)/BF$10,0),N(Reales!BF65)),BF$231+BF$232+BF$239+BF$240)</f>
        <v>92228.62568261534</v>
      </c>
      <c r="BG250" s="48">
        <f>IF(BG$8=1,IF(Reales!$C$65="PYG",IF(BG$10&gt;0,N(Reales!BG65)/BG$10,0),N(Reales!BG65)),BG$231+BG$232+BG$239+BG$240)</f>
        <v>92228.62568261534</v>
      </c>
      <c r="BH250" s="48">
        <f>IF(BH$8=1,IF(Reales!$C$65="PYG",IF(BH$10&gt;0,N(Reales!BH65)/BH$10,0),N(Reales!BH65)),BH$231+BH$232+BH$239+BH$240)</f>
        <v>92228.62568261534</v>
      </c>
      <c r="BI250" s="48">
        <f>IF(BI$8=1,IF(Reales!$C$65="PYG",IF(BI$10&gt;0,N(Reales!BI65)/BI$10,0),N(Reales!BI65)),BI$231+BI$232+BI$239+BI$240)</f>
        <v>92228.62568261534</v>
      </c>
      <c r="BJ250" s="48">
        <f>IF(BJ$8=1,IF(Reales!$C$65="PYG",IF(BJ$10&gt;0,N(Reales!BJ65)/BJ$10,0),N(Reales!BJ65)),BJ$231+BJ$232+BJ$239+BJ$240)</f>
        <v>92228.62568261534</v>
      </c>
      <c r="BK250" s="48">
        <f>IF(BK$8=1,IF(Reales!$C$65="PYG",IF(BK$10&gt;0,N(Reales!BK65)/BK$10,0),N(Reales!BK65)),BK$231+BK$232+BK$239+BK$240)</f>
        <v>92228.62568261534</v>
      </c>
      <c r="BL250" s="48">
        <f>IF(BL$8=1,IF(Reales!$C$65="PYG",IF(BL$10&gt;0,N(Reales!BL65)/BL$10,0),N(Reales!BL65)),BL$231+BL$232+BL$239+BL$240)</f>
        <v>92228.62568261534</v>
      </c>
      <c r="BM250" s="48">
        <f>IF(BM$8=1,IF(Reales!$C$65="PYG",IF(BM$10&gt;0,N(Reales!BM65)/BM$10,0),N(Reales!BM65)),BM$231+BM$232+BM$239+BM$240)</f>
        <v>92228.62568261534</v>
      </c>
      <c r="BN250" s="48">
        <f>IF(BN$8=1,IF(Reales!$C$65="PYG",IF(BN$10&gt;0,N(Reales!BN65)/BN$10,0),N(Reales!BN65)),BN$231+BN$232+BN$239+BN$240)</f>
        <v>92326.983573640537</v>
      </c>
      <c r="BO250" s="48">
        <f>IF(BO$8=1,IF(Reales!$C$65="PYG",IF(BO$10&gt;0,N(Reales!BO65)/BO$10,0),N(Reales!BO65)),BO$231+BO$232+BO$239+BO$240)</f>
        <v>92326.983573640537</v>
      </c>
      <c r="BP250" s="48">
        <f>IF(BP$8=1,IF(Reales!$C$65="PYG",IF(BP$10&gt;0,N(Reales!BP65)/BP$10,0),N(Reales!BP65)),BP$231+BP$232+BP$239+BP$240)</f>
        <v>92326.983573640537</v>
      </c>
      <c r="BQ250" s="48">
        <f>IF(BQ$8=1,IF(Reales!$C$65="PYG",IF(BQ$10&gt;0,N(Reales!BQ65)/BQ$10,0),N(Reales!BQ65)),BQ$231+BQ$232+BQ$239+BQ$240)</f>
        <v>92326.983573640537</v>
      </c>
      <c r="BR250" s="48">
        <f>IF(BR$8=1,IF(Reales!$C$65="PYG",IF(BR$10&gt;0,N(Reales!BR65)/BR$10,0),N(Reales!BR65)),BR$231+BR$232+BR$239+BR$240)</f>
        <v>92326.983573640537</v>
      </c>
      <c r="BS250" s="48">
        <f>IF(BS$8=1,IF(Reales!$C$65="PYG",IF(BS$10&gt;0,N(Reales!BS65)/BS$10,0),N(Reales!BS65)),BS$231+BS$232+BS$239+BS$240)</f>
        <v>92326.983573640537</v>
      </c>
      <c r="BT250" s="48">
        <f>IF(BT$8=1,IF(Reales!$C$65="PYG",IF(BT$10&gt;0,N(Reales!BT65)/BT$10,0),N(Reales!BT65)),BT$231+BT$232+BT$239+BT$240)</f>
        <v>92326.983573640537</v>
      </c>
      <c r="BU250" s="48">
        <f>IF(BU$8=1,IF(Reales!$C$65="PYG",IF(BU$10&gt;0,N(Reales!BU65)/BU$10,0),N(Reales!BU65)),BU$231+BU$232+BU$239+BU$240)</f>
        <v>92326.983573640537</v>
      </c>
      <c r="BV250" s="48">
        <f>IF(BV$8=1,IF(Reales!$C$65="PYG",IF(BV$10&gt;0,N(Reales!BV65)/BV$10,0),N(Reales!BV65)),BV$231+BV$232+BV$239+BV$240)</f>
        <v>92326.983573640537</v>
      </c>
      <c r="BW250" s="48">
        <f>IF(BW$8=1,IF(Reales!$C$65="PYG",IF(BW$10&gt;0,N(Reales!BW65)/BW$10,0),N(Reales!BW65)),BW$231+BW$232+BW$239+BW$240)</f>
        <v>92326.983573640537</v>
      </c>
      <c r="BX250" s="48">
        <f>IF(BX$8=1,IF(Reales!$C$65="PYG",IF(BX$10&gt;0,N(Reales!BX65)/BX$10,0),N(Reales!BX65)),BX$231+BX$232+BX$239+BX$240)</f>
        <v>92326.983573640537</v>
      </c>
      <c r="BY250" s="48">
        <f>IF(BY$8=1,IF(Reales!$C$65="PYG",IF(BY$10&gt;0,N(Reales!BY65)/BY$10,0),N(Reales!BY65)),BY$231+BY$232+BY$239+BY$240)</f>
        <v>92326.983573640537</v>
      </c>
      <c r="BZ250" s="48">
        <f>IF(BZ$8=1,IF(Reales!$C$65="PYG",IF(BZ$10&gt;0,N(Reales!BZ65)/BZ$10,0),N(Reales!BZ65)),BZ$231+BZ$232+BZ$239+BZ$240)</f>
        <v>92426.325043575984</v>
      </c>
      <c r="CA250" s="48">
        <f>IF(CA$8=1,IF(Reales!$C$65="PYG",IF(CA$10&gt;0,N(Reales!CA65)/CA$10,0),N(Reales!CA65)),CA$231+CA$232+CA$239+CA$240)</f>
        <v>92426.325043575984</v>
      </c>
      <c r="CB250" s="48">
        <f>IF(CB$8=1,IF(Reales!$C$65="PYG",IF(CB$10&gt;0,N(Reales!CB65)/CB$10,0),N(Reales!CB65)),CB$231+CB$232+CB$239+CB$240)</f>
        <v>92426.325043575984</v>
      </c>
      <c r="CC250" s="48">
        <f>IF(CC$8=1,IF(Reales!$C$65="PYG",IF(CC$10&gt;0,N(Reales!CC65)/CC$10,0),N(Reales!CC65)),CC$231+CC$232+CC$239+CC$240)</f>
        <v>92426.325043575984</v>
      </c>
      <c r="CD250" s="48">
        <f>IF(CD$8=1,IF(Reales!$C$65="PYG",IF(CD$10&gt;0,N(Reales!CD65)/CD$10,0),N(Reales!CD65)),CD$231+CD$232+CD$239+CD$240)</f>
        <v>92426.325043575984</v>
      </c>
      <c r="CE250" s="48">
        <f>IF(CE$8=1,IF(Reales!$C$65="PYG",IF(CE$10&gt;0,N(Reales!CE65)/CE$10,0),N(Reales!CE65)),CE$231+CE$232+CE$239+CE$240)</f>
        <v>92426.325043575984</v>
      </c>
      <c r="CF250" s="48">
        <f>IF(CF$8=1,IF(Reales!$C$65="PYG",IF(CF$10&gt;0,N(Reales!CF65)/CF$10,0),N(Reales!CF65)),CF$231+CF$232+CF$239+CF$240)</f>
        <v>92426.325043575984</v>
      </c>
      <c r="CG250" s="48">
        <f>IF(CG$8=1,IF(Reales!$C$65="PYG",IF(CG$10&gt;0,N(Reales!CG65)/CG$10,0),N(Reales!CG65)),CG$231+CG$232+CG$239+CG$240)</f>
        <v>92426.325043575984</v>
      </c>
      <c r="CH250" s="48">
        <f>IF(CH$8=1,IF(Reales!$C$65="PYG",IF(CH$10&gt;0,N(Reales!CH65)/CH$10,0),N(Reales!CH65)),CH$231+CH$232+CH$239+CH$240)</f>
        <v>92426.325043575984</v>
      </c>
      <c r="CI250" s="48">
        <f>IF(CI$8=1,IF(Reales!$C$65="PYG",IF(CI$10&gt;0,N(Reales!CI65)/CI$10,0),N(Reales!CI65)),CI$231+CI$232+CI$239+CI$240)</f>
        <v>92426.325043575984</v>
      </c>
      <c r="CJ250" s="48">
        <f>IF(CJ$8=1,IF(Reales!$C$65="PYG",IF(CJ$10&gt;0,N(Reales!CJ65)/CJ$10,0),N(Reales!CJ65)),CJ$231+CJ$232+CJ$239+CJ$240)</f>
        <v>92426.325043575984</v>
      </c>
      <c r="CK250" s="48">
        <f>IF(CK$8=1,IF(Reales!$C$65="PYG",IF(CK$10&gt;0,N(Reales!CK65)/CK$10,0),N(Reales!CK65)),CK$231+CK$232+CK$239+CK$240)</f>
        <v>92426.325043575984</v>
      </c>
      <c r="CL250" s="48">
        <f>IF(CL$8=1,IF(Reales!$C$65="PYG",IF(CL$10&gt;0,N(Reales!CL65)/CL$10,0),N(Reales!CL65)),CL$231+CL$232+CL$239+CL$240)</f>
        <v>92526.659928210807</v>
      </c>
      <c r="CM250" s="48">
        <f>IF(CM$8=1,IF(Reales!$C$65="PYG",IF(CM$10&gt;0,N(Reales!CM65)/CM$10,0),N(Reales!CM65)),CM$231+CM$232+CM$239+CM$240)</f>
        <v>92526.659928210807</v>
      </c>
      <c r="CN250" s="48">
        <f>IF(CN$8=1,IF(Reales!$C$65="PYG",IF(CN$10&gt;0,N(Reales!CN65)/CN$10,0),N(Reales!CN65)),CN$231+CN$232+CN$239+CN$240)</f>
        <v>92526.659928210807</v>
      </c>
      <c r="CO250" s="48">
        <f>IF(CO$8=1,IF(Reales!$C$65="PYG",IF(CO$10&gt;0,N(Reales!CO65)/CO$10,0),N(Reales!CO65)),CO$231+CO$232+CO$239+CO$240)</f>
        <v>92526.659928210807</v>
      </c>
      <c r="CP250" s="48">
        <f>IF(CP$8=1,IF(Reales!$C$65="PYG",IF(CP$10&gt;0,N(Reales!CP65)/CP$10,0),N(Reales!CP65)),CP$231+CP$232+CP$239+CP$240)</f>
        <v>92526.659928210807</v>
      </c>
      <c r="CQ250" s="48">
        <f>IF(CQ$8=1,IF(Reales!$C$65="PYG",IF(CQ$10&gt;0,N(Reales!CQ65)/CQ$10,0),N(Reales!CQ65)),CQ$231+CQ$232+CQ$239+CQ$240)</f>
        <v>92526.659928210807</v>
      </c>
      <c r="CR250" s="48">
        <f>IF(CR$8=1,IF(Reales!$C$65="PYG",IF(CR$10&gt;0,N(Reales!CR65)/CR$10,0),N(Reales!CR65)),CR$231+CR$232+CR$239+CR$240)</f>
        <v>92526.659928210807</v>
      </c>
      <c r="CS250" s="48">
        <f>IF(CS$8=1,IF(Reales!$C$65="PYG",IF(CS$10&gt;0,N(Reales!CS65)/CS$10,0),N(Reales!CS65)),CS$231+CS$232+CS$239+CS$240)</f>
        <v>92526.659928210807</v>
      </c>
      <c r="CT250" s="48">
        <f>IF(CT$8=1,IF(Reales!$C$65="PYG",IF(CT$10&gt;0,N(Reales!CT65)/CT$10,0),N(Reales!CT65)),CT$231+CT$232+CT$239+CT$240)</f>
        <v>92526.659928210807</v>
      </c>
      <c r="CU250" s="48">
        <f>IF(CU$8=1,IF(Reales!$C$65="PYG",IF(CU$10&gt;0,N(Reales!CU65)/CU$10,0),N(Reales!CU65)),CU$231+CU$232+CU$239+CU$240)</f>
        <v>92526.659928210807</v>
      </c>
      <c r="CV250" s="48">
        <f>IF(CV$8=1,IF(Reales!$C$65="PYG",IF(CV$10&gt;0,N(Reales!CV65)/CV$10,0),N(Reales!CV65)),CV$231+CV$232+CV$239+CV$240)</f>
        <v>92526.659928210807</v>
      </c>
      <c r="CW250" s="48">
        <f>IF(CW$8=1,IF(Reales!$C$65="PYG",IF(CW$10&gt;0,N(Reales!CW65)/CW$10,0),N(Reales!CW65)),CW$231+CW$232+CW$239+CW$240)</f>
        <v>92526.659928210807</v>
      </c>
      <c r="CX250" s="48">
        <f>IF(CX$8=1,IF(Reales!$C$65="PYG",IF(CX$10&gt;0,N(Reales!CX65)/CX$10,0),N(Reales!CX65)),CX$231+CX$232+CX$239+CX$240)</f>
        <v>92627.998161691954</v>
      </c>
      <c r="CY250" s="48">
        <f>IF(CY$8=1,IF(Reales!$C$65="PYG",IF(CY$10&gt;0,N(Reales!CY65)/CY$10,0),N(Reales!CY65)),CY$231+CY$232+CY$239+CY$240)</f>
        <v>92627.998161691954</v>
      </c>
      <c r="CZ250" s="48">
        <f>IF(CZ$8=1,IF(Reales!$C$65="PYG",IF(CZ$10&gt;0,N(Reales!CZ65)/CZ$10,0),N(Reales!CZ65)),CZ$231+CZ$232+CZ$239+CZ$240)</f>
        <v>92627.998161691954</v>
      </c>
      <c r="DA250" s="48">
        <f>IF(DA$8=1,IF(Reales!$C$65="PYG",IF(DA$10&gt;0,N(Reales!DA65)/DA$10,0),N(Reales!DA65)),DA$231+DA$232+DA$239+DA$240)</f>
        <v>92627.998161691954</v>
      </c>
      <c r="DB250" s="48">
        <f>IF(DB$8=1,IF(Reales!$C$65="PYG",IF(DB$10&gt;0,N(Reales!DB65)/DB$10,0),N(Reales!DB65)),DB$231+DB$232+DB$239+DB$240)</f>
        <v>92627.998161691954</v>
      </c>
      <c r="DC250" s="48">
        <f>IF(DC$8=1,IF(Reales!$C$65="PYG",IF(DC$10&gt;0,N(Reales!DC65)/DC$10,0),N(Reales!DC65)),DC$231+DC$232+DC$239+DC$240)</f>
        <v>92627.998161691954</v>
      </c>
      <c r="DD250" s="48">
        <f>IF(DD$8=1,IF(Reales!$C$65="PYG",IF(DD$10&gt;0,N(Reales!DD65)/DD$10,0),N(Reales!DD65)),DD$231+DD$232+DD$239+DD$240)</f>
        <v>92627.998161691954</v>
      </c>
      <c r="DE250" s="48">
        <f>IF(DE$8=1,IF(Reales!$C$65="PYG",IF(DE$10&gt;0,N(Reales!DE65)/DE$10,0),N(Reales!DE65)),DE$231+DE$232+DE$239+DE$240)</f>
        <v>92627.998161691954</v>
      </c>
      <c r="DF250" s="48">
        <f>IF(DF$8=1,IF(Reales!$C$65="PYG",IF(DF$10&gt;0,N(Reales!DF65)/DF$10,0),N(Reales!DF65)),DF$231+DF$232+DF$239+DF$240)</f>
        <v>92627.998161691954</v>
      </c>
      <c r="DG250" s="48">
        <f>IF(DG$8=1,IF(Reales!$C$65="PYG",IF(DG$10&gt;0,N(Reales!DG65)/DG$10,0),N(Reales!DG65)),DG$231+DG$232+DG$239+DG$240)</f>
        <v>92627.998161691954</v>
      </c>
      <c r="DH250" s="48">
        <f>IF(DH$8=1,IF(Reales!$C$65="PYG",IF(DH$10&gt;0,N(Reales!DH65)/DH$10,0),N(Reales!DH65)),DH$231+DH$232+DH$239+DH$240)</f>
        <v>92627.998161691954</v>
      </c>
      <c r="DI250" s="48">
        <f>IF(DI$8=1,IF(Reales!$C$65="PYG",IF(DI$10&gt;0,N(Reales!DI65)/DI$10,0),N(Reales!DI65)),DI$231+DI$232+DI$239+DI$240)</f>
        <v>92627.998161691954</v>
      </c>
      <c r="DJ250" s="48">
        <f>IF(DJ$8=1,IF(Reales!$C$65="PYG",IF(DJ$10&gt;0,N(Reales!DJ65)/DJ$10,0),N(Reales!DJ65)),DJ$231+DJ$232+DJ$239+DJ$240)</f>
        <v>92730.349777507916</v>
      </c>
      <c r="DK250" s="48">
        <f>IF(DK$8=1,IF(Reales!$C$65="PYG",IF(DK$10&gt;0,N(Reales!DK65)/DK$10,0),N(Reales!DK65)),DK$231+DK$232+DK$239+DK$240)</f>
        <v>92730.349777507916</v>
      </c>
      <c r="DL250" s="48">
        <f>IF(DL$8=1,IF(Reales!$C$65="PYG",IF(DL$10&gt;0,N(Reales!DL65)/DL$10,0),N(Reales!DL65)),DL$231+DL$232+DL$239+DL$240)</f>
        <v>92730.349777507916</v>
      </c>
      <c r="DM250" s="48">
        <f>IF(DM$8=1,IF(Reales!$C$65="PYG",IF(DM$10&gt;0,N(Reales!DM65)/DM$10,0),N(Reales!DM65)),DM$231+DM$232+DM$239+DM$240)</f>
        <v>92730.349777507916</v>
      </c>
      <c r="DN250" s="48">
        <f>IF(DN$8=1,IF(Reales!$C$65="PYG",IF(DN$10&gt;0,N(Reales!DN65)/DN$10,0),N(Reales!DN65)),DN$231+DN$232+DN$239+DN$240)</f>
        <v>92730.349777507916</v>
      </c>
      <c r="DO250" s="48">
        <f>IF(DO$8=1,IF(Reales!$C$65="PYG",IF(DO$10&gt;0,N(Reales!DO65)/DO$10,0),N(Reales!DO65)),DO$231+DO$232+DO$239+DO$240)</f>
        <v>92730.349777507916</v>
      </c>
      <c r="DP250" s="48">
        <f>IF(DP$8=1,IF(Reales!$C$65="PYG",IF(DP$10&gt;0,N(Reales!DP65)/DP$10,0),N(Reales!DP65)),DP$231+DP$232+DP$239+DP$240)</f>
        <v>92730.349777507916</v>
      </c>
      <c r="DQ250" s="48">
        <f>IF(DQ$8=1,IF(Reales!$C$65="PYG",IF(DQ$10&gt;0,N(Reales!DQ65)/DQ$10,0),N(Reales!DQ65)),DQ$231+DQ$232+DQ$239+DQ$240)</f>
        <v>92730.349777507916</v>
      </c>
      <c r="DR250" s="48">
        <f>IF(DR$8=1,IF(Reales!$C$65="PYG",IF(DR$10&gt;0,N(Reales!DR65)/DR$10,0),N(Reales!DR65)),DR$231+DR$232+DR$239+DR$240)</f>
        <v>92730.349777507916</v>
      </c>
      <c r="DS250" s="48">
        <f>IF(DS$8=1,IF(Reales!$C$65="PYG",IF(DS$10&gt;0,N(Reales!DS65)/DS$10,0),N(Reales!DS65)),DS$231+DS$232+DS$239+DS$240)</f>
        <v>92730.349777507916</v>
      </c>
      <c r="DT250" s="48">
        <f>IF(DT$8=1,IF(Reales!$C$65="PYG",IF(DT$10&gt;0,N(Reales!DT65)/DT$10,0),N(Reales!DT65)),DT$231+DT$232+DT$239+DT$240)</f>
        <v>92730.349777507916</v>
      </c>
      <c r="DU250" s="48">
        <f>IF(DU$8=1,IF(Reales!$C$65="PYG",IF(DU$10&gt;0,N(Reales!DU65)/DU$10,0),N(Reales!DU65)),DU$231+DU$232+DU$239+DU$240)</f>
        <v>92730.349777507916</v>
      </c>
      <c r="DV250" s="48">
        <f>IF(DV$8=1,IF(Reales!$C$65="PYG",IF(DV$10&gt;0,N(Reales!DV65)/DV$10,0),N(Reales!DV65)),DV$231+DV$232+DV$239+DV$240)</f>
        <v>0</v>
      </c>
      <c r="DW250" s="48">
        <f>IF(DW$8=1,IF(Reales!$C$65="PYG",IF(DW$10&gt;0,N(Reales!DW65)/DW$10,0),N(Reales!DW65)),DW$231+DW$232+DW$239+DW$240)</f>
        <v>0</v>
      </c>
      <c r="DX250" s="48">
        <f>IF(DX$8=1,IF(Reales!$C$65="PYG",IF(DX$10&gt;0,N(Reales!DX65)/DX$10,0),N(Reales!DX65)),DX$231+DX$232+DX$239+DX$240)</f>
        <v>0</v>
      </c>
      <c r="DY250" s="48">
        <f>IF(DY$8=1,IF(Reales!$C$65="PYG",IF(DY$10&gt;0,N(Reales!DY65)/DY$10,0),N(Reales!DY65)),DY$231+DY$232+DY$239+DY$240)</f>
        <v>0</v>
      </c>
      <c r="DZ250" s="48">
        <f>IF(DZ$8=1,IF(Reales!$C$65="PYG",IF(DZ$10&gt;0,N(Reales!DZ65)/DZ$10,0),N(Reales!DZ65)),DZ$231+DZ$232+DZ$239+DZ$240)</f>
        <v>0</v>
      </c>
      <c r="EA250" s="48">
        <f>IF(EA$8=1,IF(Reales!$C$65="PYG",IF(EA$10&gt;0,N(Reales!EA65)/EA$10,0),N(Reales!EA65)),EA$231+EA$232+EA$239+EA$240)</f>
        <v>0</v>
      </c>
      <c r="EB250" s="48">
        <f>IF(EB$8=1,IF(Reales!$C$65="PYG",IF(EB$10&gt;0,N(Reales!EB65)/EB$10,0),N(Reales!EB65)),EB$231+EB$232+EB$239+EB$240)</f>
        <v>0</v>
      </c>
      <c r="EC250" s="48">
        <f>IF(EC$8=1,IF(Reales!$C$65="PYG",IF(EC$10&gt;0,N(Reales!EC65)/EC$10,0),N(Reales!EC65)),EC$231+EC$232+EC$239+EC$240)</f>
        <v>0</v>
      </c>
      <c r="ED250" s="48">
        <f>IF(ED$8=1,IF(Reales!$C$65="PYG",IF(ED$10&gt;0,N(Reales!ED65)/ED$10,0),N(Reales!ED65)),ED$231+ED$232+ED$239+ED$240)</f>
        <v>0</v>
      </c>
      <c r="EE250" s="48">
        <f>IF(EE$8=1,IF(Reales!$C$65="PYG",IF(EE$10&gt;0,N(Reales!EE65)/EE$10,0),N(Reales!EE65)),EE$231+EE$232+EE$239+EE$240)</f>
        <v>0</v>
      </c>
      <c r="EF250" s="48">
        <f>IF(EF$8=1,IF(Reales!$C$65="PYG",IF(EF$10&gt;0,N(Reales!EF65)/EF$10,0),N(Reales!EF65)),EF$231+EF$232+EF$239+EF$240)</f>
        <v>0</v>
      </c>
      <c r="EG250" s="48">
        <f>IF(EG$8=1,IF(Reales!$C$65="PYG",IF(EG$10&gt;0,N(Reales!EG65)/EG$10,0),N(Reales!EG65)),EG$231+EG$232+EG$239+EG$240)</f>
        <v>0</v>
      </c>
      <c r="EH250" s="48">
        <f>IF(EH$8=1,IF(Reales!$C$65="PYG",IF(EH$10&gt;0,N(Reales!EH65)/EH$10,0),N(Reales!EH65)),EH$231+EH$232+EH$239+EH$240)</f>
        <v>0</v>
      </c>
      <c r="EI250" s="48">
        <f>IF(EI$8=1,IF(Reales!$C$65="PYG",IF(EI$10&gt;0,N(Reales!EI65)/EI$10,0),N(Reales!EI65)),EI$231+EI$232+EI$239+EI$240)</f>
        <v>0</v>
      </c>
      <c r="EJ250" s="48">
        <f>IF(EJ$8=1,IF(Reales!$C$65="PYG",IF(EJ$10&gt;0,N(Reales!EJ65)/EJ$10,0),N(Reales!EJ65)),EJ$231+EJ$232+EJ$239+EJ$240)</f>
        <v>0</v>
      </c>
      <c r="EK250" s="48">
        <f>IF(EK$8=1,IF(Reales!$C$65="PYG",IF(EK$10&gt;0,N(Reales!EK65)/EK$10,0),N(Reales!EK65)),EK$231+EK$232+EK$239+EK$240)</f>
        <v>0</v>
      </c>
      <c r="EL250" s="48">
        <f>IF(EL$8=1,IF(Reales!$C$65="PYG",IF(EL$10&gt;0,N(Reales!EL65)/EL$10,0),N(Reales!EL65)),EL$231+EL$232+EL$239+EL$240)</f>
        <v>0</v>
      </c>
      <c r="EM250" s="48">
        <f>IF(EM$8=1,IF(Reales!$C$65="PYG",IF(EM$10&gt;0,N(Reales!EM65)/EM$10,0),N(Reales!EM65)),EM$231+EM$232+EM$239+EM$240)</f>
        <v>0</v>
      </c>
      <c r="EN250" s="48">
        <f>IF(EN$8=1,IF(Reales!$C$65="PYG",IF(EN$10&gt;0,N(Reales!EN65)/EN$10,0),N(Reales!EN65)),EN$231+EN$232+EN$239+EN$240)</f>
        <v>0</v>
      </c>
      <c r="EO250" s="48">
        <f>IF(EO$8=1,IF(Reales!$C$65="PYG",IF(EO$10&gt;0,N(Reales!EO65)/EO$10,0),N(Reales!EO65)),EO$231+EO$232+EO$239+EO$240)</f>
        <v>0</v>
      </c>
      <c r="EP250" s="48">
        <f>IF(EP$8=1,IF(Reales!$C$65="PYG",IF(EP$10&gt;0,N(Reales!EP65)/EP$10,0),N(Reales!EP65)),EP$231+EP$232+EP$239+EP$240)</f>
        <v>0</v>
      </c>
      <c r="EQ250" s="48">
        <f>IF(EQ$8=1,IF(Reales!$C$65="PYG",IF(EQ$10&gt;0,N(Reales!EQ65)/EQ$10,0),N(Reales!EQ65)),EQ$231+EQ$232+EQ$239+EQ$240)</f>
        <v>0</v>
      </c>
      <c r="ER250" s="48">
        <f>IF(ER$8=1,IF(Reales!$C$65="PYG",IF(ER$10&gt;0,N(Reales!ER65)/ER$10,0),N(Reales!ER65)),ER$231+ER$232+ER$239+ER$240)</f>
        <v>0</v>
      </c>
      <c r="ES250" s="48">
        <f>IF(ES$8=1,IF(Reales!$C$65="PYG",IF(ES$10&gt;0,N(Reales!ES65)/ES$10,0),N(Reales!ES65)),ES$231+ES$232+ES$239+ES$240)</f>
        <v>0</v>
      </c>
    </row>
    <row r="251" spans="1:149" x14ac:dyDescent="0.3">
      <c r="A251" s="14" t="s">
        <v>1304</v>
      </c>
      <c r="B251" s="18" t="s">
        <v>1094</v>
      </c>
      <c r="C251" s="18" t="s">
        <v>439</v>
      </c>
      <c r="E251" s="54">
        <f t="shared" si="642"/>
        <v>6984448.3029332152</v>
      </c>
      <c r="F251" s="48">
        <f>IF(F$8=1,IF(Reales!$C$66="PYG",IF(F$10&gt;0,N(Reales!F66)/F$10,0),N(Reales!F66)),F$234+F$236)</f>
        <v>53054.720696136981</v>
      </c>
      <c r="G251" s="48">
        <f>IF(G$8=1,IF(Reales!$C$66="PYG",IF(G$10&gt;0,N(Reales!G66)/G$10,0),N(Reales!G66)),G$234+G$236)</f>
        <v>53054.720696136981</v>
      </c>
      <c r="H251" s="48">
        <f>IF(H$8=1,IF(Reales!$C$66="PYG",IF(H$10&gt;0,N(Reales!H66)/H$10,0),N(Reales!H66)),H$234+H$236)</f>
        <v>53054.720696136981</v>
      </c>
      <c r="I251" s="48">
        <f>IF(I$8=1,IF(Reales!$C$66="PYG",IF(I$10&gt;0,N(Reales!I66)/I$10,0),N(Reales!I66)),I$234+I$236)</f>
        <v>53054.720696136981</v>
      </c>
      <c r="J251" s="48">
        <f>IF(J$8=1,IF(Reales!$C$66="PYG",IF(J$10&gt;0,N(Reales!J66)/J$10,0),N(Reales!J66)),J$234+J$236)</f>
        <v>53054.720696136981</v>
      </c>
      <c r="K251" s="48">
        <f>IF(K$8=1,IF(Reales!$C$66="PYG",IF(K$10&gt;0,N(Reales!K66)/K$10,0),N(Reales!K66)),K$234+K$236)</f>
        <v>53054.720696136981</v>
      </c>
      <c r="L251" s="48">
        <f>IF(L$8=1,IF(Reales!$C$66="PYG",IF(L$10&gt;0,N(Reales!L66)/L$10,0),N(Reales!L66)),L$234+L$236)</f>
        <v>53054.720696136981</v>
      </c>
      <c r="M251" s="48">
        <f>IF(M$8=1,IF(Reales!$C$66="PYG",IF(M$10&gt;0,N(Reales!M66)/M$10,0),N(Reales!M66)),M$234+M$236)</f>
        <v>53054.720696136981</v>
      </c>
      <c r="N251" s="48">
        <f>IF(N$8=1,IF(Reales!$C$66="PYG",IF(N$10&gt;0,N(Reales!N66)/N$10,0),N(Reales!N66)),N$234+N$236)</f>
        <v>53054.720696136981</v>
      </c>
      <c r="O251" s="48">
        <f>IF(O$8=1,IF(Reales!$C$66="PYG",IF(O$10&gt;0,N(Reales!O66)/O$10,0),N(Reales!O66)),O$234+O$236)</f>
        <v>53054.720696136981</v>
      </c>
      <c r="P251" s="48">
        <f>IF(P$8=1,IF(Reales!$C$66="PYG",IF(P$10&gt;0,N(Reales!P66)/P$10,0),N(Reales!P66)),P$234+P$236)</f>
        <v>53054.720696136981</v>
      </c>
      <c r="Q251" s="48">
        <f>IF(Q$8=1,IF(Reales!$C$66="PYG",IF(Q$10&gt;0,N(Reales!Q66)/Q$10,0),N(Reales!Q66)),Q$234+Q$236)</f>
        <v>53054.720696136981</v>
      </c>
      <c r="R251" s="48">
        <f>IF(R$8=1,IF(Reales!$C$66="PYG",IF(R$10&gt;0,N(Reales!R66)/R$10,0),N(Reales!R66)),R$234+R$236)</f>
        <v>53054.720696136981</v>
      </c>
      <c r="S251" s="48">
        <f>IF(S$8=1,IF(Reales!$C$66="PYG",IF(S$10&gt;0,N(Reales!S66)/S$10,0),N(Reales!S66)),S$234+S$236)</f>
        <v>53054.720696136981</v>
      </c>
      <c r="T251" s="48">
        <f>IF(T$8=1,IF(Reales!$C$66="PYG",IF(T$10&gt;0,N(Reales!T66)/T$10,0),N(Reales!T66)),T$234+T$236)</f>
        <v>53054.720696136981</v>
      </c>
      <c r="U251" s="48">
        <f>IF(U$8=1,IF(Reales!$C$66="PYG",IF(U$10&gt;0,N(Reales!U66)/U$10,0),N(Reales!U66)),U$234+U$236)</f>
        <v>53054.720696136981</v>
      </c>
      <c r="V251" s="48">
        <f>IF(V$8=1,IF(Reales!$C$66="PYG",IF(V$10&gt;0,N(Reales!V66)/V$10,0),N(Reales!V66)),V$234+V$236)</f>
        <v>53054.720696136981</v>
      </c>
      <c r="W251" s="48">
        <f>IF(W$8=1,IF(Reales!$C$66="PYG",IF(W$10&gt;0,N(Reales!W66)/W$10,0),N(Reales!W66)),W$234+W$236)</f>
        <v>53054.720696136981</v>
      </c>
      <c r="X251" s="48">
        <f>IF(X$8=1,IF(Reales!$C$66="PYG",IF(X$10&gt;0,N(Reales!X66)/X$10,0),N(Reales!X66)),X$234+X$236)</f>
        <v>53054.720696136981</v>
      </c>
      <c r="Y251" s="48">
        <f>IF(Y$8=1,IF(Reales!$C$66="PYG",IF(Y$10&gt;0,N(Reales!Y66)/Y$10,0),N(Reales!Y66)),Y$234+Y$236)</f>
        <v>53054.720696136981</v>
      </c>
      <c r="Z251" s="48">
        <f>IF(Z$8=1,IF(Reales!$C$66="PYG",IF(Z$10&gt;0,N(Reales!Z66)/Z$10,0),N(Reales!Z66)),Z$234+Z$236)</f>
        <v>53054.720696136981</v>
      </c>
      <c r="AA251" s="48">
        <f>IF(AA$8=1,IF(Reales!$C$66="PYG",IF(AA$10&gt;0,N(Reales!AA66)/AA$10,0),N(Reales!AA66)),AA$234+AA$236)</f>
        <v>53054.720696136981</v>
      </c>
      <c r="AB251" s="48">
        <f>IF(AB$8=1,IF(Reales!$C$66="PYG",IF(AB$10&gt;0,N(Reales!AB66)/AB$10,0),N(Reales!AB66)),AB$234+AB$236)</f>
        <v>53054.720696136981</v>
      </c>
      <c r="AC251" s="48">
        <f>IF(AC$8=1,IF(Reales!$C$66="PYG",IF(AC$10&gt;0,N(Reales!AC66)/AC$10,0),N(Reales!AC66)),AC$234+AC$236)</f>
        <v>53054.720696136981</v>
      </c>
      <c r="AD251" s="48">
        <f>IF(AD$8=1,IF(Reales!$C$66="PYG",IF(AD$10&gt;0,N(Reales!AD66)/AD$10,0),N(Reales!AD66)),AD$234+AD$236)</f>
        <v>55700.13853990411</v>
      </c>
      <c r="AE251" s="48">
        <f>IF(AE$8=1,IF(Reales!$C$66="PYG",IF(AE$10&gt;0,N(Reales!AE66)/AE$10,0),N(Reales!AE66)),AE$234+AE$236)</f>
        <v>55700.13853990411</v>
      </c>
      <c r="AF251" s="48">
        <f>IF(AF$8=1,IF(Reales!$C$66="PYG",IF(AF$10&gt;0,N(Reales!AF66)/AF$10,0),N(Reales!AF66)),AF$234+AF$236)</f>
        <v>55700.13853990411</v>
      </c>
      <c r="AG251" s="48">
        <f>IF(AG$8=1,IF(Reales!$C$66="PYG",IF(AG$10&gt;0,N(Reales!AG66)/AG$10,0),N(Reales!AG66)),AG$234+AG$236)</f>
        <v>55700.13853990411</v>
      </c>
      <c r="AH251" s="48">
        <f>IF(AH$8=1,IF(Reales!$C$66="PYG",IF(AH$10&gt;0,N(Reales!AH66)/AH$10,0),N(Reales!AH66)),AH$234+AH$236)</f>
        <v>55700.13853990411</v>
      </c>
      <c r="AI251" s="48">
        <f>IF(AI$8=1,IF(Reales!$C$66="PYG",IF(AI$10&gt;0,N(Reales!AI66)/AI$10,0),N(Reales!AI66)),AI$234+AI$236)</f>
        <v>55700.13853990411</v>
      </c>
      <c r="AJ251" s="48">
        <f>IF(AJ$8=1,IF(Reales!$C$66="PYG",IF(AJ$10&gt;0,N(Reales!AJ66)/AJ$10,0),N(Reales!AJ66)),AJ$234+AJ$236)</f>
        <v>55700.13853990411</v>
      </c>
      <c r="AK251" s="48">
        <f>IF(AK$8=1,IF(Reales!$C$66="PYG",IF(AK$10&gt;0,N(Reales!AK66)/AK$10,0),N(Reales!AK66)),AK$234+AK$236)</f>
        <v>55700.13853990411</v>
      </c>
      <c r="AL251" s="48">
        <f>IF(AL$8=1,IF(Reales!$C$66="PYG",IF(AL$10&gt;0,N(Reales!AL66)/AL$10,0),N(Reales!AL66)),AL$234+AL$236)</f>
        <v>55700.13853990411</v>
      </c>
      <c r="AM251" s="48">
        <f>IF(AM$8=1,IF(Reales!$C$66="PYG",IF(AM$10&gt;0,N(Reales!AM66)/AM$10,0),N(Reales!AM66)),AM$234+AM$236)</f>
        <v>55700.13853990411</v>
      </c>
      <c r="AN251" s="48">
        <f>IF(AN$8=1,IF(Reales!$C$66="PYG",IF(AN$10&gt;0,N(Reales!AN66)/AN$10,0),N(Reales!AN66)),AN$234+AN$236)</f>
        <v>55700.13853990411</v>
      </c>
      <c r="AO251" s="48">
        <f>IF(AO$8=1,IF(Reales!$C$66="PYG",IF(AO$10&gt;0,N(Reales!AO66)/AO$10,0),N(Reales!AO66)),AO$234+AO$236)</f>
        <v>55700.13853990411</v>
      </c>
      <c r="AP251" s="48">
        <f>IF(AP$8=1,IF(Reales!$C$66="PYG",IF(AP$10&gt;0,N(Reales!AP66)/AP$10,0),N(Reales!AP66)),AP$234+AP$236)</f>
        <v>57818.50769430137</v>
      </c>
      <c r="AQ251" s="48">
        <f>IF(AQ$8=1,IF(Reales!$C$66="PYG",IF(AQ$10&gt;0,N(Reales!AQ66)/AQ$10,0),N(Reales!AQ66)),AQ$234+AQ$236)</f>
        <v>57818.50769430137</v>
      </c>
      <c r="AR251" s="48">
        <f>IF(AR$8=1,IF(Reales!$C$66="PYG",IF(AR$10&gt;0,N(Reales!AR66)/AR$10,0),N(Reales!AR66)),AR$234+AR$236)</f>
        <v>57818.50769430137</v>
      </c>
      <c r="AS251" s="48">
        <f>IF(AS$8=1,IF(Reales!$C$66="PYG",IF(AS$10&gt;0,N(Reales!AS66)/AS$10,0),N(Reales!AS66)),AS$234+AS$236)</f>
        <v>57818.50769430137</v>
      </c>
      <c r="AT251" s="48">
        <f>IF(AT$8=1,IF(Reales!$C$66="PYG",IF(AT$10&gt;0,N(Reales!AT66)/AT$10,0),N(Reales!AT66)),AT$234+AT$236)</f>
        <v>57818.50769430137</v>
      </c>
      <c r="AU251" s="48">
        <f>IF(AU$8=1,IF(Reales!$C$66="PYG",IF(AU$10&gt;0,N(Reales!AU66)/AU$10,0),N(Reales!AU66)),AU$234+AU$236)</f>
        <v>57818.50769430137</v>
      </c>
      <c r="AV251" s="48">
        <f>IF(AV$8=1,IF(Reales!$C$66="PYG",IF(AV$10&gt;0,N(Reales!AV66)/AV$10,0),N(Reales!AV66)),AV$234+AV$236)</f>
        <v>57818.50769430137</v>
      </c>
      <c r="AW251" s="48">
        <f>IF(AW$8=1,IF(Reales!$C$66="PYG",IF(AW$10&gt;0,N(Reales!AW66)/AW$10,0),N(Reales!AW66)),AW$234+AW$236)</f>
        <v>57818.50769430137</v>
      </c>
      <c r="AX251" s="48">
        <f>IF(AX$8=1,IF(Reales!$C$66="PYG",IF(AX$10&gt;0,N(Reales!AX66)/AX$10,0),N(Reales!AX66)),AX$234+AX$236)</f>
        <v>57818.50769430137</v>
      </c>
      <c r="AY251" s="48">
        <f>IF(AY$8=1,IF(Reales!$C$66="PYG",IF(AY$10&gt;0,N(Reales!AY66)/AY$10,0),N(Reales!AY66)),AY$234+AY$236)</f>
        <v>57818.50769430137</v>
      </c>
      <c r="AZ251" s="48">
        <f>IF(AZ$8=1,IF(Reales!$C$66="PYG",IF(AZ$10&gt;0,N(Reales!AZ66)/AZ$10,0),N(Reales!AZ66)),AZ$234+AZ$236)</f>
        <v>57818.50769430137</v>
      </c>
      <c r="BA251" s="48">
        <f>IF(BA$8=1,IF(Reales!$C$66="PYG",IF(BA$10&gt;0,N(Reales!BA66)/BA$10,0),N(Reales!BA66)),BA$234+BA$236)</f>
        <v>57818.50769430137</v>
      </c>
      <c r="BB251" s="48">
        <f>IF(BB$8=1,IF(Reales!$C$66="PYG",IF(BB$10&gt;0,N(Reales!BB66)/BB$10,0),N(Reales!BB66)),BB$234+BB$236)</f>
        <v>60401.545158547946</v>
      </c>
      <c r="BC251" s="48">
        <f>IF(BC$8=1,IF(Reales!$C$66="PYG",IF(BC$10&gt;0,N(Reales!BC66)/BC$10,0),N(Reales!BC66)),BC$234+BC$236)</f>
        <v>60401.545158547946</v>
      </c>
      <c r="BD251" s="48">
        <f>IF(BD$8=1,IF(Reales!$C$66="PYG",IF(BD$10&gt;0,N(Reales!BD66)/BD$10,0),N(Reales!BD66)),BD$234+BD$236)</f>
        <v>60401.545158547946</v>
      </c>
      <c r="BE251" s="48">
        <f>IF(BE$8=1,IF(Reales!$C$66="PYG",IF(BE$10&gt;0,N(Reales!BE66)/BE$10,0),N(Reales!BE66)),BE$234+BE$236)</f>
        <v>60401.545158547946</v>
      </c>
      <c r="BF251" s="48">
        <f>IF(BF$8=1,IF(Reales!$C$66="PYG",IF(BF$10&gt;0,N(Reales!BF66)/BF$10,0),N(Reales!BF66)),BF$234+BF$236)</f>
        <v>60401.545158547946</v>
      </c>
      <c r="BG251" s="48">
        <f>IF(BG$8=1,IF(Reales!$C$66="PYG",IF(BG$10&gt;0,N(Reales!BG66)/BG$10,0),N(Reales!BG66)),BG$234+BG$236)</f>
        <v>60401.545158547946</v>
      </c>
      <c r="BH251" s="48">
        <f>IF(BH$8=1,IF(Reales!$C$66="PYG",IF(BH$10&gt;0,N(Reales!BH66)/BH$10,0),N(Reales!BH66)),BH$234+BH$236)</f>
        <v>60401.545158547946</v>
      </c>
      <c r="BI251" s="48">
        <f>IF(BI$8=1,IF(Reales!$C$66="PYG",IF(BI$10&gt;0,N(Reales!BI66)/BI$10,0),N(Reales!BI66)),BI$234+BI$236)</f>
        <v>60401.545158547946</v>
      </c>
      <c r="BJ251" s="48">
        <f>IF(BJ$8=1,IF(Reales!$C$66="PYG",IF(BJ$10&gt;0,N(Reales!BJ66)/BJ$10,0),N(Reales!BJ66)),BJ$234+BJ$236)</f>
        <v>60401.545158547946</v>
      </c>
      <c r="BK251" s="48">
        <f>IF(BK$8=1,IF(Reales!$C$66="PYG",IF(BK$10&gt;0,N(Reales!BK66)/BK$10,0),N(Reales!BK66)),BK$234+BK$236)</f>
        <v>60401.545158547946</v>
      </c>
      <c r="BL251" s="48">
        <f>IF(BL$8=1,IF(Reales!$C$66="PYG",IF(BL$10&gt;0,N(Reales!BL66)/BL$10,0),N(Reales!BL66)),BL$234+BL$236)</f>
        <v>60401.545158547946</v>
      </c>
      <c r="BM251" s="48">
        <f>IF(BM$8=1,IF(Reales!$C$66="PYG",IF(BM$10&gt;0,N(Reales!BM66)/BM$10,0),N(Reales!BM66)),BM$234+BM$236)</f>
        <v>60401.545158547946</v>
      </c>
      <c r="BN251" s="48">
        <f>IF(BN$8=1,IF(Reales!$C$66="PYG",IF(BN$10&gt;0,N(Reales!BN66)/BN$10,0),N(Reales!BN66)),BN$234+BN$236)</f>
        <v>60401.545158547946</v>
      </c>
      <c r="BO251" s="48">
        <f>IF(BO$8=1,IF(Reales!$C$66="PYG",IF(BO$10&gt;0,N(Reales!BO66)/BO$10,0),N(Reales!BO66)),BO$234+BO$236)</f>
        <v>60401.545158547946</v>
      </c>
      <c r="BP251" s="48">
        <f>IF(BP$8=1,IF(Reales!$C$66="PYG",IF(BP$10&gt;0,N(Reales!BP66)/BP$10,0),N(Reales!BP66)),BP$234+BP$236)</f>
        <v>60401.545158547946</v>
      </c>
      <c r="BQ251" s="48">
        <f>IF(BQ$8=1,IF(Reales!$C$66="PYG",IF(BQ$10&gt;0,N(Reales!BQ66)/BQ$10,0),N(Reales!BQ66)),BQ$234+BQ$236)</f>
        <v>60401.545158547946</v>
      </c>
      <c r="BR251" s="48">
        <f>IF(BR$8=1,IF(Reales!$C$66="PYG",IF(BR$10&gt;0,N(Reales!BR66)/BR$10,0),N(Reales!BR66)),BR$234+BR$236)</f>
        <v>60401.545158547946</v>
      </c>
      <c r="BS251" s="48">
        <f>IF(BS$8=1,IF(Reales!$C$66="PYG",IF(BS$10&gt;0,N(Reales!BS66)/BS$10,0),N(Reales!BS66)),BS$234+BS$236)</f>
        <v>60401.545158547946</v>
      </c>
      <c r="BT251" s="48">
        <f>IF(BT$8=1,IF(Reales!$C$66="PYG",IF(BT$10&gt;0,N(Reales!BT66)/BT$10,0),N(Reales!BT66)),BT$234+BT$236)</f>
        <v>60401.545158547946</v>
      </c>
      <c r="BU251" s="48">
        <f>IF(BU$8=1,IF(Reales!$C$66="PYG",IF(BU$10&gt;0,N(Reales!BU66)/BU$10,0),N(Reales!BU66)),BU$234+BU$236)</f>
        <v>60401.545158547946</v>
      </c>
      <c r="BV251" s="48">
        <f>IF(BV$8=1,IF(Reales!$C$66="PYG",IF(BV$10&gt;0,N(Reales!BV66)/BV$10,0),N(Reales!BV66)),BV$234+BV$236)</f>
        <v>60401.545158547946</v>
      </c>
      <c r="BW251" s="48">
        <f>IF(BW$8=1,IF(Reales!$C$66="PYG",IF(BW$10&gt;0,N(Reales!BW66)/BW$10,0),N(Reales!BW66)),BW$234+BW$236)</f>
        <v>60401.545158547946</v>
      </c>
      <c r="BX251" s="48">
        <f>IF(BX$8=1,IF(Reales!$C$66="PYG",IF(BX$10&gt;0,N(Reales!BX66)/BX$10,0),N(Reales!BX66)),BX$234+BX$236)</f>
        <v>60401.545158547946</v>
      </c>
      <c r="BY251" s="48">
        <f>IF(BY$8=1,IF(Reales!$C$66="PYG",IF(BY$10&gt;0,N(Reales!BY66)/BY$10,0),N(Reales!BY66)),BY$234+BY$236)</f>
        <v>60401.545158547946</v>
      </c>
      <c r="BZ251" s="48">
        <f>IF(BZ$8=1,IF(Reales!$C$66="PYG",IF(BZ$10&gt;0,N(Reales!BZ66)/BZ$10,0),N(Reales!BZ66)),BZ$234+BZ$236)</f>
        <v>60401.545158547946</v>
      </c>
      <c r="CA251" s="48">
        <f>IF(CA$8=1,IF(Reales!$C$66="PYG",IF(CA$10&gt;0,N(Reales!CA66)/CA$10,0),N(Reales!CA66)),CA$234+CA$236)</f>
        <v>60401.545158547946</v>
      </c>
      <c r="CB251" s="48">
        <f>IF(CB$8=1,IF(Reales!$C$66="PYG",IF(CB$10&gt;0,N(Reales!CB66)/CB$10,0),N(Reales!CB66)),CB$234+CB$236)</f>
        <v>60401.545158547946</v>
      </c>
      <c r="CC251" s="48">
        <f>IF(CC$8=1,IF(Reales!$C$66="PYG",IF(CC$10&gt;0,N(Reales!CC66)/CC$10,0),N(Reales!CC66)),CC$234+CC$236)</f>
        <v>60401.545158547946</v>
      </c>
      <c r="CD251" s="48">
        <f>IF(CD$8=1,IF(Reales!$C$66="PYG",IF(CD$10&gt;0,N(Reales!CD66)/CD$10,0),N(Reales!CD66)),CD$234+CD$236)</f>
        <v>60401.545158547946</v>
      </c>
      <c r="CE251" s="48">
        <f>IF(CE$8=1,IF(Reales!$C$66="PYG",IF(CE$10&gt;0,N(Reales!CE66)/CE$10,0),N(Reales!CE66)),CE$234+CE$236)</f>
        <v>60401.545158547946</v>
      </c>
      <c r="CF251" s="48">
        <f>IF(CF$8=1,IF(Reales!$C$66="PYG",IF(CF$10&gt;0,N(Reales!CF66)/CF$10,0),N(Reales!CF66)),CF$234+CF$236)</f>
        <v>60401.545158547946</v>
      </c>
      <c r="CG251" s="48">
        <f>IF(CG$8=1,IF(Reales!$C$66="PYG",IF(CG$10&gt;0,N(Reales!CG66)/CG$10,0),N(Reales!CG66)),CG$234+CG$236)</f>
        <v>60401.545158547946</v>
      </c>
      <c r="CH251" s="48">
        <f>IF(CH$8=1,IF(Reales!$C$66="PYG",IF(CH$10&gt;0,N(Reales!CH66)/CH$10,0),N(Reales!CH66)),CH$234+CH$236)</f>
        <v>60401.545158547946</v>
      </c>
      <c r="CI251" s="48">
        <f>IF(CI$8=1,IF(Reales!$C$66="PYG",IF(CI$10&gt;0,N(Reales!CI66)/CI$10,0),N(Reales!CI66)),CI$234+CI$236)</f>
        <v>60401.545158547946</v>
      </c>
      <c r="CJ251" s="48">
        <f>IF(CJ$8=1,IF(Reales!$C$66="PYG",IF(CJ$10&gt;0,N(Reales!CJ66)/CJ$10,0),N(Reales!CJ66)),CJ$234+CJ$236)</f>
        <v>60401.545158547946</v>
      </c>
      <c r="CK251" s="48">
        <f>IF(CK$8=1,IF(Reales!$C$66="PYG",IF(CK$10&gt;0,N(Reales!CK66)/CK$10,0),N(Reales!CK66)),CK$234+CK$236)</f>
        <v>60401.545158547946</v>
      </c>
      <c r="CL251" s="48">
        <f>IF(CL$8=1,IF(Reales!$C$66="PYG",IF(CL$10&gt;0,N(Reales!CL66)/CL$10,0),N(Reales!CL66)),CL$234+CL$236)</f>
        <v>60401.545158547946</v>
      </c>
      <c r="CM251" s="48">
        <f>IF(CM$8=1,IF(Reales!$C$66="PYG",IF(CM$10&gt;0,N(Reales!CM66)/CM$10,0),N(Reales!CM66)),CM$234+CM$236)</f>
        <v>60401.545158547946</v>
      </c>
      <c r="CN251" s="48">
        <f>IF(CN$8=1,IF(Reales!$C$66="PYG",IF(CN$10&gt;0,N(Reales!CN66)/CN$10,0),N(Reales!CN66)),CN$234+CN$236)</f>
        <v>60401.545158547946</v>
      </c>
      <c r="CO251" s="48">
        <f>IF(CO$8=1,IF(Reales!$C$66="PYG",IF(CO$10&gt;0,N(Reales!CO66)/CO$10,0),N(Reales!CO66)),CO$234+CO$236)</f>
        <v>60401.545158547946</v>
      </c>
      <c r="CP251" s="48">
        <f>IF(CP$8=1,IF(Reales!$C$66="PYG",IF(CP$10&gt;0,N(Reales!CP66)/CP$10,0),N(Reales!CP66)),CP$234+CP$236)</f>
        <v>60401.545158547946</v>
      </c>
      <c r="CQ251" s="48">
        <f>IF(CQ$8=1,IF(Reales!$C$66="PYG",IF(CQ$10&gt;0,N(Reales!CQ66)/CQ$10,0),N(Reales!CQ66)),CQ$234+CQ$236)</f>
        <v>60401.545158547946</v>
      </c>
      <c r="CR251" s="48">
        <f>IF(CR$8=1,IF(Reales!$C$66="PYG",IF(CR$10&gt;0,N(Reales!CR66)/CR$10,0),N(Reales!CR66)),CR$234+CR$236)</f>
        <v>60401.545158547946</v>
      </c>
      <c r="CS251" s="48">
        <f>IF(CS$8=1,IF(Reales!$C$66="PYG",IF(CS$10&gt;0,N(Reales!CS66)/CS$10,0),N(Reales!CS66)),CS$234+CS$236)</f>
        <v>60401.545158547946</v>
      </c>
      <c r="CT251" s="48">
        <f>IF(CT$8=1,IF(Reales!$C$66="PYG",IF(CT$10&gt;0,N(Reales!CT66)/CT$10,0),N(Reales!CT66)),CT$234+CT$236)</f>
        <v>60401.545158547946</v>
      </c>
      <c r="CU251" s="48">
        <f>IF(CU$8=1,IF(Reales!$C$66="PYG",IF(CU$10&gt;0,N(Reales!CU66)/CU$10,0),N(Reales!CU66)),CU$234+CU$236)</f>
        <v>60401.545158547946</v>
      </c>
      <c r="CV251" s="48">
        <f>IF(CV$8=1,IF(Reales!$C$66="PYG",IF(CV$10&gt;0,N(Reales!CV66)/CV$10,0),N(Reales!CV66)),CV$234+CV$236)</f>
        <v>60401.545158547946</v>
      </c>
      <c r="CW251" s="48">
        <f>IF(CW$8=1,IF(Reales!$C$66="PYG",IF(CW$10&gt;0,N(Reales!CW66)/CW$10,0),N(Reales!CW66)),CW$234+CW$236)</f>
        <v>60401.545158547946</v>
      </c>
      <c r="CX251" s="48">
        <f>IF(CX$8=1,IF(Reales!$C$66="PYG",IF(CX$10&gt;0,N(Reales!CX66)/CX$10,0),N(Reales!CX66)),CX$234+CX$236)</f>
        <v>60401.545158547946</v>
      </c>
      <c r="CY251" s="48">
        <f>IF(CY$8=1,IF(Reales!$C$66="PYG",IF(CY$10&gt;0,N(Reales!CY66)/CY$10,0),N(Reales!CY66)),CY$234+CY$236)</f>
        <v>60401.545158547946</v>
      </c>
      <c r="CZ251" s="48">
        <f>IF(CZ$8=1,IF(Reales!$C$66="PYG",IF(CZ$10&gt;0,N(Reales!CZ66)/CZ$10,0),N(Reales!CZ66)),CZ$234+CZ$236)</f>
        <v>60401.545158547946</v>
      </c>
      <c r="DA251" s="48">
        <f>IF(DA$8=1,IF(Reales!$C$66="PYG",IF(DA$10&gt;0,N(Reales!DA66)/DA$10,0),N(Reales!DA66)),DA$234+DA$236)</f>
        <v>60401.545158547946</v>
      </c>
      <c r="DB251" s="48">
        <f>IF(DB$8=1,IF(Reales!$C$66="PYG",IF(DB$10&gt;0,N(Reales!DB66)/DB$10,0),N(Reales!DB66)),DB$234+DB$236)</f>
        <v>60401.545158547946</v>
      </c>
      <c r="DC251" s="48">
        <f>IF(DC$8=1,IF(Reales!$C$66="PYG",IF(DC$10&gt;0,N(Reales!DC66)/DC$10,0),N(Reales!DC66)),DC$234+DC$236)</f>
        <v>60401.545158547946</v>
      </c>
      <c r="DD251" s="48">
        <f>IF(DD$8=1,IF(Reales!$C$66="PYG",IF(DD$10&gt;0,N(Reales!DD66)/DD$10,0),N(Reales!DD66)),DD$234+DD$236)</f>
        <v>60401.545158547946</v>
      </c>
      <c r="DE251" s="48">
        <f>IF(DE$8=1,IF(Reales!$C$66="PYG",IF(DE$10&gt;0,N(Reales!DE66)/DE$10,0),N(Reales!DE66)),DE$234+DE$236)</f>
        <v>60401.545158547946</v>
      </c>
      <c r="DF251" s="48">
        <f>IF(DF$8=1,IF(Reales!$C$66="PYG",IF(DF$10&gt;0,N(Reales!DF66)/DF$10,0),N(Reales!DF66)),DF$234+DF$236)</f>
        <v>60401.545158547946</v>
      </c>
      <c r="DG251" s="48">
        <f>IF(DG$8=1,IF(Reales!$C$66="PYG",IF(DG$10&gt;0,N(Reales!DG66)/DG$10,0),N(Reales!DG66)),DG$234+DG$236)</f>
        <v>60401.545158547946</v>
      </c>
      <c r="DH251" s="48">
        <f>IF(DH$8=1,IF(Reales!$C$66="PYG",IF(DH$10&gt;0,N(Reales!DH66)/DH$10,0),N(Reales!DH66)),DH$234+DH$236)</f>
        <v>60401.545158547946</v>
      </c>
      <c r="DI251" s="48">
        <f>IF(DI$8=1,IF(Reales!$C$66="PYG",IF(DI$10&gt;0,N(Reales!DI66)/DI$10,0),N(Reales!DI66)),DI$234+DI$236)</f>
        <v>60401.545158547946</v>
      </c>
      <c r="DJ251" s="48">
        <f>IF(DJ$8=1,IF(Reales!$C$66="PYG",IF(DJ$10&gt;0,N(Reales!DJ66)/DJ$10,0),N(Reales!DJ66)),DJ$234+DJ$236)</f>
        <v>60401.545158547946</v>
      </c>
      <c r="DK251" s="48">
        <f>IF(DK$8=1,IF(Reales!$C$66="PYG",IF(DK$10&gt;0,N(Reales!DK66)/DK$10,0),N(Reales!DK66)),DK$234+DK$236)</f>
        <v>60401.545158547946</v>
      </c>
      <c r="DL251" s="48">
        <f>IF(DL$8=1,IF(Reales!$C$66="PYG",IF(DL$10&gt;0,N(Reales!DL66)/DL$10,0),N(Reales!DL66)),DL$234+DL$236)</f>
        <v>60401.545158547946</v>
      </c>
      <c r="DM251" s="48">
        <f>IF(DM$8=1,IF(Reales!$C$66="PYG",IF(DM$10&gt;0,N(Reales!DM66)/DM$10,0),N(Reales!DM66)),DM$234+DM$236)</f>
        <v>60401.545158547946</v>
      </c>
      <c r="DN251" s="48">
        <f>IF(DN$8=1,IF(Reales!$C$66="PYG",IF(DN$10&gt;0,N(Reales!DN66)/DN$10,0),N(Reales!DN66)),DN$234+DN$236)</f>
        <v>60401.545158547946</v>
      </c>
      <c r="DO251" s="48">
        <f>IF(DO$8=1,IF(Reales!$C$66="PYG",IF(DO$10&gt;0,N(Reales!DO66)/DO$10,0),N(Reales!DO66)),DO$234+DO$236)</f>
        <v>60401.545158547946</v>
      </c>
      <c r="DP251" s="48">
        <f>IF(DP$8=1,IF(Reales!$C$66="PYG",IF(DP$10&gt;0,N(Reales!DP66)/DP$10,0),N(Reales!DP66)),DP$234+DP$236)</f>
        <v>60401.545158547946</v>
      </c>
      <c r="DQ251" s="48">
        <f>IF(DQ$8=1,IF(Reales!$C$66="PYG",IF(DQ$10&gt;0,N(Reales!DQ66)/DQ$10,0),N(Reales!DQ66)),DQ$234+DQ$236)</f>
        <v>60401.545158547946</v>
      </c>
      <c r="DR251" s="48">
        <f>IF(DR$8=1,IF(Reales!$C$66="PYG",IF(DR$10&gt;0,N(Reales!DR66)/DR$10,0),N(Reales!DR66)),DR$234+DR$236)</f>
        <v>60401.545158547946</v>
      </c>
      <c r="DS251" s="48">
        <f>IF(DS$8=1,IF(Reales!$C$66="PYG",IF(DS$10&gt;0,N(Reales!DS66)/DS$10,0),N(Reales!DS66)),DS$234+DS$236)</f>
        <v>60401.545158547946</v>
      </c>
      <c r="DT251" s="48">
        <f>IF(DT$8=1,IF(Reales!$C$66="PYG",IF(DT$10&gt;0,N(Reales!DT66)/DT$10,0),N(Reales!DT66)),DT$234+DT$236)</f>
        <v>60401.545158547946</v>
      </c>
      <c r="DU251" s="48">
        <f>IF(DU$8=1,IF(Reales!$C$66="PYG",IF(DU$10&gt;0,N(Reales!DU66)/DU$10,0),N(Reales!DU66)),DU$234+DU$236)</f>
        <v>60401.545158547946</v>
      </c>
      <c r="DV251" s="48">
        <f>IF(DV$8=1,IF(Reales!$C$66="PYG",IF(DV$10&gt;0,N(Reales!DV66)/DV$10,0),N(Reales!DV66)),DV$234+DV$236)</f>
        <v>0</v>
      </c>
      <c r="DW251" s="48">
        <f>IF(DW$8=1,IF(Reales!$C$66="PYG",IF(DW$10&gt;0,N(Reales!DW66)/DW$10,0),N(Reales!DW66)),DW$234+DW$236)</f>
        <v>0</v>
      </c>
      <c r="DX251" s="48">
        <f>IF(DX$8=1,IF(Reales!$C$66="PYG",IF(DX$10&gt;0,N(Reales!DX66)/DX$10,0),N(Reales!DX66)),DX$234+DX$236)</f>
        <v>0</v>
      </c>
      <c r="DY251" s="48">
        <f>IF(DY$8=1,IF(Reales!$C$66="PYG",IF(DY$10&gt;0,N(Reales!DY66)/DY$10,0),N(Reales!DY66)),DY$234+DY$236)</f>
        <v>0</v>
      </c>
      <c r="DZ251" s="48">
        <f>IF(DZ$8=1,IF(Reales!$C$66="PYG",IF(DZ$10&gt;0,N(Reales!DZ66)/DZ$10,0),N(Reales!DZ66)),DZ$234+DZ$236)</f>
        <v>0</v>
      </c>
      <c r="EA251" s="48">
        <f>IF(EA$8=1,IF(Reales!$C$66="PYG",IF(EA$10&gt;0,N(Reales!EA66)/EA$10,0),N(Reales!EA66)),EA$234+EA$236)</f>
        <v>0</v>
      </c>
      <c r="EB251" s="48">
        <f>IF(EB$8=1,IF(Reales!$C$66="PYG",IF(EB$10&gt;0,N(Reales!EB66)/EB$10,0),N(Reales!EB66)),EB$234+EB$236)</f>
        <v>0</v>
      </c>
      <c r="EC251" s="48">
        <f>IF(EC$8=1,IF(Reales!$C$66="PYG",IF(EC$10&gt;0,N(Reales!EC66)/EC$10,0),N(Reales!EC66)),EC$234+EC$236)</f>
        <v>0</v>
      </c>
      <c r="ED251" s="48">
        <f>IF(ED$8=1,IF(Reales!$C$66="PYG",IF(ED$10&gt;0,N(Reales!ED66)/ED$10,0),N(Reales!ED66)),ED$234+ED$236)</f>
        <v>0</v>
      </c>
      <c r="EE251" s="48">
        <f>IF(EE$8=1,IF(Reales!$C$66="PYG",IF(EE$10&gt;0,N(Reales!EE66)/EE$10,0),N(Reales!EE66)),EE$234+EE$236)</f>
        <v>0</v>
      </c>
      <c r="EF251" s="48">
        <f>IF(EF$8=1,IF(Reales!$C$66="PYG",IF(EF$10&gt;0,N(Reales!EF66)/EF$10,0),N(Reales!EF66)),EF$234+EF$236)</f>
        <v>0</v>
      </c>
      <c r="EG251" s="48">
        <f>IF(EG$8=1,IF(Reales!$C$66="PYG",IF(EG$10&gt;0,N(Reales!EG66)/EG$10,0),N(Reales!EG66)),EG$234+EG$236)</f>
        <v>0</v>
      </c>
      <c r="EH251" s="48">
        <f>IF(EH$8=1,IF(Reales!$C$66="PYG",IF(EH$10&gt;0,N(Reales!EH66)/EH$10,0),N(Reales!EH66)),EH$234+EH$236)</f>
        <v>0</v>
      </c>
      <c r="EI251" s="48">
        <f>IF(EI$8=1,IF(Reales!$C$66="PYG",IF(EI$10&gt;0,N(Reales!EI66)/EI$10,0),N(Reales!EI66)),EI$234+EI$236)</f>
        <v>0</v>
      </c>
      <c r="EJ251" s="48">
        <f>IF(EJ$8=1,IF(Reales!$C$66="PYG",IF(EJ$10&gt;0,N(Reales!EJ66)/EJ$10,0),N(Reales!EJ66)),EJ$234+EJ$236)</f>
        <v>0</v>
      </c>
      <c r="EK251" s="48">
        <f>IF(EK$8=1,IF(Reales!$C$66="PYG",IF(EK$10&gt;0,N(Reales!EK66)/EK$10,0),N(Reales!EK66)),EK$234+EK$236)</f>
        <v>0</v>
      </c>
      <c r="EL251" s="48">
        <f>IF(EL$8=1,IF(Reales!$C$66="PYG",IF(EL$10&gt;0,N(Reales!EL66)/EL$10,0),N(Reales!EL66)),EL$234+EL$236)</f>
        <v>0</v>
      </c>
      <c r="EM251" s="48">
        <f>IF(EM$8=1,IF(Reales!$C$66="PYG",IF(EM$10&gt;0,N(Reales!EM66)/EM$10,0),N(Reales!EM66)),EM$234+EM$236)</f>
        <v>0</v>
      </c>
      <c r="EN251" s="48">
        <f>IF(EN$8=1,IF(Reales!$C$66="PYG",IF(EN$10&gt;0,N(Reales!EN66)/EN$10,0),N(Reales!EN66)),EN$234+EN$236)</f>
        <v>0</v>
      </c>
      <c r="EO251" s="48">
        <f>IF(EO$8=1,IF(Reales!$C$66="PYG",IF(EO$10&gt;0,N(Reales!EO66)/EO$10,0),N(Reales!EO66)),EO$234+EO$236)</f>
        <v>0</v>
      </c>
      <c r="EP251" s="48">
        <f>IF(EP$8=1,IF(Reales!$C$66="PYG",IF(EP$10&gt;0,N(Reales!EP66)/EP$10,0),N(Reales!EP66)),EP$234+EP$236)</f>
        <v>0</v>
      </c>
      <c r="EQ251" s="48">
        <f>IF(EQ$8=1,IF(Reales!$C$66="PYG",IF(EQ$10&gt;0,N(Reales!EQ66)/EQ$10,0),N(Reales!EQ66)),EQ$234+EQ$236)</f>
        <v>0</v>
      </c>
      <c r="ER251" s="48">
        <f>IF(ER$8=1,IF(Reales!$C$66="PYG",IF(ER$10&gt;0,N(Reales!ER66)/ER$10,0),N(Reales!ER66)),ER$234+ER$236)</f>
        <v>0</v>
      </c>
      <c r="ES251" s="48">
        <f>IF(ES$8=1,IF(Reales!$C$66="PYG",IF(ES$10&gt;0,N(Reales!ES66)/ES$10,0),N(Reales!ES66)),ES$234+ES$236)</f>
        <v>0</v>
      </c>
    </row>
    <row r="252" spans="1:149" x14ac:dyDescent="0.3">
      <c r="A252" s="14" t="s">
        <v>1305</v>
      </c>
      <c r="B252" s="18" t="s">
        <v>1096</v>
      </c>
      <c r="C252" s="18" t="s">
        <v>439</v>
      </c>
      <c r="E252" s="54">
        <f t="shared" si="642"/>
        <v>3406933.033241339</v>
      </c>
      <c r="F252" s="48">
        <f>IF(F$8=1,IF(Reales!$C$68="PYG",IF(F$10&gt;0,N(Reales!F68)/F$10,0),N(Reales!F68)),F$242+F$245)</f>
        <v>19873.01142767573</v>
      </c>
      <c r="G252" s="48">
        <f>IF(G$8=1,IF(Reales!$C$68="PYG",IF(G$10&gt;0,N(Reales!G68)/G$10,0),N(Reales!G68)),G$242+G$245)</f>
        <v>19873.01142767573</v>
      </c>
      <c r="H252" s="48">
        <f>IF(H$8=1,IF(Reales!$C$68="PYG",IF(H$10&gt;0,N(Reales!H68)/H$10,0),N(Reales!H68)),H$242+H$245)</f>
        <v>19873.01142767573</v>
      </c>
      <c r="I252" s="48">
        <f>IF(I$8=1,IF(Reales!$C$68="PYG",IF(I$10&gt;0,N(Reales!I68)/I$10,0),N(Reales!I68)),I$242+I$245)</f>
        <v>19873.01142767573</v>
      </c>
      <c r="J252" s="48">
        <f>IF(J$8=1,IF(Reales!$C$68="PYG",IF(J$10&gt;0,N(Reales!J68)/J$10,0),N(Reales!J68)),J$242+J$245)</f>
        <v>19873.01142767573</v>
      </c>
      <c r="K252" s="48">
        <f>IF(K$8=1,IF(Reales!$C$68="PYG",IF(K$10&gt;0,N(Reales!K68)/K$10,0),N(Reales!K68)),K$242+K$245)</f>
        <v>19873.01142767573</v>
      </c>
      <c r="L252" s="48">
        <f>IF(L$8=1,IF(Reales!$C$68="PYG",IF(L$10&gt;0,N(Reales!L68)/L$10,0),N(Reales!L68)),L$242+L$245)</f>
        <v>19873.01142767573</v>
      </c>
      <c r="M252" s="48">
        <f>IF(M$8=1,IF(Reales!$C$68="PYG",IF(M$10&gt;0,N(Reales!M68)/M$10,0),N(Reales!M68)),M$242+M$245)</f>
        <v>19873.01142767573</v>
      </c>
      <c r="N252" s="48">
        <f>IF(N$8=1,IF(Reales!$C$68="PYG",IF(N$10&gt;0,N(Reales!N68)/N$10,0),N(Reales!N68)),N$242+N$245)</f>
        <v>19873.01142767573</v>
      </c>
      <c r="O252" s="48">
        <f>IF(O$8=1,IF(Reales!$C$68="PYG",IF(O$10&gt;0,N(Reales!O68)/O$10,0),N(Reales!O68)),O$242+O$245)</f>
        <v>19873.01142767573</v>
      </c>
      <c r="P252" s="48">
        <f>IF(P$8=1,IF(Reales!$C$68="PYG",IF(P$10&gt;0,N(Reales!P68)/P$10,0),N(Reales!P68)),P$242+P$245)</f>
        <v>19873.01142767573</v>
      </c>
      <c r="Q252" s="48">
        <f>IF(Q$8=1,IF(Reales!$C$68="PYG",IF(Q$10&gt;0,N(Reales!Q68)/Q$10,0),N(Reales!Q68)),Q$242+Q$245)</f>
        <v>19873.01142767573</v>
      </c>
      <c r="R252" s="48">
        <f>IF(R$8=1,IF(Reales!$C$68="PYG",IF(R$10&gt;0,N(Reales!R68)/R$10,0),N(Reales!R68)),R$242+R$245)</f>
        <v>23317.3689934674</v>
      </c>
      <c r="S252" s="48">
        <f>IF(S$8=1,IF(Reales!$C$68="PYG",IF(S$10&gt;0,N(Reales!S68)/S$10,0),N(Reales!S68)),S$242+S$245)</f>
        <v>23317.3689934674</v>
      </c>
      <c r="T252" s="48">
        <f>IF(T$8=1,IF(Reales!$C$68="PYG",IF(T$10&gt;0,N(Reales!T68)/T$10,0),N(Reales!T68)),T$242+T$245)</f>
        <v>23317.3689934674</v>
      </c>
      <c r="U252" s="48">
        <f>IF(U$8=1,IF(Reales!$C$68="PYG",IF(U$10&gt;0,N(Reales!U68)/U$10,0),N(Reales!U68)),U$242+U$245)</f>
        <v>23317.3689934674</v>
      </c>
      <c r="V252" s="48">
        <f>IF(V$8=1,IF(Reales!$C$68="PYG",IF(V$10&gt;0,N(Reales!V68)/V$10,0),N(Reales!V68)),V$242+V$245)</f>
        <v>23317.3689934674</v>
      </c>
      <c r="W252" s="48">
        <f>IF(W$8=1,IF(Reales!$C$68="PYG",IF(W$10&gt;0,N(Reales!W68)/W$10,0),N(Reales!W68)),W$242+W$245)</f>
        <v>23317.3689934674</v>
      </c>
      <c r="X252" s="48">
        <f>IF(X$8=1,IF(Reales!$C$68="PYG",IF(X$10&gt;0,N(Reales!X68)/X$10,0),N(Reales!X68)),X$242+X$245)</f>
        <v>23317.3689934674</v>
      </c>
      <c r="Y252" s="48">
        <f>IF(Y$8=1,IF(Reales!$C$68="PYG",IF(Y$10&gt;0,N(Reales!Y68)/Y$10,0),N(Reales!Y68)),Y$242+Y$245)</f>
        <v>23317.3689934674</v>
      </c>
      <c r="Z252" s="48">
        <f>IF(Z$8=1,IF(Reales!$C$68="PYG",IF(Z$10&gt;0,N(Reales!Z68)/Z$10,0),N(Reales!Z68)),Z$242+Z$245)</f>
        <v>23317.3689934674</v>
      </c>
      <c r="AA252" s="48">
        <f>IF(AA$8=1,IF(Reales!$C$68="PYG",IF(AA$10&gt;0,N(Reales!AA68)/AA$10,0),N(Reales!AA68)),AA$242+AA$245)</f>
        <v>23317.3689934674</v>
      </c>
      <c r="AB252" s="48">
        <f>IF(AB$8=1,IF(Reales!$C$68="PYG",IF(AB$10&gt;0,N(Reales!AB68)/AB$10,0),N(Reales!AB68)),AB$242+AB$245)</f>
        <v>23317.3689934674</v>
      </c>
      <c r="AC252" s="48">
        <f>IF(AC$8=1,IF(Reales!$C$68="PYG",IF(AC$10&gt;0,N(Reales!AC68)/AC$10,0),N(Reales!AC68)),AC$242+AC$245)</f>
        <v>23317.3689934674</v>
      </c>
      <c r="AD252" s="48">
        <f>IF(AD$8=1,IF(Reales!$C$68="PYG",IF(AD$10&gt;0,N(Reales!AD68)/AD$10,0),N(Reales!AD68)),AD$242+AD$245)</f>
        <v>26931.799734269305</v>
      </c>
      <c r="AE252" s="48">
        <f>IF(AE$8=1,IF(Reales!$C$68="PYG",IF(AE$10&gt;0,N(Reales!AE68)/AE$10,0),N(Reales!AE68)),AE$242+AE$245)</f>
        <v>26931.799734269305</v>
      </c>
      <c r="AF252" s="48">
        <f>IF(AF$8=1,IF(Reales!$C$68="PYG",IF(AF$10&gt;0,N(Reales!AF68)/AF$10,0),N(Reales!AF68)),AF$242+AF$245)</f>
        <v>26931.799734269305</v>
      </c>
      <c r="AG252" s="48">
        <f>IF(AG$8=1,IF(Reales!$C$68="PYG",IF(AG$10&gt;0,N(Reales!AG68)/AG$10,0),N(Reales!AG68)),AG$242+AG$245)</f>
        <v>26931.799734269305</v>
      </c>
      <c r="AH252" s="48">
        <f>IF(AH$8=1,IF(Reales!$C$68="PYG",IF(AH$10&gt;0,N(Reales!AH68)/AH$10,0),N(Reales!AH68)),AH$242+AH$245)</f>
        <v>26931.799734269305</v>
      </c>
      <c r="AI252" s="48">
        <f>IF(AI$8=1,IF(Reales!$C$68="PYG",IF(AI$10&gt;0,N(Reales!AI68)/AI$10,0),N(Reales!AI68)),AI$242+AI$245)</f>
        <v>26931.799734269305</v>
      </c>
      <c r="AJ252" s="48">
        <f>IF(AJ$8=1,IF(Reales!$C$68="PYG",IF(AJ$10&gt;0,N(Reales!AJ68)/AJ$10,0),N(Reales!AJ68)),AJ$242+AJ$245)</f>
        <v>26931.799734269305</v>
      </c>
      <c r="AK252" s="48">
        <f>IF(AK$8=1,IF(Reales!$C$68="PYG",IF(AK$10&gt;0,N(Reales!AK68)/AK$10,0),N(Reales!AK68)),AK$242+AK$245)</f>
        <v>26931.799734269305</v>
      </c>
      <c r="AL252" s="48">
        <f>IF(AL$8=1,IF(Reales!$C$68="PYG",IF(AL$10&gt;0,N(Reales!AL68)/AL$10,0),N(Reales!AL68)),AL$242+AL$245)</f>
        <v>26931.799734269305</v>
      </c>
      <c r="AM252" s="48">
        <f>IF(AM$8=1,IF(Reales!$C$68="PYG",IF(AM$10&gt;0,N(Reales!AM68)/AM$10,0),N(Reales!AM68)),AM$242+AM$245)</f>
        <v>26931.799734269305</v>
      </c>
      <c r="AN252" s="48">
        <f>IF(AN$8=1,IF(Reales!$C$68="PYG",IF(AN$10&gt;0,N(Reales!AN68)/AN$10,0),N(Reales!AN68)),AN$242+AN$245)</f>
        <v>26931.799734269305</v>
      </c>
      <c r="AO252" s="48">
        <f>IF(AO$8=1,IF(Reales!$C$68="PYG",IF(AO$10&gt;0,N(Reales!AO68)/AO$10,0),N(Reales!AO68)),AO$242+AO$245)</f>
        <v>26931.799734269305</v>
      </c>
      <c r="AP252" s="48">
        <f>IF(AP$8=1,IF(Reales!$C$68="PYG",IF(AP$10&gt;0,N(Reales!AP68)/AP$10,0),N(Reales!AP68)),AP$242+AP$245)</f>
        <v>29899.728676927698</v>
      </c>
      <c r="AQ252" s="48">
        <f>IF(AQ$8=1,IF(Reales!$C$68="PYG",IF(AQ$10&gt;0,N(Reales!AQ68)/AQ$10,0),N(Reales!AQ68)),AQ$242+AQ$245)</f>
        <v>29899.728676927698</v>
      </c>
      <c r="AR252" s="48">
        <f>IF(AR$8=1,IF(Reales!$C$68="PYG",IF(AR$10&gt;0,N(Reales!AR68)/AR$10,0),N(Reales!AR68)),AR$242+AR$245)</f>
        <v>29899.728676927698</v>
      </c>
      <c r="AS252" s="48">
        <f>IF(AS$8=1,IF(Reales!$C$68="PYG",IF(AS$10&gt;0,N(Reales!AS68)/AS$10,0),N(Reales!AS68)),AS$242+AS$245)</f>
        <v>29899.728676927698</v>
      </c>
      <c r="AT252" s="48">
        <f>IF(AT$8=1,IF(Reales!$C$68="PYG",IF(AT$10&gt;0,N(Reales!AT68)/AT$10,0),N(Reales!AT68)),AT$242+AT$245)</f>
        <v>29899.728676927698</v>
      </c>
      <c r="AU252" s="48">
        <f>IF(AU$8=1,IF(Reales!$C$68="PYG",IF(AU$10&gt;0,N(Reales!AU68)/AU$10,0),N(Reales!AU68)),AU$242+AU$245)</f>
        <v>29899.728676927698</v>
      </c>
      <c r="AV252" s="48">
        <f>IF(AV$8=1,IF(Reales!$C$68="PYG",IF(AV$10&gt;0,N(Reales!AV68)/AV$10,0),N(Reales!AV68)),AV$242+AV$245)</f>
        <v>29899.728676927698</v>
      </c>
      <c r="AW252" s="48">
        <f>IF(AW$8=1,IF(Reales!$C$68="PYG",IF(AW$10&gt;0,N(Reales!AW68)/AW$10,0),N(Reales!AW68)),AW$242+AW$245)</f>
        <v>29899.728676927698</v>
      </c>
      <c r="AX252" s="48">
        <f>IF(AX$8=1,IF(Reales!$C$68="PYG",IF(AX$10&gt;0,N(Reales!AX68)/AX$10,0),N(Reales!AX68)),AX$242+AX$245)</f>
        <v>29899.728676927698</v>
      </c>
      <c r="AY252" s="48">
        <f>IF(AY$8=1,IF(Reales!$C$68="PYG",IF(AY$10&gt;0,N(Reales!AY68)/AY$10,0),N(Reales!AY68)),AY$242+AY$245)</f>
        <v>29899.728676927698</v>
      </c>
      <c r="AZ252" s="48">
        <f>IF(AZ$8=1,IF(Reales!$C$68="PYG",IF(AZ$10&gt;0,N(Reales!AZ68)/AZ$10,0),N(Reales!AZ68)),AZ$242+AZ$245)</f>
        <v>29899.728676927698</v>
      </c>
      <c r="BA252" s="48">
        <f>IF(BA$8=1,IF(Reales!$C$68="PYG",IF(BA$10&gt;0,N(Reales!BA68)/BA$10,0),N(Reales!BA68)),BA$242+BA$245)</f>
        <v>29899.728676927698</v>
      </c>
      <c r="BB252" s="48">
        <f>IF(BB$8=1,IF(Reales!$C$68="PYG",IF(BB$10&gt;0,N(Reales!BB68)/BB$10,0),N(Reales!BB68)),BB$242+BB$245)</f>
        <v>30202.895220888462</v>
      </c>
      <c r="BC252" s="48">
        <f>IF(BC$8=1,IF(Reales!$C$68="PYG",IF(BC$10&gt;0,N(Reales!BC68)/BC$10,0),N(Reales!BC68)),BC$242+BC$245)</f>
        <v>30202.895220888462</v>
      </c>
      <c r="BD252" s="48">
        <f>IF(BD$8=1,IF(Reales!$C$68="PYG",IF(BD$10&gt;0,N(Reales!BD68)/BD$10,0),N(Reales!BD68)),BD$242+BD$245)</f>
        <v>30202.895220888462</v>
      </c>
      <c r="BE252" s="48">
        <f>IF(BE$8=1,IF(Reales!$C$68="PYG",IF(BE$10&gt;0,N(Reales!BE68)/BE$10,0),N(Reales!BE68)),BE$242+BE$245)</f>
        <v>30202.895220888462</v>
      </c>
      <c r="BF252" s="48">
        <f>IF(BF$8=1,IF(Reales!$C$68="PYG",IF(BF$10&gt;0,N(Reales!BF68)/BF$10,0),N(Reales!BF68)),BF$242+BF$245)</f>
        <v>30202.895220888462</v>
      </c>
      <c r="BG252" s="48">
        <f>IF(BG$8=1,IF(Reales!$C$68="PYG",IF(BG$10&gt;0,N(Reales!BG68)/BG$10,0),N(Reales!BG68)),BG$242+BG$245)</f>
        <v>30202.895220888462</v>
      </c>
      <c r="BH252" s="48">
        <f>IF(BH$8=1,IF(Reales!$C$68="PYG",IF(BH$10&gt;0,N(Reales!BH68)/BH$10,0),N(Reales!BH68)),BH$242+BH$245)</f>
        <v>30202.895220888462</v>
      </c>
      <c r="BI252" s="48">
        <f>IF(BI$8=1,IF(Reales!$C$68="PYG",IF(BI$10&gt;0,N(Reales!BI68)/BI$10,0),N(Reales!BI68)),BI$242+BI$245)</f>
        <v>30202.895220888462</v>
      </c>
      <c r="BJ252" s="48">
        <f>IF(BJ$8=1,IF(Reales!$C$68="PYG",IF(BJ$10&gt;0,N(Reales!BJ68)/BJ$10,0),N(Reales!BJ68)),BJ$242+BJ$245)</f>
        <v>30202.895220888462</v>
      </c>
      <c r="BK252" s="48">
        <f>IF(BK$8=1,IF(Reales!$C$68="PYG",IF(BK$10&gt;0,N(Reales!BK68)/BK$10,0),N(Reales!BK68)),BK$242+BK$245)</f>
        <v>30202.895220888462</v>
      </c>
      <c r="BL252" s="48">
        <f>IF(BL$8=1,IF(Reales!$C$68="PYG",IF(BL$10&gt;0,N(Reales!BL68)/BL$10,0),N(Reales!BL68)),BL$242+BL$245)</f>
        <v>30202.895220888462</v>
      </c>
      <c r="BM252" s="48">
        <f>IF(BM$8=1,IF(Reales!$C$68="PYG",IF(BM$10&gt;0,N(Reales!BM68)/BM$10,0),N(Reales!BM68)),BM$242+BM$245)</f>
        <v>30202.895220888462</v>
      </c>
      <c r="BN252" s="48">
        <f>IF(BN$8=1,IF(Reales!$C$68="PYG",IF(BN$10&gt;0,N(Reales!BN68)/BN$10,0),N(Reales!BN68)),BN$242+BN$245)</f>
        <v>30377.897316594899</v>
      </c>
      <c r="BO252" s="48">
        <f>IF(BO$8=1,IF(Reales!$C$68="PYG",IF(BO$10&gt;0,N(Reales!BO68)/BO$10,0),N(Reales!BO68)),BO$242+BO$245)</f>
        <v>30377.897316594899</v>
      </c>
      <c r="BP252" s="48">
        <f>IF(BP$8=1,IF(Reales!$C$68="PYG",IF(BP$10&gt;0,N(Reales!BP68)/BP$10,0),N(Reales!BP68)),BP$242+BP$245)</f>
        <v>30377.897316594899</v>
      </c>
      <c r="BQ252" s="48">
        <f>IF(BQ$8=1,IF(Reales!$C$68="PYG",IF(BQ$10&gt;0,N(Reales!BQ68)/BQ$10,0),N(Reales!BQ68)),BQ$242+BQ$245)</f>
        <v>30377.897316594899</v>
      </c>
      <c r="BR252" s="48">
        <f>IF(BR$8=1,IF(Reales!$C$68="PYG",IF(BR$10&gt;0,N(Reales!BR68)/BR$10,0),N(Reales!BR68)),BR$242+BR$245)</f>
        <v>30377.897316594899</v>
      </c>
      <c r="BS252" s="48">
        <f>IF(BS$8=1,IF(Reales!$C$68="PYG",IF(BS$10&gt;0,N(Reales!BS68)/BS$10,0),N(Reales!BS68)),BS$242+BS$245)</f>
        <v>30377.897316594899</v>
      </c>
      <c r="BT252" s="48">
        <f>IF(BT$8=1,IF(Reales!$C$68="PYG",IF(BT$10&gt;0,N(Reales!BT68)/BT$10,0),N(Reales!BT68)),BT$242+BT$245)</f>
        <v>30377.897316594899</v>
      </c>
      <c r="BU252" s="48">
        <f>IF(BU$8=1,IF(Reales!$C$68="PYG",IF(BU$10&gt;0,N(Reales!BU68)/BU$10,0),N(Reales!BU68)),BU$242+BU$245)</f>
        <v>30377.897316594899</v>
      </c>
      <c r="BV252" s="48">
        <f>IF(BV$8=1,IF(Reales!$C$68="PYG",IF(BV$10&gt;0,N(Reales!BV68)/BV$10,0),N(Reales!BV68)),BV$242+BV$245)</f>
        <v>30377.897316594899</v>
      </c>
      <c r="BW252" s="48">
        <f>IF(BW$8=1,IF(Reales!$C$68="PYG",IF(BW$10&gt;0,N(Reales!BW68)/BW$10,0),N(Reales!BW68)),BW$242+BW$245)</f>
        <v>30377.897316594899</v>
      </c>
      <c r="BX252" s="48">
        <f>IF(BX$8=1,IF(Reales!$C$68="PYG",IF(BX$10&gt;0,N(Reales!BX68)/BX$10,0),N(Reales!BX68)),BX$242+BX$245)</f>
        <v>30377.897316594899</v>
      </c>
      <c r="BY252" s="48">
        <f>IF(BY$8=1,IF(Reales!$C$68="PYG",IF(BY$10&gt;0,N(Reales!BY68)/BY$10,0),N(Reales!BY68)),BY$242+BY$245)</f>
        <v>30377.897316594899</v>
      </c>
      <c r="BZ252" s="48">
        <f>IF(BZ$8=1,IF(Reales!$C$68="PYG",IF(BZ$10&gt;0,N(Reales!BZ68)/BZ$10,0),N(Reales!BZ68)),BZ$242+BZ$245)</f>
        <v>30555.212179671769</v>
      </c>
      <c r="CA252" s="48">
        <f>IF(CA$8=1,IF(Reales!$C$68="PYG",IF(CA$10&gt;0,N(Reales!CA68)/CA$10,0),N(Reales!CA68)),CA$242+CA$245)</f>
        <v>30555.212179671769</v>
      </c>
      <c r="CB252" s="48">
        <f>IF(CB$8=1,IF(Reales!$C$68="PYG",IF(CB$10&gt;0,N(Reales!CB68)/CB$10,0),N(Reales!CB68)),CB$242+CB$245)</f>
        <v>30555.212179671769</v>
      </c>
      <c r="CC252" s="48">
        <f>IF(CC$8=1,IF(Reales!$C$68="PYG",IF(CC$10&gt;0,N(Reales!CC68)/CC$10,0),N(Reales!CC68)),CC$242+CC$245)</f>
        <v>30555.212179671769</v>
      </c>
      <c r="CD252" s="48">
        <f>IF(CD$8=1,IF(Reales!$C$68="PYG",IF(CD$10&gt;0,N(Reales!CD68)/CD$10,0),N(Reales!CD68)),CD$242+CD$245)</f>
        <v>30555.212179671769</v>
      </c>
      <c r="CE252" s="48">
        <f>IF(CE$8=1,IF(Reales!$C$68="PYG",IF(CE$10&gt;0,N(Reales!CE68)/CE$10,0),N(Reales!CE68)),CE$242+CE$245)</f>
        <v>30555.212179671769</v>
      </c>
      <c r="CF252" s="48">
        <f>IF(CF$8=1,IF(Reales!$C$68="PYG",IF(CF$10&gt;0,N(Reales!CF68)/CF$10,0),N(Reales!CF68)),CF$242+CF$245)</f>
        <v>30555.212179671769</v>
      </c>
      <c r="CG252" s="48">
        <f>IF(CG$8=1,IF(Reales!$C$68="PYG",IF(CG$10&gt;0,N(Reales!CG68)/CG$10,0),N(Reales!CG68)),CG$242+CG$245)</f>
        <v>30555.212179671769</v>
      </c>
      <c r="CH252" s="48">
        <f>IF(CH$8=1,IF(Reales!$C$68="PYG",IF(CH$10&gt;0,N(Reales!CH68)/CH$10,0),N(Reales!CH68)),CH$242+CH$245)</f>
        <v>30555.212179671769</v>
      </c>
      <c r="CI252" s="48">
        <f>IF(CI$8=1,IF(Reales!$C$68="PYG",IF(CI$10&gt;0,N(Reales!CI68)/CI$10,0),N(Reales!CI68)),CI$242+CI$245)</f>
        <v>30555.212179671769</v>
      </c>
      <c r="CJ252" s="48">
        <f>IF(CJ$8=1,IF(Reales!$C$68="PYG",IF(CJ$10&gt;0,N(Reales!CJ68)/CJ$10,0),N(Reales!CJ68)),CJ$242+CJ$245)</f>
        <v>30555.212179671769</v>
      </c>
      <c r="CK252" s="48">
        <f>IF(CK$8=1,IF(Reales!$C$68="PYG",IF(CK$10&gt;0,N(Reales!CK68)/CK$10,0),N(Reales!CK68)),CK$242+CK$245)</f>
        <v>30555.212179671769</v>
      </c>
      <c r="CL252" s="48">
        <f>IF(CL$8=1,IF(Reales!$C$68="PYG",IF(CL$10&gt;0,N(Reales!CL68)/CL$10,0),N(Reales!CL68)),CL$242+CL$245)</f>
        <v>30734.874192721043</v>
      </c>
      <c r="CM252" s="48">
        <f>IF(CM$8=1,IF(Reales!$C$68="PYG",IF(CM$10&gt;0,N(Reales!CM68)/CM$10,0),N(Reales!CM68)),CM$242+CM$245)</f>
        <v>30734.874192721043</v>
      </c>
      <c r="CN252" s="48">
        <f>IF(CN$8=1,IF(Reales!$C$68="PYG",IF(CN$10&gt;0,N(Reales!CN68)/CN$10,0),N(Reales!CN68)),CN$242+CN$245)</f>
        <v>30734.874192721043</v>
      </c>
      <c r="CO252" s="48">
        <f>IF(CO$8=1,IF(Reales!$C$68="PYG",IF(CO$10&gt;0,N(Reales!CO68)/CO$10,0),N(Reales!CO68)),CO$242+CO$245)</f>
        <v>30734.874192721043</v>
      </c>
      <c r="CP252" s="48">
        <f>IF(CP$8=1,IF(Reales!$C$68="PYG",IF(CP$10&gt;0,N(Reales!CP68)/CP$10,0),N(Reales!CP68)),CP$242+CP$245)</f>
        <v>30734.874192721043</v>
      </c>
      <c r="CQ252" s="48">
        <f>IF(CQ$8=1,IF(Reales!$C$68="PYG",IF(CQ$10&gt;0,N(Reales!CQ68)/CQ$10,0),N(Reales!CQ68)),CQ$242+CQ$245)</f>
        <v>30734.874192721043</v>
      </c>
      <c r="CR252" s="48">
        <f>IF(CR$8=1,IF(Reales!$C$68="PYG",IF(CR$10&gt;0,N(Reales!CR68)/CR$10,0),N(Reales!CR68)),CR$242+CR$245)</f>
        <v>30734.874192721043</v>
      </c>
      <c r="CS252" s="48">
        <f>IF(CS$8=1,IF(Reales!$C$68="PYG",IF(CS$10&gt;0,N(Reales!CS68)/CS$10,0),N(Reales!CS68)),CS$242+CS$245)</f>
        <v>30734.874192721043</v>
      </c>
      <c r="CT252" s="48">
        <f>IF(CT$8=1,IF(Reales!$C$68="PYG",IF(CT$10&gt;0,N(Reales!CT68)/CT$10,0),N(Reales!CT68)),CT$242+CT$245)</f>
        <v>30734.874192721043</v>
      </c>
      <c r="CU252" s="48">
        <f>IF(CU$8=1,IF(Reales!$C$68="PYG",IF(CU$10&gt;0,N(Reales!CU68)/CU$10,0),N(Reales!CU68)),CU$242+CU$245)</f>
        <v>30734.874192721043</v>
      </c>
      <c r="CV252" s="48">
        <f>IF(CV$8=1,IF(Reales!$C$68="PYG",IF(CV$10&gt;0,N(Reales!CV68)/CV$10,0),N(Reales!CV68)),CV$242+CV$245)</f>
        <v>30734.874192721043</v>
      </c>
      <c r="CW252" s="48">
        <f>IF(CW$8=1,IF(Reales!$C$68="PYG",IF(CW$10&gt;0,N(Reales!CW68)/CW$10,0),N(Reales!CW68)),CW$242+CW$245)</f>
        <v>30734.874192721043</v>
      </c>
      <c r="CX252" s="48">
        <f>IF(CX$8=1,IF(Reales!$C$68="PYG",IF(CX$10&gt;0,N(Reales!CX68)/CX$10,0),N(Reales!CX68)),CX$242+CX$245)</f>
        <v>30916.918307269269</v>
      </c>
      <c r="CY252" s="48">
        <f>IF(CY$8=1,IF(Reales!$C$68="PYG",IF(CY$10&gt;0,N(Reales!CY68)/CY$10,0),N(Reales!CY68)),CY$242+CY$245)</f>
        <v>30916.918307269269</v>
      </c>
      <c r="CZ252" s="48">
        <f>IF(CZ$8=1,IF(Reales!$C$68="PYG",IF(CZ$10&gt;0,N(Reales!CZ68)/CZ$10,0),N(Reales!CZ68)),CZ$242+CZ$245)</f>
        <v>30916.918307269269</v>
      </c>
      <c r="DA252" s="48">
        <f>IF(DA$8=1,IF(Reales!$C$68="PYG",IF(DA$10&gt;0,N(Reales!DA68)/DA$10,0),N(Reales!DA68)),DA$242+DA$245)</f>
        <v>30916.918307269269</v>
      </c>
      <c r="DB252" s="48">
        <f>IF(DB$8=1,IF(Reales!$C$68="PYG",IF(DB$10&gt;0,N(Reales!DB68)/DB$10,0),N(Reales!DB68)),DB$242+DB$245)</f>
        <v>30916.918307269269</v>
      </c>
      <c r="DC252" s="48">
        <f>IF(DC$8=1,IF(Reales!$C$68="PYG",IF(DC$10&gt;0,N(Reales!DC68)/DC$10,0),N(Reales!DC68)),DC$242+DC$245)</f>
        <v>30916.918307269269</v>
      </c>
      <c r="DD252" s="48">
        <f>IF(DD$8=1,IF(Reales!$C$68="PYG",IF(DD$10&gt;0,N(Reales!DD68)/DD$10,0),N(Reales!DD68)),DD$242+DD$245)</f>
        <v>30916.918307269269</v>
      </c>
      <c r="DE252" s="48">
        <f>IF(DE$8=1,IF(Reales!$C$68="PYG",IF(DE$10&gt;0,N(Reales!DE68)/DE$10,0),N(Reales!DE68)),DE$242+DE$245)</f>
        <v>30916.918307269269</v>
      </c>
      <c r="DF252" s="48">
        <f>IF(DF$8=1,IF(Reales!$C$68="PYG",IF(DF$10&gt;0,N(Reales!DF68)/DF$10,0),N(Reales!DF68)),DF$242+DF$245)</f>
        <v>30916.918307269269</v>
      </c>
      <c r="DG252" s="48">
        <f>IF(DG$8=1,IF(Reales!$C$68="PYG",IF(DG$10&gt;0,N(Reales!DG68)/DG$10,0),N(Reales!DG68)),DG$242+DG$245)</f>
        <v>30916.918307269269</v>
      </c>
      <c r="DH252" s="48">
        <f>IF(DH$8=1,IF(Reales!$C$68="PYG",IF(DH$10&gt;0,N(Reales!DH68)/DH$10,0),N(Reales!DH68)),DH$242+DH$245)</f>
        <v>30916.918307269269</v>
      </c>
      <c r="DI252" s="48">
        <f>IF(DI$8=1,IF(Reales!$C$68="PYG",IF(DI$10&gt;0,N(Reales!DI68)/DI$10,0),N(Reales!DI68)),DI$242+DI$245)</f>
        <v>30916.918307269269</v>
      </c>
      <c r="DJ252" s="48">
        <f>IF(DJ$8=1,IF(Reales!$C$68="PYG",IF(DJ$10&gt;0,N(Reales!DJ68)/DJ$10,0),N(Reales!DJ68)),DJ$242+DJ$245)</f>
        <v>31101.380053958808</v>
      </c>
      <c r="DK252" s="48">
        <f>IF(DK$8=1,IF(Reales!$C$68="PYG",IF(DK$10&gt;0,N(Reales!DK68)/DK$10,0),N(Reales!DK68)),DK$242+DK$245)</f>
        <v>31101.380053958808</v>
      </c>
      <c r="DL252" s="48">
        <f>IF(DL$8=1,IF(Reales!$C$68="PYG",IF(DL$10&gt;0,N(Reales!DL68)/DL$10,0),N(Reales!DL68)),DL$242+DL$245)</f>
        <v>31101.380053958808</v>
      </c>
      <c r="DM252" s="48">
        <f>IF(DM$8=1,IF(Reales!$C$68="PYG",IF(DM$10&gt;0,N(Reales!DM68)/DM$10,0),N(Reales!DM68)),DM$242+DM$245)</f>
        <v>31101.380053958808</v>
      </c>
      <c r="DN252" s="48">
        <f>IF(DN$8=1,IF(Reales!$C$68="PYG",IF(DN$10&gt;0,N(Reales!DN68)/DN$10,0),N(Reales!DN68)),DN$242+DN$245)</f>
        <v>31101.380053958808</v>
      </c>
      <c r="DO252" s="48">
        <f>IF(DO$8=1,IF(Reales!$C$68="PYG",IF(DO$10&gt;0,N(Reales!DO68)/DO$10,0),N(Reales!DO68)),DO$242+DO$245)</f>
        <v>31101.380053958808</v>
      </c>
      <c r="DP252" s="48">
        <f>IF(DP$8=1,IF(Reales!$C$68="PYG",IF(DP$10&gt;0,N(Reales!DP68)/DP$10,0),N(Reales!DP68)),DP$242+DP$245)</f>
        <v>31101.380053958808</v>
      </c>
      <c r="DQ252" s="48">
        <f>IF(DQ$8=1,IF(Reales!$C$68="PYG",IF(DQ$10&gt;0,N(Reales!DQ68)/DQ$10,0),N(Reales!DQ68)),DQ$242+DQ$245)</f>
        <v>31101.380053958808</v>
      </c>
      <c r="DR252" s="48">
        <f>IF(DR$8=1,IF(Reales!$C$68="PYG",IF(DR$10&gt;0,N(Reales!DR68)/DR$10,0),N(Reales!DR68)),DR$242+DR$245)</f>
        <v>31101.380053958808</v>
      </c>
      <c r="DS252" s="48">
        <f>IF(DS$8=1,IF(Reales!$C$68="PYG",IF(DS$10&gt;0,N(Reales!DS68)/DS$10,0),N(Reales!DS68)),DS$242+DS$245)</f>
        <v>31101.380053958808</v>
      </c>
      <c r="DT252" s="48">
        <f>IF(DT$8=1,IF(Reales!$C$68="PYG",IF(DT$10&gt;0,N(Reales!DT68)/DT$10,0),N(Reales!DT68)),DT$242+DT$245)</f>
        <v>31101.380053958808</v>
      </c>
      <c r="DU252" s="48">
        <f>IF(DU$8=1,IF(Reales!$C$68="PYG",IF(DU$10&gt;0,N(Reales!DU68)/DU$10,0),N(Reales!DU68)),DU$242+DU$245)</f>
        <v>31101.380053958808</v>
      </c>
      <c r="DV252" s="48">
        <f>IF(DV$8=1,IF(Reales!$C$68="PYG",IF(DV$10&gt;0,N(Reales!DV68)/DV$10,0),N(Reales!DV68)),DV$242+DV$245)</f>
        <v>0</v>
      </c>
      <c r="DW252" s="48">
        <f>IF(DW$8=1,IF(Reales!$C$68="PYG",IF(DW$10&gt;0,N(Reales!DW68)/DW$10,0),N(Reales!DW68)),DW$242+DW$245)</f>
        <v>0</v>
      </c>
      <c r="DX252" s="48">
        <f>IF(DX$8=1,IF(Reales!$C$68="PYG",IF(DX$10&gt;0,N(Reales!DX68)/DX$10,0),N(Reales!DX68)),DX$242+DX$245)</f>
        <v>0</v>
      </c>
      <c r="DY252" s="48">
        <f>IF(DY$8=1,IF(Reales!$C$68="PYG",IF(DY$10&gt;0,N(Reales!DY68)/DY$10,0),N(Reales!DY68)),DY$242+DY$245)</f>
        <v>0</v>
      </c>
      <c r="DZ252" s="48">
        <f>IF(DZ$8=1,IF(Reales!$C$68="PYG",IF(DZ$10&gt;0,N(Reales!DZ68)/DZ$10,0),N(Reales!DZ68)),DZ$242+DZ$245)</f>
        <v>0</v>
      </c>
      <c r="EA252" s="48">
        <f>IF(EA$8=1,IF(Reales!$C$68="PYG",IF(EA$10&gt;0,N(Reales!EA68)/EA$10,0),N(Reales!EA68)),EA$242+EA$245)</f>
        <v>0</v>
      </c>
      <c r="EB252" s="48">
        <f>IF(EB$8=1,IF(Reales!$C$68="PYG",IF(EB$10&gt;0,N(Reales!EB68)/EB$10,0),N(Reales!EB68)),EB$242+EB$245)</f>
        <v>0</v>
      </c>
      <c r="EC252" s="48">
        <f>IF(EC$8=1,IF(Reales!$C$68="PYG",IF(EC$10&gt;0,N(Reales!EC68)/EC$10,0),N(Reales!EC68)),EC$242+EC$245)</f>
        <v>0</v>
      </c>
      <c r="ED252" s="48">
        <f>IF(ED$8=1,IF(Reales!$C$68="PYG",IF(ED$10&gt;0,N(Reales!ED68)/ED$10,0),N(Reales!ED68)),ED$242+ED$245)</f>
        <v>0</v>
      </c>
      <c r="EE252" s="48">
        <f>IF(EE$8=1,IF(Reales!$C$68="PYG",IF(EE$10&gt;0,N(Reales!EE68)/EE$10,0),N(Reales!EE68)),EE$242+EE$245)</f>
        <v>0</v>
      </c>
      <c r="EF252" s="48">
        <f>IF(EF$8=1,IF(Reales!$C$68="PYG",IF(EF$10&gt;0,N(Reales!EF68)/EF$10,0),N(Reales!EF68)),EF$242+EF$245)</f>
        <v>0</v>
      </c>
      <c r="EG252" s="48">
        <f>IF(EG$8=1,IF(Reales!$C$68="PYG",IF(EG$10&gt;0,N(Reales!EG68)/EG$10,0),N(Reales!EG68)),EG$242+EG$245)</f>
        <v>0</v>
      </c>
      <c r="EH252" s="48">
        <f>IF(EH$8=1,IF(Reales!$C$68="PYG",IF(EH$10&gt;0,N(Reales!EH68)/EH$10,0),N(Reales!EH68)),EH$242+EH$245)</f>
        <v>0</v>
      </c>
      <c r="EI252" s="48">
        <f>IF(EI$8=1,IF(Reales!$C$68="PYG",IF(EI$10&gt;0,N(Reales!EI68)/EI$10,0),N(Reales!EI68)),EI$242+EI$245)</f>
        <v>0</v>
      </c>
      <c r="EJ252" s="48">
        <f>IF(EJ$8=1,IF(Reales!$C$68="PYG",IF(EJ$10&gt;0,N(Reales!EJ68)/EJ$10,0),N(Reales!EJ68)),EJ$242+EJ$245)</f>
        <v>0</v>
      </c>
      <c r="EK252" s="48">
        <f>IF(EK$8=1,IF(Reales!$C$68="PYG",IF(EK$10&gt;0,N(Reales!EK68)/EK$10,0),N(Reales!EK68)),EK$242+EK$245)</f>
        <v>0</v>
      </c>
      <c r="EL252" s="48">
        <f>IF(EL$8=1,IF(Reales!$C$68="PYG",IF(EL$10&gt;0,N(Reales!EL68)/EL$10,0),N(Reales!EL68)),EL$242+EL$245)</f>
        <v>0</v>
      </c>
      <c r="EM252" s="48">
        <f>IF(EM$8=1,IF(Reales!$C$68="PYG",IF(EM$10&gt;0,N(Reales!EM68)/EM$10,0),N(Reales!EM68)),EM$242+EM$245)</f>
        <v>0</v>
      </c>
      <c r="EN252" s="48">
        <f>IF(EN$8=1,IF(Reales!$C$68="PYG",IF(EN$10&gt;0,N(Reales!EN68)/EN$10,0),N(Reales!EN68)),EN$242+EN$245)</f>
        <v>0</v>
      </c>
      <c r="EO252" s="48">
        <f>IF(EO$8=1,IF(Reales!$C$68="PYG",IF(EO$10&gt;0,N(Reales!EO68)/EO$10,0),N(Reales!EO68)),EO$242+EO$245)</f>
        <v>0</v>
      </c>
      <c r="EP252" s="48">
        <f>IF(EP$8=1,IF(Reales!$C$68="PYG",IF(EP$10&gt;0,N(Reales!EP68)/EP$10,0),N(Reales!EP68)),EP$242+EP$245)</f>
        <v>0</v>
      </c>
      <c r="EQ252" s="48">
        <f>IF(EQ$8=1,IF(Reales!$C$68="PYG",IF(EQ$10&gt;0,N(Reales!EQ68)/EQ$10,0),N(Reales!EQ68)),EQ$242+EQ$245)</f>
        <v>0</v>
      </c>
      <c r="ER252" s="48">
        <f>IF(ER$8=1,IF(Reales!$C$68="PYG",IF(ER$10&gt;0,N(Reales!ER68)/ER$10,0),N(Reales!ER68)),ER$242+ER$245)</f>
        <v>0</v>
      </c>
      <c r="ES252" s="48">
        <f>IF(ES$8=1,IF(Reales!$C$68="PYG",IF(ES$10&gt;0,N(Reales!ES68)/ES$10,0),N(Reales!ES68)),ES$242+ES$245)</f>
        <v>0</v>
      </c>
    </row>
    <row r="253" spans="1:149" x14ac:dyDescent="0.3">
      <c r="A253" s="14" t="s">
        <v>1306</v>
      </c>
      <c r="B253" s="68" t="s">
        <v>1098</v>
      </c>
      <c r="C253" s="18" t="s">
        <v>439</v>
      </c>
      <c r="E253" s="54">
        <f t="shared" si="642"/>
        <v>21340920.4743363</v>
      </c>
      <c r="F253" s="22">
        <f t="shared" ref="F253:AK253" si="643">F$227-F$249-F$250-F$251-F$252</f>
        <v>79096.469288216002</v>
      </c>
      <c r="G253" s="22">
        <f t="shared" si="643"/>
        <v>79096.469288216002</v>
      </c>
      <c r="H253" s="22">
        <f t="shared" si="643"/>
        <v>79096.469288216002</v>
      </c>
      <c r="I253" s="22">
        <f t="shared" si="643"/>
        <v>79096.469288216002</v>
      </c>
      <c r="J253" s="22">
        <f t="shared" si="643"/>
        <v>79096.469288216002</v>
      </c>
      <c r="K253" s="22">
        <f t="shared" si="643"/>
        <v>79096.469288216002</v>
      </c>
      <c r="L253" s="22">
        <f t="shared" si="643"/>
        <v>79096.469288216002</v>
      </c>
      <c r="M253" s="22">
        <f t="shared" si="643"/>
        <v>79096.469288216002</v>
      </c>
      <c r="N253" s="22">
        <f t="shared" si="643"/>
        <v>79096.469288216002</v>
      </c>
      <c r="O253" s="22">
        <f t="shared" si="643"/>
        <v>79096.469288216002</v>
      </c>
      <c r="P253" s="22">
        <f t="shared" si="643"/>
        <v>79096.469288216002</v>
      </c>
      <c r="Q253" s="22">
        <f t="shared" si="643"/>
        <v>79096.469288216002</v>
      </c>
      <c r="R253" s="22">
        <f t="shared" si="643"/>
        <v>118738.07513992437</v>
      </c>
      <c r="S253" s="22">
        <f t="shared" si="643"/>
        <v>118738.07513992437</v>
      </c>
      <c r="T253" s="22">
        <f t="shared" si="643"/>
        <v>118738.07513992437</v>
      </c>
      <c r="U253" s="22">
        <f t="shared" si="643"/>
        <v>118738.07513992437</v>
      </c>
      <c r="V253" s="22">
        <f t="shared" si="643"/>
        <v>118738.07513992437</v>
      </c>
      <c r="W253" s="22">
        <f t="shared" si="643"/>
        <v>118738.07513992437</v>
      </c>
      <c r="X253" s="22">
        <f t="shared" si="643"/>
        <v>118738.07513992437</v>
      </c>
      <c r="Y253" s="22">
        <f t="shared" si="643"/>
        <v>118738.07513992437</v>
      </c>
      <c r="Z253" s="22">
        <f t="shared" si="643"/>
        <v>118738.07513992437</v>
      </c>
      <c r="AA253" s="22">
        <f t="shared" si="643"/>
        <v>118738.07513992437</v>
      </c>
      <c r="AB253" s="22">
        <f t="shared" si="643"/>
        <v>118738.07513992437</v>
      </c>
      <c r="AC253" s="22">
        <f t="shared" si="643"/>
        <v>118738.07513992437</v>
      </c>
      <c r="AD253" s="22">
        <f t="shared" si="643"/>
        <v>157007.18994441771</v>
      </c>
      <c r="AE253" s="22">
        <f t="shared" si="643"/>
        <v>157007.18994441771</v>
      </c>
      <c r="AF253" s="22">
        <f t="shared" si="643"/>
        <v>157007.18994441771</v>
      </c>
      <c r="AG253" s="22">
        <f t="shared" si="643"/>
        <v>157007.18994441771</v>
      </c>
      <c r="AH253" s="22">
        <f t="shared" si="643"/>
        <v>157007.18994441771</v>
      </c>
      <c r="AI253" s="22">
        <f t="shared" si="643"/>
        <v>157007.18994441771</v>
      </c>
      <c r="AJ253" s="22">
        <f t="shared" si="643"/>
        <v>157007.18994441771</v>
      </c>
      <c r="AK253" s="22">
        <f t="shared" si="643"/>
        <v>157007.18994441771</v>
      </c>
      <c r="AL253" s="22">
        <f t="shared" ref="AL253:BQ253" si="644">AL$227-AL$249-AL$250-AL$251-AL$252</f>
        <v>157007.18994441771</v>
      </c>
      <c r="AM253" s="22">
        <f t="shared" si="644"/>
        <v>157007.18994441771</v>
      </c>
      <c r="AN253" s="22">
        <f t="shared" si="644"/>
        <v>157007.18994441771</v>
      </c>
      <c r="AO253" s="22">
        <f t="shared" si="644"/>
        <v>157007.18994441771</v>
      </c>
      <c r="AP253" s="22">
        <f t="shared" si="644"/>
        <v>191337.33988381794</v>
      </c>
      <c r="AQ253" s="22">
        <f t="shared" si="644"/>
        <v>191337.33988381794</v>
      </c>
      <c r="AR253" s="22">
        <f t="shared" si="644"/>
        <v>191337.33988381794</v>
      </c>
      <c r="AS253" s="22">
        <f t="shared" si="644"/>
        <v>191337.33988381794</v>
      </c>
      <c r="AT253" s="22">
        <f t="shared" si="644"/>
        <v>191337.33988381794</v>
      </c>
      <c r="AU253" s="22">
        <f t="shared" si="644"/>
        <v>191337.33988381794</v>
      </c>
      <c r="AV253" s="22">
        <f t="shared" si="644"/>
        <v>191337.33988381794</v>
      </c>
      <c r="AW253" s="22">
        <f t="shared" si="644"/>
        <v>191337.33988381794</v>
      </c>
      <c r="AX253" s="22">
        <f t="shared" si="644"/>
        <v>191337.33988381794</v>
      </c>
      <c r="AY253" s="22">
        <f t="shared" si="644"/>
        <v>191337.33988381794</v>
      </c>
      <c r="AZ253" s="22">
        <f t="shared" si="644"/>
        <v>191337.33988381794</v>
      </c>
      <c r="BA253" s="22">
        <f t="shared" si="644"/>
        <v>191337.33988381794</v>
      </c>
      <c r="BB253" s="22">
        <f t="shared" si="644"/>
        <v>193312.1313255734</v>
      </c>
      <c r="BC253" s="22">
        <f t="shared" si="644"/>
        <v>193312.1313255734</v>
      </c>
      <c r="BD253" s="22">
        <f t="shared" si="644"/>
        <v>193312.1313255734</v>
      </c>
      <c r="BE253" s="22">
        <f t="shared" si="644"/>
        <v>193312.1313255734</v>
      </c>
      <c r="BF253" s="22">
        <f t="shared" si="644"/>
        <v>193312.1313255734</v>
      </c>
      <c r="BG253" s="22">
        <f t="shared" si="644"/>
        <v>193312.1313255734</v>
      </c>
      <c r="BH253" s="22">
        <f t="shared" si="644"/>
        <v>193312.1313255734</v>
      </c>
      <c r="BI253" s="22">
        <f t="shared" si="644"/>
        <v>193312.1313255734</v>
      </c>
      <c r="BJ253" s="22">
        <f t="shared" si="644"/>
        <v>193312.1313255734</v>
      </c>
      <c r="BK253" s="22">
        <f t="shared" si="644"/>
        <v>193312.1313255734</v>
      </c>
      <c r="BL253" s="22">
        <f t="shared" si="644"/>
        <v>193312.1313255734</v>
      </c>
      <c r="BM253" s="22">
        <f t="shared" si="644"/>
        <v>193312.1313255734</v>
      </c>
      <c r="BN253" s="22">
        <f t="shared" si="644"/>
        <v>198072.8233127179</v>
      </c>
      <c r="BO253" s="22">
        <f t="shared" si="644"/>
        <v>198072.8233127179</v>
      </c>
      <c r="BP253" s="22">
        <f t="shared" si="644"/>
        <v>198072.8233127179</v>
      </c>
      <c r="BQ253" s="22">
        <f t="shared" si="644"/>
        <v>198072.8233127179</v>
      </c>
      <c r="BR253" s="22">
        <f t="shared" ref="BR253:CW253" si="645">BR$227-BR$249-BR$250-BR$251-BR$252</f>
        <v>198072.8233127179</v>
      </c>
      <c r="BS253" s="22">
        <f t="shared" si="645"/>
        <v>198072.8233127179</v>
      </c>
      <c r="BT253" s="22">
        <f t="shared" si="645"/>
        <v>198072.8233127179</v>
      </c>
      <c r="BU253" s="22">
        <f t="shared" si="645"/>
        <v>198072.8233127179</v>
      </c>
      <c r="BV253" s="22">
        <f t="shared" si="645"/>
        <v>198072.8233127179</v>
      </c>
      <c r="BW253" s="22">
        <f t="shared" si="645"/>
        <v>198072.8233127179</v>
      </c>
      <c r="BX253" s="22">
        <f t="shared" si="645"/>
        <v>198072.8233127179</v>
      </c>
      <c r="BY253" s="22">
        <f t="shared" si="645"/>
        <v>198072.8233127179</v>
      </c>
      <c r="BZ253" s="22">
        <f t="shared" si="645"/>
        <v>202880.55947332058</v>
      </c>
      <c r="CA253" s="22">
        <f t="shared" si="645"/>
        <v>202880.55947332058</v>
      </c>
      <c r="CB253" s="22">
        <f t="shared" si="645"/>
        <v>202880.55947332058</v>
      </c>
      <c r="CC253" s="22">
        <f t="shared" si="645"/>
        <v>202880.55947332058</v>
      </c>
      <c r="CD253" s="22">
        <f t="shared" si="645"/>
        <v>202880.55947332058</v>
      </c>
      <c r="CE253" s="22">
        <f t="shared" si="645"/>
        <v>202880.55947332058</v>
      </c>
      <c r="CF253" s="22">
        <f t="shared" si="645"/>
        <v>202880.55947332058</v>
      </c>
      <c r="CG253" s="22">
        <f t="shared" si="645"/>
        <v>202880.55947332058</v>
      </c>
      <c r="CH253" s="22">
        <f t="shared" si="645"/>
        <v>202880.55947332058</v>
      </c>
      <c r="CI253" s="22">
        <f t="shared" si="645"/>
        <v>202880.55947332058</v>
      </c>
      <c r="CJ253" s="22">
        <f t="shared" si="645"/>
        <v>202880.55947332058</v>
      </c>
      <c r="CK253" s="22">
        <f t="shared" si="645"/>
        <v>202880.55947332058</v>
      </c>
      <c r="CL253" s="22">
        <f t="shared" si="645"/>
        <v>207735.79899418756</v>
      </c>
      <c r="CM253" s="22">
        <f t="shared" si="645"/>
        <v>207735.79899418756</v>
      </c>
      <c r="CN253" s="22">
        <f t="shared" si="645"/>
        <v>207735.79899418756</v>
      </c>
      <c r="CO253" s="22">
        <f t="shared" si="645"/>
        <v>207735.79899418756</v>
      </c>
      <c r="CP253" s="22">
        <f t="shared" si="645"/>
        <v>207735.79899418756</v>
      </c>
      <c r="CQ253" s="22">
        <f t="shared" si="645"/>
        <v>207735.79899418756</v>
      </c>
      <c r="CR253" s="22">
        <f t="shared" si="645"/>
        <v>207735.79899418756</v>
      </c>
      <c r="CS253" s="22">
        <f t="shared" si="645"/>
        <v>207735.79899418756</v>
      </c>
      <c r="CT253" s="22">
        <f t="shared" si="645"/>
        <v>207735.79899418756</v>
      </c>
      <c r="CU253" s="22">
        <f t="shared" si="645"/>
        <v>207735.79899418756</v>
      </c>
      <c r="CV253" s="22">
        <f t="shared" si="645"/>
        <v>207735.79899418756</v>
      </c>
      <c r="CW253" s="22">
        <f t="shared" si="645"/>
        <v>207735.79899418756</v>
      </c>
      <c r="CX253" s="22">
        <f t="shared" ref="CX253:EC253" si="646">CX$227-CX$249-CX$250-CX$251-CX$252</f>
        <v>212639.00542889483</v>
      </c>
      <c r="CY253" s="22">
        <f t="shared" si="646"/>
        <v>212639.00542889483</v>
      </c>
      <c r="CZ253" s="22">
        <f t="shared" si="646"/>
        <v>212639.00542889483</v>
      </c>
      <c r="DA253" s="22">
        <f t="shared" si="646"/>
        <v>212639.00542889483</v>
      </c>
      <c r="DB253" s="22">
        <f t="shared" si="646"/>
        <v>212639.00542889483</v>
      </c>
      <c r="DC253" s="22">
        <f t="shared" si="646"/>
        <v>212639.00542889483</v>
      </c>
      <c r="DD253" s="22">
        <f t="shared" si="646"/>
        <v>212639.00542889483</v>
      </c>
      <c r="DE253" s="22">
        <f t="shared" si="646"/>
        <v>212639.00542889483</v>
      </c>
      <c r="DF253" s="22">
        <f t="shared" si="646"/>
        <v>212639.00542889483</v>
      </c>
      <c r="DG253" s="22">
        <f t="shared" si="646"/>
        <v>212639.00542889483</v>
      </c>
      <c r="DH253" s="22">
        <f t="shared" si="646"/>
        <v>212639.00542889483</v>
      </c>
      <c r="DI253" s="22">
        <f t="shared" si="646"/>
        <v>212639.00542889483</v>
      </c>
      <c r="DJ253" s="22">
        <f t="shared" si="646"/>
        <v>217590.64673695347</v>
      </c>
      <c r="DK253" s="22">
        <f t="shared" si="646"/>
        <v>217590.64673695347</v>
      </c>
      <c r="DL253" s="22">
        <f t="shared" si="646"/>
        <v>217590.64673695347</v>
      </c>
      <c r="DM253" s="22">
        <f t="shared" si="646"/>
        <v>217590.64673695347</v>
      </c>
      <c r="DN253" s="22">
        <f t="shared" si="646"/>
        <v>217590.64673695347</v>
      </c>
      <c r="DO253" s="22">
        <f t="shared" si="646"/>
        <v>217590.64673695347</v>
      </c>
      <c r="DP253" s="22">
        <f t="shared" si="646"/>
        <v>217590.64673695347</v>
      </c>
      <c r="DQ253" s="22">
        <f t="shared" si="646"/>
        <v>217590.64673695347</v>
      </c>
      <c r="DR253" s="22">
        <f t="shared" si="646"/>
        <v>217590.64673695347</v>
      </c>
      <c r="DS253" s="22">
        <f t="shared" si="646"/>
        <v>217590.64673695347</v>
      </c>
      <c r="DT253" s="22">
        <f t="shared" si="646"/>
        <v>217590.64673695347</v>
      </c>
      <c r="DU253" s="22">
        <f t="shared" si="646"/>
        <v>217590.64673695347</v>
      </c>
      <c r="DV253" s="22">
        <f t="shared" si="646"/>
        <v>0</v>
      </c>
      <c r="DW253" s="22">
        <f t="shared" si="646"/>
        <v>0</v>
      </c>
      <c r="DX253" s="22">
        <f t="shared" si="646"/>
        <v>0</v>
      </c>
      <c r="DY253" s="22">
        <f t="shared" si="646"/>
        <v>0</v>
      </c>
      <c r="DZ253" s="22">
        <f t="shared" si="646"/>
        <v>0</v>
      </c>
      <c r="EA253" s="22">
        <f t="shared" si="646"/>
        <v>0</v>
      </c>
      <c r="EB253" s="22">
        <f t="shared" si="646"/>
        <v>0</v>
      </c>
      <c r="EC253" s="22">
        <f t="shared" si="646"/>
        <v>0</v>
      </c>
      <c r="ED253" s="22">
        <f t="shared" ref="ED253:ES253" si="647">ED$227-ED$249-ED$250-ED$251-ED$252</f>
        <v>0</v>
      </c>
      <c r="EE253" s="22">
        <f t="shared" si="647"/>
        <v>0</v>
      </c>
      <c r="EF253" s="22">
        <f t="shared" si="647"/>
        <v>0</v>
      </c>
      <c r="EG253" s="22">
        <f t="shared" si="647"/>
        <v>0</v>
      </c>
      <c r="EH253" s="22">
        <f t="shared" si="647"/>
        <v>0</v>
      </c>
      <c r="EI253" s="22">
        <f t="shared" si="647"/>
        <v>0</v>
      </c>
      <c r="EJ253" s="22">
        <f t="shared" si="647"/>
        <v>0</v>
      </c>
      <c r="EK253" s="22">
        <f t="shared" si="647"/>
        <v>0</v>
      </c>
      <c r="EL253" s="22">
        <f t="shared" si="647"/>
        <v>0</v>
      </c>
      <c r="EM253" s="22">
        <f t="shared" si="647"/>
        <v>0</v>
      </c>
      <c r="EN253" s="22">
        <f t="shared" si="647"/>
        <v>0</v>
      </c>
      <c r="EO253" s="22">
        <f t="shared" si="647"/>
        <v>0</v>
      </c>
      <c r="EP253" s="22">
        <f t="shared" si="647"/>
        <v>0</v>
      </c>
      <c r="EQ253" s="22">
        <f t="shared" si="647"/>
        <v>0</v>
      </c>
      <c r="ER253" s="22">
        <f t="shared" si="647"/>
        <v>0</v>
      </c>
      <c r="ES253" s="22">
        <f t="shared" si="647"/>
        <v>0</v>
      </c>
    </row>
    <row r="254" spans="1:149" x14ac:dyDescent="0.3">
      <c r="A254" s="14" t="s">
        <v>1307</v>
      </c>
      <c r="B254" s="18" t="s">
        <v>1100</v>
      </c>
      <c r="C254" s="18" t="s">
        <v>439</v>
      </c>
      <c r="E254" s="54">
        <f t="shared" si="642"/>
        <v>1075198.5262701346</v>
      </c>
      <c r="F254" s="48">
        <f>IF(F$8=1,IF(Reales!$C$67="PYG",IF(F$10&gt;0,N(Reales!F67)/F$10,0),N(Reales!F67)),F$238)</f>
        <v>8959.9877189178078</v>
      </c>
      <c r="G254" s="48">
        <f>IF(G$8=1,IF(Reales!$C$67="PYG",IF(G$10&gt;0,N(Reales!G67)/G$10,0),N(Reales!G67)),G$238)</f>
        <v>8959.9877189178078</v>
      </c>
      <c r="H254" s="48">
        <f>IF(H$8=1,IF(Reales!$C$67="PYG",IF(H$10&gt;0,N(Reales!H67)/H$10,0),N(Reales!H67)),H$238)</f>
        <v>8959.9877189178078</v>
      </c>
      <c r="I254" s="48">
        <f>IF(I$8=1,IF(Reales!$C$67="PYG",IF(I$10&gt;0,N(Reales!I67)/I$10,0),N(Reales!I67)),I$238)</f>
        <v>8959.9877189178078</v>
      </c>
      <c r="J254" s="48">
        <f>IF(J$8=1,IF(Reales!$C$67="PYG",IF(J$10&gt;0,N(Reales!J67)/J$10,0),N(Reales!J67)),J$238)</f>
        <v>8959.9877189178078</v>
      </c>
      <c r="K254" s="48">
        <f>IF(K$8=1,IF(Reales!$C$67="PYG",IF(K$10&gt;0,N(Reales!K67)/K$10,0),N(Reales!K67)),K$238)</f>
        <v>8959.9877189178078</v>
      </c>
      <c r="L254" s="48">
        <f>IF(L$8=1,IF(Reales!$C$67="PYG",IF(L$10&gt;0,N(Reales!L67)/L$10,0),N(Reales!L67)),L$238)</f>
        <v>8959.9877189178078</v>
      </c>
      <c r="M254" s="48">
        <f>IF(M$8=1,IF(Reales!$C$67="PYG",IF(M$10&gt;0,N(Reales!M67)/M$10,0),N(Reales!M67)),M$238)</f>
        <v>8959.9877189178078</v>
      </c>
      <c r="N254" s="48">
        <f>IF(N$8=1,IF(Reales!$C$67="PYG",IF(N$10&gt;0,N(Reales!N67)/N$10,0),N(Reales!N67)),N$238)</f>
        <v>8959.9877189178078</v>
      </c>
      <c r="O254" s="48">
        <f>IF(O$8=1,IF(Reales!$C$67="PYG",IF(O$10&gt;0,N(Reales!O67)/O$10,0),N(Reales!O67)),O$238)</f>
        <v>8959.9877189178078</v>
      </c>
      <c r="P254" s="48">
        <f>IF(P$8=1,IF(Reales!$C$67="PYG",IF(P$10&gt;0,N(Reales!P67)/P$10,0),N(Reales!P67)),P$238)</f>
        <v>8959.9877189178078</v>
      </c>
      <c r="Q254" s="48">
        <f>IF(Q$8=1,IF(Reales!$C$67="PYG",IF(Q$10&gt;0,N(Reales!Q67)/Q$10,0),N(Reales!Q67)),Q$238)</f>
        <v>8959.9877189178078</v>
      </c>
      <c r="R254" s="48">
        <f>IF(R$8=1,IF(Reales!$C$67="PYG",IF(R$10&gt;0,N(Reales!R67)/R$10,0),N(Reales!R67)),R$238)</f>
        <v>8959.9877189178078</v>
      </c>
      <c r="S254" s="48">
        <f>IF(S$8=1,IF(Reales!$C$67="PYG",IF(S$10&gt;0,N(Reales!S67)/S$10,0),N(Reales!S67)),S$238)</f>
        <v>8959.9877189178078</v>
      </c>
      <c r="T254" s="48">
        <f>IF(T$8=1,IF(Reales!$C$67="PYG",IF(T$10&gt;0,N(Reales!T67)/T$10,0),N(Reales!T67)),T$238)</f>
        <v>8959.9877189178078</v>
      </c>
      <c r="U254" s="48">
        <f>IF(U$8=1,IF(Reales!$C$67="PYG",IF(U$10&gt;0,N(Reales!U67)/U$10,0),N(Reales!U67)),U$238)</f>
        <v>8959.9877189178078</v>
      </c>
      <c r="V254" s="48">
        <f>IF(V$8=1,IF(Reales!$C$67="PYG",IF(V$10&gt;0,N(Reales!V67)/V$10,0),N(Reales!V67)),V$238)</f>
        <v>8959.9877189178078</v>
      </c>
      <c r="W254" s="48">
        <f>IF(W$8=1,IF(Reales!$C$67="PYG",IF(W$10&gt;0,N(Reales!W67)/W$10,0),N(Reales!W67)),W$238)</f>
        <v>8959.9877189178078</v>
      </c>
      <c r="X254" s="48">
        <f>IF(X$8=1,IF(Reales!$C$67="PYG",IF(X$10&gt;0,N(Reales!X67)/X$10,0),N(Reales!X67)),X$238)</f>
        <v>8959.9877189178078</v>
      </c>
      <c r="Y254" s="48">
        <f>IF(Y$8=1,IF(Reales!$C$67="PYG",IF(Y$10&gt;0,N(Reales!Y67)/Y$10,0),N(Reales!Y67)),Y$238)</f>
        <v>8959.9877189178078</v>
      </c>
      <c r="Z254" s="48">
        <f>IF(Z$8=1,IF(Reales!$C$67="PYG",IF(Z$10&gt;0,N(Reales!Z67)/Z$10,0),N(Reales!Z67)),Z$238)</f>
        <v>8959.9877189178078</v>
      </c>
      <c r="AA254" s="48">
        <f>IF(AA$8=1,IF(Reales!$C$67="PYG",IF(AA$10&gt;0,N(Reales!AA67)/AA$10,0),N(Reales!AA67)),AA$238)</f>
        <v>8959.9877189178078</v>
      </c>
      <c r="AB254" s="48">
        <f>IF(AB$8=1,IF(Reales!$C$67="PYG",IF(AB$10&gt;0,N(Reales!AB67)/AB$10,0),N(Reales!AB67)),AB$238)</f>
        <v>8959.9877189178078</v>
      </c>
      <c r="AC254" s="48">
        <f>IF(AC$8=1,IF(Reales!$C$67="PYG",IF(AC$10&gt;0,N(Reales!AC67)/AC$10,0),N(Reales!AC67)),AC$238)</f>
        <v>8959.9877189178078</v>
      </c>
      <c r="AD254" s="48">
        <f>IF(AD$8=1,IF(Reales!$C$67="PYG",IF(AD$10&gt;0,N(Reales!AD67)/AD$10,0),N(Reales!AD67)),AD$238)</f>
        <v>8959.9877189178078</v>
      </c>
      <c r="AE254" s="48">
        <f>IF(AE$8=1,IF(Reales!$C$67="PYG",IF(AE$10&gt;0,N(Reales!AE67)/AE$10,0),N(Reales!AE67)),AE$238)</f>
        <v>8959.9877189178078</v>
      </c>
      <c r="AF254" s="48">
        <f>IF(AF$8=1,IF(Reales!$C$67="PYG",IF(AF$10&gt;0,N(Reales!AF67)/AF$10,0),N(Reales!AF67)),AF$238)</f>
        <v>8959.9877189178078</v>
      </c>
      <c r="AG254" s="48">
        <f>IF(AG$8=1,IF(Reales!$C$67="PYG",IF(AG$10&gt;0,N(Reales!AG67)/AG$10,0),N(Reales!AG67)),AG$238)</f>
        <v>8959.9877189178078</v>
      </c>
      <c r="AH254" s="48">
        <f>IF(AH$8=1,IF(Reales!$C$67="PYG",IF(AH$10&gt;0,N(Reales!AH67)/AH$10,0),N(Reales!AH67)),AH$238)</f>
        <v>8959.9877189178078</v>
      </c>
      <c r="AI254" s="48">
        <f>IF(AI$8=1,IF(Reales!$C$67="PYG",IF(AI$10&gt;0,N(Reales!AI67)/AI$10,0),N(Reales!AI67)),AI$238)</f>
        <v>8959.9877189178078</v>
      </c>
      <c r="AJ254" s="48">
        <f>IF(AJ$8=1,IF(Reales!$C$67="PYG",IF(AJ$10&gt;0,N(Reales!AJ67)/AJ$10,0),N(Reales!AJ67)),AJ$238)</f>
        <v>8959.9877189178078</v>
      </c>
      <c r="AK254" s="48">
        <f>IF(AK$8=1,IF(Reales!$C$67="PYG",IF(AK$10&gt;0,N(Reales!AK67)/AK$10,0),N(Reales!AK67)),AK$238)</f>
        <v>8959.9877189178078</v>
      </c>
      <c r="AL254" s="48">
        <f>IF(AL$8=1,IF(Reales!$C$67="PYG",IF(AL$10&gt;0,N(Reales!AL67)/AL$10,0),N(Reales!AL67)),AL$238)</f>
        <v>8959.9877189178078</v>
      </c>
      <c r="AM254" s="48">
        <f>IF(AM$8=1,IF(Reales!$C$67="PYG",IF(AM$10&gt;0,N(Reales!AM67)/AM$10,0),N(Reales!AM67)),AM$238)</f>
        <v>8959.9877189178078</v>
      </c>
      <c r="AN254" s="48">
        <f>IF(AN$8=1,IF(Reales!$C$67="PYG",IF(AN$10&gt;0,N(Reales!AN67)/AN$10,0),N(Reales!AN67)),AN$238)</f>
        <v>8959.9877189178078</v>
      </c>
      <c r="AO254" s="48">
        <f>IF(AO$8=1,IF(Reales!$C$67="PYG",IF(AO$10&gt;0,N(Reales!AO67)/AO$10,0),N(Reales!AO67)),AO$238)</f>
        <v>8959.9877189178078</v>
      </c>
      <c r="AP254" s="48">
        <f>IF(AP$8=1,IF(Reales!$C$67="PYG",IF(AP$10&gt;0,N(Reales!AP67)/AP$10,0),N(Reales!AP67)),AP$238)</f>
        <v>8959.9877189178078</v>
      </c>
      <c r="AQ254" s="48">
        <f>IF(AQ$8=1,IF(Reales!$C$67="PYG",IF(AQ$10&gt;0,N(Reales!AQ67)/AQ$10,0),N(Reales!AQ67)),AQ$238)</f>
        <v>8959.9877189178078</v>
      </c>
      <c r="AR254" s="48">
        <f>IF(AR$8=1,IF(Reales!$C$67="PYG",IF(AR$10&gt;0,N(Reales!AR67)/AR$10,0),N(Reales!AR67)),AR$238)</f>
        <v>8959.9877189178078</v>
      </c>
      <c r="AS254" s="48">
        <f>IF(AS$8=1,IF(Reales!$C$67="PYG",IF(AS$10&gt;0,N(Reales!AS67)/AS$10,0),N(Reales!AS67)),AS$238)</f>
        <v>8959.9877189178078</v>
      </c>
      <c r="AT254" s="48">
        <f>IF(AT$8=1,IF(Reales!$C$67="PYG",IF(AT$10&gt;0,N(Reales!AT67)/AT$10,0),N(Reales!AT67)),AT$238)</f>
        <v>8959.9877189178078</v>
      </c>
      <c r="AU254" s="48">
        <f>IF(AU$8=1,IF(Reales!$C$67="PYG",IF(AU$10&gt;0,N(Reales!AU67)/AU$10,0),N(Reales!AU67)),AU$238)</f>
        <v>8959.9877189178078</v>
      </c>
      <c r="AV254" s="48">
        <f>IF(AV$8=1,IF(Reales!$C$67="PYG",IF(AV$10&gt;0,N(Reales!AV67)/AV$10,0),N(Reales!AV67)),AV$238)</f>
        <v>8959.9877189178078</v>
      </c>
      <c r="AW254" s="48">
        <f>IF(AW$8=1,IF(Reales!$C$67="PYG",IF(AW$10&gt;0,N(Reales!AW67)/AW$10,0),N(Reales!AW67)),AW$238)</f>
        <v>8959.9877189178078</v>
      </c>
      <c r="AX254" s="48">
        <f>IF(AX$8=1,IF(Reales!$C$67="PYG",IF(AX$10&gt;0,N(Reales!AX67)/AX$10,0),N(Reales!AX67)),AX$238)</f>
        <v>8959.9877189178078</v>
      </c>
      <c r="AY254" s="48">
        <f>IF(AY$8=1,IF(Reales!$C$67="PYG",IF(AY$10&gt;0,N(Reales!AY67)/AY$10,0),N(Reales!AY67)),AY$238)</f>
        <v>8959.9877189178078</v>
      </c>
      <c r="AZ254" s="48">
        <f>IF(AZ$8=1,IF(Reales!$C$67="PYG",IF(AZ$10&gt;0,N(Reales!AZ67)/AZ$10,0),N(Reales!AZ67)),AZ$238)</f>
        <v>8959.9877189178078</v>
      </c>
      <c r="BA254" s="48">
        <f>IF(BA$8=1,IF(Reales!$C$67="PYG",IF(BA$10&gt;0,N(Reales!BA67)/BA$10,0),N(Reales!BA67)),BA$238)</f>
        <v>8959.9877189178078</v>
      </c>
      <c r="BB254" s="48">
        <f>IF(BB$8=1,IF(Reales!$C$67="PYG",IF(BB$10&gt;0,N(Reales!BB67)/BB$10,0),N(Reales!BB67)),BB$238)</f>
        <v>8959.9877189178078</v>
      </c>
      <c r="BC254" s="48">
        <f>IF(BC$8=1,IF(Reales!$C$67="PYG",IF(BC$10&gt;0,N(Reales!BC67)/BC$10,0),N(Reales!BC67)),BC$238)</f>
        <v>8959.9877189178078</v>
      </c>
      <c r="BD254" s="48">
        <f>IF(BD$8=1,IF(Reales!$C$67="PYG",IF(BD$10&gt;0,N(Reales!BD67)/BD$10,0),N(Reales!BD67)),BD$238)</f>
        <v>8959.9877189178078</v>
      </c>
      <c r="BE254" s="48">
        <f>IF(BE$8=1,IF(Reales!$C$67="PYG",IF(BE$10&gt;0,N(Reales!BE67)/BE$10,0),N(Reales!BE67)),BE$238)</f>
        <v>8959.9877189178078</v>
      </c>
      <c r="BF254" s="48">
        <f>IF(BF$8=1,IF(Reales!$C$67="PYG",IF(BF$10&gt;0,N(Reales!BF67)/BF$10,0),N(Reales!BF67)),BF$238)</f>
        <v>8959.9877189178078</v>
      </c>
      <c r="BG254" s="48">
        <f>IF(BG$8=1,IF(Reales!$C$67="PYG",IF(BG$10&gt;0,N(Reales!BG67)/BG$10,0),N(Reales!BG67)),BG$238)</f>
        <v>8959.9877189178078</v>
      </c>
      <c r="BH254" s="48">
        <f>IF(BH$8=1,IF(Reales!$C$67="PYG",IF(BH$10&gt;0,N(Reales!BH67)/BH$10,0),N(Reales!BH67)),BH$238)</f>
        <v>8959.9877189178078</v>
      </c>
      <c r="BI254" s="48">
        <f>IF(BI$8=1,IF(Reales!$C$67="PYG",IF(BI$10&gt;0,N(Reales!BI67)/BI$10,0),N(Reales!BI67)),BI$238)</f>
        <v>8959.9877189178078</v>
      </c>
      <c r="BJ254" s="48">
        <f>IF(BJ$8=1,IF(Reales!$C$67="PYG",IF(BJ$10&gt;0,N(Reales!BJ67)/BJ$10,0),N(Reales!BJ67)),BJ$238)</f>
        <v>8959.9877189178078</v>
      </c>
      <c r="BK254" s="48">
        <f>IF(BK$8=1,IF(Reales!$C$67="PYG",IF(BK$10&gt;0,N(Reales!BK67)/BK$10,0),N(Reales!BK67)),BK$238)</f>
        <v>8959.9877189178078</v>
      </c>
      <c r="BL254" s="48">
        <f>IF(BL$8=1,IF(Reales!$C$67="PYG",IF(BL$10&gt;0,N(Reales!BL67)/BL$10,0),N(Reales!BL67)),BL$238)</f>
        <v>8959.9877189178078</v>
      </c>
      <c r="BM254" s="48">
        <f>IF(BM$8=1,IF(Reales!$C$67="PYG",IF(BM$10&gt;0,N(Reales!BM67)/BM$10,0),N(Reales!BM67)),BM$238)</f>
        <v>8959.9877189178078</v>
      </c>
      <c r="BN254" s="48">
        <f>IF(BN$8=1,IF(Reales!$C$67="PYG",IF(BN$10&gt;0,N(Reales!BN67)/BN$10,0),N(Reales!BN67)),BN$238)</f>
        <v>8959.9877189178078</v>
      </c>
      <c r="BO254" s="48">
        <f>IF(BO$8=1,IF(Reales!$C$67="PYG",IF(BO$10&gt;0,N(Reales!BO67)/BO$10,0),N(Reales!BO67)),BO$238)</f>
        <v>8959.9877189178078</v>
      </c>
      <c r="BP254" s="48">
        <f>IF(BP$8=1,IF(Reales!$C$67="PYG",IF(BP$10&gt;0,N(Reales!BP67)/BP$10,0),N(Reales!BP67)),BP$238)</f>
        <v>8959.9877189178078</v>
      </c>
      <c r="BQ254" s="48">
        <f>IF(BQ$8=1,IF(Reales!$C$67="PYG",IF(BQ$10&gt;0,N(Reales!BQ67)/BQ$10,0),N(Reales!BQ67)),BQ$238)</f>
        <v>8959.9877189178078</v>
      </c>
      <c r="BR254" s="48">
        <f>IF(BR$8=1,IF(Reales!$C$67="PYG",IF(BR$10&gt;0,N(Reales!BR67)/BR$10,0),N(Reales!BR67)),BR$238)</f>
        <v>8959.9877189178078</v>
      </c>
      <c r="BS254" s="48">
        <f>IF(BS$8=1,IF(Reales!$C$67="PYG",IF(BS$10&gt;0,N(Reales!BS67)/BS$10,0),N(Reales!BS67)),BS$238)</f>
        <v>8959.9877189178078</v>
      </c>
      <c r="BT254" s="48">
        <f>IF(BT$8=1,IF(Reales!$C$67="PYG",IF(BT$10&gt;0,N(Reales!BT67)/BT$10,0),N(Reales!BT67)),BT$238)</f>
        <v>8959.9877189178078</v>
      </c>
      <c r="BU254" s="48">
        <f>IF(BU$8=1,IF(Reales!$C$67="PYG",IF(BU$10&gt;0,N(Reales!BU67)/BU$10,0),N(Reales!BU67)),BU$238)</f>
        <v>8959.9877189178078</v>
      </c>
      <c r="BV254" s="48">
        <f>IF(BV$8=1,IF(Reales!$C$67="PYG",IF(BV$10&gt;0,N(Reales!BV67)/BV$10,0),N(Reales!BV67)),BV$238)</f>
        <v>8959.9877189178078</v>
      </c>
      <c r="BW254" s="48">
        <f>IF(BW$8=1,IF(Reales!$C$67="PYG",IF(BW$10&gt;0,N(Reales!BW67)/BW$10,0),N(Reales!BW67)),BW$238)</f>
        <v>8959.9877189178078</v>
      </c>
      <c r="BX254" s="48">
        <f>IF(BX$8=1,IF(Reales!$C$67="PYG",IF(BX$10&gt;0,N(Reales!BX67)/BX$10,0),N(Reales!BX67)),BX$238)</f>
        <v>8959.9877189178078</v>
      </c>
      <c r="BY254" s="48">
        <f>IF(BY$8=1,IF(Reales!$C$67="PYG",IF(BY$10&gt;0,N(Reales!BY67)/BY$10,0),N(Reales!BY67)),BY$238)</f>
        <v>8959.9877189178078</v>
      </c>
      <c r="BZ254" s="48">
        <f>IF(BZ$8=1,IF(Reales!$C$67="PYG",IF(BZ$10&gt;0,N(Reales!BZ67)/BZ$10,0),N(Reales!BZ67)),BZ$238)</f>
        <v>8959.9877189178078</v>
      </c>
      <c r="CA254" s="48">
        <f>IF(CA$8=1,IF(Reales!$C$67="PYG",IF(CA$10&gt;0,N(Reales!CA67)/CA$10,0),N(Reales!CA67)),CA$238)</f>
        <v>8959.9877189178078</v>
      </c>
      <c r="CB254" s="48">
        <f>IF(CB$8=1,IF(Reales!$C$67="PYG",IF(CB$10&gt;0,N(Reales!CB67)/CB$10,0),N(Reales!CB67)),CB$238)</f>
        <v>8959.9877189178078</v>
      </c>
      <c r="CC254" s="48">
        <f>IF(CC$8=1,IF(Reales!$C$67="PYG",IF(CC$10&gt;0,N(Reales!CC67)/CC$10,0),N(Reales!CC67)),CC$238)</f>
        <v>8959.9877189178078</v>
      </c>
      <c r="CD254" s="48">
        <f>IF(CD$8=1,IF(Reales!$C$67="PYG",IF(CD$10&gt;0,N(Reales!CD67)/CD$10,0),N(Reales!CD67)),CD$238)</f>
        <v>8959.9877189178078</v>
      </c>
      <c r="CE254" s="48">
        <f>IF(CE$8=1,IF(Reales!$C$67="PYG",IF(CE$10&gt;0,N(Reales!CE67)/CE$10,0),N(Reales!CE67)),CE$238)</f>
        <v>8959.9877189178078</v>
      </c>
      <c r="CF254" s="48">
        <f>IF(CF$8=1,IF(Reales!$C$67="PYG",IF(CF$10&gt;0,N(Reales!CF67)/CF$10,0),N(Reales!CF67)),CF$238)</f>
        <v>8959.9877189178078</v>
      </c>
      <c r="CG254" s="48">
        <f>IF(CG$8=1,IF(Reales!$C$67="PYG",IF(CG$10&gt;0,N(Reales!CG67)/CG$10,0),N(Reales!CG67)),CG$238)</f>
        <v>8959.9877189178078</v>
      </c>
      <c r="CH254" s="48">
        <f>IF(CH$8=1,IF(Reales!$C$67="PYG",IF(CH$10&gt;0,N(Reales!CH67)/CH$10,0),N(Reales!CH67)),CH$238)</f>
        <v>8959.9877189178078</v>
      </c>
      <c r="CI254" s="48">
        <f>IF(CI$8=1,IF(Reales!$C$67="PYG",IF(CI$10&gt;0,N(Reales!CI67)/CI$10,0),N(Reales!CI67)),CI$238)</f>
        <v>8959.9877189178078</v>
      </c>
      <c r="CJ254" s="48">
        <f>IF(CJ$8=1,IF(Reales!$C$67="PYG",IF(CJ$10&gt;0,N(Reales!CJ67)/CJ$10,0),N(Reales!CJ67)),CJ$238)</f>
        <v>8959.9877189178078</v>
      </c>
      <c r="CK254" s="48">
        <f>IF(CK$8=1,IF(Reales!$C$67="PYG",IF(CK$10&gt;0,N(Reales!CK67)/CK$10,0),N(Reales!CK67)),CK$238)</f>
        <v>8959.9877189178078</v>
      </c>
      <c r="CL254" s="48">
        <f>IF(CL$8=1,IF(Reales!$C$67="PYG",IF(CL$10&gt;0,N(Reales!CL67)/CL$10,0),N(Reales!CL67)),CL$238)</f>
        <v>8959.9877189178078</v>
      </c>
      <c r="CM254" s="48">
        <f>IF(CM$8=1,IF(Reales!$C$67="PYG",IF(CM$10&gt;0,N(Reales!CM67)/CM$10,0),N(Reales!CM67)),CM$238)</f>
        <v>8959.9877189178078</v>
      </c>
      <c r="CN254" s="48">
        <f>IF(CN$8=1,IF(Reales!$C$67="PYG",IF(CN$10&gt;0,N(Reales!CN67)/CN$10,0),N(Reales!CN67)),CN$238)</f>
        <v>8959.9877189178078</v>
      </c>
      <c r="CO254" s="48">
        <f>IF(CO$8=1,IF(Reales!$C$67="PYG",IF(CO$10&gt;0,N(Reales!CO67)/CO$10,0),N(Reales!CO67)),CO$238)</f>
        <v>8959.9877189178078</v>
      </c>
      <c r="CP254" s="48">
        <f>IF(CP$8=1,IF(Reales!$C$67="PYG",IF(CP$10&gt;0,N(Reales!CP67)/CP$10,0),N(Reales!CP67)),CP$238)</f>
        <v>8959.9877189178078</v>
      </c>
      <c r="CQ254" s="48">
        <f>IF(CQ$8=1,IF(Reales!$C$67="PYG",IF(CQ$10&gt;0,N(Reales!CQ67)/CQ$10,0),N(Reales!CQ67)),CQ$238)</f>
        <v>8959.9877189178078</v>
      </c>
      <c r="CR254" s="48">
        <f>IF(CR$8=1,IF(Reales!$C$67="PYG",IF(CR$10&gt;0,N(Reales!CR67)/CR$10,0),N(Reales!CR67)),CR$238)</f>
        <v>8959.9877189178078</v>
      </c>
      <c r="CS254" s="48">
        <f>IF(CS$8=1,IF(Reales!$C$67="PYG",IF(CS$10&gt;0,N(Reales!CS67)/CS$10,0),N(Reales!CS67)),CS$238)</f>
        <v>8959.9877189178078</v>
      </c>
      <c r="CT254" s="48">
        <f>IF(CT$8=1,IF(Reales!$C$67="PYG",IF(CT$10&gt;0,N(Reales!CT67)/CT$10,0),N(Reales!CT67)),CT$238)</f>
        <v>8959.9877189178078</v>
      </c>
      <c r="CU254" s="48">
        <f>IF(CU$8=1,IF(Reales!$C$67="PYG",IF(CU$10&gt;0,N(Reales!CU67)/CU$10,0),N(Reales!CU67)),CU$238)</f>
        <v>8959.9877189178078</v>
      </c>
      <c r="CV254" s="48">
        <f>IF(CV$8=1,IF(Reales!$C$67="PYG",IF(CV$10&gt;0,N(Reales!CV67)/CV$10,0),N(Reales!CV67)),CV$238)</f>
        <v>8959.9877189178078</v>
      </c>
      <c r="CW254" s="48">
        <f>IF(CW$8=1,IF(Reales!$C$67="PYG",IF(CW$10&gt;0,N(Reales!CW67)/CW$10,0),N(Reales!CW67)),CW$238)</f>
        <v>8959.9877189178078</v>
      </c>
      <c r="CX254" s="48">
        <f>IF(CX$8=1,IF(Reales!$C$67="PYG",IF(CX$10&gt;0,N(Reales!CX67)/CX$10,0),N(Reales!CX67)),CX$238)</f>
        <v>8959.9877189178078</v>
      </c>
      <c r="CY254" s="48">
        <f>IF(CY$8=1,IF(Reales!$C$67="PYG",IF(CY$10&gt;0,N(Reales!CY67)/CY$10,0),N(Reales!CY67)),CY$238)</f>
        <v>8959.9877189178078</v>
      </c>
      <c r="CZ254" s="48">
        <f>IF(CZ$8=1,IF(Reales!$C$67="PYG",IF(CZ$10&gt;0,N(Reales!CZ67)/CZ$10,0),N(Reales!CZ67)),CZ$238)</f>
        <v>8959.9877189178078</v>
      </c>
      <c r="DA254" s="48">
        <f>IF(DA$8=1,IF(Reales!$C$67="PYG",IF(DA$10&gt;0,N(Reales!DA67)/DA$10,0),N(Reales!DA67)),DA$238)</f>
        <v>8959.9877189178078</v>
      </c>
      <c r="DB254" s="48">
        <f>IF(DB$8=1,IF(Reales!$C$67="PYG",IF(DB$10&gt;0,N(Reales!DB67)/DB$10,0),N(Reales!DB67)),DB$238)</f>
        <v>8959.9877189178078</v>
      </c>
      <c r="DC254" s="48">
        <f>IF(DC$8=1,IF(Reales!$C$67="PYG",IF(DC$10&gt;0,N(Reales!DC67)/DC$10,0),N(Reales!DC67)),DC$238)</f>
        <v>8959.9877189178078</v>
      </c>
      <c r="DD254" s="48">
        <f>IF(DD$8=1,IF(Reales!$C$67="PYG",IF(DD$10&gt;0,N(Reales!DD67)/DD$10,0),N(Reales!DD67)),DD$238)</f>
        <v>8959.9877189178078</v>
      </c>
      <c r="DE254" s="48">
        <f>IF(DE$8=1,IF(Reales!$C$67="PYG",IF(DE$10&gt;0,N(Reales!DE67)/DE$10,0),N(Reales!DE67)),DE$238)</f>
        <v>8959.9877189178078</v>
      </c>
      <c r="DF254" s="48">
        <f>IF(DF$8=1,IF(Reales!$C$67="PYG",IF(DF$10&gt;0,N(Reales!DF67)/DF$10,0),N(Reales!DF67)),DF$238)</f>
        <v>8959.9877189178078</v>
      </c>
      <c r="DG254" s="48">
        <f>IF(DG$8=1,IF(Reales!$C$67="PYG",IF(DG$10&gt;0,N(Reales!DG67)/DG$10,0),N(Reales!DG67)),DG$238)</f>
        <v>8959.9877189178078</v>
      </c>
      <c r="DH254" s="48">
        <f>IF(DH$8=1,IF(Reales!$C$67="PYG",IF(DH$10&gt;0,N(Reales!DH67)/DH$10,0),N(Reales!DH67)),DH$238)</f>
        <v>8959.9877189178078</v>
      </c>
      <c r="DI254" s="48">
        <f>IF(DI$8=1,IF(Reales!$C$67="PYG",IF(DI$10&gt;0,N(Reales!DI67)/DI$10,0),N(Reales!DI67)),DI$238)</f>
        <v>8959.9877189178078</v>
      </c>
      <c r="DJ254" s="48">
        <f>IF(DJ$8=1,IF(Reales!$C$67="PYG",IF(DJ$10&gt;0,N(Reales!DJ67)/DJ$10,0),N(Reales!DJ67)),DJ$238)</f>
        <v>8959.9877189178078</v>
      </c>
      <c r="DK254" s="48">
        <f>IF(DK$8=1,IF(Reales!$C$67="PYG",IF(DK$10&gt;0,N(Reales!DK67)/DK$10,0),N(Reales!DK67)),DK$238)</f>
        <v>8959.9877189178078</v>
      </c>
      <c r="DL254" s="48">
        <f>IF(DL$8=1,IF(Reales!$C$67="PYG",IF(DL$10&gt;0,N(Reales!DL67)/DL$10,0),N(Reales!DL67)),DL$238)</f>
        <v>8959.9877189178078</v>
      </c>
      <c r="DM254" s="48">
        <f>IF(DM$8=1,IF(Reales!$C$67="PYG",IF(DM$10&gt;0,N(Reales!DM67)/DM$10,0),N(Reales!DM67)),DM$238)</f>
        <v>8959.9877189178078</v>
      </c>
      <c r="DN254" s="48">
        <f>IF(DN$8=1,IF(Reales!$C$67="PYG",IF(DN$10&gt;0,N(Reales!DN67)/DN$10,0),N(Reales!DN67)),DN$238)</f>
        <v>8959.9877189178078</v>
      </c>
      <c r="DO254" s="48">
        <f>IF(DO$8=1,IF(Reales!$C$67="PYG",IF(DO$10&gt;0,N(Reales!DO67)/DO$10,0),N(Reales!DO67)),DO$238)</f>
        <v>8959.9877189178078</v>
      </c>
      <c r="DP254" s="48">
        <f>IF(DP$8=1,IF(Reales!$C$67="PYG",IF(DP$10&gt;0,N(Reales!DP67)/DP$10,0),N(Reales!DP67)),DP$238)</f>
        <v>8959.9877189178078</v>
      </c>
      <c r="DQ254" s="48">
        <f>IF(DQ$8=1,IF(Reales!$C$67="PYG",IF(DQ$10&gt;0,N(Reales!DQ67)/DQ$10,0),N(Reales!DQ67)),DQ$238)</f>
        <v>8959.9877189178078</v>
      </c>
      <c r="DR254" s="48">
        <f>IF(DR$8=1,IF(Reales!$C$67="PYG",IF(DR$10&gt;0,N(Reales!DR67)/DR$10,0),N(Reales!DR67)),DR$238)</f>
        <v>8959.9877189178078</v>
      </c>
      <c r="DS254" s="48">
        <f>IF(DS$8=1,IF(Reales!$C$67="PYG",IF(DS$10&gt;0,N(Reales!DS67)/DS$10,0),N(Reales!DS67)),DS$238)</f>
        <v>8959.9877189178078</v>
      </c>
      <c r="DT254" s="48">
        <f>IF(DT$8=1,IF(Reales!$C$67="PYG",IF(DT$10&gt;0,N(Reales!DT67)/DT$10,0),N(Reales!DT67)),DT$238)</f>
        <v>8959.9877189178078</v>
      </c>
      <c r="DU254" s="48">
        <f>IF(DU$8=1,IF(Reales!$C$67="PYG",IF(DU$10&gt;0,N(Reales!DU67)/DU$10,0),N(Reales!DU67)),DU$238)</f>
        <v>8959.9877189178078</v>
      </c>
      <c r="DV254" s="48">
        <f>IF(DV$8=1,IF(Reales!$C$67="PYG",IF(DV$10&gt;0,N(Reales!DV67)/DV$10,0),N(Reales!DV67)),DV$238)</f>
        <v>0</v>
      </c>
      <c r="DW254" s="48">
        <f>IF(DW$8=1,IF(Reales!$C$67="PYG",IF(DW$10&gt;0,N(Reales!DW67)/DW$10,0),N(Reales!DW67)),DW$238)</f>
        <v>0</v>
      </c>
      <c r="DX254" s="48">
        <f>IF(DX$8=1,IF(Reales!$C$67="PYG",IF(DX$10&gt;0,N(Reales!DX67)/DX$10,0),N(Reales!DX67)),DX$238)</f>
        <v>0</v>
      </c>
      <c r="DY254" s="48">
        <f>IF(DY$8=1,IF(Reales!$C$67="PYG",IF(DY$10&gt;0,N(Reales!DY67)/DY$10,0),N(Reales!DY67)),DY$238)</f>
        <v>0</v>
      </c>
      <c r="DZ254" s="48">
        <f>IF(DZ$8=1,IF(Reales!$C$67="PYG",IF(DZ$10&gt;0,N(Reales!DZ67)/DZ$10,0),N(Reales!DZ67)),DZ$238)</f>
        <v>0</v>
      </c>
      <c r="EA254" s="48">
        <f>IF(EA$8=1,IF(Reales!$C$67="PYG",IF(EA$10&gt;0,N(Reales!EA67)/EA$10,0),N(Reales!EA67)),EA$238)</f>
        <v>0</v>
      </c>
      <c r="EB254" s="48">
        <f>IF(EB$8=1,IF(Reales!$C$67="PYG",IF(EB$10&gt;0,N(Reales!EB67)/EB$10,0),N(Reales!EB67)),EB$238)</f>
        <v>0</v>
      </c>
      <c r="EC254" s="48">
        <f>IF(EC$8=1,IF(Reales!$C$67="PYG",IF(EC$10&gt;0,N(Reales!EC67)/EC$10,0),N(Reales!EC67)),EC$238)</f>
        <v>0</v>
      </c>
      <c r="ED254" s="48">
        <f>IF(ED$8=1,IF(Reales!$C$67="PYG",IF(ED$10&gt;0,N(Reales!ED67)/ED$10,0),N(Reales!ED67)),ED$238)</f>
        <v>0</v>
      </c>
      <c r="EE254" s="48">
        <f>IF(EE$8=1,IF(Reales!$C$67="PYG",IF(EE$10&gt;0,N(Reales!EE67)/EE$10,0),N(Reales!EE67)),EE$238)</f>
        <v>0</v>
      </c>
      <c r="EF254" s="48">
        <f>IF(EF$8=1,IF(Reales!$C$67="PYG",IF(EF$10&gt;0,N(Reales!EF67)/EF$10,0),N(Reales!EF67)),EF$238)</f>
        <v>0</v>
      </c>
      <c r="EG254" s="48">
        <f>IF(EG$8=1,IF(Reales!$C$67="PYG",IF(EG$10&gt;0,N(Reales!EG67)/EG$10,0),N(Reales!EG67)),EG$238)</f>
        <v>0</v>
      </c>
      <c r="EH254" s="48">
        <f>IF(EH$8=1,IF(Reales!$C$67="PYG",IF(EH$10&gt;0,N(Reales!EH67)/EH$10,0),N(Reales!EH67)),EH$238)</f>
        <v>0</v>
      </c>
      <c r="EI254" s="48">
        <f>IF(EI$8=1,IF(Reales!$C$67="PYG",IF(EI$10&gt;0,N(Reales!EI67)/EI$10,0),N(Reales!EI67)),EI$238)</f>
        <v>0</v>
      </c>
      <c r="EJ254" s="48">
        <f>IF(EJ$8=1,IF(Reales!$C$67="PYG",IF(EJ$10&gt;0,N(Reales!EJ67)/EJ$10,0),N(Reales!EJ67)),EJ$238)</f>
        <v>0</v>
      </c>
      <c r="EK254" s="48">
        <f>IF(EK$8=1,IF(Reales!$C$67="PYG",IF(EK$10&gt;0,N(Reales!EK67)/EK$10,0),N(Reales!EK67)),EK$238)</f>
        <v>0</v>
      </c>
      <c r="EL254" s="48">
        <f>IF(EL$8=1,IF(Reales!$C$67="PYG",IF(EL$10&gt;0,N(Reales!EL67)/EL$10,0),N(Reales!EL67)),EL$238)</f>
        <v>0</v>
      </c>
      <c r="EM254" s="48">
        <f>IF(EM$8=1,IF(Reales!$C$67="PYG",IF(EM$10&gt;0,N(Reales!EM67)/EM$10,0),N(Reales!EM67)),EM$238)</f>
        <v>0</v>
      </c>
      <c r="EN254" s="48">
        <f>IF(EN$8=1,IF(Reales!$C$67="PYG",IF(EN$10&gt;0,N(Reales!EN67)/EN$10,0),N(Reales!EN67)),EN$238)</f>
        <v>0</v>
      </c>
      <c r="EO254" s="48">
        <f>IF(EO$8=1,IF(Reales!$C$67="PYG",IF(EO$10&gt;0,N(Reales!EO67)/EO$10,0),N(Reales!EO67)),EO$238)</f>
        <v>0</v>
      </c>
      <c r="EP254" s="48">
        <f>IF(EP$8=1,IF(Reales!$C$67="PYG",IF(EP$10&gt;0,N(Reales!EP67)/EP$10,0),N(Reales!EP67)),EP$238)</f>
        <v>0</v>
      </c>
      <c r="EQ254" s="48">
        <f>IF(EQ$8=1,IF(Reales!$C$67="PYG",IF(EQ$10&gt;0,N(Reales!EQ67)/EQ$10,0),N(Reales!EQ67)),EQ$238)</f>
        <v>0</v>
      </c>
      <c r="ER254" s="48">
        <f>IF(ER$8=1,IF(Reales!$C$67="PYG",IF(ER$10&gt;0,N(Reales!ER67)/ER$10,0),N(Reales!ER67)),ER$238)</f>
        <v>0</v>
      </c>
      <c r="ES254" s="48">
        <f>IF(ES$8=1,IF(Reales!$C$67="PYG",IF(ES$10&gt;0,N(Reales!ES67)/ES$10,0),N(Reales!ES67)),ES$238)</f>
        <v>0</v>
      </c>
    </row>
    <row r="255" spans="1:149" x14ac:dyDescent="0.3">
      <c r="A255" s="14" t="s">
        <v>1308</v>
      </c>
      <c r="B255" s="18" t="s">
        <v>1102</v>
      </c>
      <c r="C255" s="18" t="s">
        <v>439</v>
      </c>
      <c r="E255" s="54">
        <f t="shared" si="642"/>
        <v>3143993.4545886721</v>
      </c>
      <c r="F255" s="48">
        <f>IF(F$8=1,IF(Reales!$C$69="PYG",IF(F$10&gt;0,N(Reales!F69)/F$10,0),N(Reales!F69)),F$243+F$246)</f>
        <v>23597.31442704178</v>
      </c>
      <c r="G255" s="48">
        <f>IF(G$8=1,IF(Reales!$C$69="PYG",IF(G$10&gt;0,N(Reales!G69)/G$10,0),N(Reales!G69)),G$243+G$246)</f>
        <v>23597.31442704178</v>
      </c>
      <c r="H255" s="48">
        <f>IF(H$8=1,IF(Reales!$C$69="PYG",IF(H$10&gt;0,N(Reales!H69)/H$10,0),N(Reales!H69)),H$243+H$246)</f>
        <v>23597.31442704178</v>
      </c>
      <c r="I255" s="48">
        <f>IF(I$8=1,IF(Reales!$C$69="PYG",IF(I$10&gt;0,N(Reales!I69)/I$10,0),N(Reales!I69)),I$243+I$246)</f>
        <v>23597.31442704178</v>
      </c>
      <c r="J255" s="48">
        <f>IF(J$8=1,IF(Reales!$C$69="PYG",IF(J$10&gt;0,N(Reales!J69)/J$10,0),N(Reales!J69)),J$243+J$246)</f>
        <v>23597.31442704178</v>
      </c>
      <c r="K255" s="48">
        <f>IF(K$8=1,IF(Reales!$C$69="PYG",IF(K$10&gt;0,N(Reales!K69)/K$10,0),N(Reales!K69)),K$243+K$246)</f>
        <v>23597.31442704178</v>
      </c>
      <c r="L255" s="48">
        <f>IF(L$8=1,IF(Reales!$C$69="PYG",IF(L$10&gt;0,N(Reales!L69)/L$10,0),N(Reales!L69)),L$243+L$246)</f>
        <v>23597.31442704178</v>
      </c>
      <c r="M255" s="48">
        <f>IF(M$8=1,IF(Reales!$C$69="PYG",IF(M$10&gt;0,N(Reales!M69)/M$10,0),N(Reales!M69)),M$243+M$246)</f>
        <v>23597.31442704178</v>
      </c>
      <c r="N255" s="48">
        <f>IF(N$8=1,IF(Reales!$C$69="PYG",IF(N$10&gt;0,N(Reales!N69)/N$10,0),N(Reales!N69)),N$243+N$246)</f>
        <v>23597.31442704178</v>
      </c>
      <c r="O255" s="48">
        <f>IF(O$8=1,IF(Reales!$C$69="PYG",IF(O$10&gt;0,N(Reales!O69)/O$10,0),N(Reales!O69)),O$243+O$246)</f>
        <v>23597.31442704178</v>
      </c>
      <c r="P255" s="48">
        <f>IF(P$8=1,IF(Reales!$C$69="PYG",IF(P$10&gt;0,N(Reales!P69)/P$10,0),N(Reales!P69)),P$243+P$246)</f>
        <v>23597.31442704178</v>
      </c>
      <c r="Q255" s="48">
        <f>IF(Q$8=1,IF(Reales!$C$69="PYG",IF(Q$10&gt;0,N(Reales!Q69)/Q$10,0),N(Reales!Q69)),Q$243+Q$246)</f>
        <v>23597.31442704178</v>
      </c>
      <c r="R255" s="48">
        <f>IF(R$8=1,IF(Reales!$C$69="PYG",IF(R$10&gt;0,N(Reales!R69)/R$10,0),N(Reales!R69)),R$243+R$246)</f>
        <v>24130.684427041782</v>
      </c>
      <c r="S255" s="48">
        <f>IF(S$8=1,IF(Reales!$C$69="PYG",IF(S$10&gt;0,N(Reales!S69)/S$10,0),N(Reales!S69)),S$243+S$246)</f>
        <v>24130.684427041782</v>
      </c>
      <c r="T255" s="48">
        <f>IF(T$8=1,IF(Reales!$C$69="PYG",IF(T$10&gt;0,N(Reales!T69)/T$10,0),N(Reales!T69)),T$243+T$246)</f>
        <v>24130.684427041782</v>
      </c>
      <c r="U255" s="48">
        <f>IF(U$8=1,IF(Reales!$C$69="PYG",IF(U$10&gt;0,N(Reales!U69)/U$10,0),N(Reales!U69)),U$243+U$246)</f>
        <v>24130.684427041782</v>
      </c>
      <c r="V255" s="48">
        <f>IF(V$8=1,IF(Reales!$C$69="PYG",IF(V$10&gt;0,N(Reales!V69)/V$10,0),N(Reales!V69)),V$243+V$246)</f>
        <v>24130.684427041782</v>
      </c>
      <c r="W255" s="48">
        <f>IF(W$8=1,IF(Reales!$C$69="PYG",IF(W$10&gt;0,N(Reales!W69)/W$10,0),N(Reales!W69)),W$243+W$246)</f>
        <v>24130.684427041782</v>
      </c>
      <c r="X255" s="48">
        <f>IF(X$8=1,IF(Reales!$C$69="PYG",IF(X$10&gt;0,N(Reales!X69)/X$10,0),N(Reales!X69)),X$243+X$246)</f>
        <v>24130.684427041782</v>
      </c>
      <c r="Y255" s="48">
        <f>IF(Y$8=1,IF(Reales!$C$69="PYG",IF(Y$10&gt;0,N(Reales!Y69)/Y$10,0),N(Reales!Y69)),Y$243+Y$246)</f>
        <v>24130.684427041782</v>
      </c>
      <c r="Z255" s="48">
        <f>IF(Z$8=1,IF(Reales!$C$69="PYG",IF(Z$10&gt;0,N(Reales!Z69)/Z$10,0),N(Reales!Z69)),Z$243+Z$246)</f>
        <v>24130.684427041782</v>
      </c>
      <c r="AA255" s="48">
        <f>IF(AA$8=1,IF(Reales!$C$69="PYG",IF(AA$10&gt;0,N(Reales!AA69)/AA$10,0),N(Reales!AA69)),AA$243+AA$246)</f>
        <v>24130.684427041782</v>
      </c>
      <c r="AB255" s="48">
        <f>IF(AB$8=1,IF(Reales!$C$69="PYG",IF(AB$10&gt;0,N(Reales!AB69)/AB$10,0),N(Reales!AB69)),AB$243+AB$246)</f>
        <v>24130.684427041782</v>
      </c>
      <c r="AC255" s="48">
        <f>IF(AC$8=1,IF(Reales!$C$69="PYG",IF(AC$10&gt;0,N(Reales!AC69)/AC$10,0),N(Reales!AC69)),AC$243+AC$246)</f>
        <v>24130.684427041782</v>
      </c>
      <c r="AD255" s="48">
        <f>IF(AD$8=1,IF(Reales!$C$69="PYG",IF(AD$10&gt;0,N(Reales!AD69)/AD$10,0),N(Reales!AD69)),AD$243+AD$246)</f>
        <v>24680.055527041779</v>
      </c>
      <c r="AE255" s="48">
        <f>IF(AE$8=1,IF(Reales!$C$69="PYG",IF(AE$10&gt;0,N(Reales!AE69)/AE$10,0),N(Reales!AE69)),AE$243+AE$246)</f>
        <v>24680.055527041779</v>
      </c>
      <c r="AF255" s="48">
        <f>IF(AF$8=1,IF(Reales!$C$69="PYG",IF(AF$10&gt;0,N(Reales!AF69)/AF$10,0),N(Reales!AF69)),AF$243+AF$246)</f>
        <v>24680.055527041779</v>
      </c>
      <c r="AG255" s="48">
        <f>IF(AG$8=1,IF(Reales!$C$69="PYG",IF(AG$10&gt;0,N(Reales!AG69)/AG$10,0),N(Reales!AG69)),AG$243+AG$246)</f>
        <v>24680.055527041779</v>
      </c>
      <c r="AH255" s="48">
        <f>IF(AH$8=1,IF(Reales!$C$69="PYG",IF(AH$10&gt;0,N(Reales!AH69)/AH$10,0),N(Reales!AH69)),AH$243+AH$246)</f>
        <v>24680.055527041779</v>
      </c>
      <c r="AI255" s="48">
        <f>IF(AI$8=1,IF(Reales!$C$69="PYG",IF(AI$10&gt;0,N(Reales!AI69)/AI$10,0),N(Reales!AI69)),AI$243+AI$246)</f>
        <v>24680.055527041779</v>
      </c>
      <c r="AJ255" s="48">
        <f>IF(AJ$8=1,IF(Reales!$C$69="PYG",IF(AJ$10&gt;0,N(Reales!AJ69)/AJ$10,0),N(Reales!AJ69)),AJ$243+AJ$246)</f>
        <v>24680.055527041779</v>
      </c>
      <c r="AK255" s="48">
        <f>IF(AK$8=1,IF(Reales!$C$69="PYG",IF(AK$10&gt;0,N(Reales!AK69)/AK$10,0),N(Reales!AK69)),AK$243+AK$246)</f>
        <v>24680.055527041779</v>
      </c>
      <c r="AL255" s="48">
        <f>IF(AL$8=1,IF(Reales!$C$69="PYG",IF(AL$10&gt;0,N(Reales!AL69)/AL$10,0),N(Reales!AL69)),AL$243+AL$246)</f>
        <v>24680.055527041779</v>
      </c>
      <c r="AM255" s="48">
        <f>IF(AM$8=1,IF(Reales!$C$69="PYG",IF(AM$10&gt;0,N(Reales!AM69)/AM$10,0),N(Reales!AM69)),AM$243+AM$246)</f>
        <v>24680.055527041779</v>
      </c>
      <c r="AN255" s="48">
        <f>IF(AN$8=1,IF(Reales!$C$69="PYG",IF(AN$10&gt;0,N(Reales!AN69)/AN$10,0),N(Reales!AN69)),AN$243+AN$246)</f>
        <v>24680.055527041779</v>
      </c>
      <c r="AO255" s="48">
        <f>IF(AO$8=1,IF(Reales!$C$69="PYG",IF(AO$10&gt;0,N(Reales!AO69)/AO$10,0),N(Reales!AO69)),AO$243+AO$246)</f>
        <v>24680.055527041779</v>
      </c>
      <c r="AP255" s="48">
        <f>IF(AP$8=1,IF(Reales!$C$69="PYG",IF(AP$10&gt;0,N(Reales!AP69)/AP$10,0),N(Reales!AP69)),AP$243+AP$246)</f>
        <v>25245.907760041784</v>
      </c>
      <c r="AQ255" s="48">
        <f>IF(AQ$8=1,IF(Reales!$C$69="PYG",IF(AQ$10&gt;0,N(Reales!AQ69)/AQ$10,0),N(Reales!AQ69)),AQ$243+AQ$246)</f>
        <v>25245.907760041784</v>
      </c>
      <c r="AR255" s="48">
        <f>IF(AR$8=1,IF(Reales!$C$69="PYG",IF(AR$10&gt;0,N(Reales!AR69)/AR$10,0),N(Reales!AR69)),AR$243+AR$246)</f>
        <v>25245.907760041784</v>
      </c>
      <c r="AS255" s="48">
        <f>IF(AS$8=1,IF(Reales!$C$69="PYG",IF(AS$10&gt;0,N(Reales!AS69)/AS$10,0),N(Reales!AS69)),AS$243+AS$246)</f>
        <v>25245.907760041784</v>
      </c>
      <c r="AT255" s="48">
        <f>IF(AT$8=1,IF(Reales!$C$69="PYG",IF(AT$10&gt;0,N(Reales!AT69)/AT$10,0),N(Reales!AT69)),AT$243+AT$246)</f>
        <v>25245.907760041784</v>
      </c>
      <c r="AU255" s="48">
        <f>IF(AU$8=1,IF(Reales!$C$69="PYG",IF(AU$10&gt;0,N(Reales!AU69)/AU$10,0),N(Reales!AU69)),AU$243+AU$246)</f>
        <v>25245.907760041784</v>
      </c>
      <c r="AV255" s="48">
        <f>IF(AV$8=1,IF(Reales!$C$69="PYG",IF(AV$10&gt;0,N(Reales!AV69)/AV$10,0),N(Reales!AV69)),AV$243+AV$246)</f>
        <v>25245.907760041784</v>
      </c>
      <c r="AW255" s="48">
        <f>IF(AW$8=1,IF(Reales!$C$69="PYG",IF(AW$10&gt;0,N(Reales!AW69)/AW$10,0),N(Reales!AW69)),AW$243+AW$246)</f>
        <v>25245.907760041784</v>
      </c>
      <c r="AX255" s="48">
        <f>IF(AX$8=1,IF(Reales!$C$69="PYG",IF(AX$10&gt;0,N(Reales!AX69)/AX$10,0),N(Reales!AX69)),AX$243+AX$246)</f>
        <v>25245.907760041784</v>
      </c>
      <c r="AY255" s="48">
        <f>IF(AY$8=1,IF(Reales!$C$69="PYG",IF(AY$10&gt;0,N(Reales!AY69)/AY$10,0),N(Reales!AY69)),AY$243+AY$246)</f>
        <v>25245.907760041784</v>
      </c>
      <c r="AZ255" s="48">
        <f>IF(AZ$8=1,IF(Reales!$C$69="PYG",IF(AZ$10&gt;0,N(Reales!AZ69)/AZ$10,0),N(Reales!AZ69)),AZ$243+AZ$246)</f>
        <v>25245.907760041784</v>
      </c>
      <c r="BA255" s="48">
        <f>IF(BA$8=1,IF(Reales!$C$69="PYG",IF(BA$10&gt;0,N(Reales!BA69)/BA$10,0),N(Reales!BA69)),BA$243+BA$246)</f>
        <v>25245.907760041784</v>
      </c>
      <c r="BB255" s="48">
        <f>IF(BB$8=1,IF(Reales!$C$69="PYG",IF(BB$10&gt;0,N(Reales!BB69)/BB$10,0),N(Reales!BB69)),BB$243+BB$246)</f>
        <v>25828.735560031779</v>
      </c>
      <c r="BC255" s="48">
        <f>IF(BC$8=1,IF(Reales!$C$69="PYG",IF(BC$10&gt;0,N(Reales!BC69)/BC$10,0),N(Reales!BC69)),BC$243+BC$246)</f>
        <v>25828.735560031779</v>
      </c>
      <c r="BD255" s="48">
        <f>IF(BD$8=1,IF(Reales!$C$69="PYG",IF(BD$10&gt;0,N(Reales!BD69)/BD$10,0),N(Reales!BD69)),BD$243+BD$246)</f>
        <v>25828.735560031779</v>
      </c>
      <c r="BE255" s="48">
        <f>IF(BE$8=1,IF(Reales!$C$69="PYG",IF(BE$10&gt;0,N(Reales!BE69)/BE$10,0),N(Reales!BE69)),BE$243+BE$246)</f>
        <v>25828.735560031779</v>
      </c>
      <c r="BF255" s="48">
        <f>IF(BF$8=1,IF(Reales!$C$69="PYG",IF(BF$10&gt;0,N(Reales!BF69)/BF$10,0),N(Reales!BF69)),BF$243+BF$246)</f>
        <v>25828.735560031779</v>
      </c>
      <c r="BG255" s="48">
        <f>IF(BG$8=1,IF(Reales!$C$69="PYG",IF(BG$10&gt;0,N(Reales!BG69)/BG$10,0),N(Reales!BG69)),BG$243+BG$246)</f>
        <v>25828.735560031779</v>
      </c>
      <c r="BH255" s="48">
        <f>IF(BH$8=1,IF(Reales!$C$69="PYG",IF(BH$10&gt;0,N(Reales!BH69)/BH$10,0),N(Reales!BH69)),BH$243+BH$246)</f>
        <v>25828.735560031779</v>
      </c>
      <c r="BI255" s="48">
        <f>IF(BI$8=1,IF(Reales!$C$69="PYG",IF(BI$10&gt;0,N(Reales!BI69)/BI$10,0),N(Reales!BI69)),BI$243+BI$246)</f>
        <v>25828.735560031779</v>
      </c>
      <c r="BJ255" s="48">
        <f>IF(BJ$8=1,IF(Reales!$C$69="PYG",IF(BJ$10&gt;0,N(Reales!BJ69)/BJ$10,0),N(Reales!BJ69)),BJ$243+BJ$246)</f>
        <v>25828.735560031779</v>
      </c>
      <c r="BK255" s="48">
        <f>IF(BK$8=1,IF(Reales!$C$69="PYG",IF(BK$10&gt;0,N(Reales!BK69)/BK$10,0),N(Reales!BK69)),BK$243+BK$246)</f>
        <v>25828.735560031779</v>
      </c>
      <c r="BL255" s="48">
        <f>IF(BL$8=1,IF(Reales!$C$69="PYG",IF(BL$10&gt;0,N(Reales!BL69)/BL$10,0),N(Reales!BL69)),BL$243+BL$246)</f>
        <v>25828.735560031779</v>
      </c>
      <c r="BM255" s="48">
        <f>IF(BM$8=1,IF(Reales!$C$69="PYG",IF(BM$10&gt;0,N(Reales!BM69)/BM$10,0),N(Reales!BM69)),BM$243+BM$246)</f>
        <v>25828.735560031779</v>
      </c>
      <c r="BN255" s="48">
        <f>IF(BN$8=1,IF(Reales!$C$69="PYG",IF(BN$10&gt;0,N(Reales!BN69)/BN$10,0),N(Reales!BN69)),BN$243+BN$246)</f>
        <v>26429.048194021478</v>
      </c>
      <c r="BO255" s="48">
        <f>IF(BO$8=1,IF(Reales!$C$69="PYG",IF(BO$10&gt;0,N(Reales!BO69)/BO$10,0),N(Reales!BO69)),BO$243+BO$246)</f>
        <v>26429.048194021478</v>
      </c>
      <c r="BP255" s="48">
        <f>IF(BP$8=1,IF(Reales!$C$69="PYG",IF(BP$10&gt;0,N(Reales!BP69)/BP$10,0),N(Reales!BP69)),BP$243+BP$246)</f>
        <v>26429.048194021478</v>
      </c>
      <c r="BQ255" s="48">
        <f>IF(BQ$8=1,IF(Reales!$C$69="PYG",IF(BQ$10&gt;0,N(Reales!BQ69)/BQ$10,0),N(Reales!BQ69)),BQ$243+BQ$246)</f>
        <v>26429.048194021478</v>
      </c>
      <c r="BR255" s="48">
        <f>IF(BR$8=1,IF(Reales!$C$69="PYG",IF(BR$10&gt;0,N(Reales!BR69)/BR$10,0),N(Reales!BR69)),BR$243+BR$246)</f>
        <v>26429.048194021478</v>
      </c>
      <c r="BS255" s="48">
        <f>IF(BS$8=1,IF(Reales!$C$69="PYG",IF(BS$10&gt;0,N(Reales!BS69)/BS$10,0),N(Reales!BS69)),BS$243+BS$246)</f>
        <v>26429.048194021478</v>
      </c>
      <c r="BT255" s="48">
        <f>IF(BT$8=1,IF(Reales!$C$69="PYG",IF(BT$10&gt;0,N(Reales!BT69)/BT$10,0),N(Reales!BT69)),BT$243+BT$246)</f>
        <v>26429.048194021478</v>
      </c>
      <c r="BU255" s="48">
        <f>IF(BU$8=1,IF(Reales!$C$69="PYG",IF(BU$10&gt;0,N(Reales!BU69)/BU$10,0),N(Reales!BU69)),BU$243+BU$246)</f>
        <v>26429.048194021478</v>
      </c>
      <c r="BV255" s="48">
        <f>IF(BV$8=1,IF(Reales!$C$69="PYG",IF(BV$10&gt;0,N(Reales!BV69)/BV$10,0),N(Reales!BV69)),BV$243+BV$246)</f>
        <v>26429.048194021478</v>
      </c>
      <c r="BW255" s="48">
        <f>IF(BW$8=1,IF(Reales!$C$69="PYG",IF(BW$10&gt;0,N(Reales!BW69)/BW$10,0),N(Reales!BW69)),BW$243+BW$246)</f>
        <v>26429.048194021478</v>
      </c>
      <c r="BX255" s="48">
        <f>IF(BX$8=1,IF(Reales!$C$69="PYG",IF(BX$10&gt;0,N(Reales!BX69)/BX$10,0),N(Reales!BX69)),BX$243+BX$246)</f>
        <v>26429.048194021478</v>
      </c>
      <c r="BY255" s="48">
        <f>IF(BY$8=1,IF(Reales!$C$69="PYG",IF(BY$10&gt;0,N(Reales!BY69)/BY$10,0),N(Reales!BY69)),BY$243+BY$246)</f>
        <v>26429.048194021478</v>
      </c>
      <c r="BZ255" s="48">
        <f>IF(BZ$8=1,IF(Reales!$C$69="PYG",IF(BZ$10&gt;0,N(Reales!BZ69)/BZ$10,0),N(Reales!BZ69)),BZ$243+BZ$246)</f>
        <v>27047.370207030868</v>
      </c>
      <c r="CA255" s="48">
        <f>IF(CA$8=1,IF(Reales!$C$69="PYG",IF(CA$10&gt;0,N(Reales!CA69)/CA$10,0),N(Reales!CA69)),CA$243+CA$246)</f>
        <v>27047.370207030868</v>
      </c>
      <c r="CB255" s="48">
        <f>IF(CB$8=1,IF(Reales!$C$69="PYG",IF(CB$10&gt;0,N(Reales!CB69)/CB$10,0),N(Reales!CB69)),CB$243+CB$246)</f>
        <v>27047.370207030868</v>
      </c>
      <c r="CC255" s="48">
        <f>IF(CC$8=1,IF(Reales!$C$69="PYG",IF(CC$10&gt;0,N(Reales!CC69)/CC$10,0),N(Reales!CC69)),CC$243+CC$246)</f>
        <v>27047.370207030868</v>
      </c>
      <c r="CD255" s="48">
        <f>IF(CD$8=1,IF(Reales!$C$69="PYG",IF(CD$10&gt;0,N(Reales!CD69)/CD$10,0),N(Reales!CD69)),CD$243+CD$246)</f>
        <v>27047.370207030868</v>
      </c>
      <c r="CE255" s="48">
        <f>IF(CE$8=1,IF(Reales!$C$69="PYG",IF(CE$10&gt;0,N(Reales!CE69)/CE$10,0),N(Reales!CE69)),CE$243+CE$246)</f>
        <v>27047.370207030868</v>
      </c>
      <c r="CF255" s="48">
        <f>IF(CF$8=1,IF(Reales!$C$69="PYG",IF(CF$10&gt;0,N(Reales!CF69)/CF$10,0),N(Reales!CF69)),CF$243+CF$246)</f>
        <v>27047.370207030868</v>
      </c>
      <c r="CG255" s="48">
        <f>IF(CG$8=1,IF(Reales!$C$69="PYG",IF(CG$10&gt;0,N(Reales!CG69)/CG$10,0),N(Reales!CG69)),CG$243+CG$246)</f>
        <v>27047.370207030868</v>
      </c>
      <c r="CH255" s="48">
        <f>IF(CH$8=1,IF(Reales!$C$69="PYG",IF(CH$10&gt;0,N(Reales!CH69)/CH$10,0),N(Reales!CH69)),CH$243+CH$246)</f>
        <v>27047.370207030868</v>
      </c>
      <c r="CI255" s="48">
        <f>IF(CI$8=1,IF(Reales!$C$69="PYG",IF(CI$10&gt;0,N(Reales!CI69)/CI$10,0),N(Reales!CI69)),CI$243+CI$246)</f>
        <v>27047.370207030868</v>
      </c>
      <c r="CJ255" s="48">
        <f>IF(CJ$8=1,IF(Reales!$C$69="PYG",IF(CJ$10&gt;0,N(Reales!CJ69)/CJ$10,0),N(Reales!CJ69)),CJ$243+CJ$246)</f>
        <v>27047.370207030868</v>
      </c>
      <c r="CK255" s="48">
        <f>IF(CK$8=1,IF(Reales!$C$69="PYG",IF(CK$10&gt;0,N(Reales!CK69)/CK$10,0),N(Reales!CK69)),CK$243+CK$246)</f>
        <v>27047.370207030868</v>
      </c>
      <c r="CL255" s="48">
        <f>IF(CL$8=1,IF(Reales!$C$69="PYG",IF(CL$10&gt;0,N(Reales!CL69)/CL$10,0),N(Reales!CL69)),CL$243+CL$246)</f>
        <v>27684.241880430545</v>
      </c>
      <c r="CM255" s="48">
        <f>IF(CM$8=1,IF(Reales!$C$69="PYG",IF(CM$10&gt;0,N(Reales!CM69)/CM$10,0),N(Reales!CM69)),CM$243+CM$246)</f>
        <v>27684.241880430545</v>
      </c>
      <c r="CN255" s="48">
        <f>IF(CN$8=1,IF(Reales!$C$69="PYG",IF(CN$10&gt;0,N(Reales!CN69)/CN$10,0),N(Reales!CN69)),CN$243+CN$246)</f>
        <v>27684.241880430545</v>
      </c>
      <c r="CO255" s="48">
        <f>IF(CO$8=1,IF(Reales!$C$69="PYG",IF(CO$10&gt;0,N(Reales!CO69)/CO$10,0),N(Reales!CO69)),CO$243+CO$246)</f>
        <v>27684.241880430545</v>
      </c>
      <c r="CP255" s="48">
        <f>IF(CP$8=1,IF(Reales!$C$69="PYG",IF(CP$10&gt;0,N(Reales!CP69)/CP$10,0),N(Reales!CP69)),CP$243+CP$246)</f>
        <v>27684.241880430545</v>
      </c>
      <c r="CQ255" s="48">
        <f>IF(CQ$8=1,IF(Reales!$C$69="PYG",IF(CQ$10&gt;0,N(Reales!CQ69)/CQ$10,0),N(Reales!CQ69)),CQ$243+CQ$246)</f>
        <v>27684.241880430545</v>
      </c>
      <c r="CR255" s="48">
        <f>IF(CR$8=1,IF(Reales!$C$69="PYG",IF(CR$10&gt;0,N(Reales!CR69)/CR$10,0),N(Reales!CR69)),CR$243+CR$246)</f>
        <v>27684.241880430545</v>
      </c>
      <c r="CS255" s="48">
        <f>IF(CS$8=1,IF(Reales!$C$69="PYG",IF(CS$10&gt;0,N(Reales!CS69)/CS$10,0),N(Reales!CS69)),CS$243+CS$246)</f>
        <v>27684.241880430545</v>
      </c>
      <c r="CT255" s="48">
        <f>IF(CT$8=1,IF(Reales!$C$69="PYG",IF(CT$10&gt;0,N(Reales!CT69)/CT$10,0),N(Reales!CT69)),CT$243+CT$246)</f>
        <v>27684.241880430545</v>
      </c>
      <c r="CU255" s="48">
        <f>IF(CU$8=1,IF(Reales!$C$69="PYG",IF(CU$10&gt;0,N(Reales!CU69)/CU$10,0),N(Reales!CU69)),CU$243+CU$246)</f>
        <v>27684.241880430545</v>
      </c>
      <c r="CV255" s="48">
        <f>IF(CV$8=1,IF(Reales!$C$69="PYG",IF(CV$10&gt;0,N(Reales!CV69)/CV$10,0),N(Reales!CV69)),CV$243+CV$246)</f>
        <v>27684.241880430545</v>
      </c>
      <c r="CW255" s="48">
        <f>IF(CW$8=1,IF(Reales!$C$69="PYG",IF(CW$10&gt;0,N(Reales!CW69)/CW$10,0),N(Reales!CW69)),CW$243+CW$246)</f>
        <v>27684.241880430545</v>
      </c>
      <c r="CX255" s="48">
        <f>IF(CX$8=1,IF(Reales!$C$69="PYG",IF(CX$10&gt;0,N(Reales!CX69)/CX$10,0),N(Reales!CX69)),CX$243+CX$246)</f>
        <v>28340.219704032203</v>
      </c>
      <c r="CY255" s="48">
        <f>IF(CY$8=1,IF(Reales!$C$69="PYG",IF(CY$10&gt;0,N(Reales!CY69)/CY$10,0),N(Reales!CY69)),CY$243+CY$246)</f>
        <v>28340.219704032203</v>
      </c>
      <c r="CZ255" s="48">
        <f>IF(CZ$8=1,IF(Reales!$C$69="PYG",IF(CZ$10&gt;0,N(Reales!CZ69)/CZ$10,0),N(Reales!CZ69)),CZ$243+CZ$246)</f>
        <v>28340.219704032203</v>
      </c>
      <c r="DA255" s="48">
        <f>IF(DA$8=1,IF(Reales!$C$69="PYG",IF(DA$10&gt;0,N(Reales!DA69)/DA$10,0),N(Reales!DA69)),DA$243+DA$246)</f>
        <v>28340.219704032203</v>
      </c>
      <c r="DB255" s="48">
        <f>IF(DB$8=1,IF(Reales!$C$69="PYG",IF(DB$10&gt;0,N(Reales!DB69)/DB$10,0),N(Reales!DB69)),DB$243+DB$246)</f>
        <v>28340.219704032203</v>
      </c>
      <c r="DC255" s="48">
        <f>IF(DC$8=1,IF(Reales!$C$69="PYG",IF(DC$10&gt;0,N(Reales!DC69)/DC$10,0),N(Reales!DC69)),DC$243+DC$246)</f>
        <v>28340.219704032203</v>
      </c>
      <c r="DD255" s="48">
        <f>IF(DD$8=1,IF(Reales!$C$69="PYG",IF(DD$10&gt;0,N(Reales!DD69)/DD$10,0),N(Reales!DD69)),DD$243+DD$246)</f>
        <v>28340.219704032203</v>
      </c>
      <c r="DE255" s="48">
        <f>IF(DE$8=1,IF(Reales!$C$69="PYG",IF(DE$10&gt;0,N(Reales!DE69)/DE$10,0),N(Reales!DE69)),DE$243+DE$246)</f>
        <v>28340.219704032203</v>
      </c>
      <c r="DF255" s="48">
        <f>IF(DF$8=1,IF(Reales!$C$69="PYG",IF(DF$10&gt;0,N(Reales!DF69)/DF$10,0),N(Reales!DF69)),DF$243+DF$246)</f>
        <v>28340.219704032203</v>
      </c>
      <c r="DG255" s="48">
        <f>IF(DG$8=1,IF(Reales!$C$69="PYG",IF(DG$10&gt;0,N(Reales!DG69)/DG$10,0),N(Reales!DG69)),DG$243+DG$246)</f>
        <v>28340.219704032203</v>
      </c>
      <c r="DH255" s="48">
        <f>IF(DH$8=1,IF(Reales!$C$69="PYG",IF(DH$10&gt;0,N(Reales!DH69)/DH$10,0),N(Reales!DH69)),DH$243+DH$246)</f>
        <v>28340.219704032203</v>
      </c>
      <c r="DI255" s="48">
        <f>IF(DI$8=1,IF(Reales!$C$69="PYG",IF(DI$10&gt;0,N(Reales!DI69)/DI$10,0),N(Reales!DI69)),DI$243+DI$246)</f>
        <v>28340.219704032203</v>
      </c>
      <c r="DJ255" s="48">
        <f>IF(DJ$8=1,IF(Reales!$C$69="PYG",IF(DJ$10&gt;0,N(Reales!DJ69)/DJ$10,0),N(Reales!DJ69)),DJ$243+DJ$246)</f>
        <v>29015.87686234192</v>
      </c>
      <c r="DK255" s="48">
        <f>IF(DK$8=1,IF(Reales!$C$69="PYG",IF(DK$10&gt;0,N(Reales!DK69)/DK$10,0),N(Reales!DK69)),DK$243+DK$246)</f>
        <v>29015.87686234192</v>
      </c>
      <c r="DL255" s="48">
        <f>IF(DL$8=1,IF(Reales!$C$69="PYG",IF(DL$10&gt;0,N(Reales!DL69)/DL$10,0),N(Reales!DL69)),DL$243+DL$246)</f>
        <v>29015.87686234192</v>
      </c>
      <c r="DM255" s="48">
        <f>IF(DM$8=1,IF(Reales!$C$69="PYG",IF(DM$10&gt;0,N(Reales!DM69)/DM$10,0),N(Reales!DM69)),DM$243+DM$246)</f>
        <v>29015.87686234192</v>
      </c>
      <c r="DN255" s="48">
        <f>IF(DN$8=1,IF(Reales!$C$69="PYG",IF(DN$10&gt;0,N(Reales!DN69)/DN$10,0),N(Reales!DN69)),DN$243+DN$246)</f>
        <v>29015.87686234192</v>
      </c>
      <c r="DO255" s="48">
        <f>IF(DO$8=1,IF(Reales!$C$69="PYG",IF(DO$10&gt;0,N(Reales!DO69)/DO$10,0),N(Reales!DO69)),DO$243+DO$246)</f>
        <v>29015.87686234192</v>
      </c>
      <c r="DP255" s="48">
        <f>IF(DP$8=1,IF(Reales!$C$69="PYG",IF(DP$10&gt;0,N(Reales!DP69)/DP$10,0),N(Reales!DP69)),DP$243+DP$246)</f>
        <v>29015.87686234192</v>
      </c>
      <c r="DQ255" s="48">
        <f>IF(DQ$8=1,IF(Reales!$C$69="PYG",IF(DQ$10&gt;0,N(Reales!DQ69)/DQ$10,0),N(Reales!DQ69)),DQ$243+DQ$246)</f>
        <v>29015.87686234192</v>
      </c>
      <c r="DR255" s="48">
        <f>IF(DR$8=1,IF(Reales!$C$69="PYG",IF(DR$10&gt;0,N(Reales!DR69)/DR$10,0),N(Reales!DR69)),DR$243+DR$246)</f>
        <v>29015.87686234192</v>
      </c>
      <c r="DS255" s="48">
        <f>IF(DS$8=1,IF(Reales!$C$69="PYG",IF(DS$10&gt;0,N(Reales!DS69)/DS$10,0),N(Reales!DS69)),DS$243+DS$246)</f>
        <v>29015.87686234192</v>
      </c>
      <c r="DT255" s="48">
        <f>IF(DT$8=1,IF(Reales!$C$69="PYG",IF(DT$10&gt;0,N(Reales!DT69)/DT$10,0),N(Reales!DT69)),DT$243+DT$246)</f>
        <v>29015.87686234192</v>
      </c>
      <c r="DU255" s="48">
        <f>IF(DU$8=1,IF(Reales!$C$69="PYG",IF(DU$10&gt;0,N(Reales!DU69)/DU$10,0),N(Reales!DU69)),DU$243+DU$246)</f>
        <v>29015.87686234192</v>
      </c>
      <c r="DV255" s="48">
        <f>IF(DV$8=1,IF(Reales!$C$69="PYG",IF(DV$10&gt;0,N(Reales!DV69)/DV$10,0),N(Reales!DV69)),DV$243+DV$246)</f>
        <v>0</v>
      </c>
      <c r="DW255" s="48">
        <f>IF(DW$8=1,IF(Reales!$C$69="PYG",IF(DW$10&gt;0,N(Reales!DW69)/DW$10,0),N(Reales!DW69)),DW$243+DW$246)</f>
        <v>0</v>
      </c>
      <c r="DX255" s="48">
        <f>IF(DX$8=1,IF(Reales!$C$69="PYG",IF(DX$10&gt;0,N(Reales!DX69)/DX$10,0),N(Reales!DX69)),DX$243+DX$246)</f>
        <v>0</v>
      </c>
      <c r="DY255" s="48">
        <f>IF(DY$8=1,IF(Reales!$C$69="PYG",IF(DY$10&gt;0,N(Reales!DY69)/DY$10,0),N(Reales!DY69)),DY$243+DY$246)</f>
        <v>0</v>
      </c>
      <c r="DZ255" s="48">
        <f>IF(DZ$8=1,IF(Reales!$C$69="PYG",IF(DZ$10&gt;0,N(Reales!DZ69)/DZ$10,0),N(Reales!DZ69)),DZ$243+DZ$246)</f>
        <v>0</v>
      </c>
      <c r="EA255" s="48">
        <f>IF(EA$8=1,IF(Reales!$C$69="PYG",IF(EA$10&gt;0,N(Reales!EA69)/EA$10,0),N(Reales!EA69)),EA$243+EA$246)</f>
        <v>0</v>
      </c>
      <c r="EB255" s="48">
        <f>IF(EB$8=1,IF(Reales!$C$69="PYG",IF(EB$10&gt;0,N(Reales!EB69)/EB$10,0),N(Reales!EB69)),EB$243+EB$246)</f>
        <v>0</v>
      </c>
      <c r="EC255" s="48">
        <f>IF(EC$8=1,IF(Reales!$C$69="PYG",IF(EC$10&gt;0,N(Reales!EC69)/EC$10,0),N(Reales!EC69)),EC$243+EC$246)</f>
        <v>0</v>
      </c>
      <c r="ED255" s="48">
        <f>IF(ED$8=1,IF(Reales!$C$69="PYG",IF(ED$10&gt;0,N(Reales!ED69)/ED$10,0),N(Reales!ED69)),ED$243+ED$246)</f>
        <v>0</v>
      </c>
      <c r="EE255" s="48">
        <f>IF(EE$8=1,IF(Reales!$C$69="PYG",IF(EE$10&gt;0,N(Reales!EE69)/EE$10,0),N(Reales!EE69)),EE$243+EE$246)</f>
        <v>0</v>
      </c>
      <c r="EF255" s="48">
        <f>IF(EF$8=1,IF(Reales!$C$69="PYG",IF(EF$10&gt;0,N(Reales!EF69)/EF$10,0),N(Reales!EF69)),EF$243+EF$246)</f>
        <v>0</v>
      </c>
      <c r="EG255" s="48">
        <f>IF(EG$8=1,IF(Reales!$C$69="PYG",IF(EG$10&gt;0,N(Reales!EG69)/EG$10,0),N(Reales!EG69)),EG$243+EG$246)</f>
        <v>0</v>
      </c>
      <c r="EH255" s="48">
        <f>IF(EH$8=1,IF(Reales!$C$69="PYG",IF(EH$10&gt;0,N(Reales!EH69)/EH$10,0),N(Reales!EH69)),EH$243+EH$246)</f>
        <v>0</v>
      </c>
      <c r="EI255" s="48">
        <f>IF(EI$8=1,IF(Reales!$C$69="PYG",IF(EI$10&gt;0,N(Reales!EI69)/EI$10,0),N(Reales!EI69)),EI$243+EI$246)</f>
        <v>0</v>
      </c>
      <c r="EJ255" s="48">
        <f>IF(EJ$8=1,IF(Reales!$C$69="PYG",IF(EJ$10&gt;0,N(Reales!EJ69)/EJ$10,0),N(Reales!EJ69)),EJ$243+EJ$246)</f>
        <v>0</v>
      </c>
      <c r="EK255" s="48">
        <f>IF(EK$8=1,IF(Reales!$C$69="PYG",IF(EK$10&gt;0,N(Reales!EK69)/EK$10,0),N(Reales!EK69)),EK$243+EK$246)</f>
        <v>0</v>
      </c>
      <c r="EL255" s="48">
        <f>IF(EL$8=1,IF(Reales!$C$69="PYG",IF(EL$10&gt;0,N(Reales!EL69)/EL$10,0),N(Reales!EL69)),EL$243+EL$246)</f>
        <v>0</v>
      </c>
      <c r="EM255" s="48">
        <f>IF(EM$8=1,IF(Reales!$C$69="PYG",IF(EM$10&gt;0,N(Reales!EM69)/EM$10,0),N(Reales!EM69)),EM$243+EM$246)</f>
        <v>0</v>
      </c>
      <c r="EN255" s="48">
        <f>IF(EN$8=1,IF(Reales!$C$69="PYG",IF(EN$10&gt;0,N(Reales!EN69)/EN$10,0),N(Reales!EN69)),EN$243+EN$246)</f>
        <v>0</v>
      </c>
      <c r="EO255" s="48">
        <f>IF(EO$8=1,IF(Reales!$C$69="PYG",IF(EO$10&gt;0,N(Reales!EO69)/EO$10,0),N(Reales!EO69)),EO$243+EO$246)</f>
        <v>0</v>
      </c>
      <c r="EP255" s="48">
        <f>IF(EP$8=1,IF(Reales!$C$69="PYG",IF(EP$10&gt;0,N(Reales!EP69)/EP$10,0),N(Reales!EP69)),EP$243+EP$246)</f>
        <v>0</v>
      </c>
      <c r="EQ255" s="48">
        <f>IF(EQ$8=1,IF(Reales!$C$69="PYG",IF(EQ$10&gt;0,N(Reales!EQ69)/EQ$10,0),N(Reales!EQ69)),EQ$243+EQ$246)</f>
        <v>0</v>
      </c>
      <c r="ER255" s="48">
        <f>IF(ER$8=1,IF(Reales!$C$69="PYG",IF(ER$10&gt;0,N(Reales!ER69)/ER$10,0),N(Reales!ER69)),ER$243+ER$246)</f>
        <v>0</v>
      </c>
      <c r="ES255" s="48">
        <f>IF(ES$8=1,IF(Reales!$C$69="PYG",IF(ES$10&gt;0,N(Reales!ES69)/ES$10,0),N(Reales!ES69)),ES$243+ES$246)</f>
        <v>0</v>
      </c>
    </row>
    <row r="256" spans="1:149" x14ac:dyDescent="0.3">
      <c r="A256" s="14" t="s">
        <v>1309</v>
      </c>
      <c r="B256" s="18" t="s">
        <v>943</v>
      </c>
      <c r="C256" s="18" t="s">
        <v>439</v>
      </c>
      <c r="E256" s="54">
        <f t="shared" si="642"/>
        <v>812224.47721645399</v>
      </c>
      <c r="F256" s="48">
        <f>IF(F$8=1,IF(Reales!$C$70="PYG",IF(F$10&gt;0,N(Reales!F70)/F$10,0),N(Reales!F70)),F$241)</f>
        <v>4041.6666666666665</v>
      </c>
      <c r="G256" s="48">
        <f>IF(G$8=1,IF(Reales!$C$70="PYG",IF(G$10&gt;0,N(Reales!G70)/G$10,0),N(Reales!G70)),G$241)</f>
        <v>4041.6666666666665</v>
      </c>
      <c r="H256" s="48">
        <f>IF(H$8=1,IF(Reales!$C$70="PYG",IF(H$10&gt;0,N(Reales!H70)/H$10,0),N(Reales!H70)),H$241)</f>
        <v>4041.6666666666665</v>
      </c>
      <c r="I256" s="48">
        <f>IF(I$8=1,IF(Reales!$C$70="PYG",IF(I$10&gt;0,N(Reales!I70)/I$10,0),N(Reales!I70)),I$241)</f>
        <v>4041.6666666666665</v>
      </c>
      <c r="J256" s="48">
        <f>IF(J$8=1,IF(Reales!$C$70="PYG",IF(J$10&gt;0,N(Reales!J70)/J$10,0),N(Reales!J70)),J$241)</f>
        <v>4041.6666666666665</v>
      </c>
      <c r="K256" s="48">
        <f>IF(K$8=1,IF(Reales!$C$70="PYG",IF(K$10&gt;0,N(Reales!K70)/K$10,0),N(Reales!K70)),K$241)</f>
        <v>4041.6666666666665</v>
      </c>
      <c r="L256" s="48">
        <f>IF(L$8=1,IF(Reales!$C$70="PYG",IF(L$10&gt;0,N(Reales!L70)/L$10,0),N(Reales!L70)),L$241)</f>
        <v>4041.6666666666665</v>
      </c>
      <c r="M256" s="48">
        <f>IF(M$8=1,IF(Reales!$C$70="PYG",IF(M$10&gt;0,N(Reales!M70)/M$10,0),N(Reales!M70)),M$241)</f>
        <v>4041.6666666666665</v>
      </c>
      <c r="N256" s="48">
        <f>IF(N$8=1,IF(Reales!$C$70="PYG",IF(N$10&gt;0,N(Reales!N70)/N$10,0),N(Reales!N70)),N$241)</f>
        <v>4041.6666666666665</v>
      </c>
      <c r="O256" s="48">
        <f>IF(O$8=1,IF(Reales!$C$70="PYG",IF(O$10&gt;0,N(Reales!O70)/O$10,0),N(Reales!O70)),O$241)</f>
        <v>4041.6666666666665</v>
      </c>
      <c r="P256" s="48">
        <f>IF(P$8=1,IF(Reales!$C$70="PYG",IF(P$10&gt;0,N(Reales!P70)/P$10,0),N(Reales!P70)),P$241)</f>
        <v>4041.6666666666665</v>
      </c>
      <c r="Q256" s="48">
        <f>IF(Q$8=1,IF(Reales!$C$70="PYG",IF(Q$10&gt;0,N(Reales!Q70)/Q$10,0),N(Reales!Q70)),Q$241)</f>
        <v>4041.6666666666665</v>
      </c>
      <c r="R256" s="48">
        <f>IF(R$8=1,IF(Reales!$C$70="PYG",IF(R$10&gt;0,N(Reales!R70)/R$10,0),N(Reales!R70)),R$241)</f>
        <v>5151</v>
      </c>
      <c r="S256" s="48">
        <f>IF(S$8=1,IF(Reales!$C$70="PYG",IF(S$10&gt;0,N(Reales!S70)/S$10,0),N(Reales!S70)),S$241)</f>
        <v>5151</v>
      </c>
      <c r="T256" s="48">
        <f>IF(T$8=1,IF(Reales!$C$70="PYG",IF(T$10&gt;0,N(Reales!T70)/T$10,0),N(Reales!T70)),T$241)</f>
        <v>5151</v>
      </c>
      <c r="U256" s="48">
        <f>IF(U$8=1,IF(Reales!$C$70="PYG",IF(U$10&gt;0,N(Reales!U70)/U$10,0),N(Reales!U70)),U$241)</f>
        <v>5151</v>
      </c>
      <c r="V256" s="48">
        <f>IF(V$8=1,IF(Reales!$C$70="PYG",IF(V$10&gt;0,N(Reales!V70)/V$10,0),N(Reales!V70)),V$241)</f>
        <v>5151</v>
      </c>
      <c r="W256" s="48">
        <f>IF(W$8=1,IF(Reales!$C$70="PYG",IF(W$10&gt;0,N(Reales!W70)/W$10,0),N(Reales!W70)),W$241)</f>
        <v>5151</v>
      </c>
      <c r="X256" s="48">
        <f>IF(X$8=1,IF(Reales!$C$70="PYG",IF(X$10&gt;0,N(Reales!X70)/X$10,0),N(Reales!X70)),X$241)</f>
        <v>5151</v>
      </c>
      <c r="Y256" s="48">
        <f>IF(Y$8=1,IF(Reales!$C$70="PYG",IF(Y$10&gt;0,N(Reales!Y70)/Y$10,0),N(Reales!Y70)),Y$241)</f>
        <v>5151</v>
      </c>
      <c r="Z256" s="48">
        <f>IF(Z$8=1,IF(Reales!$C$70="PYG",IF(Z$10&gt;0,N(Reales!Z70)/Z$10,0),N(Reales!Z70)),Z$241)</f>
        <v>5151</v>
      </c>
      <c r="AA256" s="48">
        <f>IF(AA$8=1,IF(Reales!$C$70="PYG",IF(AA$10&gt;0,N(Reales!AA70)/AA$10,0),N(Reales!AA70)),AA$241)</f>
        <v>5151</v>
      </c>
      <c r="AB256" s="48">
        <f>IF(AB$8=1,IF(Reales!$C$70="PYG",IF(AB$10&gt;0,N(Reales!AB70)/AB$10,0),N(Reales!AB70)),AB$241)</f>
        <v>5151</v>
      </c>
      <c r="AC256" s="48">
        <f>IF(AC$8=1,IF(Reales!$C$70="PYG",IF(AC$10&gt;0,N(Reales!AC70)/AC$10,0),N(Reales!AC70)),AC$241)</f>
        <v>5151</v>
      </c>
      <c r="AD256" s="48">
        <f>IF(AD$8=1,IF(Reales!$C$70="PYG",IF(AD$10&gt;0,N(Reales!AD70)/AD$10,0),N(Reales!AD70)),AD$241)</f>
        <v>6282.1158333333342</v>
      </c>
      <c r="AE256" s="48">
        <f>IF(AE$8=1,IF(Reales!$C$70="PYG",IF(AE$10&gt;0,N(Reales!AE70)/AE$10,0),N(Reales!AE70)),AE$241)</f>
        <v>6282.1158333333342</v>
      </c>
      <c r="AF256" s="48">
        <f>IF(AF$8=1,IF(Reales!$C$70="PYG",IF(AF$10&gt;0,N(Reales!AF70)/AF$10,0),N(Reales!AF70)),AF$241)</f>
        <v>6282.1158333333342</v>
      </c>
      <c r="AG256" s="48">
        <f>IF(AG$8=1,IF(Reales!$C$70="PYG",IF(AG$10&gt;0,N(Reales!AG70)/AG$10,0),N(Reales!AG70)),AG$241)</f>
        <v>6282.1158333333342</v>
      </c>
      <c r="AH256" s="48">
        <f>IF(AH$8=1,IF(Reales!$C$70="PYG",IF(AH$10&gt;0,N(Reales!AH70)/AH$10,0),N(Reales!AH70)),AH$241)</f>
        <v>6282.1158333333342</v>
      </c>
      <c r="AI256" s="48">
        <f>IF(AI$8=1,IF(Reales!$C$70="PYG",IF(AI$10&gt;0,N(Reales!AI70)/AI$10,0),N(Reales!AI70)),AI$241)</f>
        <v>6282.1158333333342</v>
      </c>
      <c r="AJ256" s="48">
        <f>IF(AJ$8=1,IF(Reales!$C$70="PYG",IF(AJ$10&gt;0,N(Reales!AJ70)/AJ$10,0),N(Reales!AJ70)),AJ$241)</f>
        <v>6282.1158333333342</v>
      </c>
      <c r="AK256" s="48">
        <f>IF(AK$8=1,IF(Reales!$C$70="PYG",IF(AK$10&gt;0,N(Reales!AK70)/AK$10,0),N(Reales!AK70)),AK$241)</f>
        <v>6282.1158333333342</v>
      </c>
      <c r="AL256" s="48">
        <f>IF(AL$8=1,IF(Reales!$C$70="PYG",IF(AL$10&gt;0,N(Reales!AL70)/AL$10,0),N(Reales!AL70)),AL$241)</f>
        <v>6282.1158333333342</v>
      </c>
      <c r="AM256" s="48">
        <f>IF(AM$8=1,IF(Reales!$C$70="PYG",IF(AM$10&gt;0,N(Reales!AM70)/AM$10,0),N(Reales!AM70)),AM$241)</f>
        <v>6282.1158333333342</v>
      </c>
      <c r="AN256" s="48">
        <f>IF(AN$8=1,IF(Reales!$C$70="PYG",IF(AN$10&gt;0,N(Reales!AN70)/AN$10,0),N(Reales!AN70)),AN$241)</f>
        <v>6282.1158333333342</v>
      </c>
      <c r="AO256" s="48">
        <f>IF(AO$8=1,IF(Reales!$C$70="PYG",IF(AO$10&gt;0,N(Reales!AO70)/AO$10,0),N(Reales!AO70)),AO$241)</f>
        <v>6282.1158333333342</v>
      </c>
      <c r="AP256" s="48">
        <f>IF(AP$8=1,IF(Reales!$C$70="PYG",IF(AP$10&gt;0,N(Reales!AP70)/AP$10,0),N(Reales!AP70)),AP$241)</f>
        <v>7237.864524999999</v>
      </c>
      <c r="AQ256" s="48">
        <f>IF(AQ$8=1,IF(Reales!$C$70="PYG",IF(AQ$10&gt;0,N(Reales!AQ70)/AQ$10,0),N(Reales!AQ70)),AQ$241)</f>
        <v>7237.864524999999</v>
      </c>
      <c r="AR256" s="48">
        <f>IF(AR$8=1,IF(Reales!$C$70="PYG",IF(AR$10&gt;0,N(Reales!AR70)/AR$10,0),N(Reales!AR70)),AR$241)</f>
        <v>7237.864524999999</v>
      </c>
      <c r="AS256" s="48">
        <f>IF(AS$8=1,IF(Reales!$C$70="PYG",IF(AS$10&gt;0,N(Reales!AS70)/AS$10,0),N(Reales!AS70)),AS$241)</f>
        <v>7237.864524999999</v>
      </c>
      <c r="AT256" s="48">
        <f>IF(AT$8=1,IF(Reales!$C$70="PYG",IF(AT$10&gt;0,N(Reales!AT70)/AT$10,0),N(Reales!AT70)),AT$241)</f>
        <v>7237.864524999999</v>
      </c>
      <c r="AU256" s="48">
        <f>IF(AU$8=1,IF(Reales!$C$70="PYG",IF(AU$10&gt;0,N(Reales!AU70)/AU$10,0),N(Reales!AU70)),AU$241)</f>
        <v>7237.864524999999</v>
      </c>
      <c r="AV256" s="48">
        <f>IF(AV$8=1,IF(Reales!$C$70="PYG",IF(AV$10&gt;0,N(Reales!AV70)/AV$10,0),N(Reales!AV70)),AV$241)</f>
        <v>7237.864524999999</v>
      </c>
      <c r="AW256" s="48">
        <f>IF(AW$8=1,IF(Reales!$C$70="PYG",IF(AW$10&gt;0,N(Reales!AW70)/AW$10,0),N(Reales!AW70)),AW$241)</f>
        <v>7237.864524999999</v>
      </c>
      <c r="AX256" s="48">
        <f>IF(AX$8=1,IF(Reales!$C$70="PYG",IF(AX$10&gt;0,N(Reales!AX70)/AX$10,0),N(Reales!AX70)),AX$241)</f>
        <v>7237.864524999999</v>
      </c>
      <c r="AY256" s="48">
        <f>IF(AY$8=1,IF(Reales!$C$70="PYG",IF(AY$10&gt;0,N(Reales!AY70)/AY$10,0),N(Reales!AY70)),AY$241)</f>
        <v>7237.864524999999</v>
      </c>
      <c r="AZ256" s="48">
        <f>IF(AZ$8=1,IF(Reales!$C$70="PYG",IF(AZ$10&gt;0,N(Reales!AZ70)/AZ$10,0),N(Reales!AZ70)),AZ$241)</f>
        <v>7237.864524999999</v>
      </c>
      <c r="BA256" s="48">
        <f>IF(BA$8=1,IF(Reales!$C$70="PYG",IF(BA$10&gt;0,N(Reales!BA70)/BA$10,0),N(Reales!BA70)),BA$241)</f>
        <v>7237.864524999999</v>
      </c>
      <c r="BB256" s="48">
        <f>IF(BB$8=1,IF(Reales!$C$70="PYG",IF(BB$10&gt;0,N(Reales!BB70)/BB$10,0),N(Reales!BB70)),BB$241)</f>
        <v>7310.2431702500016</v>
      </c>
      <c r="BC256" s="48">
        <f>IF(BC$8=1,IF(Reales!$C$70="PYG",IF(BC$10&gt;0,N(Reales!BC70)/BC$10,0),N(Reales!BC70)),BC$241)</f>
        <v>7310.2431702500016</v>
      </c>
      <c r="BD256" s="48">
        <f>IF(BD$8=1,IF(Reales!$C$70="PYG",IF(BD$10&gt;0,N(Reales!BD70)/BD$10,0),N(Reales!BD70)),BD$241)</f>
        <v>7310.2431702500016</v>
      </c>
      <c r="BE256" s="48">
        <f>IF(BE$8=1,IF(Reales!$C$70="PYG",IF(BE$10&gt;0,N(Reales!BE70)/BE$10,0),N(Reales!BE70)),BE$241)</f>
        <v>7310.2431702500016</v>
      </c>
      <c r="BF256" s="48">
        <f>IF(BF$8=1,IF(Reales!$C$70="PYG",IF(BF$10&gt;0,N(Reales!BF70)/BF$10,0),N(Reales!BF70)),BF$241)</f>
        <v>7310.2431702500016</v>
      </c>
      <c r="BG256" s="48">
        <f>IF(BG$8=1,IF(Reales!$C$70="PYG",IF(BG$10&gt;0,N(Reales!BG70)/BG$10,0),N(Reales!BG70)),BG$241)</f>
        <v>7310.2431702500016</v>
      </c>
      <c r="BH256" s="48">
        <f>IF(BH$8=1,IF(Reales!$C$70="PYG",IF(BH$10&gt;0,N(Reales!BH70)/BH$10,0),N(Reales!BH70)),BH$241)</f>
        <v>7310.2431702500016</v>
      </c>
      <c r="BI256" s="48">
        <f>IF(BI$8=1,IF(Reales!$C$70="PYG",IF(BI$10&gt;0,N(Reales!BI70)/BI$10,0),N(Reales!BI70)),BI$241)</f>
        <v>7310.2431702500016</v>
      </c>
      <c r="BJ256" s="48">
        <f>IF(BJ$8=1,IF(Reales!$C$70="PYG",IF(BJ$10&gt;0,N(Reales!BJ70)/BJ$10,0),N(Reales!BJ70)),BJ$241)</f>
        <v>7310.2431702500016</v>
      </c>
      <c r="BK256" s="48">
        <f>IF(BK$8=1,IF(Reales!$C$70="PYG",IF(BK$10&gt;0,N(Reales!BK70)/BK$10,0),N(Reales!BK70)),BK$241)</f>
        <v>7310.2431702500016</v>
      </c>
      <c r="BL256" s="48">
        <f>IF(BL$8=1,IF(Reales!$C$70="PYG",IF(BL$10&gt;0,N(Reales!BL70)/BL$10,0),N(Reales!BL70)),BL$241)</f>
        <v>7310.2431702500016</v>
      </c>
      <c r="BM256" s="48">
        <f>IF(BM$8=1,IF(Reales!$C$70="PYG",IF(BM$10&gt;0,N(Reales!BM70)/BM$10,0),N(Reales!BM70)),BM$241)</f>
        <v>7310.2431702500016</v>
      </c>
      <c r="BN256" s="48">
        <f>IF(BN$8=1,IF(Reales!$C$70="PYG",IF(BN$10&gt;0,N(Reales!BN70)/BN$10,0),N(Reales!BN70)),BN$241)</f>
        <v>7383.3456019525001</v>
      </c>
      <c r="BO256" s="48">
        <f>IF(BO$8=1,IF(Reales!$C$70="PYG",IF(BO$10&gt;0,N(Reales!BO70)/BO$10,0),N(Reales!BO70)),BO$241)</f>
        <v>7383.3456019525001</v>
      </c>
      <c r="BP256" s="48">
        <f>IF(BP$8=1,IF(Reales!$C$70="PYG",IF(BP$10&gt;0,N(Reales!BP70)/BP$10,0),N(Reales!BP70)),BP$241)</f>
        <v>7383.3456019525001</v>
      </c>
      <c r="BQ256" s="48">
        <f>IF(BQ$8=1,IF(Reales!$C$70="PYG",IF(BQ$10&gt;0,N(Reales!BQ70)/BQ$10,0),N(Reales!BQ70)),BQ$241)</f>
        <v>7383.3456019525001</v>
      </c>
      <c r="BR256" s="48">
        <f>IF(BR$8=1,IF(Reales!$C$70="PYG",IF(BR$10&gt;0,N(Reales!BR70)/BR$10,0),N(Reales!BR70)),BR$241)</f>
        <v>7383.3456019525001</v>
      </c>
      <c r="BS256" s="48">
        <f>IF(BS$8=1,IF(Reales!$C$70="PYG",IF(BS$10&gt;0,N(Reales!BS70)/BS$10,0),N(Reales!BS70)),BS$241)</f>
        <v>7383.3456019525001</v>
      </c>
      <c r="BT256" s="48">
        <f>IF(BT$8=1,IF(Reales!$C$70="PYG",IF(BT$10&gt;0,N(Reales!BT70)/BT$10,0),N(Reales!BT70)),BT$241)</f>
        <v>7383.3456019525001</v>
      </c>
      <c r="BU256" s="48">
        <f>IF(BU$8=1,IF(Reales!$C$70="PYG",IF(BU$10&gt;0,N(Reales!BU70)/BU$10,0),N(Reales!BU70)),BU$241)</f>
        <v>7383.3456019525001</v>
      </c>
      <c r="BV256" s="48">
        <f>IF(BV$8=1,IF(Reales!$C$70="PYG",IF(BV$10&gt;0,N(Reales!BV70)/BV$10,0),N(Reales!BV70)),BV$241)</f>
        <v>7383.3456019525001</v>
      </c>
      <c r="BW256" s="48">
        <f>IF(BW$8=1,IF(Reales!$C$70="PYG",IF(BW$10&gt;0,N(Reales!BW70)/BW$10,0),N(Reales!BW70)),BW$241)</f>
        <v>7383.3456019525001</v>
      </c>
      <c r="BX256" s="48">
        <f>IF(BX$8=1,IF(Reales!$C$70="PYG",IF(BX$10&gt;0,N(Reales!BX70)/BX$10,0),N(Reales!BX70)),BX$241)</f>
        <v>7383.3456019525001</v>
      </c>
      <c r="BY256" s="48">
        <f>IF(BY$8=1,IF(Reales!$C$70="PYG",IF(BY$10&gt;0,N(Reales!BY70)/BY$10,0),N(Reales!BY70)),BY$241)</f>
        <v>7383.3456019525001</v>
      </c>
      <c r="BZ256" s="48">
        <f>IF(BZ$8=1,IF(Reales!$C$70="PYG",IF(BZ$10&gt;0,N(Reales!BZ70)/BZ$10,0),N(Reales!BZ70)),BZ$241)</f>
        <v>7457.1790579720255</v>
      </c>
      <c r="CA256" s="48">
        <f>IF(CA$8=1,IF(Reales!$C$70="PYG",IF(CA$10&gt;0,N(Reales!CA70)/CA$10,0),N(Reales!CA70)),CA$241)</f>
        <v>7457.1790579720255</v>
      </c>
      <c r="CB256" s="48">
        <f>IF(CB$8=1,IF(Reales!$C$70="PYG",IF(CB$10&gt;0,N(Reales!CB70)/CB$10,0),N(Reales!CB70)),CB$241)</f>
        <v>7457.1790579720255</v>
      </c>
      <c r="CC256" s="48">
        <f>IF(CC$8=1,IF(Reales!$C$70="PYG",IF(CC$10&gt;0,N(Reales!CC70)/CC$10,0),N(Reales!CC70)),CC$241)</f>
        <v>7457.1790579720255</v>
      </c>
      <c r="CD256" s="48">
        <f>IF(CD$8=1,IF(Reales!$C$70="PYG",IF(CD$10&gt;0,N(Reales!CD70)/CD$10,0),N(Reales!CD70)),CD$241)</f>
        <v>7457.1790579720255</v>
      </c>
      <c r="CE256" s="48">
        <f>IF(CE$8=1,IF(Reales!$C$70="PYG",IF(CE$10&gt;0,N(Reales!CE70)/CE$10,0),N(Reales!CE70)),CE$241)</f>
        <v>7457.1790579720255</v>
      </c>
      <c r="CF256" s="48">
        <f>IF(CF$8=1,IF(Reales!$C$70="PYG",IF(CF$10&gt;0,N(Reales!CF70)/CF$10,0),N(Reales!CF70)),CF$241)</f>
        <v>7457.1790579720255</v>
      </c>
      <c r="CG256" s="48">
        <f>IF(CG$8=1,IF(Reales!$C$70="PYG",IF(CG$10&gt;0,N(Reales!CG70)/CG$10,0),N(Reales!CG70)),CG$241)</f>
        <v>7457.1790579720255</v>
      </c>
      <c r="CH256" s="48">
        <f>IF(CH$8=1,IF(Reales!$C$70="PYG",IF(CH$10&gt;0,N(Reales!CH70)/CH$10,0),N(Reales!CH70)),CH$241)</f>
        <v>7457.1790579720255</v>
      </c>
      <c r="CI256" s="48">
        <f>IF(CI$8=1,IF(Reales!$C$70="PYG",IF(CI$10&gt;0,N(Reales!CI70)/CI$10,0),N(Reales!CI70)),CI$241)</f>
        <v>7457.1790579720255</v>
      </c>
      <c r="CJ256" s="48">
        <f>IF(CJ$8=1,IF(Reales!$C$70="PYG",IF(CJ$10&gt;0,N(Reales!CJ70)/CJ$10,0),N(Reales!CJ70)),CJ$241)</f>
        <v>7457.1790579720255</v>
      </c>
      <c r="CK256" s="48">
        <f>IF(CK$8=1,IF(Reales!$C$70="PYG",IF(CK$10&gt;0,N(Reales!CK70)/CK$10,0),N(Reales!CK70)),CK$241)</f>
        <v>7457.1790579720255</v>
      </c>
      <c r="CL256" s="48">
        <f>IF(CL$8=1,IF(Reales!$C$70="PYG",IF(CL$10&gt;0,N(Reales!CL70)/CL$10,0),N(Reales!CL70)),CL$241)</f>
        <v>7531.7508485517446</v>
      </c>
      <c r="CM256" s="48">
        <f>IF(CM$8=1,IF(Reales!$C$70="PYG",IF(CM$10&gt;0,N(Reales!CM70)/CM$10,0),N(Reales!CM70)),CM$241)</f>
        <v>7531.7508485517446</v>
      </c>
      <c r="CN256" s="48">
        <f>IF(CN$8=1,IF(Reales!$C$70="PYG",IF(CN$10&gt;0,N(Reales!CN70)/CN$10,0),N(Reales!CN70)),CN$241)</f>
        <v>7531.7508485517446</v>
      </c>
      <c r="CO256" s="48">
        <f>IF(CO$8=1,IF(Reales!$C$70="PYG",IF(CO$10&gt;0,N(Reales!CO70)/CO$10,0),N(Reales!CO70)),CO$241)</f>
        <v>7531.7508485517446</v>
      </c>
      <c r="CP256" s="48">
        <f>IF(CP$8=1,IF(Reales!$C$70="PYG",IF(CP$10&gt;0,N(Reales!CP70)/CP$10,0),N(Reales!CP70)),CP$241)</f>
        <v>7531.7508485517446</v>
      </c>
      <c r="CQ256" s="48">
        <f>IF(CQ$8=1,IF(Reales!$C$70="PYG",IF(CQ$10&gt;0,N(Reales!CQ70)/CQ$10,0),N(Reales!CQ70)),CQ$241)</f>
        <v>7531.7508485517446</v>
      </c>
      <c r="CR256" s="48">
        <f>IF(CR$8=1,IF(Reales!$C$70="PYG",IF(CR$10&gt;0,N(Reales!CR70)/CR$10,0),N(Reales!CR70)),CR$241)</f>
        <v>7531.7508485517446</v>
      </c>
      <c r="CS256" s="48">
        <f>IF(CS$8=1,IF(Reales!$C$70="PYG",IF(CS$10&gt;0,N(Reales!CS70)/CS$10,0),N(Reales!CS70)),CS$241)</f>
        <v>7531.7508485517446</v>
      </c>
      <c r="CT256" s="48">
        <f>IF(CT$8=1,IF(Reales!$C$70="PYG",IF(CT$10&gt;0,N(Reales!CT70)/CT$10,0),N(Reales!CT70)),CT$241)</f>
        <v>7531.7508485517446</v>
      </c>
      <c r="CU256" s="48">
        <f>IF(CU$8=1,IF(Reales!$C$70="PYG",IF(CU$10&gt;0,N(Reales!CU70)/CU$10,0),N(Reales!CU70)),CU$241)</f>
        <v>7531.7508485517446</v>
      </c>
      <c r="CV256" s="48">
        <f>IF(CV$8=1,IF(Reales!$C$70="PYG",IF(CV$10&gt;0,N(Reales!CV70)/CV$10,0),N(Reales!CV70)),CV$241)</f>
        <v>7531.7508485517446</v>
      </c>
      <c r="CW256" s="48">
        <f>IF(CW$8=1,IF(Reales!$C$70="PYG",IF(CW$10&gt;0,N(Reales!CW70)/CW$10,0),N(Reales!CW70)),CW$241)</f>
        <v>7531.7508485517446</v>
      </c>
      <c r="CX256" s="48">
        <f>IF(CX$8=1,IF(Reales!$C$70="PYG",IF(CX$10&gt;0,N(Reales!CX70)/CX$10,0),N(Reales!CX70)),CX$241)</f>
        <v>7607.0683570372621</v>
      </c>
      <c r="CY256" s="48">
        <f>IF(CY$8=1,IF(Reales!$C$70="PYG",IF(CY$10&gt;0,N(Reales!CY70)/CY$10,0),N(Reales!CY70)),CY$241)</f>
        <v>7607.0683570372621</v>
      </c>
      <c r="CZ256" s="48">
        <f>IF(CZ$8=1,IF(Reales!$C$70="PYG",IF(CZ$10&gt;0,N(Reales!CZ70)/CZ$10,0),N(Reales!CZ70)),CZ$241)</f>
        <v>7607.0683570372621</v>
      </c>
      <c r="DA256" s="48">
        <f>IF(DA$8=1,IF(Reales!$C$70="PYG",IF(DA$10&gt;0,N(Reales!DA70)/DA$10,0),N(Reales!DA70)),DA$241)</f>
        <v>7607.0683570372621</v>
      </c>
      <c r="DB256" s="48">
        <f>IF(DB$8=1,IF(Reales!$C$70="PYG",IF(DB$10&gt;0,N(Reales!DB70)/DB$10,0),N(Reales!DB70)),DB$241)</f>
        <v>7607.0683570372621</v>
      </c>
      <c r="DC256" s="48">
        <f>IF(DC$8=1,IF(Reales!$C$70="PYG",IF(DC$10&gt;0,N(Reales!DC70)/DC$10,0),N(Reales!DC70)),DC$241)</f>
        <v>7607.0683570372621</v>
      </c>
      <c r="DD256" s="48">
        <f>IF(DD$8=1,IF(Reales!$C$70="PYG",IF(DD$10&gt;0,N(Reales!DD70)/DD$10,0),N(Reales!DD70)),DD$241)</f>
        <v>7607.0683570372621</v>
      </c>
      <c r="DE256" s="48">
        <f>IF(DE$8=1,IF(Reales!$C$70="PYG",IF(DE$10&gt;0,N(Reales!DE70)/DE$10,0),N(Reales!DE70)),DE$241)</f>
        <v>7607.0683570372621</v>
      </c>
      <c r="DF256" s="48">
        <f>IF(DF$8=1,IF(Reales!$C$70="PYG",IF(DF$10&gt;0,N(Reales!DF70)/DF$10,0),N(Reales!DF70)),DF$241)</f>
        <v>7607.0683570372621</v>
      </c>
      <c r="DG256" s="48">
        <f>IF(DG$8=1,IF(Reales!$C$70="PYG",IF(DG$10&gt;0,N(Reales!DG70)/DG$10,0),N(Reales!DG70)),DG$241)</f>
        <v>7607.0683570372621</v>
      </c>
      <c r="DH256" s="48">
        <f>IF(DH$8=1,IF(Reales!$C$70="PYG",IF(DH$10&gt;0,N(Reales!DH70)/DH$10,0),N(Reales!DH70)),DH$241)</f>
        <v>7607.0683570372621</v>
      </c>
      <c r="DI256" s="48">
        <f>IF(DI$8=1,IF(Reales!$C$70="PYG",IF(DI$10&gt;0,N(Reales!DI70)/DI$10,0),N(Reales!DI70)),DI$241)</f>
        <v>7607.0683570372621</v>
      </c>
      <c r="DJ256" s="48">
        <f>IF(DJ$8=1,IF(Reales!$C$70="PYG",IF(DJ$10&gt;0,N(Reales!DJ70)/DJ$10,0),N(Reales!DJ70)),DJ$241)</f>
        <v>7683.1390406076353</v>
      </c>
      <c r="DK256" s="48">
        <f>IF(DK$8=1,IF(Reales!$C$70="PYG",IF(DK$10&gt;0,N(Reales!DK70)/DK$10,0),N(Reales!DK70)),DK$241)</f>
        <v>7683.1390406076353</v>
      </c>
      <c r="DL256" s="48">
        <f>IF(DL$8=1,IF(Reales!$C$70="PYG",IF(DL$10&gt;0,N(Reales!DL70)/DL$10,0),N(Reales!DL70)),DL$241)</f>
        <v>7683.1390406076353</v>
      </c>
      <c r="DM256" s="48">
        <f>IF(DM$8=1,IF(Reales!$C$70="PYG",IF(DM$10&gt;0,N(Reales!DM70)/DM$10,0),N(Reales!DM70)),DM$241)</f>
        <v>7683.1390406076353</v>
      </c>
      <c r="DN256" s="48">
        <f>IF(DN$8=1,IF(Reales!$C$70="PYG",IF(DN$10&gt;0,N(Reales!DN70)/DN$10,0),N(Reales!DN70)),DN$241)</f>
        <v>7683.1390406076353</v>
      </c>
      <c r="DO256" s="48">
        <f>IF(DO$8=1,IF(Reales!$C$70="PYG",IF(DO$10&gt;0,N(Reales!DO70)/DO$10,0),N(Reales!DO70)),DO$241)</f>
        <v>7683.1390406076353</v>
      </c>
      <c r="DP256" s="48">
        <f>IF(DP$8=1,IF(Reales!$C$70="PYG",IF(DP$10&gt;0,N(Reales!DP70)/DP$10,0),N(Reales!DP70)),DP$241)</f>
        <v>7683.1390406076353</v>
      </c>
      <c r="DQ256" s="48">
        <f>IF(DQ$8=1,IF(Reales!$C$70="PYG",IF(DQ$10&gt;0,N(Reales!DQ70)/DQ$10,0),N(Reales!DQ70)),DQ$241)</f>
        <v>7683.1390406076353</v>
      </c>
      <c r="DR256" s="48">
        <f>IF(DR$8=1,IF(Reales!$C$70="PYG",IF(DR$10&gt;0,N(Reales!DR70)/DR$10,0),N(Reales!DR70)),DR$241)</f>
        <v>7683.1390406076353</v>
      </c>
      <c r="DS256" s="48">
        <f>IF(DS$8=1,IF(Reales!$C$70="PYG",IF(DS$10&gt;0,N(Reales!DS70)/DS$10,0),N(Reales!DS70)),DS$241)</f>
        <v>7683.1390406076353</v>
      </c>
      <c r="DT256" s="48">
        <f>IF(DT$8=1,IF(Reales!$C$70="PYG",IF(DT$10&gt;0,N(Reales!DT70)/DT$10,0),N(Reales!DT70)),DT$241)</f>
        <v>7683.1390406076353</v>
      </c>
      <c r="DU256" s="48">
        <f>IF(DU$8=1,IF(Reales!$C$70="PYG",IF(DU$10&gt;0,N(Reales!DU70)/DU$10,0),N(Reales!DU70)),DU$241)</f>
        <v>7683.1390406076353</v>
      </c>
      <c r="DV256" s="48">
        <f>IF(DV$8=1,IF(Reales!$C$70="PYG",IF(DV$10&gt;0,N(Reales!DV70)/DV$10,0),N(Reales!DV70)),DV$241)</f>
        <v>0</v>
      </c>
      <c r="DW256" s="48">
        <f>IF(DW$8=1,IF(Reales!$C$70="PYG",IF(DW$10&gt;0,N(Reales!DW70)/DW$10,0),N(Reales!DW70)),DW$241)</f>
        <v>0</v>
      </c>
      <c r="DX256" s="48">
        <f>IF(DX$8=1,IF(Reales!$C$70="PYG",IF(DX$10&gt;0,N(Reales!DX70)/DX$10,0),N(Reales!DX70)),DX$241)</f>
        <v>0</v>
      </c>
      <c r="DY256" s="48">
        <f>IF(DY$8=1,IF(Reales!$C$70="PYG",IF(DY$10&gt;0,N(Reales!DY70)/DY$10,0),N(Reales!DY70)),DY$241)</f>
        <v>0</v>
      </c>
      <c r="DZ256" s="48">
        <f>IF(DZ$8=1,IF(Reales!$C$70="PYG",IF(DZ$10&gt;0,N(Reales!DZ70)/DZ$10,0),N(Reales!DZ70)),DZ$241)</f>
        <v>0</v>
      </c>
      <c r="EA256" s="48">
        <f>IF(EA$8=1,IF(Reales!$C$70="PYG",IF(EA$10&gt;0,N(Reales!EA70)/EA$10,0),N(Reales!EA70)),EA$241)</f>
        <v>0</v>
      </c>
      <c r="EB256" s="48">
        <f>IF(EB$8=1,IF(Reales!$C$70="PYG",IF(EB$10&gt;0,N(Reales!EB70)/EB$10,0),N(Reales!EB70)),EB$241)</f>
        <v>0</v>
      </c>
      <c r="EC256" s="48">
        <f>IF(EC$8=1,IF(Reales!$C$70="PYG",IF(EC$10&gt;0,N(Reales!EC70)/EC$10,0),N(Reales!EC70)),EC$241)</f>
        <v>0</v>
      </c>
      <c r="ED256" s="48">
        <f>IF(ED$8=1,IF(Reales!$C$70="PYG",IF(ED$10&gt;0,N(Reales!ED70)/ED$10,0),N(Reales!ED70)),ED$241)</f>
        <v>0</v>
      </c>
      <c r="EE256" s="48">
        <f>IF(EE$8=1,IF(Reales!$C$70="PYG",IF(EE$10&gt;0,N(Reales!EE70)/EE$10,0),N(Reales!EE70)),EE$241)</f>
        <v>0</v>
      </c>
      <c r="EF256" s="48">
        <f>IF(EF$8=1,IF(Reales!$C$70="PYG",IF(EF$10&gt;0,N(Reales!EF70)/EF$10,0),N(Reales!EF70)),EF$241)</f>
        <v>0</v>
      </c>
      <c r="EG256" s="48">
        <f>IF(EG$8=1,IF(Reales!$C$70="PYG",IF(EG$10&gt;0,N(Reales!EG70)/EG$10,0),N(Reales!EG70)),EG$241)</f>
        <v>0</v>
      </c>
      <c r="EH256" s="48">
        <f>IF(EH$8=1,IF(Reales!$C$70="PYG",IF(EH$10&gt;0,N(Reales!EH70)/EH$10,0),N(Reales!EH70)),EH$241)</f>
        <v>0</v>
      </c>
      <c r="EI256" s="48">
        <f>IF(EI$8=1,IF(Reales!$C$70="PYG",IF(EI$10&gt;0,N(Reales!EI70)/EI$10,0),N(Reales!EI70)),EI$241)</f>
        <v>0</v>
      </c>
      <c r="EJ256" s="48">
        <f>IF(EJ$8=1,IF(Reales!$C$70="PYG",IF(EJ$10&gt;0,N(Reales!EJ70)/EJ$10,0),N(Reales!EJ70)),EJ$241)</f>
        <v>0</v>
      </c>
      <c r="EK256" s="48">
        <f>IF(EK$8=1,IF(Reales!$C$70="PYG",IF(EK$10&gt;0,N(Reales!EK70)/EK$10,0),N(Reales!EK70)),EK$241)</f>
        <v>0</v>
      </c>
      <c r="EL256" s="48">
        <f>IF(EL$8=1,IF(Reales!$C$70="PYG",IF(EL$10&gt;0,N(Reales!EL70)/EL$10,0),N(Reales!EL70)),EL$241)</f>
        <v>0</v>
      </c>
      <c r="EM256" s="48">
        <f>IF(EM$8=1,IF(Reales!$C$70="PYG",IF(EM$10&gt;0,N(Reales!EM70)/EM$10,0),N(Reales!EM70)),EM$241)</f>
        <v>0</v>
      </c>
      <c r="EN256" s="48">
        <f>IF(EN$8=1,IF(Reales!$C$70="PYG",IF(EN$10&gt;0,N(Reales!EN70)/EN$10,0),N(Reales!EN70)),EN$241)</f>
        <v>0</v>
      </c>
      <c r="EO256" s="48">
        <f>IF(EO$8=1,IF(Reales!$C$70="PYG",IF(EO$10&gt;0,N(Reales!EO70)/EO$10,0),N(Reales!EO70)),EO$241)</f>
        <v>0</v>
      </c>
      <c r="EP256" s="48">
        <f>IF(EP$8=1,IF(Reales!$C$70="PYG",IF(EP$10&gt;0,N(Reales!EP70)/EP$10,0),N(Reales!EP70)),EP$241)</f>
        <v>0</v>
      </c>
      <c r="EQ256" s="48">
        <f>IF(EQ$8=1,IF(Reales!$C$70="PYG",IF(EQ$10&gt;0,N(Reales!EQ70)/EQ$10,0),N(Reales!EQ70)),EQ$241)</f>
        <v>0</v>
      </c>
      <c r="ER256" s="48">
        <f>IF(ER$8=1,IF(Reales!$C$70="PYG",IF(ER$10&gt;0,N(Reales!ER70)/ER$10,0),N(Reales!ER70)),ER$241)</f>
        <v>0</v>
      </c>
      <c r="ES256" s="48">
        <f>IF(ES$8=1,IF(Reales!$C$70="PYG",IF(ES$10&gt;0,N(Reales!ES70)/ES$10,0),N(Reales!ES70)),ES$241)</f>
        <v>0</v>
      </c>
    </row>
    <row r="257" spans="1:149" x14ac:dyDescent="0.3">
      <c r="A257" s="14" t="s">
        <v>1310</v>
      </c>
      <c r="B257" s="18" t="s">
        <v>1105</v>
      </c>
      <c r="C257" s="18" t="s">
        <v>439</v>
      </c>
      <c r="E257" s="54">
        <f t="shared" si="642"/>
        <v>0</v>
      </c>
      <c r="F257" s="48">
        <f t="shared" ref="F257:AK257" si="648">IF(F$8=1,0,F$247*V_IVArec)</f>
        <v>0</v>
      </c>
      <c r="G257" s="48">
        <f t="shared" si="648"/>
        <v>0</v>
      </c>
      <c r="H257" s="48">
        <f t="shared" si="648"/>
        <v>0</v>
      </c>
      <c r="I257" s="48">
        <f t="shared" si="648"/>
        <v>0</v>
      </c>
      <c r="J257" s="48">
        <f t="shared" si="648"/>
        <v>0</v>
      </c>
      <c r="K257" s="48">
        <f t="shared" si="648"/>
        <v>0</v>
      </c>
      <c r="L257" s="48">
        <f t="shared" si="648"/>
        <v>0</v>
      </c>
      <c r="M257" s="48">
        <f t="shared" si="648"/>
        <v>0</v>
      </c>
      <c r="N257" s="48">
        <f t="shared" si="648"/>
        <v>0</v>
      </c>
      <c r="O257" s="48">
        <f t="shared" si="648"/>
        <v>0</v>
      </c>
      <c r="P257" s="48">
        <f t="shared" si="648"/>
        <v>0</v>
      </c>
      <c r="Q257" s="48">
        <f t="shared" si="648"/>
        <v>0</v>
      </c>
      <c r="R257" s="48">
        <f t="shared" si="648"/>
        <v>0</v>
      </c>
      <c r="S257" s="48">
        <f t="shared" si="648"/>
        <v>0</v>
      </c>
      <c r="T257" s="48">
        <f t="shared" si="648"/>
        <v>0</v>
      </c>
      <c r="U257" s="48">
        <f t="shared" si="648"/>
        <v>0</v>
      </c>
      <c r="V257" s="48">
        <f t="shared" si="648"/>
        <v>0</v>
      </c>
      <c r="W257" s="48">
        <f t="shared" si="648"/>
        <v>0</v>
      </c>
      <c r="X257" s="48">
        <f t="shared" si="648"/>
        <v>0</v>
      </c>
      <c r="Y257" s="48">
        <f t="shared" si="648"/>
        <v>0</v>
      </c>
      <c r="Z257" s="48">
        <f t="shared" si="648"/>
        <v>0</v>
      </c>
      <c r="AA257" s="48">
        <f t="shared" si="648"/>
        <v>0</v>
      </c>
      <c r="AB257" s="48">
        <f t="shared" si="648"/>
        <v>0</v>
      </c>
      <c r="AC257" s="48">
        <f t="shared" si="648"/>
        <v>0</v>
      </c>
      <c r="AD257" s="48">
        <f t="shared" si="648"/>
        <v>0</v>
      </c>
      <c r="AE257" s="48">
        <f t="shared" si="648"/>
        <v>0</v>
      </c>
      <c r="AF257" s="48">
        <f t="shared" si="648"/>
        <v>0</v>
      </c>
      <c r="AG257" s="48">
        <f t="shared" si="648"/>
        <v>0</v>
      </c>
      <c r="AH257" s="48">
        <f t="shared" si="648"/>
        <v>0</v>
      </c>
      <c r="AI257" s="48">
        <f t="shared" si="648"/>
        <v>0</v>
      </c>
      <c r="AJ257" s="48">
        <f t="shared" si="648"/>
        <v>0</v>
      </c>
      <c r="AK257" s="48">
        <f t="shared" si="648"/>
        <v>0</v>
      </c>
      <c r="AL257" s="48">
        <f t="shared" ref="AL257:BQ257" si="649">IF(AL$8=1,0,AL$247*V_IVArec)</f>
        <v>0</v>
      </c>
      <c r="AM257" s="48">
        <f t="shared" si="649"/>
        <v>0</v>
      </c>
      <c r="AN257" s="48">
        <f t="shared" si="649"/>
        <v>0</v>
      </c>
      <c r="AO257" s="48">
        <f t="shared" si="649"/>
        <v>0</v>
      </c>
      <c r="AP257" s="48">
        <f t="shared" si="649"/>
        <v>0</v>
      </c>
      <c r="AQ257" s="48">
        <f t="shared" si="649"/>
        <v>0</v>
      </c>
      <c r="AR257" s="48">
        <f t="shared" si="649"/>
        <v>0</v>
      </c>
      <c r="AS257" s="48">
        <f t="shared" si="649"/>
        <v>0</v>
      </c>
      <c r="AT257" s="48">
        <f t="shared" si="649"/>
        <v>0</v>
      </c>
      <c r="AU257" s="48">
        <f t="shared" si="649"/>
        <v>0</v>
      </c>
      <c r="AV257" s="48">
        <f t="shared" si="649"/>
        <v>0</v>
      </c>
      <c r="AW257" s="48">
        <f t="shared" si="649"/>
        <v>0</v>
      </c>
      <c r="AX257" s="48">
        <f t="shared" si="649"/>
        <v>0</v>
      </c>
      <c r="AY257" s="48">
        <f t="shared" si="649"/>
        <v>0</v>
      </c>
      <c r="AZ257" s="48">
        <f t="shared" si="649"/>
        <v>0</v>
      </c>
      <c r="BA257" s="48">
        <f t="shared" si="649"/>
        <v>0</v>
      </c>
      <c r="BB257" s="48">
        <f t="shared" si="649"/>
        <v>0</v>
      </c>
      <c r="BC257" s="48">
        <f t="shared" si="649"/>
        <v>0</v>
      </c>
      <c r="BD257" s="48">
        <f t="shared" si="649"/>
        <v>0</v>
      </c>
      <c r="BE257" s="48">
        <f t="shared" si="649"/>
        <v>0</v>
      </c>
      <c r="BF257" s="48">
        <f t="shared" si="649"/>
        <v>0</v>
      </c>
      <c r="BG257" s="48">
        <f t="shared" si="649"/>
        <v>0</v>
      </c>
      <c r="BH257" s="48">
        <f t="shared" si="649"/>
        <v>0</v>
      </c>
      <c r="BI257" s="48">
        <f t="shared" si="649"/>
        <v>0</v>
      </c>
      <c r="BJ257" s="48">
        <f t="shared" si="649"/>
        <v>0</v>
      </c>
      <c r="BK257" s="48">
        <f t="shared" si="649"/>
        <v>0</v>
      </c>
      <c r="BL257" s="48">
        <f t="shared" si="649"/>
        <v>0</v>
      </c>
      <c r="BM257" s="48">
        <f t="shared" si="649"/>
        <v>0</v>
      </c>
      <c r="BN257" s="48">
        <f t="shared" si="649"/>
        <v>0</v>
      </c>
      <c r="BO257" s="48">
        <f t="shared" si="649"/>
        <v>0</v>
      </c>
      <c r="BP257" s="48">
        <f t="shared" si="649"/>
        <v>0</v>
      </c>
      <c r="BQ257" s="48">
        <f t="shared" si="649"/>
        <v>0</v>
      </c>
      <c r="BR257" s="48">
        <f t="shared" ref="BR257:CW257" si="650">IF(BR$8=1,0,BR$247*V_IVArec)</f>
        <v>0</v>
      </c>
      <c r="BS257" s="48">
        <f t="shared" si="650"/>
        <v>0</v>
      </c>
      <c r="BT257" s="48">
        <f t="shared" si="650"/>
        <v>0</v>
      </c>
      <c r="BU257" s="48">
        <f t="shared" si="650"/>
        <v>0</v>
      </c>
      <c r="BV257" s="48">
        <f t="shared" si="650"/>
        <v>0</v>
      </c>
      <c r="BW257" s="48">
        <f t="shared" si="650"/>
        <v>0</v>
      </c>
      <c r="BX257" s="48">
        <f t="shared" si="650"/>
        <v>0</v>
      </c>
      <c r="BY257" s="48">
        <f t="shared" si="650"/>
        <v>0</v>
      </c>
      <c r="BZ257" s="48">
        <f t="shared" si="650"/>
        <v>0</v>
      </c>
      <c r="CA257" s="48">
        <f t="shared" si="650"/>
        <v>0</v>
      </c>
      <c r="CB257" s="48">
        <f t="shared" si="650"/>
        <v>0</v>
      </c>
      <c r="CC257" s="48">
        <f t="shared" si="650"/>
        <v>0</v>
      </c>
      <c r="CD257" s="48">
        <f t="shared" si="650"/>
        <v>0</v>
      </c>
      <c r="CE257" s="48">
        <f t="shared" si="650"/>
        <v>0</v>
      </c>
      <c r="CF257" s="48">
        <f t="shared" si="650"/>
        <v>0</v>
      </c>
      <c r="CG257" s="48">
        <f t="shared" si="650"/>
        <v>0</v>
      </c>
      <c r="CH257" s="48">
        <f t="shared" si="650"/>
        <v>0</v>
      </c>
      <c r="CI257" s="48">
        <f t="shared" si="650"/>
        <v>0</v>
      </c>
      <c r="CJ257" s="48">
        <f t="shared" si="650"/>
        <v>0</v>
      </c>
      <c r="CK257" s="48">
        <f t="shared" si="650"/>
        <v>0</v>
      </c>
      <c r="CL257" s="48">
        <f t="shared" si="650"/>
        <v>0</v>
      </c>
      <c r="CM257" s="48">
        <f t="shared" si="650"/>
        <v>0</v>
      </c>
      <c r="CN257" s="48">
        <f t="shared" si="650"/>
        <v>0</v>
      </c>
      <c r="CO257" s="48">
        <f t="shared" si="650"/>
        <v>0</v>
      </c>
      <c r="CP257" s="48">
        <f t="shared" si="650"/>
        <v>0</v>
      </c>
      <c r="CQ257" s="48">
        <f t="shared" si="650"/>
        <v>0</v>
      </c>
      <c r="CR257" s="48">
        <f t="shared" si="650"/>
        <v>0</v>
      </c>
      <c r="CS257" s="48">
        <f t="shared" si="650"/>
        <v>0</v>
      </c>
      <c r="CT257" s="48">
        <f t="shared" si="650"/>
        <v>0</v>
      </c>
      <c r="CU257" s="48">
        <f t="shared" si="650"/>
        <v>0</v>
      </c>
      <c r="CV257" s="48">
        <f t="shared" si="650"/>
        <v>0</v>
      </c>
      <c r="CW257" s="48">
        <f t="shared" si="650"/>
        <v>0</v>
      </c>
      <c r="CX257" s="48">
        <f t="shared" ref="CX257:EC257" si="651">IF(CX$8=1,0,CX$247*V_IVArec)</f>
        <v>0</v>
      </c>
      <c r="CY257" s="48">
        <f t="shared" si="651"/>
        <v>0</v>
      </c>
      <c r="CZ257" s="48">
        <f t="shared" si="651"/>
        <v>0</v>
      </c>
      <c r="DA257" s="48">
        <f t="shared" si="651"/>
        <v>0</v>
      </c>
      <c r="DB257" s="48">
        <f t="shared" si="651"/>
        <v>0</v>
      </c>
      <c r="DC257" s="48">
        <f t="shared" si="651"/>
        <v>0</v>
      </c>
      <c r="DD257" s="48">
        <f t="shared" si="651"/>
        <v>0</v>
      </c>
      <c r="DE257" s="48">
        <f t="shared" si="651"/>
        <v>0</v>
      </c>
      <c r="DF257" s="48">
        <f t="shared" si="651"/>
        <v>0</v>
      </c>
      <c r="DG257" s="48">
        <f t="shared" si="651"/>
        <v>0</v>
      </c>
      <c r="DH257" s="48">
        <f t="shared" si="651"/>
        <v>0</v>
      </c>
      <c r="DI257" s="48">
        <f t="shared" si="651"/>
        <v>0</v>
      </c>
      <c r="DJ257" s="48">
        <f t="shared" si="651"/>
        <v>0</v>
      </c>
      <c r="DK257" s="48">
        <f t="shared" si="651"/>
        <v>0</v>
      </c>
      <c r="DL257" s="48">
        <f t="shared" si="651"/>
        <v>0</v>
      </c>
      <c r="DM257" s="48">
        <f t="shared" si="651"/>
        <v>0</v>
      </c>
      <c r="DN257" s="48">
        <f t="shared" si="651"/>
        <v>0</v>
      </c>
      <c r="DO257" s="48">
        <f t="shared" si="651"/>
        <v>0</v>
      </c>
      <c r="DP257" s="48">
        <f t="shared" si="651"/>
        <v>0</v>
      </c>
      <c r="DQ257" s="48">
        <f t="shared" si="651"/>
        <v>0</v>
      </c>
      <c r="DR257" s="48">
        <f t="shared" si="651"/>
        <v>0</v>
      </c>
      <c r="DS257" s="48">
        <f t="shared" si="651"/>
        <v>0</v>
      </c>
      <c r="DT257" s="48">
        <f t="shared" si="651"/>
        <v>0</v>
      </c>
      <c r="DU257" s="48">
        <f t="shared" si="651"/>
        <v>0</v>
      </c>
      <c r="DV257" s="48">
        <f t="shared" si="651"/>
        <v>0</v>
      </c>
      <c r="DW257" s="48">
        <f t="shared" si="651"/>
        <v>0</v>
      </c>
      <c r="DX257" s="48">
        <f t="shared" si="651"/>
        <v>0</v>
      </c>
      <c r="DY257" s="48">
        <f t="shared" si="651"/>
        <v>0</v>
      </c>
      <c r="DZ257" s="48">
        <f t="shared" si="651"/>
        <v>0</v>
      </c>
      <c r="EA257" s="48">
        <f t="shared" si="651"/>
        <v>0</v>
      </c>
      <c r="EB257" s="48">
        <f t="shared" si="651"/>
        <v>0</v>
      </c>
      <c r="EC257" s="48">
        <f t="shared" si="651"/>
        <v>0</v>
      </c>
      <c r="ED257" s="48">
        <f t="shared" ref="ED257:ES257" si="652">IF(ED$8=1,0,ED$247*V_IVArec)</f>
        <v>0</v>
      </c>
      <c r="EE257" s="48">
        <f t="shared" si="652"/>
        <v>0</v>
      </c>
      <c r="EF257" s="48">
        <f t="shared" si="652"/>
        <v>0</v>
      </c>
      <c r="EG257" s="48">
        <f t="shared" si="652"/>
        <v>0</v>
      </c>
      <c r="EH257" s="48">
        <f t="shared" si="652"/>
        <v>0</v>
      </c>
      <c r="EI257" s="48">
        <f t="shared" si="652"/>
        <v>0</v>
      </c>
      <c r="EJ257" s="48">
        <f t="shared" si="652"/>
        <v>0</v>
      </c>
      <c r="EK257" s="48">
        <f t="shared" si="652"/>
        <v>0</v>
      </c>
      <c r="EL257" s="48">
        <f t="shared" si="652"/>
        <v>0</v>
      </c>
      <c r="EM257" s="48">
        <f t="shared" si="652"/>
        <v>0</v>
      </c>
      <c r="EN257" s="48">
        <f t="shared" si="652"/>
        <v>0</v>
      </c>
      <c r="EO257" s="48">
        <f t="shared" si="652"/>
        <v>0</v>
      </c>
      <c r="EP257" s="48">
        <f t="shared" si="652"/>
        <v>0</v>
      </c>
      <c r="EQ257" s="48">
        <f t="shared" si="652"/>
        <v>0</v>
      </c>
      <c r="ER257" s="48">
        <f t="shared" si="652"/>
        <v>0</v>
      </c>
      <c r="ES257" s="48">
        <f t="shared" si="652"/>
        <v>0</v>
      </c>
    </row>
    <row r="258" spans="1:149" x14ac:dyDescent="0.3">
      <c r="A258" s="14" t="s">
        <v>1311</v>
      </c>
      <c r="B258" s="68" t="s">
        <v>440</v>
      </c>
      <c r="C258" s="18" t="s">
        <v>439</v>
      </c>
      <c r="E258" s="54">
        <f t="shared" si="642"/>
        <v>16309504.016261032</v>
      </c>
      <c r="F258" s="22">
        <f t="shared" ref="F258:AK258" si="653">F$253-F$254-F$255-F$256+F$257</f>
        <v>42497.500475589746</v>
      </c>
      <c r="G258" s="22">
        <f t="shared" si="653"/>
        <v>42497.500475589746</v>
      </c>
      <c r="H258" s="22">
        <f t="shared" si="653"/>
        <v>42497.500475589746</v>
      </c>
      <c r="I258" s="22">
        <f t="shared" si="653"/>
        <v>42497.500475589746</v>
      </c>
      <c r="J258" s="22">
        <f t="shared" si="653"/>
        <v>42497.500475589746</v>
      </c>
      <c r="K258" s="22">
        <f t="shared" si="653"/>
        <v>42497.500475589746</v>
      </c>
      <c r="L258" s="22">
        <f t="shared" si="653"/>
        <v>42497.500475589746</v>
      </c>
      <c r="M258" s="22">
        <f t="shared" si="653"/>
        <v>42497.500475589746</v>
      </c>
      <c r="N258" s="22">
        <f t="shared" si="653"/>
        <v>42497.500475589746</v>
      </c>
      <c r="O258" s="22">
        <f t="shared" si="653"/>
        <v>42497.500475589746</v>
      </c>
      <c r="P258" s="22">
        <f t="shared" si="653"/>
        <v>42497.500475589746</v>
      </c>
      <c r="Q258" s="22">
        <f t="shared" si="653"/>
        <v>42497.500475589746</v>
      </c>
      <c r="R258" s="22">
        <f t="shared" si="653"/>
        <v>80496.402993964788</v>
      </c>
      <c r="S258" s="22">
        <f t="shared" si="653"/>
        <v>80496.402993964788</v>
      </c>
      <c r="T258" s="22">
        <f t="shared" si="653"/>
        <v>80496.402993964788</v>
      </c>
      <c r="U258" s="22">
        <f t="shared" si="653"/>
        <v>80496.402993964788</v>
      </c>
      <c r="V258" s="22">
        <f t="shared" si="653"/>
        <v>80496.402993964788</v>
      </c>
      <c r="W258" s="22">
        <f t="shared" si="653"/>
        <v>80496.402993964788</v>
      </c>
      <c r="X258" s="22">
        <f t="shared" si="653"/>
        <v>80496.402993964788</v>
      </c>
      <c r="Y258" s="22">
        <f t="shared" si="653"/>
        <v>80496.402993964788</v>
      </c>
      <c r="Z258" s="22">
        <f t="shared" si="653"/>
        <v>80496.402993964788</v>
      </c>
      <c r="AA258" s="22">
        <f t="shared" si="653"/>
        <v>80496.402993964788</v>
      </c>
      <c r="AB258" s="22">
        <f t="shared" si="653"/>
        <v>80496.402993964788</v>
      </c>
      <c r="AC258" s="22">
        <f t="shared" si="653"/>
        <v>80496.402993964788</v>
      </c>
      <c r="AD258" s="22">
        <f t="shared" si="653"/>
        <v>117085.03086512479</v>
      </c>
      <c r="AE258" s="22">
        <f t="shared" si="653"/>
        <v>117085.03086512479</v>
      </c>
      <c r="AF258" s="22">
        <f t="shared" si="653"/>
        <v>117085.03086512479</v>
      </c>
      <c r="AG258" s="22">
        <f t="shared" si="653"/>
        <v>117085.03086512479</v>
      </c>
      <c r="AH258" s="22">
        <f t="shared" si="653"/>
        <v>117085.03086512479</v>
      </c>
      <c r="AI258" s="22">
        <f t="shared" si="653"/>
        <v>117085.03086512479</v>
      </c>
      <c r="AJ258" s="22">
        <f t="shared" si="653"/>
        <v>117085.03086512479</v>
      </c>
      <c r="AK258" s="22">
        <f t="shared" si="653"/>
        <v>117085.03086512479</v>
      </c>
      <c r="AL258" s="22">
        <f t="shared" ref="AL258:BQ258" si="654">AL$253-AL$254-AL$255-AL$256+AL$257</f>
        <v>117085.03086512479</v>
      </c>
      <c r="AM258" s="22">
        <f t="shared" si="654"/>
        <v>117085.03086512479</v>
      </c>
      <c r="AN258" s="22">
        <f t="shared" si="654"/>
        <v>117085.03086512479</v>
      </c>
      <c r="AO258" s="22">
        <f t="shared" si="654"/>
        <v>117085.03086512479</v>
      </c>
      <c r="AP258" s="22">
        <f t="shared" si="654"/>
        <v>149893.57987985833</v>
      </c>
      <c r="AQ258" s="22">
        <f t="shared" si="654"/>
        <v>149893.57987985833</v>
      </c>
      <c r="AR258" s="22">
        <f t="shared" si="654"/>
        <v>149893.57987985833</v>
      </c>
      <c r="AS258" s="22">
        <f t="shared" si="654"/>
        <v>149893.57987985833</v>
      </c>
      <c r="AT258" s="22">
        <f t="shared" si="654"/>
        <v>149893.57987985833</v>
      </c>
      <c r="AU258" s="22">
        <f t="shared" si="654"/>
        <v>149893.57987985833</v>
      </c>
      <c r="AV258" s="22">
        <f t="shared" si="654"/>
        <v>149893.57987985833</v>
      </c>
      <c r="AW258" s="22">
        <f t="shared" si="654"/>
        <v>149893.57987985833</v>
      </c>
      <c r="AX258" s="22">
        <f t="shared" si="654"/>
        <v>149893.57987985833</v>
      </c>
      <c r="AY258" s="22">
        <f t="shared" si="654"/>
        <v>149893.57987985833</v>
      </c>
      <c r="AZ258" s="22">
        <f t="shared" si="654"/>
        <v>149893.57987985833</v>
      </c>
      <c r="BA258" s="22">
        <f t="shared" si="654"/>
        <v>149893.57987985833</v>
      </c>
      <c r="BB258" s="22">
        <f t="shared" si="654"/>
        <v>151213.1648763738</v>
      </c>
      <c r="BC258" s="22">
        <f t="shared" si="654"/>
        <v>151213.1648763738</v>
      </c>
      <c r="BD258" s="22">
        <f t="shared" si="654"/>
        <v>151213.1648763738</v>
      </c>
      <c r="BE258" s="22">
        <f t="shared" si="654"/>
        <v>151213.1648763738</v>
      </c>
      <c r="BF258" s="22">
        <f t="shared" si="654"/>
        <v>151213.1648763738</v>
      </c>
      <c r="BG258" s="22">
        <f t="shared" si="654"/>
        <v>151213.1648763738</v>
      </c>
      <c r="BH258" s="22">
        <f t="shared" si="654"/>
        <v>151213.1648763738</v>
      </c>
      <c r="BI258" s="22">
        <f t="shared" si="654"/>
        <v>151213.1648763738</v>
      </c>
      <c r="BJ258" s="22">
        <f t="shared" si="654"/>
        <v>151213.1648763738</v>
      </c>
      <c r="BK258" s="22">
        <f t="shared" si="654"/>
        <v>151213.1648763738</v>
      </c>
      <c r="BL258" s="22">
        <f t="shared" si="654"/>
        <v>151213.1648763738</v>
      </c>
      <c r="BM258" s="22">
        <f t="shared" si="654"/>
        <v>151213.1648763738</v>
      </c>
      <c r="BN258" s="22">
        <f t="shared" si="654"/>
        <v>155300.44179782612</v>
      </c>
      <c r="BO258" s="22">
        <f t="shared" si="654"/>
        <v>155300.44179782612</v>
      </c>
      <c r="BP258" s="22">
        <f t="shared" si="654"/>
        <v>155300.44179782612</v>
      </c>
      <c r="BQ258" s="22">
        <f t="shared" si="654"/>
        <v>155300.44179782612</v>
      </c>
      <c r="BR258" s="22">
        <f t="shared" ref="BR258:CW258" si="655">BR$253-BR$254-BR$255-BR$256+BR$257</f>
        <v>155300.44179782612</v>
      </c>
      <c r="BS258" s="22">
        <f t="shared" si="655"/>
        <v>155300.44179782612</v>
      </c>
      <c r="BT258" s="22">
        <f t="shared" si="655"/>
        <v>155300.44179782612</v>
      </c>
      <c r="BU258" s="22">
        <f t="shared" si="655"/>
        <v>155300.44179782612</v>
      </c>
      <c r="BV258" s="22">
        <f t="shared" si="655"/>
        <v>155300.44179782612</v>
      </c>
      <c r="BW258" s="22">
        <f t="shared" si="655"/>
        <v>155300.44179782612</v>
      </c>
      <c r="BX258" s="22">
        <f t="shared" si="655"/>
        <v>155300.44179782612</v>
      </c>
      <c r="BY258" s="22">
        <f t="shared" si="655"/>
        <v>155300.44179782612</v>
      </c>
      <c r="BZ258" s="22">
        <f t="shared" si="655"/>
        <v>159416.02248939988</v>
      </c>
      <c r="CA258" s="22">
        <f t="shared" si="655"/>
        <v>159416.02248939988</v>
      </c>
      <c r="CB258" s="22">
        <f t="shared" si="655"/>
        <v>159416.02248939988</v>
      </c>
      <c r="CC258" s="22">
        <f t="shared" si="655"/>
        <v>159416.02248939988</v>
      </c>
      <c r="CD258" s="22">
        <f t="shared" si="655"/>
        <v>159416.02248939988</v>
      </c>
      <c r="CE258" s="22">
        <f t="shared" si="655"/>
        <v>159416.02248939988</v>
      </c>
      <c r="CF258" s="22">
        <f t="shared" si="655"/>
        <v>159416.02248939988</v>
      </c>
      <c r="CG258" s="22">
        <f t="shared" si="655"/>
        <v>159416.02248939988</v>
      </c>
      <c r="CH258" s="22">
        <f t="shared" si="655"/>
        <v>159416.02248939988</v>
      </c>
      <c r="CI258" s="22">
        <f t="shared" si="655"/>
        <v>159416.02248939988</v>
      </c>
      <c r="CJ258" s="22">
        <f t="shared" si="655"/>
        <v>159416.02248939988</v>
      </c>
      <c r="CK258" s="22">
        <f t="shared" si="655"/>
        <v>159416.02248939988</v>
      </c>
      <c r="CL258" s="22">
        <f t="shared" si="655"/>
        <v>163559.81854628745</v>
      </c>
      <c r="CM258" s="22">
        <f t="shared" si="655"/>
        <v>163559.81854628745</v>
      </c>
      <c r="CN258" s="22">
        <f t="shared" si="655"/>
        <v>163559.81854628745</v>
      </c>
      <c r="CO258" s="22">
        <f t="shared" si="655"/>
        <v>163559.81854628745</v>
      </c>
      <c r="CP258" s="22">
        <f t="shared" si="655"/>
        <v>163559.81854628745</v>
      </c>
      <c r="CQ258" s="22">
        <f t="shared" si="655"/>
        <v>163559.81854628745</v>
      </c>
      <c r="CR258" s="22">
        <f t="shared" si="655"/>
        <v>163559.81854628745</v>
      </c>
      <c r="CS258" s="22">
        <f t="shared" si="655"/>
        <v>163559.81854628745</v>
      </c>
      <c r="CT258" s="22">
        <f t="shared" si="655"/>
        <v>163559.81854628745</v>
      </c>
      <c r="CU258" s="22">
        <f t="shared" si="655"/>
        <v>163559.81854628745</v>
      </c>
      <c r="CV258" s="22">
        <f t="shared" si="655"/>
        <v>163559.81854628745</v>
      </c>
      <c r="CW258" s="22">
        <f t="shared" si="655"/>
        <v>163559.81854628745</v>
      </c>
      <c r="CX258" s="22">
        <f t="shared" ref="CX258:EC258" si="656">CX$253-CX$254-CX$255-CX$256+CX$257</f>
        <v>167731.72964890755</v>
      </c>
      <c r="CY258" s="22">
        <f t="shared" si="656"/>
        <v>167731.72964890755</v>
      </c>
      <c r="CZ258" s="22">
        <f t="shared" si="656"/>
        <v>167731.72964890755</v>
      </c>
      <c r="DA258" s="22">
        <f t="shared" si="656"/>
        <v>167731.72964890755</v>
      </c>
      <c r="DB258" s="22">
        <f t="shared" si="656"/>
        <v>167731.72964890755</v>
      </c>
      <c r="DC258" s="22">
        <f t="shared" si="656"/>
        <v>167731.72964890755</v>
      </c>
      <c r="DD258" s="22">
        <f t="shared" si="656"/>
        <v>167731.72964890755</v>
      </c>
      <c r="DE258" s="22">
        <f t="shared" si="656"/>
        <v>167731.72964890755</v>
      </c>
      <c r="DF258" s="22">
        <f t="shared" si="656"/>
        <v>167731.72964890755</v>
      </c>
      <c r="DG258" s="22">
        <f t="shared" si="656"/>
        <v>167731.72964890755</v>
      </c>
      <c r="DH258" s="22">
        <f t="shared" si="656"/>
        <v>167731.72964890755</v>
      </c>
      <c r="DI258" s="22">
        <f t="shared" si="656"/>
        <v>167731.72964890755</v>
      </c>
      <c r="DJ258" s="22">
        <f t="shared" si="656"/>
        <v>171931.6431150861</v>
      </c>
      <c r="DK258" s="22">
        <f t="shared" si="656"/>
        <v>171931.6431150861</v>
      </c>
      <c r="DL258" s="22">
        <f t="shared" si="656"/>
        <v>171931.6431150861</v>
      </c>
      <c r="DM258" s="22">
        <f t="shared" si="656"/>
        <v>171931.6431150861</v>
      </c>
      <c r="DN258" s="22">
        <f t="shared" si="656"/>
        <v>171931.6431150861</v>
      </c>
      <c r="DO258" s="22">
        <f t="shared" si="656"/>
        <v>171931.6431150861</v>
      </c>
      <c r="DP258" s="22">
        <f t="shared" si="656"/>
        <v>171931.6431150861</v>
      </c>
      <c r="DQ258" s="22">
        <f t="shared" si="656"/>
        <v>171931.6431150861</v>
      </c>
      <c r="DR258" s="22">
        <f t="shared" si="656"/>
        <v>171931.6431150861</v>
      </c>
      <c r="DS258" s="22">
        <f t="shared" si="656"/>
        <v>171931.6431150861</v>
      </c>
      <c r="DT258" s="22">
        <f t="shared" si="656"/>
        <v>171931.6431150861</v>
      </c>
      <c r="DU258" s="22">
        <f t="shared" si="656"/>
        <v>171931.6431150861</v>
      </c>
      <c r="DV258" s="22">
        <f t="shared" si="656"/>
        <v>0</v>
      </c>
      <c r="DW258" s="22">
        <f t="shared" si="656"/>
        <v>0</v>
      </c>
      <c r="DX258" s="22">
        <f t="shared" si="656"/>
        <v>0</v>
      </c>
      <c r="DY258" s="22">
        <f t="shared" si="656"/>
        <v>0</v>
      </c>
      <c r="DZ258" s="22">
        <f t="shared" si="656"/>
        <v>0</v>
      </c>
      <c r="EA258" s="22">
        <f t="shared" si="656"/>
        <v>0</v>
      </c>
      <c r="EB258" s="22">
        <f t="shared" si="656"/>
        <v>0</v>
      </c>
      <c r="EC258" s="22">
        <f t="shared" si="656"/>
        <v>0</v>
      </c>
      <c r="ED258" s="22">
        <f t="shared" ref="ED258:ES258" si="657">ED$253-ED$254-ED$255-ED$256+ED$257</f>
        <v>0</v>
      </c>
      <c r="EE258" s="22">
        <f t="shared" si="657"/>
        <v>0</v>
      </c>
      <c r="EF258" s="22">
        <f t="shared" si="657"/>
        <v>0</v>
      </c>
      <c r="EG258" s="22">
        <f t="shared" si="657"/>
        <v>0</v>
      </c>
      <c r="EH258" s="22">
        <f t="shared" si="657"/>
        <v>0</v>
      </c>
      <c r="EI258" s="22">
        <f t="shared" si="657"/>
        <v>0</v>
      </c>
      <c r="EJ258" s="22">
        <f t="shared" si="657"/>
        <v>0</v>
      </c>
      <c r="EK258" s="22">
        <f t="shared" si="657"/>
        <v>0</v>
      </c>
      <c r="EL258" s="22">
        <f t="shared" si="657"/>
        <v>0</v>
      </c>
      <c r="EM258" s="22">
        <f t="shared" si="657"/>
        <v>0</v>
      </c>
      <c r="EN258" s="22">
        <f t="shared" si="657"/>
        <v>0</v>
      </c>
      <c r="EO258" s="22">
        <f t="shared" si="657"/>
        <v>0</v>
      </c>
      <c r="EP258" s="22">
        <f t="shared" si="657"/>
        <v>0</v>
      </c>
      <c r="EQ258" s="22">
        <f t="shared" si="657"/>
        <v>0</v>
      </c>
      <c r="ER258" s="22">
        <f t="shared" si="657"/>
        <v>0</v>
      </c>
      <c r="ES258" s="22">
        <f t="shared" si="657"/>
        <v>0</v>
      </c>
    </row>
    <row r="259" spans="1:149" x14ac:dyDescent="0.3">
      <c r="A259" s="14" t="s">
        <v>1312</v>
      </c>
      <c r="B259" s="18" t="s">
        <v>1108</v>
      </c>
      <c r="C259" s="18" t="s">
        <v>439</v>
      </c>
      <c r="E259" s="54">
        <f t="shared" si="642"/>
        <v>745044.09000000078</v>
      </c>
      <c r="F259" s="48">
        <f>SUMPRODUCT((Inv_CF*F$8+Inv_BaseV*(1-F$8))*(Inv_F&gt;0)*(1&gt;=Inv_SvcV)*(1&lt;Inv_SvcV+Inv_F*12)/(Inv_F*12+(Inv_F=0)))*F$9</f>
        <v>5966.0174166666666</v>
      </c>
      <c r="G259" s="48">
        <f>SUMPRODUCT((Inv_CF*G$8+Inv_BaseV*(1-G$8))*(Inv_F&gt;0)*(2&gt;=Inv_SvcV)*(2&lt;Inv_SvcV+Inv_F*12)/(Inv_F*12+(Inv_F=0)))*G$9</f>
        <v>5966.0174166666666</v>
      </c>
      <c r="H259" s="48">
        <f>SUMPRODUCT((Inv_CF*H$8+Inv_BaseV*(1-H$8))*(Inv_F&gt;0)*(3&gt;=Inv_SvcV)*(3&lt;Inv_SvcV+Inv_F*12)/(Inv_F*12+(Inv_F=0)))*H$9</f>
        <v>5966.0174166666666</v>
      </c>
      <c r="I259" s="48">
        <f>SUMPRODUCT((Inv_CF*I$8+Inv_BaseV*(1-I$8))*(Inv_F&gt;0)*(4&gt;=Inv_SvcV)*(4&lt;Inv_SvcV+Inv_F*12)/(Inv_F*12+(Inv_F=0)))*I$9</f>
        <v>5966.0174166666666</v>
      </c>
      <c r="J259" s="48">
        <f>SUMPRODUCT((Inv_CF*J$8+Inv_BaseV*(1-J$8))*(Inv_F&gt;0)*(5&gt;=Inv_SvcV)*(5&lt;Inv_SvcV+Inv_F*12)/(Inv_F*12+(Inv_F=0)))*J$9</f>
        <v>5966.0174166666666</v>
      </c>
      <c r="K259" s="48">
        <f>SUMPRODUCT((Inv_CF*K$8+Inv_BaseV*(1-K$8))*(Inv_F&gt;0)*(6&gt;=Inv_SvcV)*(6&lt;Inv_SvcV+Inv_F*12)/(Inv_F*12+(Inv_F=0)))*K$9</f>
        <v>5966.0174166666666</v>
      </c>
      <c r="L259" s="48">
        <f>SUMPRODUCT((Inv_CF*L$8+Inv_BaseV*(1-L$8))*(Inv_F&gt;0)*(7&gt;=Inv_SvcV)*(7&lt;Inv_SvcV+Inv_F*12)/(Inv_F*12+(Inv_F=0)))*L$9</f>
        <v>5966.0174166666666</v>
      </c>
      <c r="M259" s="48">
        <f>SUMPRODUCT((Inv_CF*M$8+Inv_BaseV*(1-M$8))*(Inv_F&gt;0)*(8&gt;=Inv_SvcV)*(8&lt;Inv_SvcV+Inv_F*12)/(Inv_F*12+(Inv_F=0)))*M$9</f>
        <v>5966.0174166666666</v>
      </c>
      <c r="N259" s="48">
        <f>SUMPRODUCT((Inv_CF*N$8+Inv_BaseV*(1-N$8))*(Inv_F&gt;0)*(9&gt;=Inv_SvcV)*(9&lt;Inv_SvcV+Inv_F*12)/(Inv_F*12+(Inv_F=0)))*N$9</f>
        <v>5966.0174166666666</v>
      </c>
      <c r="O259" s="48">
        <f>SUMPRODUCT((Inv_CF*O$8+Inv_BaseV*(1-O$8))*(Inv_F&gt;0)*(10&gt;=Inv_SvcV)*(10&lt;Inv_SvcV+Inv_F*12)/(Inv_F*12+(Inv_F=0)))*O$9</f>
        <v>5966.0174166666666</v>
      </c>
      <c r="P259" s="48">
        <f>SUMPRODUCT((Inv_CF*P$8+Inv_BaseV*(1-P$8))*(Inv_F&gt;0)*(11&gt;=Inv_SvcV)*(11&lt;Inv_SvcV+Inv_F*12)/(Inv_F*12+(Inv_F=0)))*P$9</f>
        <v>5966.0174166666666</v>
      </c>
      <c r="Q259" s="48">
        <f>SUMPRODUCT((Inv_CF*Q$8+Inv_BaseV*(1-Q$8))*(Inv_F&gt;0)*(12&gt;=Inv_SvcV)*(12&lt;Inv_SvcV+Inv_F*12)/(Inv_F*12+(Inv_F=0)))*Q$9</f>
        <v>5966.0174166666666</v>
      </c>
      <c r="R259" s="48">
        <f>SUMPRODUCT((Inv_CF*R$8+Inv_BaseV*(1-R$8))*(Inv_F&gt;0)*(13&gt;=Inv_SvcV)*(13&lt;Inv_SvcV+Inv_F*12)/(Inv_F*12+(Inv_F=0)))*R$9</f>
        <v>6799.3507499999996</v>
      </c>
      <c r="S259" s="48">
        <f>SUMPRODUCT((Inv_CF*S$8+Inv_BaseV*(1-S$8))*(Inv_F&gt;0)*(14&gt;=Inv_SvcV)*(14&lt;Inv_SvcV+Inv_F*12)/(Inv_F*12+(Inv_F=0)))*S$9</f>
        <v>6799.3507499999996</v>
      </c>
      <c r="T259" s="48">
        <f>SUMPRODUCT((Inv_CF*T$8+Inv_BaseV*(1-T$8))*(Inv_F&gt;0)*(15&gt;=Inv_SvcV)*(15&lt;Inv_SvcV+Inv_F*12)/(Inv_F*12+(Inv_F=0)))*T$9</f>
        <v>6799.3507499999996</v>
      </c>
      <c r="U259" s="48">
        <f>SUMPRODUCT((Inv_CF*U$8+Inv_BaseV*(1-U$8))*(Inv_F&gt;0)*(16&gt;=Inv_SvcV)*(16&lt;Inv_SvcV+Inv_F*12)/(Inv_F*12+(Inv_F=0)))*U$9</f>
        <v>6799.3507499999996</v>
      </c>
      <c r="V259" s="48">
        <f>SUMPRODUCT((Inv_CF*V$8+Inv_BaseV*(1-V$8))*(Inv_F&gt;0)*(17&gt;=Inv_SvcV)*(17&lt;Inv_SvcV+Inv_F*12)/(Inv_F*12+(Inv_F=0)))*V$9</f>
        <v>6799.3507499999996</v>
      </c>
      <c r="W259" s="48">
        <f>SUMPRODUCT((Inv_CF*W$8+Inv_BaseV*(1-W$8))*(Inv_F&gt;0)*(18&gt;=Inv_SvcV)*(18&lt;Inv_SvcV+Inv_F*12)/(Inv_F*12+(Inv_F=0)))*W$9</f>
        <v>6799.3507499999996</v>
      </c>
      <c r="X259" s="48">
        <f>SUMPRODUCT((Inv_CF*X$8+Inv_BaseV*(1-X$8))*(Inv_F&gt;0)*(19&gt;=Inv_SvcV)*(19&lt;Inv_SvcV+Inv_F*12)/(Inv_F*12+(Inv_F=0)))*X$9</f>
        <v>6799.3507499999996</v>
      </c>
      <c r="Y259" s="48">
        <f>SUMPRODUCT((Inv_CF*Y$8+Inv_BaseV*(1-Y$8))*(Inv_F&gt;0)*(20&gt;=Inv_SvcV)*(20&lt;Inv_SvcV+Inv_F*12)/(Inv_F*12+(Inv_F=0)))*Y$9</f>
        <v>6799.3507499999996</v>
      </c>
      <c r="Z259" s="48">
        <f>SUMPRODUCT((Inv_CF*Z$8+Inv_BaseV*(1-Z$8))*(Inv_F&gt;0)*(21&gt;=Inv_SvcV)*(21&lt;Inv_SvcV+Inv_F*12)/(Inv_F*12+(Inv_F=0)))*Z$9</f>
        <v>6799.3507499999996</v>
      </c>
      <c r="AA259" s="48">
        <f>SUMPRODUCT((Inv_CF*AA$8+Inv_BaseV*(1-AA$8))*(Inv_F&gt;0)*(22&gt;=Inv_SvcV)*(22&lt;Inv_SvcV+Inv_F*12)/(Inv_F*12+(Inv_F=0)))*AA$9</f>
        <v>6799.3507499999996</v>
      </c>
      <c r="AB259" s="48">
        <f>SUMPRODUCT((Inv_CF*AB$8+Inv_BaseV*(1-AB$8))*(Inv_F&gt;0)*(23&gt;=Inv_SvcV)*(23&lt;Inv_SvcV+Inv_F*12)/(Inv_F*12+(Inv_F=0)))*AB$9</f>
        <v>6799.3507499999996</v>
      </c>
      <c r="AC259" s="48">
        <f>SUMPRODUCT((Inv_CF*AC$8+Inv_BaseV*(1-AC$8))*(Inv_F&gt;0)*(24&gt;=Inv_SvcV)*(24&lt;Inv_SvcV+Inv_F*12)/(Inv_F*12+(Inv_F=0)))*AC$9</f>
        <v>6799.3507499999996</v>
      </c>
      <c r="AD259" s="48">
        <f>SUMPRODUCT((Inv_CF*AD$8+Inv_BaseV*(1-AD$8))*(Inv_F&gt;0)*(25&gt;=Inv_SvcV)*(25&lt;Inv_SvcV+Inv_F*12)/(Inv_F*12+(Inv_F=0)))*AD$9</f>
        <v>6799.3507499999996</v>
      </c>
      <c r="AE259" s="48">
        <f>SUMPRODUCT((Inv_CF*AE$8+Inv_BaseV*(1-AE$8))*(Inv_F&gt;0)*(26&gt;=Inv_SvcV)*(26&lt;Inv_SvcV+Inv_F*12)/(Inv_F*12+(Inv_F=0)))*AE$9</f>
        <v>6799.3507499999996</v>
      </c>
      <c r="AF259" s="48">
        <f>SUMPRODUCT((Inv_CF*AF$8+Inv_BaseV*(1-AF$8))*(Inv_F&gt;0)*(27&gt;=Inv_SvcV)*(27&lt;Inv_SvcV+Inv_F*12)/(Inv_F*12+(Inv_F=0)))*AF$9</f>
        <v>6799.3507499999996</v>
      </c>
      <c r="AG259" s="48">
        <f>SUMPRODUCT((Inv_CF*AG$8+Inv_BaseV*(1-AG$8))*(Inv_F&gt;0)*(28&gt;=Inv_SvcV)*(28&lt;Inv_SvcV+Inv_F*12)/(Inv_F*12+(Inv_F=0)))*AG$9</f>
        <v>6799.3507499999996</v>
      </c>
      <c r="AH259" s="48">
        <f>SUMPRODUCT((Inv_CF*AH$8+Inv_BaseV*(1-AH$8))*(Inv_F&gt;0)*(29&gt;=Inv_SvcV)*(29&lt;Inv_SvcV+Inv_F*12)/(Inv_F*12+(Inv_F=0)))*AH$9</f>
        <v>6799.3507499999996</v>
      </c>
      <c r="AI259" s="48">
        <f>SUMPRODUCT((Inv_CF*AI$8+Inv_BaseV*(1-AI$8))*(Inv_F&gt;0)*(30&gt;=Inv_SvcV)*(30&lt;Inv_SvcV+Inv_F*12)/(Inv_F*12+(Inv_F=0)))*AI$9</f>
        <v>6799.3507499999996</v>
      </c>
      <c r="AJ259" s="48">
        <f>SUMPRODUCT((Inv_CF*AJ$8+Inv_BaseV*(1-AJ$8))*(Inv_F&gt;0)*(31&gt;=Inv_SvcV)*(31&lt;Inv_SvcV+Inv_F*12)/(Inv_F*12+(Inv_F=0)))*AJ$9</f>
        <v>6799.3507499999996</v>
      </c>
      <c r="AK259" s="48">
        <f>SUMPRODUCT((Inv_CF*AK$8+Inv_BaseV*(1-AK$8))*(Inv_F&gt;0)*(32&gt;=Inv_SvcV)*(32&lt;Inv_SvcV+Inv_F*12)/(Inv_F*12+(Inv_F=0)))*AK$9</f>
        <v>6799.3507499999996</v>
      </c>
      <c r="AL259" s="48">
        <f>SUMPRODUCT((Inv_CF*AL$8+Inv_BaseV*(1-AL$8))*(Inv_F&gt;0)*(33&gt;=Inv_SvcV)*(33&lt;Inv_SvcV+Inv_F*12)/(Inv_F*12+(Inv_F=0)))*AL$9</f>
        <v>6799.3507499999996</v>
      </c>
      <c r="AM259" s="48">
        <f>SUMPRODUCT((Inv_CF*AM$8+Inv_BaseV*(1-AM$8))*(Inv_F&gt;0)*(34&gt;=Inv_SvcV)*(34&lt;Inv_SvcV+Inv_F*12)/(Inv_F*12+(Inv_F=0)))*AM$9</f>
        <v>6799.3507499999996</v>
      </c>
      <c r="AN259" s="48">
        <f>SUMPRODUCT((Inv_CF*AN$8+Inv_BaseV*(1-AN$8))*(Inv_F&gt;0)*(35&gt;=Inv_SvcV)*(35&lt;Inv_SvcV+Inv_F*12)/(Inv_F*12+(Inv_F=0)))*AN$9</f>
        <v>6799.3507499999996</v>
      </c>
      <c r="AO259" s="48">
        <f>SUMPRODUCT((Inv_CF*AO$8+Inv_BaseV*(1-AO$8))*(Inv_F&gt;0)*(36&gt;=Inv_SvcV)*(36&lt;Inv_SvcV+Inv_F*12)/(Inv_F*12+(Inv_F=0)))*AO$9</f>
        <v>6799.3507499999996</v>
      </c>
      <c r="AP259" s="48">
        <f>SUMPRODUCT((Inv_CF*AP$8+Inv_BaseV*(1-AP$8))*(Inv_F&gt;0)*(37&gt;=Inv_SvcV)*(37&lt;Inv_SvcV+Inv_F*12)/(Inv_F*12+(Inv_F=0)))*AP$9</f>
        <v>6799.3507499999996</v>
      </c>
      <c r="AQ259" s="48">
        <f>SUMPRODUCT((Inv_CF*AQ$8+Inv_BaseV*(1-AQ$8))*(Inv_F&gt;0)*(38&gt;=Inv_SvcV)*(38&lt;Inv_SvcV+Inv_F*12)/(Inv_F*12+(Inv_F=0)))*AQ$9</f>
        <v>6799.3507499999996</v>
      </c>
      <c r="AR259" s="48">
        <f>SUMPRODUCT((Inv_CF*AR$8+Inv_BaseV*(1-AR$8))*(Inv_F&gt;0)*(39&gt;=Inv_SvcV)*(39&lt;Inv_SvcV+Inv_F*12)/(Inv_F*12+(Inv_F=0)))*AR$9</f>
        <v>6799.3507499999996</v>
      </c>
      <c r="AS259" s="48">
        <f>SUMPRODUCT((Inv_CF*AS$8+Inv_BaseV*(1-AS$8))*(Inv_F&gt;0)*(40&gt;=Inv_SvcV)*(40&lt;Inv_SvcV+Inv_F*12)/(Inv_F*12+(Inv_F=0)))*AS$9</f>
        <v>6799.3507499999996</v>
      </c>
      <c r="AT259" s="48">
        <f>SUMPRODUCT((Inv_CF*AT$8+Inv_BaseV*(1-AT$8))*(Inv_F&gt;0)*(41&gt;=Inv_SvcV)*(41&lt;Inv_SvcV+Inv_F*12)/(Inv_F*12+(Inv_F=0)))*AT$9</f>
        <v>6799.3507499999996</v>
      </c>
      <c r="AU259" s="48">
        <f>SUMPRODUCT((Inv_CF*AU$8+Inv_BaseV*(1-AU$8))*(Inv_F&gt;0)*(42&gt;=Inv_SvcV)*(42&lt;Inv_SvcV+Inv_F*12)/(Inv_F*12+(Inv_F=0)))*AU$9</f>
        <v>6799.3507499999996</v>
      </c>
      <c r="AV259" s="48">
        <f>SUMPRODUCT((Inv_CF*AV$8+Inv_BaseV*(1-AV$8))*(Inv_F&gt;0)*(43&gt;=Inv_SvcV)*(43&lt;Inv_SvcV+Inv_F*12)/(Inv_F*12+(Inv_F=0)))*AV$9</f>
        <v>6799.3507499999996</v>
      </c>
      <c r="AW259" s="48">
        <f>SUMPRODUCT((Inv_CF*AW$8+Inv_BaseV*(1-AW$8))*(Inv_F&gt;0)*(44&gt;=Inv_SvcV)*(44&lt;Inv_SvcV+Inv_F*12)/(Inv_F*12+(Inv_F=0)))*AW$9</f>
        <v>6799.3507499999996</v>
      </c>
      <c r="AX259" s="48">
        <f>SUMPRODUCT((Inv_CF*AX$8+Inv_BaseV*(1-AX$8))*(Inv_F&gt;0)*(45&gt;=Inv_SvcV)*(45&lt;Inv_SvcV+Inv_F*12)/(Inv_F*12+(Inv_F=0)))*AX$9</f>
        <v>6799.3507499999996</v>
      </c>
      <c r="AY259" s="48">
        <f>SUMPRODUCT((Inv_CF*AY$8+Inv_BaseV*(1-AY$8))*(Inv_F&gt;0)*(46&gt;=Inv_SvcV)*(46&lt;Inv_SvcV+Inv_F*12)/(Inv_F*12+(Inv_F=0)))*AY$9</f>
        <v>6799.3507499999996</v>
      </c>
      <c r="AZ259" s="48">
        <f>SUMPRODUCT((Inv_CF*AZ$8+Inv_BaseV*(1-AZ$8))*(Inv_F&gt;0)*(47&gt;=Inv_SvcV)*(47&lt;Inv_SvcV+Inv_F*12)/(Inv_F*12+(Inv_F=0)))*AZ$9</f>
        <v>6799.3507499999996</v>
      </c>
      <c r="BA259" s="48">
        <f>SUMPRODUCT((Inv_CF*BA$8+Inv_BaseV*(1-BA$8))*(Inv_F&gt;0)*(48&gt;=Inv_SvcV)*(48&lt;Inv_SvcV+Inv_F*12)/(Inv_F*12+(Inv_F=0)))*BA$9</f>
        <v>6799.3507499999996</v>
      </c>
      <c r="BB259" s="48">
        <f>SUMPRODUCT((Inv_CF*BB$8+Inv_BaseV*(1-BB$8))*(Inv_F&gt;0)*(49&gt;=Inv_SvcV)*(49&lt;Inv_SvcV+Inv_F*12)/(Inv_F*12+(Inv_F=0)))*BB$9</f>
        <v>6799.3507499999996</v>
      </c>
      <c r="BC259" s="48">
        <f>SUMPRODUCT((Inv_CF*BC$8+Inv_BaseV*(1-BC$8))*(Inv_F&gt;0)*(50&gt;=Inv_SvcV)*(50&lt;Inv_SvcV+Inv_F*12)/(Inv_F*12+(Inv_F=0)))*BC$9</f>
        <v>6799.3507499999996</v>
      </c>
      <c r="BD259" s="48">
        <f>SUMPRODUCT((Inv_CF*BD$8+Inv_BaseV*(1-BD$8))*(Inv_F&gt;0)*(51&gt;=Inv_SvcV)*(51&lt;Inv_SvcV+Inv_F*12)/(Inv_F*12+(Inv_F=0)))*BD$9</f>
        <v>6799.3507499999996</v>
      </c>
      <c r="BE259" s="48">
        <f>SUMPRODUCT((Inv_CF*BE$8+Inv_BaseV*(1-BE$8))*(Inv_F&gt;0)*(52&gt;=Inv_SvcV)*(52&lt;Inv_SvcV+Inv_F*12)/(Inv_F*12+(Inv_F=0)))*BE$9</f>
        <v>6799.3507499999996</v>
      </c>
      <c r="BF259" s="48">
        <f>SUMPRODUCT((Inv_CF*BF$8+Inv_BaseV*(1-BF$8))*(Inv_F&gt;0)*(53&gt;=Inv_SvcV)*(53&lt;Inv_SvcV+Inv_F*12)/(Inv_F*12+(Inv_F=0)))*BF$9</f>
        <v>6799.3507499999996</v>
      </c>
      <c r="BG259" s="48">
        <f>SUMPRODUCT((Inv_CF*BG$8+Inv_BaseV*(1-BG$8))*(Inv_F&gt;0)*(54&gt;=Inv_SvcV)*(54&lt;Inv_SvcV+Inv_F*12)/(Inv_F*12+(Inv_F=0)))*BG$9</f>
        <v>6799.3507499999996</v>
      </c>
      <c r="BH259" s="48">
        <f>SUMPRODUCT((Inv_CF*BH$8+Inv_BaseV*(1-BH$8))*(Inv_F&gt;0)*(55&gt;=Inv_SvcV)*(55&lt;Inv_SvcV+Inv_F*12)/(Inv_F*12+(Inv_F=0)))*BH$9</f>
        <v>6799.3507499999996</v>
      </c>
      <c r="BI259" s="48">
        <f>SUMPRODUCT((Inv_CF*BI$8+Inv_BaseV*(1-BI$8))*(Inv_F&gt;0)*(56&gt;=Inv_SvcV)*(56&lt;Inv_SvcV+Inv_F*12)/(Inv_F*12+(Inv_F=0)))*BI$9</f>
        <v>6799.3507499999996</v>
      </c>
      <c r="BJ259" s="48">
        <f>SUMPRODUCT((Inv_CF*BJ$8+Inv_BaseV*(1-BJ$8))*(Inv_F&gt;0)*(57&gt;=Inv_SvcV)*(57&lt;Inv_SvcV+Inv_F*12)/(Inv_F*12+(Inv_F=0)))*BJ$9</f>
        <v>6799.3507499999996</v>
      </c>
      <c r="BK259" s="48">
        <f>SUMPRODUCT((Inv_CF*BK$8+Inv_BaseV*(1-BK$8))*(Inv_F&gt;0)*(58&gt;=Inv_SvcV)*(58&lt;Inv_SvcV+Inv_F*12)/(Inv_F*12+(Inv_F=0)))*BK$9</f>
        <v>6799.3507499999996</v>
      </c>
      <c r="BL259" s="48">
        <f>SUMPRODUCT((Inv_CF*BL$8+Inv_BaseV*(1-BL$8))*(Inv_F&gt;0)*(59&gt;=Inv_SvcV)*(59&lt;Inv_SvcV+Inv_F*12)/(Inv_F*12+(Inv_F=0)))*BL$9</f>
        <v>6799.3507499999996</v>
      </c>
      <c r="BM259" s="48">
        <f>SUMPRODUCT((Inv_CF*BM$8+Inv_BaseV*(1-BM$8))*(Inv_F&gt;0)*(60&gt;=Inv_SvcV)*(60&lt;Inv_SvcV+Inv_F*12)/(Inv_F*12+(Inv_F=0)))*BM$9</f>
        <v>6799.3507499999996</v>
      </c>
      <c r="BN259" s="48">
        <f>SUMPRODUCT((Inv_CF*BN$8+Inv_BaseV*(1-BN$8))*(Inv_F&gt;0)*(61&gt;=Inv_SvcV)*(61&lt;Inv_SvcV+Inv_F*12)/(Inv_F*12+(Inv_F=0)))*BN$9</f>
        <v>5784.7174166666664</v>
      </c>
      <c r="BO259" s="48">
        <f>SUMPRODUCT((Inv_CF*BO$8+Inv_BaseV*(1-BO$8))*(Inv_F&gt;0)*(62&gt;=Inv_SvcV)*(62&lt;Inv_SvcV+Inv_F*12)/(Inv_F*12+(Inv_F=0)))*BO$9</f>
        <v>5784.7174166666664</v>
      </c>
      <c r="BP259" s="48">
        <f>SUMPRODUCT((Inv_CF*BP$8+Inv_BaseV*(1-BP$8))*(Inv_F&gt;0)*(63&gt;=Inv_SvcV)*(63&lt;Inv_SvcV+Inv_F*12)/(Inv_F*12+(Inv_F=0)))*BP$9</f>
        <v>5784.7174166666664</v>
      </c>
      <c r="BQ259" s="48">
        <f>SUMPRODUCT((Inv_CF*BQ$8+Inv_BaseV*(1-BQ$8))*(Inv_F&gt;0)*(64&gt;=Inv_SvcV)*(64&lt;Inv_SvcV+Inv_F*12)/(Inv_F*12+(Inv_F=0)))*BQ$9</f>
        <v>5784.7174166666664</v>
      </c>
      <c r="BR259" s="48">
        <f>SUMPRODUCT((Inv_CF*BR$8+Inv_BaseV*(1-BR$8))*(Inv_F&gt;0)*(65&gt;=Inv_SvcV)*(65&lt;Inv_SvcV+Inv_F*12)/(Inv_F*12+(Inv_F=0)))*BR$9</f>
        <v>5784.7174166666664</v>
      </c>
      <c r="BS259" s="48">
        <f>SUMPRODUCT((Inv_CF*BS$8+Inv_BaseV*(1-BS$8))*(Inv_F&gt;0)*(66&gt;=Inv_SvcV)*(66&lt;Inv_SvcV+Inv_F*12)/(Inv_F*12+(Inv_F=0)))*BS$9</f>
        <v>5784.7174166666664</v>
      </c>
      <c r="BT259" s="48">
        <f>SUMPRODUCT((Inv_CF*BT$8+Inv_BaseV*(1-BT$8))*(Inv_F&gt;0)*(67&gt;=Inv_SvcV)*(67&lt;Inv_SvcV+Inv_F*12)/(Inv_F*12+(Inv_F=0)))*BT$9</f>
        <v>5784.7174166666664</v>
      </c>
      <c r="BU259" s="48">
        <f>SUMPRODUCT((Inv_CF*BU$8+Inv_BaseV*(1-BU$8))*(Inv_F&gt;0)*(68&gt;=Inv_SvcV)*(68&lt;Inv_SvcV+Inv_F*12)/(Inv_F*12+(Inv_F=0)))*BU$9</f>
        <v>5784.7174166666664</v>
      </c>
      <c r="BV259" s="48">
        <f>SUMPRODUCT((Inv_CF*BV$8+Inv_BaseV*(1-BV$8))*(Inv_F&gt;0)*(69&gt;=Inv_SvcV)*(69&lt;Inv_SvcV+Inv_F*12)/(Inv_F*12+(Inv_F=0)))*BV$9</f>
        <v>5784.7174166666664</v>
      </c>
      <c r="BW259" s="48">
        <f>SUMPRODUCT((Inv_CF*BW$8+Inv_BaseV*(1-BW$8))*(Inv_F&gt;0)*(70&gt;=Inv_SvcV)*(70&lt;Inv_SvcV+Inv_F*12)/(Inv_F*12+(Inv_F=0)))*BW$9</f>
        <v>5784.7174166666664</v>
      </c>
      <c r="BX259" s="48">
        <f>SUMPRODUCT((Inv_CF*BX$8+Inv_BaseV*(1-BX$8))*(Inv_F&gt;0)*(71&gt;=Inv_SvcV)*(71&lt;Inv_SvcV+Inv_F*12)/(Inv_F*12+(Inv_F=0)))*BX$9</f>
        <v>5784.7174166666664</v>
      </c>
      <c r="BY259" s="48">
        <f>SUMPRODUCT((Inv_CF*BY$8+Inv_BaseV*(1-BY$8))*(Inv_F&gt;0)*(72&gt;=Inv_SvcV)*(72&lt;Inv_SvcV+Inv_F*12)/(Inv_F*12+(Inv_F=0)))*BY$9</f>
        <v>5784.7174166666664</v>
      </c>
      <c r="BZ259" s="48">
        <f>SUMPRODUCT((Inv_CF*BZ$8+Inv_BaseV*(1-BZ$8))*(Inv_F&gt;0)*(73&gt;=Inv_SvcV)*(73&lt;Inv_SvcV+Inv_F*12)/(Inv_F*12+(Inv_F=0)))*BZ$9</f>
        <v>5784.7174166666664</v>
      </c>
      <c r="CA259" s="48">
        <f>SUMPRODUCT((Inv_CF*CA$8+Inv_BaseV*(1-CA$8))*(Inv_F&gt;0)*(74&gt;=Inv_SvcV)*(74&lt;Inv_SvcV+Inv_F*12)/(Inv_F*12+(Inv_F=0)))*CA$9</f>
        <v>5784.7174166666664</v>
      </c>
      <c r="CB259" s="48">
        <f>SUMPRODUCT((Inv_CF*CB$8+Inv_BaseV*(1-CB$8))*(Inv_F&gt;0)*(75&gt;=Inv_SvcV)*(75&lt;Inv_SvcV+Inv_F*12)/(Inv_F*12+(Inv_F=0)))*CB$9</f>
        <v>5784.7174166666664</v>
      </c>
      <c r="CC259" s="48">
        <f>SUMPRODUCT((Inv_CF*CC$8+Inv_BaseV*(1-CC$8))*(Inv_F&gt;0)*(76&gt;=Inv_SvcV)*(76&lt;Inv_SvcV+Inv_F*12)/(Inv_F*12+(Inv_F=0)))*CC$9</f>
        <v>5784.7174166666664</v>
      </c>
      <c r="CD259" s="48">
        <f>SUMPRODUCT((Inv_CF*CD$8+Inv_BaseV*(1-CD$8))*(Inv_F&gt;0)*(77&gt;=Inv_SvcV)*(77&lt;Inv_SvcV+Inv_F*12)/(Inv_F*12+(Inv_F=0)))*CD$9</f>
        <v>5784.7174166666664</v>
      </c>
      <c r="CE259" s="48">
        <f>SUMPRODUCT((Inv_CF*CE$8+Inv_BaseV*(1-CE$8))*(Inv_F&gt;0)*(78&gt;=Inv_SvcV)*(78&lt;Inv_SvcV+Inv_F*12)/(Inv_F*12+(Inv_F=0)))*CE$9</f>
        <v>5784.7174166666664</v>
      </c>
      <c r="CF259" s="48">
        <f>SUMPRODUCT((Inv_CF*CF$8+Inv_BaseV*(1-CF$8))*(Inv_F&gt;0)*(79&gt;=Inv_SvcV)*(79&lt;Inv_SvcV+Inv_F*12)/(Inv_F*12+(Inv_F=0)))*CF$9</f>
        <v>5784.7174166666664</v>
      </c>
      <c r="CG259" s="48">
        <f>SUMPRODUCT((Inv_CF*CG$8+Inv_BaseV*(1-CG$8))*(Inv_F&gt;0)*(80&gt;=Inv_SvcV)*(80&lt;Inv_SvcV+Inv_F*12)/(Inv_F*12+(Inv_F=0)))*CG$9</f>
        <v>5784.7174166666664</v>
      </c>
      <c r="CH259" s="48">
        <f>SUMPRODUCT((Inv_CF*CH$8+Inv_BaseV*(1-CH$8))*(Inv_F&gt;0)*(81&gt;=Inv_SvcV)*(81&lt;Inv_SvcV+Inv_F*12)/(Inv_F*12+(Inv_F=0)))*CH$9</f>
        <v>5784.7174166666664</v>
      </c>
      <c r="CI259" s="48">
        <f>SUMPRODUCT((Inv_CF*CI$8+Inv_BaseV*(1-CI$8))*(Inv_F&gt;0)*(82&gt;=Inv_SvcV)*(82&lt;Inv_SvcV+Inv_F*12)/(Inv_F*12+(Inv_F=0)))*CI$9</f>
        <v>5784.7174166666664</v>
      </c>
      <c r="CJ259" s="48">
        <f>SUMPRODUCT((Inv_CF*CJ$8+Inv_BaseV*(1-CJ$8))*(Inv_F&gt;0)*(83&gt;=Inv_SvcV)*(83&lt;Inv_SvcV+Inv_F*12)/(Inv_F*12+(Inv_F=0)))*CJ$9</f>
        <v>5784.7174166666664</v>
      </c>
      <c r="CK259" s="48">
        <f>SUMPRODUCT((Inv_CF*CK$8+Inv_BaseV*(1-CK$8))*(Inv_F&gt;0)*(84&gt;=Inv_SvcV)*(84&lt;Inv_SvcV+Inv_F*12)/(Inv_F*12+(Inv_F=0)))*CK$9</f>
        <v>5784.7174166666664</v>
      </c>
      <c r="CL259" s="48">
        <f>SUMPRODUCT((Inv_CF*CL$8+Inv_BaseV*(1-CL$8))*(Inv_F&gt;0)*(85&gt;=Inv_SvcV)*(85&lt;Inv_SvcV+Inv_F*12)/(Inv_F*12+(Inv_F=0)))*CL$9</f>
        <v>5784.7174166666664</v>
      </c>
      <c r="CM259" s="48">
        <f>SUMPRODUCT((Inv_CF*CM$8+Inv_BaseV*(1-CM$8))*(Inv_F&gt;0)*(86&gt;=Inv_SvcV)*(86&lt;Inv_SvcV+Inv_F*12)/(Inv_F*12+(Inv_F=0)))*CM$9</f>
        <v>5784.7174166666664</v>
      </c>
      <c r="CN259" s="48">
        <f>SUMPRODUCT((Inv_CF*CN$8+Inv_BaseV*(1-CN$8))*(Inv_F&gt;0)*(87&gt;=Inv_SvcV)*(87&lt;Inv_SvcV+Inv_F*12)/(Inv_F*12+(Inv_F=0)))*CN$9</f>
        <v>5784.7174166666664</v>
      </c>
      <c r="CO259" s="48">
        <f>SUMPRODUCT((Inv_CF*CO$8+Inv_BaseV*(1-CO$8))*(Inv_F&gt;0)*(88&gt;=Inv_SvcV)*(88&lt;Inv_SvcV+Inv_F*12)/(Inv_F*12+(Inv_F=0)))*CO$9</f>
        <v>5784.7174166666664</v>
      </c>
      <c r="CP259" s="48">
        <f>SUMPRODUCT((Inv_CF*CP$8+Inv_BaseV*(1-CP$8))*(Inv_F&gt;0)*(89&gt;=Inv_SvcV)*(89&lt;Inv_SvcV+Inv_F*12)/(Inv_F*12+(Inv_F=0)))*CP$9</f>
        <v>5784.7174166666664</v>
      </c>
      <c r="CQ259" s="48">
        <f>SUMPRODUCT((Inv_CF*CQ$8+Inv_BaseV*(1-CQ$8))*(Inv_F&gt;0)*(90&gt;=Inv_SvcV)*(90&lt;Inv_SvcV+Inv_F*12)/(Inv_F*12+(Inv_F=0)))*CQ$9</f>
        <v>5784.7174166666664</v>
      </c>
      <c r="CR259" s="48">
        <f>SUMPRODUCT((Inv_CF*CR$8+Inv_BaseV*(1-CR$8))*(Inv_F&gt;0)*(91&gt;=Inv_SvcV)*(91&lt;Inv_SvcV+Inv_F*12)/(Inv_F*12+(Inv_F=0)))*CR$9</f>
        <v>5784.7174166666664</v>
      </c>
      <c r="CS259" s="48">
        <f>SUMPRODUCT((Inv_CF*CS$8+Inv_BaseV*(1-CS$8))*(Inv_F&gt;0)*(92&gt;=Inv_SvcV)*(92&lt;Inv_SvcV+Inv_F*12)/(Inv_F*12+(Inv_F=0)))*CS$9</f>
        <v>5784.7174166666664</v>
      </c>
      <c r="CT259" s="48">
        <f>SUMPRODUCT((Inv_CF*CT$8+Inv_BaseV*(1-CT$8))*(Inv_F&gt;0)*(93&gt;=Inv_SvcV)*(93&lt;Inv_SvcV+Inv_F*12)/(Inv_F*12+(Inv_F=0)))*CT$9</f>
        <v>5784.7174166666664</v>
      </c>
      <c r="CU259" s="48">
        <f>SUMPRODUCT((Inv_CF*CU$8+Inv_BaseV*(1-CU$8))*(Inv_F&gt;0)*(94&gt;=Inv_SvcV)*(94&lt;Inv_SvcV+Inv_F*12)/(Inv_F*12+(Inv_F=0)))*CU$9</f>
        <v>5784.7174166666664</v>
      </c>
      <c r="CV259" s="48">
        <f>SUMPRODUCT((Inv_CF*CV$8+Inv_BaseV*(1-CV$8))*(Inv_F&gt;0)*(95&gt;=Inv_SvcV)*(95&lt;Inv_SvcV+Inv_F*12)/(Inv_F*12+(Inv_F=0)))*CV$9</f>
        <v>5784.7174166666664</v>
      </c>
      <c r="CW259" s="48">
        <f>SUMPRODUCT((Inv_CF*CW$8+Inv_BaseV*(1-CW$8))*(Inv_F&gt;0)*(96&gt;=Inv_SvcV)*(96&lt;Inv_SvcV+Inv_F*12)/(Inv_F*12+(Inv_F=0)))*CW$9</f>
        <v>5784.7174166666664</v>
      </c>
      <c r="CX259" s="48">
        <f>SUMPRODUCT((Inv_CF*CX$8+Inv_BaseV*(1-CX$8))*(Inv_F&gt;0)*(97&gt;=Inv_SvcV)*(97&lt;Inv_SvcV+Inv_F*12)/(Inv_F*12+(Inv_F=0)))*CX$9</f>
        <v>5784.7174166666664</v>
      </c>
      <c r="CY259" s="48">
        <f>SUMPRODUCT((Inv_CF*CY$8+Inv_BaseV*(1-CY$8))*(Inv_F&gt;0)*(98&gt;=Inv_SvcV)*(98&lt;Inv_SvcV+Inv_F*12)/(Inv_F*12+(Inv_F=0)))*CY$9</f>
        <v>5784.7174166666664</v>
      </c>
      <c r="CZ259" s="48">
        <f>SUMPRODUCT((Inv_CF*CZ$8+Inv_BaseV*(1-CZ$8))*(Inv_F&gt;0)*(99&gt;=Inv_SvcV)*(99&lt;Inv_SvcV+Inv_F*12)/(Inv_F*12+(Inv_F=0)))*CZ$9</f>
        <v>5784.7174166666664</v>
      </c>
      <c r="DA259" s="48">
        <f>SUMPRODUCT((Inv_CF*DA$8+Inv_BaseV*(1-DA$8))*(Inv_F&gt;0)*(100&gt;=Inv_SvcV)*(100&lt;Inv_SvcV+Inv_F*12)/(Inv_F*12+(Inv_F=0)))*DA$9</f>
        <v>5784.7174166666664</v>
      </c>
      <c r="DB259" s="48">
        <f>SUMPRODUCT((Inv_CF*DB$8+Inv_BaseV*(1-DB$8))*(Inv_F&gt;0)*(101&gt;=Inv_SvcV)*(101&lt;Inv_SvcV+Inv_F*12)/(Inv_F*12+(Inv_F=0)))*DB$9</f>
        <v>5784.7174166666664</v>
      </c>
      <c r="DC259" s="48">
        <f>SUMPRODUCT((Inv_CF*DC$8+Inv_BaseV*(1-DC$8))*(Inv_F&gt;0)*(102&gt;=Inv_SvcV)*(102&lt;Inv_SvcV+Inv_F*12)/(Inv_F*12+(Inv_F=0)))*DC$9</f>
        <v>5784.7174166666664</v>
      </c>
      <c r="DD259" s="48">
        <f>SUMPRODUCT((Inv_CF*DD$8+Inv_BaseV*(1-DD$8))*(Inv_F&gt;0)*(103&gt;=Inv_SvcV)*(103&lt;Inv_SvcV+Inv_F*12)/(Inv_F*12+(Inv_F=0)))*DD$9</f>
        <v>5784.7174166666664</v>
      </c>
      <c r="DE259" s="48">
        <f>SUMPRODUCT((Inv_CF*DE$8+Inv_BaseV*(1-DE$8))*(Inv_F&gt;0)*(104&gt;=Inv_SvcV)*(104&lt;Inv_SvcV+Inv_F*12)/(Inv_F*12+(Inv_F=0)))*DE$9</f>
        <v>5784.7174166666664</v>
      </c>
      <c r="DF259" s="48">
        <f>SUMPRODUCT((Inv_CF*DF$8+Inv_BaseV*(1-DF$8))*(Inv_F&gt;0)*(105&gt;=Inv_SvcV)*(105&lt;Inv_SvcV+Inv_F*12)/(Inv_F*12+(Inv_F=0)))*DF$9</f>
        <v>5784.7174166666664</v>
      </c>
      <c r="DG259" s="48">
        <f>SUMPRODUCT((Inv_CF*DG$8+Inv_BaseV*(1-DG$8))*(Inv_F&gt;0)*(106&gt;=Inv_SvcV)*(106&lt;Inv_SvcV+Inv_F*12)/(Inv_F*12+(Inv_F=0)))*DG$9</f>
        <v>5784.7174166666664</v>
      </c>
      <c r="DH259" s="48">
        <f>SUMPRODUCT((Inv_CF*DH$8+Inv_BaseV*(1-DH$8))*(Inv_F&gt;0)*(107&gt;=Inv_SvcV)*(107&lt;Inv_SvcV+Inv_F*12)/(Inv_F*12+(Inv_F=0)))*DH$9</f>
        <v>5784.7174166666664</v>
      </c>
      <c r="DI259" s="48">
        <f>SUMPRODUCT((Inv_CF*DI$8+Inv_BaseV*(1-DI$8))*(Inv_F&gt;0)*(108&gt;=Inv_SvcV)*(108&lt;Inv_SvcV+Inv_F*12)/(Inv_F*12+(Inv_F=0)))*DI$9</f>
        <v>5784.7174166666664</v>
      </c>
      <c r="DJ259" s="48">
        <f>SUMPRODUCT((Inv_CF*DJ$8+Inv_BaseV*(1-DJ$8))*(Inv_F&gt;0)*(109&gt;=Inv_SvcV)*(109&lt;Inv_SvcV+Inv_F*12)/(Inv_F*12+(Inv_F=0)))*DJ$9</f>
        <v>5784.7174166666664</v>
      </c>
      <c r="DK259" s="48">
        <f>SUMPRODUCT((Inv_CF*DK$8+Inv_BaseV*(1-DK$8))*(Inv_F&gt;0)*(110&gt;=Inv_SvcV)*(110&lt;Inv_SvcV+Inv_F*12)/(Inv_F*12+(Inv_F=0)))*DK$9</f>
        <v>5784.7174166666664</v>
      </c>
      <c r="DL259" s="48">
        <f>SUMPRODUCT((Inv_CF*DL$8+Inv_BaseV*(1-DL$8))*(Inv_F&gt;0)*(111&gt;=Inv_SvcV)*(111&lt;Inv_SvcV+Inv_F*12)/(Inv_F*12+(Inv_F=0)))*DL$9</f>
        <v>5784.7174166666664</v>
      </c>
      <c r="DM259" s="48">
        <f>SUMPRODUCT((Inv_CF*DM$8+Inv_BaseV*(1-DM$8))*(Inv_F&gt;0)*(112&gt;=Inv_SvcV)*(112&lt;Inv_SvcV+Inv_F*12)/(Inv_F*12+(Inv_F=0)))*DM$9</f>
        <v>5784.7174166666664</v>
      </c>
      <c r="DN259" s="48">
        <f>SUMPRODUCT((Inv_CF*DN$8+Inv_BaseV*(1-DN$8))*(Inv_F&gt;0)*(113&gt;=Inv_SvcV)*(113&lt;Inv_SvcV+Inv_F*12)/(Inv_F*12+(Inv_F=0)))*DN$9</f>
        <v>5784.7174166666664</v>
      </c>
      <c r="DO259" s="48">
        <f>SUMPRODUCT((Inv_CF*DO$8+Inv_BaseV*(1-DO$8))*(Inv_F&gt;0)*(114&gt;=Inv_SvcV)*(114&lt;Inv_SvcV+Inv_F*12)/(Inv_F*12+(Inv_F=0)))*DO$9</f>
        <v>5784.7174166666664</v>
      </c>
      <c r="DP259" s="48">
        <f>SUMPRODUCT((Inv_CF*DP$8+Inv_BaseV*(1-DP$8))*(Inv_F&gt;0)*(115&gt;=Inv_SvcV)*(115&lt;Inv_SvcV+Inv_F*12)/(Inv_F*12+(Inv_F=0)))*DP$9</f>
        <v>5784.7174166666664</v>
      </c>
      <c r="DQ259" s="48">
        <f>SUMPRODUCT((Inv_CF*DQ$8+Inv_BaseV*(1-DQ$8))*(Inv_F&gt;0)*(116&gt;=Inv_SvcV)*(116&lt;Inv_SvcV+Inv_F*12)/(Inv_F*12+(Inv_F=0)))*DQ$9</f>
        <v>5784.7174166666664</v>
      </c>
      <c r="DR259" s="48">
        <f>SUMPRODUCT((Inv_CF*DR$8+Inv_BaseV*(1-DR$8))*(Inv_F&gt;0)*(117&gt;=Inv_SvcV)*(117&lt;Inv_SvcV+Inv_F*12)/(Inv_F*12+(Inv_F=0)))*DR$9</f>
        <v>5784.7174166666664</v>
      </c>
      <c r="DS259" s="48">
        <f>SUMPRODUCT((Inv_CF*DS$8+Inv_BaseV*(1-DS$8))*(Inv_F&gt;0)*(118&gt;=Inv_SvcV)*(118&lt;Inv_SvcV+Inv_F*12)/(Inv_F*12+(Inv_F=0)))*DS$9</f>
        <v>5784.7174166666664</v>
      </c>
      <c r="DT259" s="48">
        <f>SUMPRODUCT((Inv_CF*DT$8+Inv_BaseV*(1-DT$8))*(Inv_F&gt;0)*(119&gt;=Inv_SvcV)*(119&lt;Inv_SvcV+Inv_F*12)/(Inv_F*12+(Inv_F=0)))*DT$9</f>
        <v>5784.7174166666664</v>
      </c>
      <c r="DU259" s="48">
        <f>SUMPRODUCT((Inv_CF*DU$8+Inv_BaseV*(1-DU$8))*(Inv_F&gt;0)*(120&gt;=Inv_SvcV)*(120&lt;Inv_SvcV+Inv_F*12)/(Inv_F*12+(Inv_F=0)))*DU$9</f>
        <v>5784.7174166666664</v>
      </c>
      <c r="DV259" s="48">
        <f>SUMPRODUCT((Inv_CF*DV$8+Inv_BaseV*(1-DV$8))*(Inv_F&gt;0)*(121&gt;=Inv_SvcV)*(121&lt;Inv_SvcV+Inv_F*12)/(Inv_F*12+(Inv_F=0)))*DV$9</f>
        <v>0</v>
      </c>
      <c r="DW259" s="48">
        <f>SUMPRODUCT((Inv_CF*DW$8+Inv_BaseV*(1-DW$8))*(Inv_F&gt;0)*(122&gt;=Inv_SvcV)*(122&lt;Inv_SvcV+Inv_F*12)/(Inv_F*12+(Inv_F=0)))*DW$9</f>
        <v>0</v>
      </c>
      <c r="DX259" s="48">
        <f>SUMPRODUCT((Inv_CF*DX$8+Inv_BaseV*(1-DX$8))*(Inv_F&gt;0)*(123&gt;=Inv_SvcV)*(123&lt;Inv_SvcV+Inv_F*12)/(Inv_F*12+(Inv_F=0)))*DX$9</f>
        <v>0</v>
      </c>
      <c r="DY259" s="48">
        <f>SUMPRODUCT((Inv_CF*DY$8+Inv_BaseV*(1-DY$8))*(Inv_F&gt;0)*(124&gt;=Inv_SvcV)*(124&lt;Inv_SvcV+Inv_F*12)/(Inv_F*12+(Inv_F=0)))*DY$9</f>
        <v>0</v>
      </c>
      <c r="DZ259" s="48">
        <f>SUMPRODUCT((Inv_CF*DZ$8+Inv_BaseV*(1-DZ$8))*(Inv_F&gt;0)*(125&gt;=Inv_SvcV)*(125&lt;Inv_SvcV+Inv_F*12)/(Inv_F*12+(Inv_F=0)))*DZ$9</f>
        <v>0</v>
      </c>
      <c r="EA259" s="48">
        <f>SUMPRODUCT((Inv_CF*EA$8+Inv_BaseV*(1-EA$8))*(Inv_F&gt;0)*(126&gt;=Inv_SvcV)*(126&lt;Inv_SvcV+Inv_F*12)/(Inv_F*12+(Inv_F=0)))*EA$9</f>
        <v>0</v>
      </c>
      <c r="EB259" s="48">
        <f>SUMPRODUCT((Inv_CF*EB$8+Inv_BaseV*(1-EB$8))*(Inv_F&gt;0)*(127&gt;=Inv_SvcV)*(127&lt;Inv_SvcV+Inv_F*12)/(Inv_F*12+(Inv_F=0)))*EB$9</f>
        <v>0</v>
      </c>
      <c r="EC259" s="48">
        <f>SUMPRODUCT((Inv_CF*EC$8+Inv_BaseV*(1-EC$8))*(Inv_F&gt;0)*(128&gt;=Inv_SvcV)*(128&lt;Inv_SvcV+Inv_F*12)/(Inv_F*12+(Inv_F=0)))*EC$9</f>
        <v>0</v>
      </c>
      <c r="ED259" s="48">
        <f>SUMPRODUCT((Inv_CF*ED$8+Inv_BaseV*(1-ED$8))*(Inv_F&gt;0)*(129&gt;=Inv_SvcV)*(129&lt;Inv_SvcV+Inv_F*12)/(Inv_F*12+(Inv_F=0)))*ED$9</f>
        <v>0</v>
      </c>
      <c r="EE259" s="48">
        <f>SUMPRODUCT((Inv_CF*EE$8+Inv_BaseV*(1-EE$8))*(Inv_F&gt;0)*(130&gt;=Inv_SvcV)*(130&lt;Inv_SvcV+Inv_F*12)/(Inv_F*12+(Inv_F=0)))*EE$9</f>
        <v>0</v>
      </c>
      <c r="EF259" s="48">
        <f>SUMPRODUCT((Inv_CF*EF$8+Inv_BaseV*(1-EF$8))*(Inv_F&gt;0)*(131&gt;=Inv_SvcV)*(131&lt;Inv_SvcV+Inv_F*12)/(Inv_F*12+(Inv_F=0)))*EF$9</f>
        <v>0</v>
      </c>
      <c r="EG259" s="48">
        <f>SUMPRODUCT((Inv_CF*EG$8+Inv_BaseV*(1-EG$8))*(Inv_F&gt;0)*(132&gt;=Inv_SvcV)*(132&lt;Inv_SvcV+Inv_F*12)/(Inv_F*12+(Inv_F=0)))*EG$9</f>
        <v>0</v>
      </c>
      <c r="EH259" s="48">
        <f>SUMPRODUCT((Inv_CF*EH$8+Inv_BaseV*(1-EH$8))*(Inv_F&gt;0)*(133&gt;=Inv_SvcV)*(133&lt;Inv_SvcV+Inv_F*12)/(Inv_F*12+(Inv_F=0)))*EH$9</f>
        <v>0</v>
      </c>
      <c r="EI259" s="48">
        <f>SUMPRODUCT((Inv_CF*EI$8+Inv_BaseV*(1-EI$8))*(Inv_F&gt;0)*(134&gt;=Inv_SvcV)*(134&lt;Inv_SvcV+Inv_F*12)/(Inv_F*12+(Inv_F=0)))*EI$9</f>
        <v>0</v>
      </c>
      <c r="EJ259" s="48">
        <f>SUMPRODUCT((Inv_CF*EJ$8+Inv_BaseV*(1-EJ$8))*(Inv_F&gt;0)*(135&gt;=Inv_SvcV)*(135&lt;Inv_SvcV+Inv_F*12)/(Inv_F*12+(Inv_F=0)))*EJ$9</f>
        <v>0</v>
      </c>
      <c r="EK259" s="48">
        <f>SUMPRODUCT((Inv_CF*EK$8+Inv_BaseV*(1-EK$8))*(Inv_F&gt;0)*(136&gt;=Inv_SvcV)*(136&lt;Inv_SvcV+Inv_F*12)/(Inv_F*12+(Inv_F=0)))*EK$9</f>
        <v>0</v>
      </c>
      <c r="EL259" s="48">
        <f>SUMPRODUCT((Inv_CF*EL$8+Inv_BaseV*(1-EL$8))*(Inv_F&gt;0)*(137&gt;=Inv_SvcV)*(137&lt;Inv_SvcV+Inv_F*12)/(Inv_F*12+(Inv_F=0)))*EL$9</f>
        <v>0</v>
      </c>
      <c r="EM259" s="48">
        <f>SUMPRODUCT((Inv_CF*EM$8+Inv_BaseV*(1-EM$8))*(Inv_F&gt;0)*(138&gt;=Inv_SvcV)*(138&lt;Inv_SvcV+Inv_F*12)/(Inv_F*12+(Inv_F=0)))*EM$9</f>
        <v>0</v>
      </c>
      <c r="EN259" s="48">
        <f>SUMPRODUCT((Inv_CF*EN$8+Inv_BaseV*(1-EN$8))*(Inv_F&gt;0)*(139&gt;=Inv_SvcV)*(139&lt;Inv_SvcV+Inv_F*12)/(Inv_F*12+(Inv_F=0)))*EN$9</f>
        <v>0</v>
      </c>
      <c r="EO259" s="48">
        <f>SUMPRODUCT((Inv_CF*EO$8+Inv_BaseV*(1-EO$8))*(Inv_F&gt;0)*(140&gt;=Inv_SvcV)*(140&lt;Inv_SvcV+Inv_F*12)/(Inv_F*12+(Inv_F=0)))*EO$9</f>
        <v>0</v>
      </c>
      <c r="EP259" s="48">
        <f>SUMPRODUCT((Inv_CF*EP$8+Inv_BaseV*(1-EP$8))*(Inv_F&gt;0)*(141&gt;=Inv_SvcV)*(141&lt;Inv_SvcV+Inv_F*12)/(Inv_F*12+(Inv_F=0)))*EP$9</f>
        <v>0</v>
      </c>
      <c r="EQ259" s="48">
        <f>SUMPRODUCT((Inv_CF*EQ$8+Inv_BaseV*(1-EQ$8))*(Inv_F&gt;0)*(142&gt;=Inv_SvcV)*(142&lt;Inv_SvcV+Inv_F*12)/(Inv_F*12+(Inv_F=0)))*EQ$9</f>
        <v>0</v>
      </c>
      <c r="ER259" s="48">
        <f>SUMPRODUCT((Inv_CF*ER$8+Inv_BaseV*(1-ER$8))*(Inv_F&gt;0)*(143&gt;=Inv_SvcV)*(143&lt;Inv_SvcV+Inv_F*12)/(Inv_F*12+(Inv_F=0)))*ER$9</f>
        <v>0</v>
      </c>
      <c r="ES259" s="48">
        <f>SUMPRODUCT((Inv_CF*ES$8+Inv_BaseV*(1-ES$8))*(Inv_F&gt;0)*(144&gt;=Inv_SvcV)*(144&lt;Inv_SvcV+Inv_F*12)/(Inv_F*12+(Inv_F=0)))*ES$9</f>
        <v>0</v>
      </c>
    </row>
    <row r="260" spans="1:149" x14ac:dyDescent="0.3">
      <c r="A260" s="14" t="s">
        <v>1313</v>
      </c>
      <c r="B260" s="18" t="s">
        <v>1110</v>
      </c>
      <c r="C260" s="18" t="s">
        <v>439</v>
      </c>
      <c r="E260" s="54">
        <f t="shared" si="642"/>
        <v>15564459.926261019</v>
      </c>
      <c r="F260" s="48">
        <f t="shared" ref="F260:AK260" si="658">F$258-F$259</f>
        <v>36531.483058923077</v>
      </c>
      <c r="G260" s="48">
        <f t="shared" si="658"/>
        <v>36531.483058923077</v>
      </c>
      <c r="H260" s="48">
        <f t="shared" si="658"/>
        <v>36531.483058923077</v>
      </c>
      <c r="I260" s="48">
        <f t="shared" si="658"/>
        <v>36531.483058923077</v>
      </c>
      <c r="J260" s="48">
        <f t="shared" si="658"/>
        <v>36531.483058923077</v>
      </c>
      <c r="K260" s="48">
        <f t="shared" si="658"/>
        <v>36531.483058923077</v>
      </c>
      <c r="L260" s="48">
        <f t="shared" si="658"/>
        <v>36531.483058923077</v>
      </c>
      <c r="M260" s="48">
        <f t="shared" si="658"/>
        <v>36531.483058923077</v>
      </c>
      <c r="N260" s="48">
        <f t="shared" si="658"/>
        <v>36531.483058923077</v>
      </c>
      <c r="O260" s="48">
        <f t="shared" si="658"/>
        <v>36531.483058923077</v>
      </c>
      <c r="P260" s="48">
        <f t="shared" si="658"/>
        <v>36531.483058923077</v>
      </c>
      <c r="Q260" s="48">
        <f t="shared" si="658"/>
        <v>36531.483058923077</v>
      </c>
      <c r="R260" s="48">
        <f t="shared" si="658"/>
        <v>73697.05224396479</v>
      </c>
      <c r="S260" s="48">
        <f t="shared" si="658"/>
        <v>73697.05224396479</v>
      </c>
      <c r="T260" s="48">
        <f t="shared" si="658"/>
        <v>73697.05224396479</v>
      </c>
      <c r="U260" s="48">
        <f t="shared" si="658"/>
        <v>73697.05224396479</v>
      </c>
      <c r="V260" s="48">
        <f t="shared" si="658"/>
        <v>73697.05224396479</v>
      </c>
      <c r="W260" s="48">
        <f t="shared" si="658"/>
        <v>73697.05224396479</v>
      </c>
      <c r="X260" s="48">
        <f t="shared" si="658"/>
        <v>73697.05224396479</v>
      </c>
      <c r="Y260" s="48">
        <f t="shared" si="658"/>
        <v>73697.05224396479</v>
      </c>
      <c r="Z260" s="48">
        <f t="shared" si="658"/>
        <v>73697.05224396479</v>
      </c>
      <c r="AA260" s="48">
        <f t="shared" si="658"/>
        <v>73697.05224396479</v>
      </c>
      <c r="AB260" s="48">
        <f t="shared" si="658"/>
        <v>73697.05224396479</v>
      </c>
      <c r="AC260" s="48">
        <f t="shared" si="658"/>
        <v>73697.05224396479</v>
      </c>
      <c r="AD260" s="48">
        <f t="shared" si="658"/>
        <v>110285.68011512479</v>
      </c>
      <c r="AE260" s="48">
        <f t="shared" si="658"/>
        <v>110285.68011512479</v>
      </c>
      <c r="AF260" s="48">
        <f t="shared" si="658"/>
        <v>110285.68011512479</v>
      </c>
      <c r="AG260" s="48">
        <f t="shared" si="658"/>
        <v>110285.68011512479</v>
      </c>
      <c r="AH260" s="48">
        <f t="shared" si="658"/>
        <v>110285.68011512479</v>
      </c>
      <c r="AI260" s="48">
        <f t="shared" si="658"/>
        <v>110285.68011512479</v>
      </c>
      <c r="AJ260" s="48">
        <f t="shared" si="658"/>
        <v>110285.68011512479</v>
      </c>
      <c r="AK260" s="48">
        <f t="shared" si="658"/>
        <v>110285.68011512479</v>
      </c>
      <c r="AL260" s="48">
        <f t="shared" ref="AL260:BQ260" si="659">AL$258-AL$259</f>
        <v>110285.68011512479</v>
      </c>
      <c r="AM260" s="48">
        <f t="shared" si="659"/>
        <v>110285.68011512479</v>
      </c>
      <c r="AN260" s="48">
        <f t="shared" si="659"/>
        <v>110285.68011512479</v>
      </c>
      <c r="AO260" s="48">
        <f t="shared" si="659"/>
        <v>110285.68011512479</v>
      </c>
      <c r="AP260" s="48">
        <f t="shared" si="659"/>
        <v>143094.22912985831</v>
      </c>
      <c r="AQ260" s="48">
        <f t="shared" si="659"/>
        <v>143094.22912985831</v>
      </c>
      <c r="AR260" s="48">
        <f t="shared" si="659"/>
        <v>143094.22912985831</v>
      </c>
      <c r="AS260" s="48">
        <f t="shared" si="659"/>
        <v>143094.22912985831</v>
      </c>
      <c r="AT260" s="48">
        <f t="shared" si="659"/>
        <v>143094.22912985831</v>
      </c>
      <c r="AU260" s="48">
        <f t="shared" si="659"/>
        <v>143094.22912985831</v>
      </c>
      <c r="AV260" s="48">
        <f t="shared" si="659"/>
        <v>143094.22912985831</v>
      </c>
      <c r="AW260" s="48">
        <f t="shared" si="659"/>
        <v>143094.22912985831</v>
      </c>
      <c r="AX260" s="48">
        <f t="shared" si="659"/>
        <v>143094.22912985831</v>
      </c>
      <c r="AY260" s="48">
        <f t="shared" si="659"/>
        <v>143094.22912985831</v>
      </c>
      <c r="AZ260" s="48">
        <f t="shared" si="659"/>
        <v>143094.22912985831</v>
      </c>
      <c r="BA260" s="48">
        <f t="shared" si="659"/>
        <v>143094.22912985831</v>
      </c>
      <c r="BB260" s="48">
        <f t="shared" si="659"/>
        <v>144413.81412637379</v>
      </c>
      <c r="BC260" s="48">
        <f t="shared" si="659"/>
        <v>144413.81412637379</v>
      </c>
      <c r="BD260" s="48">
        <f t="shared" si="659"/>
        <v>144413.81412637379</v>
      </c>
      <c r="BE260" s="48">
        <f t="shared" si="659"/>
        <v>144413.81412637379</v>
      </c>
      <c r="BF260" s="48">
        <f t="shared" si="659"/>
        <v>144413.81412637379</v>
      </c>
      <c r="BG260" s="48">
        <f t="shared" si="659"/>
        <v>144413.81412637379</v>
      </c>
      <c r="BH260" s="48">
        <f t="shared" si="659"/>
        <v>144413.81412637379</v>
      </c>
      <c r="BI260" s="48">
        <f t="shared" si="659"/>
        <v>144413.81412637379</v>
      </c>
      <c r="BJ260" s="48">
        <f t="shared" si="659"/>
        <v>144413.81412637379</v>
      </c>
      <c r="BK260" s="48">
        <f t="shared" si="659"/>
        <v>144413.81412637379</v>
      </c>
      <c r="BL260" s="48">
        <f t="shared" si="659"/>
        <v>144413.81412637379</v>
      </c>
      <c r="BM260" s="48">
        <f t="shared" si="659"/>
        <v>144413.81412637379</v>
      </c>
      <c r="BN260" s="48">
        <f t="shared" si="659"/>
        <v>149515.72438115947</v>
      </c>
      <c r="BO260" s="48">
        <f t="shared" si="659"/>
        <v>149515.72438115947</v>
      </c>
      <c r="BP260" s="48">
        <f t="shared" si="659"/>
        <v>149515.72438115947</v>
      </c>
      <c r="BQ260" s="48">
        <f t="shared" si="659"/>
        <v>149515.72438115947</v>
      </c>
      <c r="BR260" s="48">
        <f t="shared" ref="BR260:CW260" si="660">BR$258-BR$259</f>
        <v>149515.72438115947</v>
      </c>
      <c r="BS260" s="48">
        <f t="shared" si="660"/>
        <v>149515.72438115947</v>
      </c>
      <c r="BT260" s="48">
        <f t="shared" si="660"/>
        <v>149515.72438115947</v>
      </c>
      <c r="BU260" s="48">
        <f t="shared" si="660"/>
        <v>149515.72438115947</v>
      </c>
      <c r="BV260" s="48">
        <f t="shared" si="660"/>
        <v>149515.72438115947</v>
      </c>
      <c r="BW260" s="48">
        <f t="shared" si="660"/>
        <v>149515.72438115947</v>
      </c>
      <c r="BX260" s="48">
        <f t="shared" si="660"/>
        <v>149515.72438115947</v>
      </c>
      <c r="BY260" s="48">
        <f t="shared" si="660"/>
        <v>149515.72438115947</v>
      </c>
      <c r="BZ260" s="48">
        <f t="shared" si="660"/>
        <v>153631.3050727332</v>
      </c>
      <c r="CA260" s="48">
        <f t="shared" si="660"/>
        <v>153631.3050727332</v>
      </c>
      <c r="CB260" s="48">
        <f t="shared" si="660"/>
        <v>153631.3050727332</v>
      </c>
      <c r="CC260" s="48">
        <f t="shared" si="660"/>
        <v>153631.3050727332</v>
      </c>
      <c r="CD260" s="48">
        <f t="shared" si="660"/>
        <v>153631.3050727332</v>
      </c>
      <c r="CE260" s="48">
        <f t="shared" si="660"/>
        <v>153631.3050727332</v>
      </c>
      <c r="CF260" s="48">
        <f t="shared" si="660"/>
        <v>153631.3050727332</v>
      </c>
      <c r="CG260" s="48">
        <f t="shared" si="660"/>
        <v>153631.3050727332</v>
      </c>
      <c r="CH260" s="48">
        <f t="shared" si="660"/>
        <v>153631.3050727332</v>
      </c>
      <c r="CI260" s="48">
        <f t="shared" si="660"/>
        <v>153631.3050727332</v>
      </c>
      <c r="CJ260" s="48">
        <f t="shared" si="660"/>
        <v>153631.3050727332</v>
      </c>
      <c r="CK260" s="48">
        <f t="shared" si="660"/>
        <v>153631.3050727332</v>
      </c>
      <c r="CL260" s="48">
        <f t="shared" si="660"/>
        <v>157775.1011296208</v>
      </c>
      <c r="CM260" s="48">
        <f t="shared" si="660"/>
        <v>157775.1011296208</v>
      </c>
      <c r="CN260" s="48">
        <f t="shared" si="660"/>
        <v>157775.1011296208</v>
      </c>
      <c r="CO260" s="48">
        <f t="shared" si="660"/>
        <v>157775.1011296208</v>
      </c>
      <c r="CP260" s="48">
        <f t="shared" si="660"/>
        <v>157775.1011296208</v>
      </c>
      <c r="CQ260" s="48">
        <f t="shared" si="660"/>
        <v>157775.1011296208</v>
      </c>
      <c r="CR260" s="48">
        <f t="shared" si="660"/>
        <v>157775.1011296208</v>
      </c>
      <c r="CS260" s="48">
        <f t="shared" si="660"/>
        <v>157775.1011296208</v>
      </c>
      <c r="CT260" s="48">
        <f t="shared" si="660"/>
        <v>157775.1011296208</v>
      </c>
      <c r="CU260" s="48">
        <f t="shared" si="660"/>
        <v>157775.1011296208</v>
      </c>
      <c r="CV260" s="48">
        <f t="shared" si="660"/>
        <v>157775.1011296208</v>
      </c>
      <c r="CW260" s="48">
        <f t="shared" si="660"/>
        <v>157775.1011296208</v>
      </c>
      <c r="CX260" s="48">
        <f t="shared" ref="CX260:EC260" si="661">CX$258-CX$259</f>
        <v>161947.01223224087</v>
      </c>
      <c r="CY260" s="48">
        <f t="shared" si="661"/>
        <v>161947.01223224087</v>
      </c>
      <c r="CZ260" s="48">
        <f t="shared" si="661"/>
        <v>161947.01223224087</v>
      </c>
      <c r="DA260" s="48">
        <f t="shared" si="661"/>
        <v>161947.01223224087</v>
      </c>
      <c r="DB260" s="48">
        <f t="shared" si="661"/>
        <v>161947.01223224087</v>
      </c>
      <c r="DC260" s="48">
        <f t="shared" si="661"/>
        <v>161947.01223224087</v>
      </c>
      <c r="DD260" s="48">
        <f t="shared" si="661"/>
        <v>161947.01223224087</v>
      </c>
      <c r="DE260" s="48">
        <f t="shared" si="661"/>
        <v>161947.01223224087</v>
      </c>
      <c r="DF260" s="48">
        <f t="shared" si="661"/>
        <v>161947.01223224087</v>
      </c>
      <c r="DG260" s="48">
        <f t="shared" si="661"/>
        <v>161947.01223224087</v>
      </c>
      <c r="DH260" s="48">
        <f t="shared" si="661"/>
        <v>161947.01223224087</v>
      </c>
      <c r="DI260" s="48">
        <f t="shared" si="661"/>
        <v>161947.01223224087</v>
      </c>
      <c r="DJ260" s="48">
        <f t="shared" si="661"/>
        <v>166146.92569841945</v>
      </c>
      <c r="DK260" s="48">
        <f t="shared" si="661"/>
        <v>166146.92569841945</v>
      </c>
      <c r="DL260" s="48">
        <f t="shared" si="661"/>
        <v>166146.92569841945</v>
      </c>
      <c r="DM260" s="48">
        <f t="shared" si="661"/>
        <v>166146.92569841945</v>
      </c>
      <c r="DN260" s="48">
        <f t="shared" si="661"/>
        <v>166146.92569841945</v>
      </c>
      <c r="DO260" s="48">
        <f t="shared" si="661"/>
        <v>166146.92569841945</v>
      </c>
      <c r="DP260" s="48">
        <f t="shared" si="661"/>
        <v>166146.92569841945</v>
      </c>
      <c r="DQ260" s="48">
        <f t="shared" si="661"/>
        <v>166146.92569841945</v>
      </c>
      <c r="DR260" s="48">
        <f t="shared" si="661"/>
        <v>166146.92569841945</v>
      </c>
      <c r="DS260" s="48">
        <f t="shared" si="661"/>
        <v>166146.92569841945</v>
      </c>
      <c r="DT260" s="48">
        <f t="shared" si="661"/>
        <v>166146.92569841945</v>
      </c>
      <c r="DU260" s="48">
        <f t="shared" si="661"/>
        <v>166146.92569841945</v>
      </c>
      <c r="DV260" s="48">
        <f t="shared" si="661"/>
        <v>0</v>
      </c>
      <c r="DW260" s="48">
        <f t="shared" si="661"/>
        <v>0</v>
      </c>
      <c r="DX260" s="48">
        <f t="shared" si="661"/>
        <v>0</v>
      </c>
      <c r="DY260" s="48">
        <f t="shared" si="661"/>
        <v>0</v>
      </c>
      <c r="DZ260" s="48">
        <f t="shared" si="661"/>
        <v>0</v>
      </c>
      <c r="EA260" s="48">
        <f t="shared" si="661"/>
        <v>0</v>
      </c>
      <c r="EB260" s="48">
        <f t="shared" si="661"/>
        <v>0</v>
      </c>
      <c r="EC260" s="48">
        <f t="shared" si="661"/>
        <v>0</v>
      </c>
      <c r="ED260" s="48">
        <f t="shared" ref="ED260:ES260" si="662">ED$258-ED$259</f>
        <v>0</v>
      </c>
      <c r="EE260" s="48">
        <f t="shared" si="662"/>
        <v>0</v>
      </c>
      <c r="EF260" s="48">
        <f t="shared" si="662"/>
        <v>0</v>
      </c>
      <c r="EG260" s="48">
        <f t="shared" si="662"/>
        <v>0</v>
      </c>
      <c r="EH260" s="48">
        <f t="shared" si="662"/>
        <v>0</v>
      </c>
      <c r="EI260" s="48">
        <f t="shared" si="662"/>
        <v>0</v>
      </c>
      <c r="EJ260" s="48">
        <f t="shared" si="662"/>
        <v>0</v>
      </c>
      <c r="EK260" s="48">
        <f t="shared" si="662"/>
        <v>0</v>
      </c>
      <c r="EL260" s="48">
        <f t="shared" si="662"/>
        <v>0</v>
      </c>
      <c r="EM260" s="48">
        <f t="shared" si="662"/>
        <v>0</v>
      </c>
      <c r="EN260" s="48">
        <f t="shared" si="662"/>
        <v>0</v>
      </c>
      <c r="EO260" s="48">
        <f t="shared" si="662"/>
        <v>0</v>
      </c>
      <c r="EP260" s="48">
        <f t="shared" si="662"/>
        <v>0</v>
      </c>
      <c r="EQ260" s="48">
        <f t="shared" si="662"/>
        <v>0</v>
      </c>
      <c r="ER260" s="48">
        <f t="shared" si="662"/>
        <v>0</v>
      </c>
      <c r="ES260" s="48">
        <f t="shared" si="662"/>
        <v>0</v>
      </c>
    </row>
    <row r="261" spans="1:149" x14ac:dyDescent="0.3">
      <c r="A261" s="14" t="s">
        <v>1314</v>
      </c>
      <c r="B261" s="18" t="s">
        <v>1112</v>
      </c>
      <c r="C261" s="18" t="s">
        <v>439</v>
      </c>
      <c r="E261" s="54">
        <f t="shared" si="642"/>
        <v>813214.12822445377</v>
      </c>
      <c r="F261" s="48">
        <f>IF(F$8=1,IF(Reales!$C$74="PYG",IF(F$10&gt;0,N(Reales!F74)/F$10,0),N(Reales!F74)),(F$280+F$284+F$288+F$296)*(1+V_IVAint))</f>
        <v>23030.592750000003</v>
      </c>
      <c r="G261" s="48">
        <f>IF(G$8=1,IF(Reales!$C$74="PYG",IF(G$10&gt;0,N(Reales!G74)/G$10,0),N(Reales!G74)),(G$280+G$284+G$288+G$296)*(1+V_IVAint))</f>
        <v>23030.592750000003</v>
      </c>
      <c r="H261" s="48">
        <f>IF(H$8=1,IF(Reales!$C$74="PYG",IF(H$10&gt;0,N(Reales!H74)/H$10,0),N(Reales!H74)),(H$280+H$284+H$288+H$296)*(1+V_IVAint))</f>
        <v>23030.592750000003</v>
      </c>
      <c r="I261" s="48">
        <f>IF(I$8=1,IF(Reales!$C$74="PYG",IF(I$10&gt;0,N(Reales!I74)/I$10,0),N(Reales!I74)),(I$280+I$284+I$288+I$296)*(1+V_IVAint))</f>
        <v>23030.592750000003</v>
      </c>
      <c r="J261" s="48">
        <f>IF(J$8=1,IF(Reales!$C$74="PYG",IF(J$10&gt;0,N(Reales!J74)/J$10,0),N(Reales!J74)),(J$280+J$284+J$288+J$296)*(1+V_IVAint))</f>
        <v>23030.592750000003</v>
      </c>
      <c r="K261" s="48">
        <f>IF(K$8=1,IF(Reales!$C$74="PYG",IF(K$10&gt;0,N(Reales!K74)/K$10,0),N(Reales!K74)),(K$280+K$284+K$288+K$296)*(1+V_IVAint))</f>
        <v>23030.592750000003</v>
      </c>
      <c r="L261" s="48">
        <f>IF(L$8=1,IF(Reales!$C$74="PYG",IF(L$10&gt;0,N(Reales!L74)/L$10,0),N(Reales!L74)),(L$280+L$284+L$288+L$296)*(1+V_IVAint))</f>
        <v>23030.592750000003</v>
      </c>
      <c r="M261" s="48">
        <f>IF(M$8=1,IF(Reales!$C$74="PYG",IF(M$10&gt;0,N(Reales!M74)/M$10,0),N(Reales!M74)),(M$280+M$284+M$288+M$296)*(1+V_IVAint))</f>
        <v>22683.075491218831</v>
      </c>
      <c r="N261" s="48">
        <f>IF(N$8=1,IF(Reales!$C$74="PYG",IF(N$10&gt;0,N(Reales!N74)/N$10,0),N(Reales!N74)),(N$280+N$284+N$288+N$296)*(1+V_IVAint))</f>
        <v>22332.951852996801</v>
      </c>
      <c r="O261" s="48">
        <f>IF(O$8=1,IF(Reales!$C$74="PYG",IF(O$10&gt;0,N(Reales!O74)/O$10,0),N(Reales!O74)),(O$280+O$284+O$288+O$296)*(1+V_IVAint))</f>
        <v>21980.202287488097</v>
      </c>
      <c r="P261" s="48">
        <f>IF(P$8=1,IF(Reales!$C$74="PYG",IF(P$10&gt;0,N(Reales!P74)/P$10,0),N(Reales!P74)),(P$280+P$284+P$288+P$296)*(1+V_IVAint))</f>
        <v>21624.807100238086</v>
      </c>
      <c r="Q261" s="48">
        <f>IF(Q$8=1,IF(Reales!$C$74="PYG",IF(Q$10&gt;0,N(Reales!Q74)/Q$10,0),N(Reales!Q74)),(Q$280+Q$284+Q$288+Q$296)*(1+V_IVAint))</f>
        <v>21266.746449083697</v>
      </c>
      <c r="R261" s="48">
        <f>IF(R$8=1,IF(Reales!$C$74="PYG",IF(R$10&gt;0,N(Reales!R74)/R$10,0),N(Reales!R74)),(R$280+R$284+R$288+R$296)*(1+V_IVAint))</f>
        <v>20906.000343045653</v>
      </c>
      <c r="S261" s="48">
        <f>IF(S$8=1,IF(Reales!$C$74="PYG",IF(S$10&gt;0,N(Reales!S74)/S$10,0),N(Reales!S74)),(S$280+S$284+S$288+S$296)*(1+V_IVAint))</f>
        <v>20542.548641212325</v>
      </c>
      <c r="T261" s="48">
        <f>IF(T$8=1,IF(Reales!$C$74="PYG",IF(T$10&gt;0,N(Reales!T74)/T$10,0),N(Reales!T74)),(T$280+T$284+T$288+T$296)*(1+V_IVAint))</f>
        <v>20176.371051615239</v>
      </c>
      <c r="U261" s="48">
        <f>IF(U$8=1,IF(Reales!$C$74="PYG",IF(U$10&gt;0,N(Reales!U74)/U$10,0),N(Reales!U74)),(U$280+U$284+U$288+U$296)*(1+V_IVAint))</f>
        <v>19807.447130096178</v>
      </c>
      <c r="V261" s="48">
        <f>IF(V$8=1,IF(Reales!$C$74="PYG",IF(V$10&gt;0,N(Reales!V74)/V$10,0),N(Reales!V74)),(V$280+V$284+V$288+V$296)*(1+V_IVAint))</f>
        <v>19435.756279165729</v>
      </c>
      <c r="W261" s="48">
        <f>IF(W$8=1,IF(Reales!$C$74="PYG",IF(W$10&gt;0,N(Reales!W74)/W$10,0),N(Reales!W74)),(W$280+W$284+W$288+W$296)*(1+V_IVAint))</f>
        <v>19061.277746853299</v>
      </c>
      <c r="X261" s="48">
        <f>IF(X$8=1,IF(Reales!$C$74="PYG",IF(X$10&gt;0,N(Reales!X74)/X$10,0),N(Reales!X74)),(X$280+X$284+X$288+X$296)*(1+V_IVAint))</f>
        <v>18683.990625548529</v>
      </c>
      <c r="Y261" s="48">
        <f>IF(Y$8=1,IF(Reales!$C$74="PYG",IF(Y$10&gt;0,N(Reales!Y74)/Y$10,0),N(Reales!Y74)),(Y$280+Y$284+Y$288+Y$296)*(1+V_IVAint))</f>
        <v>18303.87385083397</v>
      </c>
      <c r="Z261" s="48">
        <f>IF(Z$8=1,IF(Reales!$C$74="PYG",IF(Z$10&gt;0,N(Reales!Z74)/Z$10,0),N(Reales!Z74)),(Z$280+Z$284+Z$288+Z$296)*(1+V_IVAint))</f>
        <v>17920.906200309048</v>
      </c>
      <c r="AA261" s="48">
        <f>IF(AA$8=1,IF(Reales!$C$74="PYG",IF(AA$10&gt;0,N(Reales!AA74)/AA$10,0),N(Reales!AA74)),(AA$280+AA$284+AA$288+AA$296)*(1+V_IVAint))</f>
        <v>17535.066292405194</v>
      </c>
      <c r="AB261" s="48">
        <f>IF(AB$8=1,IF(Reales!$C$74="PYG",IF(AB$10&gt;0,N(Reales!AB74)/AB$10,0),N(Reales!AB74)),(AB$280+AB$284+AB$288+AB$296)*(1+V_IVAint))</f>
        <v>17146.33258519206</v>
      </c>
      <c r="AC261" s="48">
        <f>IF(AC$8=1,IF(Reales!$C$74="PYG",IF(AC$10&gt;0,N(Reales!AC74)/AC$10,0),N(Reales!AC74)),(AC$280+AC$284+AC$288+AC$296)*(1+V_IVAint))</f>
        <v>16754.683375174824</v>
      </c>
      <c r="AD261" s="48">
        <f>IF(AD$8=1,IF(Reales!$C$74="PYG",IF(AD$10&gt;0,N(Reales!AD74)/AD$10,0),N(Reales!AD74)),(AD$280+AD$284+AD$288+AD$296)*(1+V_IVAint))</f>
        <v>16360.096796082458</v>
      </c>
      <c r="AE261" s="48">
        <f>IF(AE$8=1,IF(Reales!$C$74="PYG",IF(AE$10&gt;0,N(Reales!AE74)/AE$10,0),N(Reales!AE74)),(AE$280+AE$284+AE$288+AE$296)*(1+V_IVAint))</f>
        <v>15962.550817646903</v>
      </c>
      <c r="AF261" s="48">
        <f>IF(AF$8=1,IF(Reales!$C$74="PYG",IF(AF$10&gt;0,N(Reales!AF74)/AF$10,0),N(Reales!AF74)),(AF$280+AF$284+AF$288+AF$296)*(1+V_IVAint))</f>
        <v>15562.023244373078</v>
      </c>
      <c r="AG261" s="48">
        <f>IF(AG$8=1,IF(Reales!$C$74="PYG",IF(AG$10&gt;0,N(Reales!AG74)/AG$10,0),N(Reales!AG74)),(AG$280+AG$284+AG$288+AG$296)*(1+V_IVAint))</f>
        <v>15158.491714299704</v>
      </c>
      <c r="AH261" s="48">
        <f>IF(AH$8=1,IF(Reales!$C$74="PYG",IF(AH$10&gt;0,N(Reales!AH74)/AH$10,0),N(Reales!AH74)),(AH$280+AH$284+AH$288+AH$296)*(1+V_IVAint))</f>
        <v>14751.933697750777</v>
      </c>
      <c r="AI261" s="48">
        <f>IF(AI$8=1,IF(Reales!$C$74="PYG",IF(AI$10&gt;0,N(Reales!AI74)/AI$10,0),N(Reales!AI74)),(AI$280+AI$284+AI$288+AI$296)*(1+V_IVAint))</f>
        <v>14342.326496077736</v>
      </c>
      <c r="AJ261" s="48">
        <f>IF(AJ$8=1,IF(Reales!$C$74="PYG",IF(AJ$10&gt;0,N(Reales!AJ74)/AJ$10,0),N(Reales!AJ74)),(AJ$280+AJ$284+AJ$288+AJ$296)*(1+V_IVAint))</f>
        <v>13929.647240392143</v>
      </c>
      <c r="AK261" s="48">
        <f>IF(AK$8=1,IF(Reales!$C$74="PYG",IF(AK$10&gt;0,N(Reales!AK74)/AK$10,0),N(Reales!AK74)),(AK$280+AK$284+AK$288+AK$296)*(1+V_IVAint))</f>
        <v>13513.872890288912</v>
      </c>
      <c r="AL261" s="48">
        <f>IF(AL$8=1,IF(Reales!$C$74="PYG",IF(AL$10&gt;0,N(Reales!AL74)/AL$10,0),N(Reales!AL74)),(AL$280+AL$284+AL$288+AL$296)*(1+V_IVAint))</f>
        <v>13094.980232559905</v>
      </c>
      <c r="AM261" s="48">
        <f>IF(AM$8=1,IF(Reales!$C$74="PYG",IF(AM$10&gt;0,N(Reales!AM74)/AM$10,0),N(Reales!AM74)),(AM$280+AM$284+AM$288+AM$296)*(1+V_IVAint))</f>
        <v>12672.945879897929</v>
      </c>
      <c r="AN261" s="48">
        <f>IF(AN$8=1,IF(Reales!$C$74="PYG",IF(AN$10&gt;0,N(Reales!AN74)/AN$10,0),N(Reales!AN74)),(AN$280+AN$284+AN$288+AN$296)*(1+V_IVAint))</f>
        <v>12247.746269590989</v>
      </c>
      <c r="AO261" s="48">
        <f>IF(AO$8=1,IF(Reales!$C$74="PYG",IF(AO$10&gt;0,N(Reales!AO74)/AO$10,0),N(Reales!AO74)),(AO$280+AO$284+AO$288+AO$296)*(1+V_IVAint))</f>
        <v>11819.357662206749</v>
      </c>
      <c r="AP261" s="48">
        <f>IF(AP$8=1,IF(Reales!$C$74="PYG",IF(AP$10&gt;0,N(Reales!AP74)/AP$10,0),N(Reales!AP74)),(AP$280+AP$284+AP$288+AP$296)*(1+V_IVAint))</f>
        <v>11387.756140267127</v>
      </c>
      <c r="AQ261" s="48">
        <f>IF(AQ$8=1,IF(Reales!$C$74="PYG",IF(AQ$10&gt;0,N(Reales!AQ74)/AQ$10,0),N(Reales!AQ74)),(AQ$280+AQ$284+AQ$288+AQ$296)*(1+V_IVAint))</f>
        <v>10952.917606912955</v>
      </c>
      <c r="AR261" s="48">
        <f>IF(AR$8=1,IF(Reales!$C$74="PYG",IF(AR$10&gt;0,N(Reales!AR74)/AR$10,0),N(Reales!AR74)),(AR$280+AR$284+AR$288+AR$296)*(1+V_IVAint))</f>
        <v>10514.817784558629</v>
      </c>
      <c r="AS261" s="48">
        <f>IF(AS$8=1,IF(Reales!$C$74="PYG",IF(AS$10&gt;0,N(Reales!AS74)/AS$10,0),N(Reales!AS74)),(AS$280+AS$284+AS$288+AS$296)*(1+V_IVAint))</f>
        <v>10073.432213536644</v>
      </c>
      <c r="AT261" s="48">
        <f>IF(AT$8=1,IF(Reales!$C$74="PYG",IF(AT$10&gt;0,N(Reales!AT74)/AT$10,0),N(Reales!AT74)),(AT$280+AT$284+AT$288+AT$296)*(1+V_IVAint))</f>
        <v>9628.7362507319958</v>
      </c>
      <c r="AU261" s="48">
        <f>IF(AU$8=1,IF(Reales!$C$74="PYG",IF(AU$10&gt;0,N(Reales!AU74)/AU$10,0),N(Reales!AU74)),(AU$280+AU$284+AU$288+AU$296)*(1+V_IVAint))</f>
        <v>9180.7050682063109</v>
      </c>
      <c r="AV261" s="48">
        <f>IF(AV$8=1,IF(Reales!$C$74="PYG",IF(AV$10&gt;0,N(Reales!AV74)/AV$10,0),N(Reales!AV74)),(AV$280+AV$284+AV$288+AV$296)*(1+V_IVAint))</f>
        <v>8729.3136518116844</v>
      </c>
      <c r="AW261" s="48">
        <f>IF(AW$8=1,IF(Reales!$C$74="PYG",IF(AW$10&gt;0,N(Reales!AW74)/AW$10,0),N(Reales!AW74)),(AW$280+AW$284+AW$288+AW$296)*(1+V_IVAint))</f>
        <v>8274.5367997940975</v>
      </c>
      <c r="AX261" s="48">
        <f>IF(AX$8=1,IF(Reales!$C$74="PYG",IF(AX$10&gt;0,N(Reales!AX74)/AX$10,0),N(Reales!AX74)),(AX$280+AX$284+AX$288+AX$296)*(1+V_IVAint))</f>
        <v>7816.349121386379</v>
      </c>
      <c r="AY261" s="48">
        <f>IF(AY$8=1,IF(Reales!$C$74="PYG",IF(AY$10&gt;0,N(Reales!AY74)/AY$10,0),N(Reales!AY74)),(AY$280+AY$284+AY$288+AY$296)*(1+V_IVAint))</f>
        <v>7354.7250353906038</v>
      </c>
      <c r="AZ261" s="48">
        <f>IF(AZ$8=1,IF(Reales!$C$74="PYG",IF(AZ$10&gt;0,N(Reales!AZ74)/AZ$10,0),N(Reales!AZ74)),(AZ$280+AZ$284+AZ$288+AZ$296)*(1+V_IVAint))</f>
        <v>6889.6387687498591</v>
      </c>
      <c r="BA261" s="48">
        <f>IF(BA$8=1,IF(Reales!$C$74="PYG",IF(BA$10&gt;0,N(Reales!BA74)/BA$10,0),N(Reales!BA74)),(BA$280+BA$284+BA$288+BA$296)*(1+V_IVAint))</f>
        <v>6421.064355109309</v>
      </c>
      <c r="BB261" s="48">
        <f>IF(BB$8=1,IF(Reales!$C$74="PYG",IF(BB$10&gt;0,N(Reales!BB74)/BB$10,0),N(Reales!BB74)),(BB$280+BB$284+BB$288+BB$296)*(1+V_IVAint))</f>
        <v>5948.9756333664554</v>
      </c>
      <c r="BC261" s="48">
        <f>IF(BC$8=1,IF(Reales!$C$74="PYG",IF(BC$10&gt;0,N(Reales!BC74)/BC$10,0),N(Reales!BC74)),(BC$280+BC$284+BC$288+BC$296)*(1+V_IVAint))</f>
        <v>5473.3462462105281</v>
      </c>
      <c r="BD261" s="48">
        <f>IF(BD$8=1,IF(Reales!$C$74="PYG",IF(BD$10&gt;0,N(Reales!BD74)/BD$10,0),N(Reales!BD74)),(BD$280+BD$284+BD$288+BD$296)*(1+V_IVAint))</f>
        <v>4994.1496386509343</v>
      </c>
      <c r="BE261" s="48">
        <f>IF(BE$8=1,IF(Reales!$C$74="PYG",IF(BE$10&gt;0,N(Reales!BE74)/BE$10,0),N(Reales!BE74)),(BE$280+BE$284+BE$288+BE$296)*(1+V_IVAint))</f>
        <v>4511.3590565346412</v>
      </c>
      <c r="BF261" s="48">
        <f>IF(BF$8=1,IF(Reales!$C$74="PYG",IF(BF$10&gt;0,N(Reales!BF74)/BF$10,0),N(Reales!BF74)),(BF$280+BF$284+BF$288+BF$296)*(1+V_IVAint))</f>
        <v>4024.9475450524774</v>
      </c>
      <c r="BG261" s="48">
        <f>IF(BG$8=1,IF(Reales!$C$74="PYG",IF(BG$10&gt;0,N(Reales!BG74)/BG$10,0),N(Reales!BG74)),(BG$280+BG$284+BG$288+BG$296)*(1+V_IVAint))</f>
        <v>3534.8879472341978</v>
      </c>
      <c r="BH261" s="48">
        <f>IF(BH$8=1,IF(Reales!$C$74="PYG",IF(BH$10&gt;0,N(Reales!BH74)/BH$10,0),N(Reales!BH74)),(BH$280+BH$284+BH$288+BH$296)*(1+V_IVAint))</f>
        <v>3041.1529024322804</v>
      </c>
      <c r="BI261" s="48">
        <f>IF(BI$8=1,IF(Reales!$C$74="PYG",IF(BI$10&gt;0,N(Reales!BI74)/BI$10,0),N(Reales!BI74)),(BI$280+BI$284+BI$288+BI$296)*(1+V_IVAint))</f>
        <v>2543.7148447943482</v>
      </c>
      <c r="BJ261" s="48">
        <f>IF(BJ$8=1,IF(Reales!$C$74="PYG",IF(BJ$10&gt;0,N(Reales!BJ74)/BJ$10,0),N(Reales!BJ74)),(BJ$280+BJ$284+BJ$288+BJ$296)*(1+V_IVAint))</f>
        <v>2042.5460017241314</v>
      </c>
      <c r="BK261" s="48">
        <f>IF(BK$8=1,IF(Reales!$C$74="PYG",IF(BK$10&gt;0,N(Reales!BK74)/BK$10,0),N(Reales!BK74)),(BK$280+BK$284+BK$288+BK$296)*(1+V_IVAint))</f>
        <v>1537.6183923308886</v>
      </c>
      <c r="BL261" s="48">
        <f>IF(BL$8=1,IF(Reales!$C$74="PYG",IF(BL$10&gt;0,N(Reales!BL74)/BL$10,0),N(Reales!BL74)),(BL$280+BL$284+BL$288+BL$296)*(1+V_IVAint))</f>
        <v>1028.9038258671962</v>
      </c>
      <c r="BM261" s="48">
        <f>IF(BM$8=1,IF(Reales!$C$74="PYG",IF(BM$10&gt;0,N(Reales!BM74)/BM$10,0),N(Reales!BM74)),(BM$280+BM$284+BM$288+BM$296)*(1+V_IVAint))</f>
        <v>516.37390015502604</v>
      </c>
      <c r="BN261" s="48">
        <f>IF(BN$8=1,IF(Reales!$C$74="PYG",IF(BN$10&gt;0,N(Reales!BN74)/BN$10,0),N(Reales!BN74)),(BN$280+BN$284+BN$288+BN$296)*(1+V_IVAint))</f>
        <v>0</v>
      </c>
      <c r="BO261" s="48">
        <f>IF(BO$8=1,IF(Reales!$C$74="PYG",IF(BO$10&gt;0,N(Reales!BO74)/BO$10,0),N(Reales!BO74)),(BO$280+BO$284+BO$288+BO$296)*(1+V_IVAint))</f>
        <v>0</v>
      </c>
      <c r="BP261" s="48">
        <f>IF(BP$8=1,IF(Reales!$C$74="PYG",IF(BP$10&gt;0,N(Reales!BP74)/BP$10,0),N(Reales!BP74)),(BP$280+BP$284+BP$288+BP$296)*(1+V_IVAint))</f>
        <v>0</v>
      </c>
      <c r="BQ261" s="48">
        <f>IF(BQ$8=1,IF(Reales!$C$74="PYG",IF(BQ$10&gt;0,N(Reales!BQ74)/BQ$10,0),N(Reales!BQ74)),(BQ$280+BQ$284+BQ$288+BQ$296)*(1+V_IVAint))</f>
        <v>0</v>
      </c>
      <c r="BR261" s="48">
        <f>IF(BR$8=1,IF(Reales!$C$74="PYG",IF(BR$10&gt;0,N(Reales!BR74)/BR$10,0),N(Reales!BR74)),(BR$280+BR$284+BR$288+BR$296)*(1+V_IVAint))</f>
        <v>0</v>
      </c>
      <c r="BS261" s="48">
        <f>IF(BS$8=1,IF(Reales!$C$74="PYG",IF(BS$10&gt;0,N(Reales!BS74)/BS$10,0),N(Reales!BS74)),(BS$280+BS$284+BS$288+BS$296)*(1+V_IVAint))</f>
        <v>0</v>
      </c>
      <c r="BT261" s="48">
        <f>IF(BT$8=1,IF(Reales!$C$74="PYG",IF(BT$10&gt;0,N(Reales!BT74)/BT$10,0),N(Reales!BT74)),(BT$280+BT$284+BT$288+BT$296)*(1+V_IVAint))</f>
        <v>0</v>
      </c>
      <c r="BU261" s="48">
        <f>IF(BU$8=1,IF(Reales!$C$74="PYG",IF(BU$10&gt;0,N(Reales!BU74)/BU$10,0),N(Reales!BU74)),(BU$280+BU$284+BU$288+BU$296)*(1+V_IVAint))</f>
        <v>0</v>
      </c>
      <c r="BV261" s="48">
        <f>IF(BV$8=1,IF(Reales!$C$74="PYG",IF(BV$10&gt;0,N(Reales!BV74)/BV$10,0),N(Reales!BV74)),(BV$280+BV$284+BV$288+BV$296)*(1+V_IVAint))</f>
        <v>0</v>
      </c>
      <c r="BW261" s="48">
        <f>IF(BW$8=1,IF(Reales!$C$74="PYG",IF(BW$10&gt;0,N(Reales!BW74)/BW$10,0),N(Reales!BW74)),(BW$280+BW$284+BW$288+BW$296)*(1+V_IVAint))</f>
        <v>0</v>
      </c>
      <c r="BX261" s="48">
        <f>IF(BX$8=1,IF(Reales!$C$74="PYG",IF(BX$10&gt;0,N(Reales!BX74)/BX$10,0),N(Reales!BX74)),(BX$280+BX$284+BX$288+BX$296)*(1+V_IVAint))</f>
        <v>0</v>
      </c>
      <c r="BY261" s="48">
        <f>IF(BY$8=1,IF(Reales!$C$74="PYG",IF(BY$10&gt;0,N(Reales!BY74)/BY$10,0),N(Reales!BY74)),(BY$280+BY$284+BY$288+BY$296)*(1+V_IVAint))</f>
        <v>0</v>
      </c>
      <c r="BZ261" s="48">
        <f>IF(BZ$8=1,IF(Reales!$C$74="PYG",IF(BZ$10&gt;0,N(Reales!BZ74)/BZ$10,0),N(Reales!BZ74)),(BZ$280+BZ$284+BZ$288+BZ$296)*(1+V_IVAint))</f>
        <v>0</v>
      </c>
      <c r="CA261" s="48">
        <f>IF(CA$8=1,IF(Reales!$C$74="PYG",IF(CA$10&gt;0,N(Reales!CA74)/CA$10,0),N(Reales!CA74)),(CA$280+CA$284+CA$288+CA$296)*(1+V_IVAint))</f>
        <v>0</v>
      </c>
      <c r="CB261" s="48">
        <f>IF(CB$8=1,IF(Reales!$C$74="PYG",IF(CB$10&gt;0,N(Reales!CB74)/CB$10,0),N(Reales!CB74)),(CB$280+CB$284+CB$288+CB$296)*(1+V_IVAint))</f>
        <v>0</v>
      </c>
      <c r="CC261" s="48">
        <f>IF(CC$8=1,IF(Reales!$C$74="PYG",IF(CC$10&gt;0,N(Reales!CC74)/CC$10,0),N(Reales!CC74)),(CC$280+CC$284+CC$288+CC$296)*(1+V_IVAint))</f>
        <v>0</v>
      </c>
      <c r="CD261" s="48">
        <f>IF(CD$8=1,IF(Reales!$C$74="PYG",IF(CD$10&gt;0,N(Reales!CD74)/CD$10,0),N(Reales!CD74)),(CD$280+CD$284+CD$288+CD$296)*(1+V_IVAint))</f>
        <v>0</v>
      </c>
      <c r="CE261" s="48">
        <f>IF(CE$8=1,IF(Reales!$C$74="PYG",IF(CE$10&gt;0,N(Reales!CE74)/CE$10,0),N(Reales!CE74)),(CE$280+CE$284+CE$288+CE$296)*(1+V_IVAint))</f>
        <v>0</v>
      </c>
      <c r="CF261" s="48">
        <f>IF(CF$8=1,IF(Reales!$C$74="PYG",IF(CF$10&gt;0,N(Reales!CF74)/CF$10,0),N(Reales!CF74)),(CF$280+CF$284+CF$288+CF$296)*(1+V_IVAint))</f>
        <v>0</v>
      </c>
      <c r="CG261" s="48">
        <f>IF(CG$8=1,IF(Reales!$C$74="PYG",IF(CG$10&gt;0,N(Reales!CG74)/CG$10,0),N(Reales!CG74)),(CG$280+CG$284+CG$288+CG$296)*(1+V_IVAint))</f>
        <v>0</v>
      </c>
      <c r="CH261" s="48">
        <f>IF(CH$8=1,IF(Reales!$C$74="PYG",IF(CH$10&gt;0,N(Reales!CH74)/CH$10,0),N(Reales!CH74)),(CH$280+CH$284+CH$288+CH$296)*(1+V_IVAint))</f>
        <v>0</v>
      </c>
      <c r="CI261" s="48">
        <f>IF(CI$8=1,IF(Reales!$C$74="PYG",IF(CI$10&gt;0,N(Reales!CI74)/CI$10,0),N(Reales!CI74)),(CI$280+CI$284+CI$288+CI$296)*(1+V_IVAint))</f>
        <v>0</v>
      </c>
      <c r="CJ261" s="48">
        <f>IF(CJ$8=1,IF(Reales!$C$74="PYG",IF(CJ$10&gt;0,N(Reales!CJ74)/CJ$10,0),N(Reales!CJ74)),(CJ$280+CJ$284+CJ$288+CJ$296)*(1+V_IVAint))</f>
        <v>0</v>
      </c>
      <c r="CK261" s="48">
        <f>IF(CK$8=1,IF(Reales!$C$74="PYG",IF(CK$10&gt;0,N(Reales!CK74)/CK$10,0),N(Reales!CK74)),(CK$280+CK$284+CK$288+CK$296)*(1+V_IVAint))</f>
        <v>0</v>
      </c>
      <c r="CL261" s="48">
        <f>IF(CL$8=1,IF(Reales!$C$74="PYG",IF(CL$10&gt;0,N(Reales!CL74)/CL$10,0),N(Reales!CL74)),(CL$280+CL$284+CL$288+CL$296)*(1+V_IVAint))</f>
        <v>0</v>
      </c>
      <c r="CM261" s="48">
        <f>IF(CM$8=1,IF(Reales!$C$74="PYG",IF(CM$10&gt;0,N(Reales!CM74)/CM$10,0),N(Reales!CM74)),(CM$280+CM$284+CM$288+CM$296)*(1+V_IVAint))</f>
        <v>0</v>
      </c>
      <c r="CN261" s="48">
        <f>IF(CN$8=1,IF(Reales!$C$74="PYG",IF(CN$10&gt;0,N(Reales!CN74)/CN$10,0),N(Reales!CN74)),(CN$280+CN$284+CN$288+CN$296)*(1+V_IVAint))</f>
        <v>0</v>
      </c>
      <c r="CO261" s="48">
        <f>IF(CO$8=1,IF(Reales!$C$74="PYG",IF(CO$10&gt;0,N(Reales!CO74)/CO$10,0),N(Reales!CO74)),(CO$280+CO$284+CO$288+CO$296)*(1+V_IVAint))</f>
        <v>0</v>
      </c>
      <c r="CP261" s="48">
        <f>IF(CP$8=1,IF(Reales!$C$74="PYG",IF(CP$10&gt;0,N(Reales!CP74)/CP$10,0),N(Reales!CP74)),(CP$280+CP$284+CP$288+CP$296)*(1+V_IVAint))</f>
        <v>0</v>
      </c>
      <c r="CQ261" s="48">
        <f>IF(CQ$8=1,IF(Reales!$C$74="PYG",IF(CQ$10&gt;0,N(Reales!CQ74)/CQ$10,0),N(Reales!CQ74)),(CQ$280+CQ$284+CQ$288+CQ$296)*(1+V_IVAint))</f>
        <v>0</v>
      </c>
      <c r="CR261" s="48">
        <f>IF(CR$8=1,IF(Reales!$C$74="PYG",IF(CR$10&gt;0,N(Reales!CR74)/CR$10,0),N(Reales!CR74)),(CR$280+CR$284+CR$288+CR$296)*(1+V_IVAint))</f>
        <v>0</v>
      </c>
      <c r="CS261" s="48">
        <f>IF(CS$8=1,IF(Reales!$C$74="PYG",IF(CS$10&gt;0,N(Reales!CS74)/CS$10,0),N(Reales!CS74)),(CS$280+CS$284+CS$288+CS$296)*(1+V_IVAint))</f>
        <v>0</v>
      </c>
      <c r="CT261" s="48">
        <f>IF(CT$8=1,IF(Reales!$C$74="PYG",IF(CT$10&gt;0,N(Reales!CT74)/CT$10,0),N(Reales!CT74)),(CT$280+CT$284+CT$288+CT$296)*(1+V_IVAint))</f>
        <v>0</v>
      </c>
      <c r="CU261" s="48">
        <f>IF(CU$8=1,IF(Reales!$C$74="PYG",IF(CU$10&gt;0,N(Reales!CU74)/CU$10,0),N(Reales!CU74)),(CU$280+CU$284+CU$288+CU$296)*(1+V_IVAint))</f>
        <v>0</v>
      </c>
      <c r="CV261" s="48">
        <f>IF(CV$8=1,IF(Reales!$C$74="PYG",IF(CV$10&gt;0,N(Reales!CV74)/CV$10,0),N(Reales!CV74)),(CV$280+CV$284+CV$288+CV$296)*(1+V_IVAint))</f>
        <v>0</v>
      </c>
      <c r="CW261" s="48">
        <f>IF(CW$8=1,IF(Reales!$C$74="PYG",IF(CW$10&gt;0,N(Reales!CW74)/CW$10,0),N(Reales!CW74)),(CW$280+CW$284+CW$288+CW$296)*(1+V_IVAint))</f>
        <v>0</v>
      </c>
      <c r="CX261" s="48">
        <f>IF(CX$8=1,IF(Reales!$C$74="PYG",IF(CX$10&gt;0,N(Reales!CX74)/CX$10,0),N(Reales!CX74)),(CX$280+CX$284+CX$288+CX$296)*(1+V_IVAint))</f>
        <v>0</v>
      </c>
      <c r="CY261" s="48">
        <f>IF(CY$8=1,IF(Reales!$C$74="PYG",IF(CY$10&gt;0,N(Reales!CY74)/CY$10,0),N(Reales!CY74)),(CY$280+CY$284+CY$288+CY$296)*(1+V_IVAint))</f>
        <v>0</v>
      </c>
      <c r="CZ261" s="48">
        <f>IF(CZ$8=1,IF(Reales!$C$74="PYG",IF(CZ$10&gt;0,N(Reales!CZ74)/CZ$10,0),N(Reales!CZ74)),(CZ$280+CZ$284+CZ$288+CZ$296)*(1+V_IVAint))</f>
        <v>0</v>
      </c>
      <c r="DA261" s="48">
        <f>IF(DA$8=1,IF(Reales!$C$74="PYG",IF(DA$10&gt;0,N(Reales!DA74)/DA$10,0),N(Reales!DA74)),(DA$280+DA$284+DA$288+DA$296)*(1+V_IVAint))</f>
        <v>0</v>
      </c>
      <c r="DB261" s="48">
        <f>IF(DB$8=1,IF(Reales!$C$74="PYG",IF(DB$10&gt;0,N(Reales!DB74)/DB$10,0),N(Reales!DB74)),(DB$280+DB$284+DB$288+DB$296)*(1+V_IVAint))</f>
        <v>0</v>
      </c>
      <c r="DC261" s="48">
        <f>IF(DC$8=1,IF(Reales!$C$74="PYG",IF(DC$10&gt;0,N(Reales!DC74)/DC$10,0),N(Reales!DC74)),(DC$280+DC$284+DC$288+DC$296)*(1+V_IVAint))</f>
        <v>0</v>
      </c>
      <c r="DD261" s="48">
        <f>IF(DD$8=1,IF(Reales!$C$74="PYG",IF(DD$10&gt;0,N(Reales!DD74)/DD$10,0),N(Reales!DD74)),(DD$280+DD$284+DD$288+DD$296)*(1+V_IVAint))</f>
        <v>0</v>
      </c>
      <c r="DE261" s="48">
        <f>IF(DE$8=1,IF(Reales!$C$74="PYG",IF(DE$10&gt;0,N(Reales!DE74)/DE$10,0),N(Reales!DE74)),(DE$280+DE$284+DE$288+DE$296)*(1+V_IVAint))</f>
        <v>0</v>
      </c>
      <c r="DF261" s="48">
        <f>IF(DF$8=1,IF(Reales!$C$74="PYG",IF(DF$10&gt;0,N(Reales!DF74)/DF$10,0),N(Reales!DF74)),(DF$280+DF$284+DF$288+DF$296)*(1+V_IVAint))</f>
        <v>0</v>
      </c>
      <c r="DG261" s="48">
        <f>IF(DG$8=1,IF(Reales!$C$74="PYG",IF(DG$10&gt;0,N(Reales!DG74)/DG$10,0),N(Reales!DG74)),(DG$280+DG$284+DG$288+DG$296)*(1+V_IVAint))</f>
        <v>0</v>
      </c>
      <c r="DH261" s="48">
        <f>IF(DH$8=1,IF(Reales!$C$74="PYG",IF(DH$10&gt;0,N(Reales!DH74)/DH$10,0),N(Reales!DH74)),(DH$280+DH$284+DH$288+DH$296)*(1+V_IVAint))</f>
        <v>0</v>
      </c>
      <c r="DI261" s="48">
        <f>IF(DI$8=1,IF(Reales!$C$74="PYG",IF(DI$10&gt;0,N(Reales!DI74)/DI$10,0),N(Reales!DI74)),(DI$280+DI$284+DI$288+DI$296)*(1+V_IVAint))</f>
        <v>0</v>
      </c>
      <c r="DJ261" s="48">
        <f>IF(DJ$8=1,IF(Reales!$C$74="PYG",IF(DJ$10&gt;0,N(Reales!DJ74)/DJ$10,0),N(Reales!DJ74)),(DJ$280+DJ$284+DJ$288+DJ$296)*(1+V_IVAint))</f>
        <v>0</v>
      </c>
      <c r="DK261" s="48">
        <f>IF(DK$8=1,IF(Reales!$C$74="PYG",IF(DK$10&gt;0,N(Reales!DK74)/DK$10,0),N(Reales!DK74)),(DK$280+DK$284+DK$288+DK$296)*(1+V_IVAint))</f>
        <v>0</v>
      </c>
      <c r="DL261" s="48">
        <f>IF(DL$8=1,IF(Reales!$C$74="PYG",IF(DL$10&gt;0,N(Reales!DL74)/DL$10,0),N(Reales!DL74)),(DL$280+DL$284+DL$288+DL$296)*(1+V_IVAint))</f>
        <v>0</v>
      </c>
      <c r="DM261" s="48">
        <f>IF(DM$8=1,IF(Reales!$C$74="PYG",IF(DM$10&gt;0,N(Reales!DM74)/DM$10,0),N(Reales!DM74)),(DM$280+DM$284+DM$288+DM$296)*(1+V_IVAint))</f>
        <v>0</v>
      </c>
      <c r="DN261" s="48">
        <f>IF(DN$8=1,IF(Reales!$C$74="PYG",IF(DN$10&gt;0,N(Reales!DN74)/DN$10,0),N(Reales!DN74)),(DN$280+DN$284+DN$288+DN$296)*(1+V_IVAint))</f>
        <v>0</v>
      </c>
      <c r="DO261" s="48">
        <f>IF(DO$8=1,IF(Reales!$C$74="PYG",IF(DO$10&gt;0,N(Reales!DO74)/DO$10,0),N(Reales!DO74)),(DO$280+DO$284+DO$288+DO$296)*(1+V_IVAint))</f>
        <v>0</v>
      </c>
      <c r="DP261" s="48">
        <f>IF(DP$8=1,IF(Reales!$C$74="PYG",IF(DP$10&gt;0,N(Reales!DP74)/DP$10,0),N(Reales!DP74)),(DP$280+DP$284+DP$288+DP$296)*(1+V_IVAint))</f>
        <v>0</v>
      </c>
      <c r="DQ261" s="48">
        <f>IF(DQ$8=1,IF(Reales!$C$74="PYG",IF(DQ$10&gt;0,N(Reales!DQ74)/DQ$10,0),N(Reales!DQ74)),(DQ$280+DQ$284+DQ$288+DQ$296)*(1+V_IVAint))</f>
        <v>0</v>
      </c>
      <c r="DR261" s="48">
        <f>IF(DR$8=1,IF(Reales!$C$74="PYG",IF(DR$10&gt;0,N(Reales!DR74)/DR$10,0),N(Reales!DR74)),(DR$280+DR$284+DR$288+DR$296)*(1+V_IVAint))</f>
        <v>0</v>
      </c>
      <c r="DS261" s="48">
        <f>IF(DS$8=1,IF(Reales!$C$74="PYG",IF(DS$10&gt;0,N(Reales!DS74)/DS$10,0),N(Reales!DS74)),(DS$280+DS$284+DS$288+DS$296)*(1+V_IVAint))</f>
        <v>0</v>
      </c>
      <c r="DT261" s="48">
        <f>IF(DT$8=1,IF(Reales!$C$74="PYG",IF(DT$10&gt;0,N(Reales!DT74)/DT$10,0),N(Reales!DT74)),(DT$280+DT$284+DT$288+DT$296)*(1+V_IVAint))</f>
        <v>0</v>
      </c>
      <c r="DU261" s="48">
        <f>IF(DU$8=1,IF(Reales!$C$74="PYG",IF(DU$10&gt;0,N(Reales!DU74)/DU$10,0),N(Reales!DU74)),(DU$280+DU$284+DU$288+DU$296)*(1+V_IVAint))</f>
        <v>0</v>
      </c>
      <c r="DV261" s="48">
        <f>IF(DV$8=1,IF(Reales!$C$74="PYG",IF(DV$10&gt;0,N(Reales!DV74)/DV$10,0),N(Reales!DV74)),(DV$280+DV$284+DV$288+DV$296)*(1+V_IVAint))</f>
        <v>0</v>
      </c>
      <c r="DW261" s="48">
        <f>IF(DW$8=1,IF(Reales!$C$74="PYG",IF(DW$10&gt;0,N(Reales!DW74)/DW$10,0),N(Reales!DW74)),(DW$280+DW$284+DW$288+DW$296)*(1+V_IVAint))</f>
        <v>0</v>
      </c>
      <c r="DX261" s="48">
        <f>IF(DX$8=1,IF(Reales!$C$74="PYG",IF(DX$10&gt;0,N(Reales!DX74)/DX$10,0),N(Reales!DX74)),(DX$280+DX$284+DX$288+DX$296)*(1+V_IVAint))</f>
        <v>0</v>
      </c>
      <c r="DY261" s="48">
        <f>IF(DY$8=1,IF(Reales!$C$74="PYG",IF(DY$10&gt;0,N(Reales!DY74)/DY$10,0),N(Reales!DY74)),(DY$280+DY$284+DY$288+DY$296)*(1+V_IVAint))</f>
        <v>0</v>
      </c>
      <c r="DZ261" s="48">
        <f>IF(DZ$8=1,IF(Reales!$C$74="PYG",IF(DZ$10&gt;0,N(Reales!DZ74)/DZ$10,0),N(Reales!DZ74)),(DZ$280+DZ$284+DZ$288+DZ$296)*(1+V_IVAint))</f>
        <v>0</v>
      </c>
      <c r="EA261" s="48">
        <f>IF(EA$8=1,IF(Reales!$C$74="PYG",IF(EA$10&gt;0,N(Reales!EA74)/EA$10,0),N(Reales!EA74)),(EA$280+EA$284+EA$288+EA$296)*(1+V_IVAint))</f>
        <v>0</v>
      </c>
      <c r="EB261" s="48">
        <f>IF(EB$8=1,IF(Reales!$C$74="PYG",IF(EB$10&gt;0,N(Reales!EB74)/EB$10,0),N(Reales!EB74)),(EB$280+EB$284+EB$288+EB$296)*(1+V_IVAint))</f>
        <v>0</v>
      </c>
      <c r="EC261" s="48">
        <f>IF(EC$8=1,IF(Reales!$C$74="PYG",IF(EC$10&gt;0,N(Reales!EC74)/EC$10,0),N(Reales!EC74)),(EC$280+EC$284+EC$288+EC$296)*(1+V_IVAint))</f>
        <v>0</v>
      </c>
      <c r="ED261" s="48">
        <f>IF(ED$8=1,IF(Reales!$C$74="PYG",IF(ED$10&gt;0,N(Reales!ED74)/ED$10,0),N(Reales!ED74)),(ED$280+ED$284+ED$288+ED$296)*(1+V_IVAint))</f>
        <v>0</v>
      </c>
      <c r="EE261" s="48">
        <f>IF(EE$8=1,IF(Reales!$C$74="PYG",IF(EE$10&gt;0,N(Reales!EE74)/EE$10,0),N(Reales!EE74)),(EE$280+EE$284+EE$288+EE$296)*(1+V_IVAint))</f>
        <v>0</v>
      </c>
      <c r="EF261" s="48">
        <f>IF(EF$8=1,IF(Reales!$C$74="PYG",IF(EF$10&gt;0,N(Reales!EF74)/EF$10,0),N(Reales!EF74)),(EF$280+EF$284+EF$288+EF$296)*(1+V_IVAint))</f>
        <v>0</v>
      </c>
      <c r="EG261" s="48">
        <f>IF(EG$8=1,IF(Reales!$C$74="PYG",IF(EG$10&gt;0,N(Reales!EG74)/EG$10,0),N(Reales!EG74)),(EG$280+EG$284+EG$288+EG$296)*(1+V_IVAint))</f>
        <v>0</v>
      </c>
      <c r="EH261" s="48">
        <f>IF(EH$8=1,IF(Reales!$C$74="PYG",IF(EH$10&gt;0,N(Reales!EH74)/EH$10,0),N(Reales!EH74)),(EH$280+EH$284+EH$288+EH$296)*(1+V_IVAint))</f>
        <v>0</v>
      </c>
      <c r="EI261" s="48">
        <f>IF(EI$8=1,IF(Reales!$C$74="PYG",IF(EI$10&gt;0,N(Reales!EI74)/EI$10,0),N(Reales!EI74)),(EI$280+EI$284+EI$288+EI$296)*(1+V_IVAint))</f>
        <v>0</v>
      </c>
      <c r="EJ261" s="48">
        <f>IF(EJ$8=1,IF(Reales!$C$74="PYG",IF(EJ$10&gt;0,N(Reales!EJ74)/EJ$10,0),N(Reales!EJ74)),(EJ$280+EJ$284+EJ$288+EJ$296)*(1+V_IVAint))</f>
        <v>0</v>
      </c>
      <c r="EK261" s="48">
        <f>IF(EK$8=1,IF(Reales!$C$74="PYG",IF(EK$10&gt;0,N(Reales!EK74)/EK$10,0),N(Reales!EK74)),(EK$280+EK$284+EK$288+EK$296)*(1+V_IVAint))</f>
        <v>0</v>
      </c>
      <c r="EL261" s="48">
        <f>IF(EL$8=1,IF(Reales!$C$74="PYG",IF(EL$10&gt;0,N(Reales!EL74)/EL$10,0),N(Reales!EL74)),(EL$280+EL$284+EL$288+EL$296)*(1+V_IVAint))</f>
        <v>0</v>
      </c>
      <c r="EM261" s="48">
        <f>IF(EM$8=1,IF(Reales!$C$74="PYG",IF(EM$10&gt;0,N(Reales!EM74)/EM$10,0),N(Reales!EM74)),(EM$280+EM$284+EM$288+EM$296)*(1+V_IVAint))</f>
        <v>0</v>
      </c>
      <c r="EN261" s="48">
        <f>IF(EN$8=1,IF(Reales!$C$74="PYG",IF(EN$10&gt;0,N(Reales!EN74)/EN$10,0),N(Reales!EN74)),(EN$280+EN$284+EN$288+EN$296)*(1+V_IVAint))</f>
        <v>0</v>
      </c>
      <c r="EO261" s="48">
        <f>IF(EO$8=1,IF(Reales!$C$74="PYG",IF(EO$10&gt;0,N(Reales!EO74)/EO$10,0),N(Reales!EO74)),(EO$280+EO$284+EO$288+EO$296)*(1+V_IVAint))</f>
        <v>0</v>
      </c>
      <c r="EP261" s="48">
        <f>IF(EP$8=1,IF(Reales!$C$74="PYG",IF(EP$10&gt;0,N(Reales!EP74)/EP$10,0),N(Reales!EP74)),(EP$280+EP$284+EP$288+EP$296)*(1+V_IVAint))</f>
        <v>0</v>
      </c>
      <c r="EQ261" s="48">
        <f>IF(EQ$8=1,IF(Reales!$C$74="PYG",IF(EQ$10&gt;0,N(Reales!EQ74)/EQ$10,0),N(Reales!EQ74)),(EQ$280+EQ$284+EQ$288+EQ$296)*(1+V_IVAint))</f>
        <v>0</v>
      </c>
      <c r="ER261" s="48">
        <f>IF(ER$8=1,IF(Reales!$C$74="PYG",IF(ER$10&gt;0,N(Reales!ER74)/ER$10,0),N(Reales!ER74)),(ER$280+ER$284+ER$288+ER$296)*(1+V_IVAint))</f>
        <v>0</v>
      </c>
      <c r="ES261" s="48">
        <f>IF(ES$8=1,IF(Reales!$C$74="PYG",IF(ES$10&gt;0,N(Reales!ES74)/ES$10,0),N(Reales!ES74)),(ES$280+ES$284+ES$288+ES$296)*(1+V_IVAint))</f>
        <v>0</v>
      </c>
    </row>
    <row r="262" spans="1:149" x14ac:dyDescent="0.3">
      <c r="A262" s="14" t="s">
        <v>1315</v>
      </c>
      <c r="B262" s="18" t="s">
        <v>1114</v>
      </c>
      <c r="C262" s="18" t="s">
        <v>439</v>
      </c>
      <c r="E262" s="54">
        <f t="shared" si="642"/>
        <v>0</v>
      </c>
      <c r="F262" s="48">
        <f t="shared" ref="F262:AK262" si="663">V_IRE*(F$260-F$261)</f>
        <v>0</v>
      </c>
      <c r="G262" s="48">
        <f t="shared" si="663"/>
        <v>0</v>
      </c>
      <c r="H262" s="48">
        <f t="shared" si="663"/>
        <v>0</v>
      </c>
      <c r="I262" s="48">
        <f t="shared" si="663"/>
        <v>0</v>
      </c>
      <c r="J262" s="48">
        <f t="shared" si="663"/>
        <v>0</v>
      </c>
      <c r="K262" s="48">
        <f t="shared" si="663"/>
        <v>0</v>
      </c>
      <c r="L262" s="48">
        <f t="shared" si="663"/>
        <v>0</v>
      </c>
      <c r="M262" s="48">
        <f t="shared" si="663"/>
        <v>0</v>
      </c>
      <c r="N262" s="48">
        <f t="shared" si="663"/>
        <v>0</v>
      </c>
      <c r="O262" s="48">
        <f t="shared" si="663"/>
        <v>0</v>
      </c>
      <c r="P262" s="48">
        <f t="shared" si="663"/>
        <v>0</v>
      </c>
      <c r="Q262" s="48">
        <f t="shared" si="663"/>
        <v>0</v>
      </c>
      <c r="R262" s="48">
        <f t="shared" si="663"/>
        <v>0</v>
      </c>
      <c r="S262" s="48">
        <f t="shared" si="663"/>
        <v>0</v>
      </c>
      <c r="T262" s="48">
        <f t="shared" si="663"/>
        <v>0</v>
      </c>
      <c r="U262" s="48">
        <f t="shared" si="663"/>
        <v>0</v>
      </c>
      <c r="V262" s="48">
        <f t="shared" si="663"/>
        <v>0</v>
      </c>
      <c r="W262" s="48">
        <f t="shared" si="663"/>
        <v>0</v>
      </c>
      <c r="X262" s="48">
        <f t="shared" si="663"/>
        <v>0</v>
      </c>
      <c r="Y262" s="48">
        <f t="shared" si="663"/>
        <v>0</v>
      </c>
      <c r="Z262" s="48">
        <f t="shared" si="663"/>
        <v>0</v>
      </c>
      <c r="AA262" s="48">
        <f t="shared" si="663"/>
        <v>0</v>
      </c>
      <c r="AB262" s="48">
        <f t="shared" si="663"/>
        <v>0</v>
      </c>
      <c r="AC262" s="48">
        <f t="shared" si="663"/>
        <v>0</v>
      </c>
      <c r="AD262" s="48">
        <f t="shared" si="663"/>
        <v>0</v>
      </c>
      <c r="AE262" s="48">
        <f t="shared" si="663"/>
        <v>0</v>
      </c>
      <c r="AF262" s="48">
        <f t="shared" si="663"/>
        <v>0</v>
      </c>
      <c r="AG262" s="48">
        <f t="shared" si="663"/>
        <v>0</v>
      </c>
      <c r="AH262" s="48">
        <f t="shared" si="663"/>
        <v>0</v>
      </c>
      <c r="AI262" s="48">
        <f t="shared" si="663"/>
        <v>0</v>
      </c>
      <c r="AJ262" s="48">
        <f t="shared" si="663"/>
        <v>0</v>
      </c>
      <c r="AK262" s="48">
        <f t="shared" si="663"/>
        <v>0</v>
      </c>
      <c r="AL262" s="48">
        <f t="shared" ref="AL262:BQ262" si="664">V_IRE*(AL$260-AL$261)</f>
        <v>0</v>
      </c>
      <c r="AM262" s="48">
        <f t="shared" si="664"/>
        <v>0</v>
      </c>
      <c r="AN262" s="48">
        <f t="shared" si="664"/>
        <v>0</v>
      </c>
      <c r="AO262" s="48">
        <f t="shared" si="664"/>
        <v>0</v>
      </c>
      <c r="AP262" s="48">
        <f t="shared" si="664"/>
        <v>0</v>
      </c>
      <c r="AQ262" s="48">
        <f t="shared" si="664"/>
        <v>0</v>
      </c>
      <c r="AR262" s="48">
        <f t="shared" si="664"/>
        <v>0</v>
      </c>
      <c r="AS262" s="48">
        <f t="shared" si="664"/>
        <v>0</v>
      </c>
      <c r="AT262" s="48">
        <f t="shared" si="664"/>
        <v>0</v>
      </c>
      <c r="AU262" s="48">
        <f t="shared" si="664"/>
        <v>0</v>
      </c>
      <c r="AV262" s="48">
        <f t="shared" si="664"/>
        <v>0</v>
      </c>
      <c r="AW262" s="48">
        <f t="shared" si="664"/>
        <v>0</v>
      </c>
      <c r="AX262" s="48">
        <f t="shared" si="664"/>
        <v>0</v>
      </c>
      <c r="AY262" s="48">
        <f t="shared" si="664"/>
        <v>0</v>
      </c>
      <c r="AZ262" s="48">
        <f t="shared" si="664"/>
        <v>0</v>
      </c>
      <c r="BA262" s="48">
        <f t="shared" si="664"/>
        <v>0</v>
      </c>
      <c r="BB262" s="48">
        <f t="shared" si="664"/>
        <v>0</v>
      </c>
      <c r="BC262" s="48">
        <f t="shared" si="664"/>
        <v>0</v>
      </c>
      <c r="BD262" s="48">
        <f t="shared" si="664"/>
        <v>0</v>
      </c>
      <c r="BE262" s="48">
        <f t="shared" si="664"/>
        <v>0</v>
      </c>
      <c r="BF262" s="48">
        <f t="shared" si="664"/>
        <v>0</v>
      </c>
      <c r="BG262" s="48">
        <f t="shared" si="664"/>
        <v>0</v>
      </c>
      <c r="BH262" s="48">
        <f t="shared" si="664"/>
        <v>0</v>
      </c>
      <c r="BI262" s="48">
        <f t="shared" si="664"/>
        <v>0</v>
      </c>
      <c r="BJ262" s="48">
        <f t="shared" si="664"/>
        <v>0</v>
      </c>
      <c r="BK262" s="48">
        <f t="shared" si="664"/>
        <v>0</v>
      </c>
      <c r="BL262" s="48">
        <f t="shared" si="664"/>
        <v>0</v>
      </c>
      <c r="BM262" s="48">
        <f t="shared" si="664"/>
        <v>0</v>
      </c>
      <c r="BN262" s="48">
        <f t="shared" si="664"/>
        <v>0</v>
      </c>
      <c r="BO262" s="48">
        <f t="shared" si="664"/>
        <v>0</v>
      </c>
      <c r="BP262" s="48">
        <f t="shared" si="664"/>
        <v>0</v>
      </c>
      <c r="BQ262" s="48">
        <f t="shared" si="664"/>
        <v>0</v>
      </c>
      <c r="BR262" s="48">
        <f t="shared" ref="BR262:CW262" si="665">V_IRE*(BR$260-BR$261)</f>
        <v>0</v>
      </c>
      <c r="BS262" s="48">
        <f t="shared" si="665"/>
        <v>0</v>
      </c>
      <c r="BT262" s="48">
        <f t="shared" si="665"/>
        <v>0</v>
      </c>
      <c r="BU262" s="48">
        <f t="shared" si="665"/>
        <v>0</v>
      </c>
      <c r="BV262" s="48">
        <f t="shared" si="665"/>
        <v>0</v>
      </c>
      <c r="BW262" s="48">
        <f t="shared" si="665"/>
        <v>0</v>
      </c>
      <c r="BX262" s="48">
        <f t="shared" si="665"/>
        <v>0</v>
      </c>
      <c r="BY262" s="48">
        <f t="shared" si="665"/>
        <v>0</v>
      </c>
      <c r="BZ262" s="48">
        <f t="shared" si="665"/>
        <v>0</v>
      </c>
      <c r="CA262" s="48">
        <f t="shared" si="665"/>
        <v>0</v>
      </c>
      <c r="CB262" s="48">
        <f t="shared" si="665"/>
        <v>0</v>
      </c>
      <c r="CC262" s="48">
        <f t="shared" si="665"/>
        <v>0</v>
      </c>
      <c r="CD262" s="48">
        <f t="shared" si="665"/>
        <v>0</v>
      </c>
      <c r="CE262" s="48">
        <f t="shared" si="665"/>
        <v>0</v>
      </c>
      <c r="CF262" s="48">
        <f t="shared" si="665"/>
        <v>0</v>
      </c>
      <c r="CG262" s="48">
        <f t="shared" si="665"/>
        <v>0</v>
      </c>
      <c r="CH262" s="48">
        <f t="shared" si="665"/>
        <v>0</v>
      </c>
      <c r="CI262" s="48">
        <f t="shared" si="665"/>
        <v>0</v>
      </c>
      <c r="CJ262" s="48">
        <f t="shared" si="665"/>
        <v>0</v>
      </c>
      <c r="CK262" s="48">
        <f t="shared" si="665"/>
        <v>0</v>
      </c>
      <c r="CL262" s="48">
        <f t="shared" si="665"/>
        <v>0</v>
      </c>
      <c r="CM262" s="48">
        <f t="shared" si="665"/>
        <v>0</v>
      </c>
      <c r="CN262" s="48">
        <f t="shared" si="665"/>
        <v>0</v>
      </c>
      <c r="CO262" s="48">
        <f t="shared" si="665"/>
        <v>0</v>
      </c>
      <c r="CP262" s="48">
        <f t="shared" si="665"/>
        <v>0</v>
      </c>
      <c r="CQ262" s="48">
        <f t="shared" si="665"/>
        <v>0</v>
      </c>
      <c r="CR262" s="48">
        <f t="shared" si="665"/>
        <v>0</v>
      </c>
      <c r="CS262" s="48">
        <f t="shared" si="665"/>
        <v>0</v>
      </c>
      <c r="CT262" s="48">
        <f t="shared" si="665"/>
        <v>0</v>
      </c>
      <c r="CU262" s="48">
        <f t="shared" si="665"/>
        <v>0</v>
      </c>
      <c r="CV262" s="48">
        <f t="shared" si="665"/>
        <v>0</v>
      </c>
      <c r="CW262" s="48">
        <f t="shared" si="665"/>
        <v>0</v>
      </c>
      <c r="CX262" s="48">
        <f t="shared" ref="CX262:EC262" si="666">V_IRE*(CX$260-CX$261)</f>
        <v>0</v>
      </c>
      <c r="CY262" s="48">
        <f t="shared" si="666"/>
        <v>0</v>
      </c>
      <c r="CZ262" s="48">
        <f t="shared" si="666"/>
        <v>0</v>
      </c>
      <c r="DA262" s="48">
        <f t="shared" si="666"/>
        <v>0</v>
      </c>
      <c r="DB262" s="48">
        <f t="shared" si="666"/>
        <v>0</v>
      </c>
      <c r="DC262" s="48">
        <f t="shared" si="666"/>
        <v>0</v>
      </c>
      <c r="DD262" s="48">
        <f t="shared" si="666"/>
        <v>0</v>
      </c>
      <c r="DE262" s="48">
        <f t="shared" si="666"/>
        <v>0</v>
      </c>
      <c r="DF262" s="48">
        <f t="shared" si="666"/>
        <v>0</v>
      </c>
      <c r="DG262" s="48">
        <f t="shared" si="666"/>
        <v>0</v>
      </c>
      <c r="DH262" s="48">
        <f t="shared" si="666"/>
        <v>0</v>
      </c>
      <c r="DI262" s="48">
        <f t="shared" si="666"/>
        <v>0</v>
      </c>
      <c r="DJ262" s="48">
        <f t="shared" si="666"/>
        <v>0</v>
      </c>
      <c r="DK262" s="48">
        <f t="shared" si="666"/>
        <v>0</v>
      </c>
      <c r="DL262" s="48">
        <f t="shared" si="666"/>
        <v>0</v>
      </c>
      <c r="DM262" s="48">
        <f t="shared" si="666"/>
        <v>0</v>
      </c>
      <c r="DN262" s="48">
        <f t="shared" si="666"/>
        <v>0</v>
      </c>
      <c r="DO262" s="48">
        <f t="shared" si="666"/>
        <v>0</v>
      </c>
      <c r="DP262" s="48">
        <f t="shared" si="666"/>
        <v>0</v>
      </c>
      <c r="DQ262" s="48">
        <f t="shared" si="666"/>
        <v>0</v>
      </c>
      <c r="DR262" s="48">
        <f t="shared" si="666"/>
        <v>0</v>
      </c>
      <c r="DS262" s="48">
        <f t="shared" si="666"/>
        <v>0</v>
      </c>
      <c r="DT262" s="48">
        <f t="shared" si="666"/>
        <v>0</v>
      </c>
      <c r="DU262" s="48">
        <f t="shared" si="666"/>
        <v>0</v>
      </c>
      <c r="DV262" s="48">
        <f t="shared" si="666"/>
        <v>0</v>
      </c>
      <c r="DW262" s="48">
        <f t="shared" si="666"/>
        <v>0</v>
      </c>
      <c r="DX262" s="48">
        <f t="shared" si="666"/>
        <v>0</v>
      </c>
      <c r="DY262" s="48">
        <f t="shared" si="666"/>
        <v>0</v>
      </c>
      <c r="DZ262" s="48">
        <f t="shared" si="666"/>
        <v>0</v>
      </c>
      <c r="EA262" s="48">
        <f t="shared" si="666"/>
        <v>0</v>
      </c>
      <c r="EB262" s="48">
        <f t="shared" si="666"/>
        <v>0</v>
      </c>
      <c r="EC262" s="48">
        <f t="shared" si="666"/>
        <v>0</v>
      </c>
      <c r="ED262" s="48">
        <f t="shared" ref="ED262:ES262" si="667">V_IRE*(ED$260-ED$261)</f>
        <v>0</v>
      </c>
      <c r="EE262" s="48">
        <f t="shared" si="667"/>
        <v>0</v>
      </c>
      <c r="EF262" s="48">
        <f t="shared" si="667"/>
        <v>0</v>
      </c>
      <c r="EG262" s="48">
        <f t="shared" si="667"/>
        <v>0</v>
      </c>
      <c r="EH262" s="48">
        <f t="shared" si="667"/>
        <v>0</v>
      </c>
      <c r="EI262" s="48">
        <f t="shared" si="667"/>
        <v>0</v>
      </c>
      <c r="EJ262" s="48">
        <f t="shared" si="667"/>
        <v>0</v>
      </c>
      <c r="EK262" s="48">
        <f t="shared" si="667"/>
        <v>0</v>
      </c>
      <c r="EL262" s="48">
        <f t="shared" si="667"/>
        <v>0</v>
      </c>
      <c r="EM262" s="48">
        <f t="shared" si="667"/>
        <v>0</v>
      </c>
      <c r="EN262" s="48">
        <f t="shared" si="667"/>
        <v>0</v>
      </c>
      <c r="EO262" s="48">
        <f t="shared" si="667"/>
        <v>0</v>
      </c>
      <c r="EP262" s="48">
        <f t="shared" si="667"/>
        <v>0</v>
      </c>
      <c r="EQ262" s="48">
        <f t="shared" si="667"/>
        <v>0</v>
      </c>
      <c r="ER262" s="48">
        <f t="shared" si="667"/>
        <v>0</v>
      </c>
      <c r="ES262" s="48">
        <f t="shared" si="667"/>
        <v>0</v>
      </c>
    </row>
    <row r="263" spans="1:149" x14ac:dyDescent="0.3">
      <c r="A263" s="14" t="s">
        <v>1316</v>
      </c>
      <c r="B263" s="68" t="s">
        <v>1116</v>
      </c>
      <c r="C263" s="18" t="s">
        <v>439</v>
      </c>
      <c r="E263" s="54">
        <f t="shared" si="642"/>
        <v>14751245.798036568</v>
      </c>
      <c r="F263" s="22">
        <f t="shared" ref="F263:AK263" si="668">F$260-F$261-F$262</f>
        <v>13500.890308923073</v>
      </c>
      <c r="G263" s="22">
        <f t="shared" si="668"/>
        <v>13500.890308923073</v>
      </c>
      <c r="H263" s="22">
        <f t="shared" si="668"/>
        <v>13500.890308923073</v>
      </c>
      <c r="I263" s="22">
        <f t="shared" si="668"/>
        <v>13500.890308923073</v>
      </c>
      <c r="J263" s="22">
        <f t="shared" si="668"/>
        <v>13500.890308923073</v>
      </c>
      <c r="K263" s="22">
        <f t="shared" si="668"/>
        <v>13500.890308923073</v>
      </c>
      <c r="L263" s="22">
        <f t="shared" si="668"/>
        <v>13500.890308923073</v>
      </c>
      <c r="M263" s="22">
        <f t="shared" si="668"/>
        <v>13848.407567704246</v>
      </c>
      <c r="N263" s="22">
        <f t="shared" si="668"/>
        <v>14198.531205926276</v>
      </c>
      <c r="O263" s="22">
        <f t="shared" si="668"/>
        <v>14551.28077143498</v>
      </c>
      <c r="P263" s="22">
        <f t="shared" si="668"/>
        <v>14906.675958684991</v>
      </c>
      <c r="Q263" s="22">
        <f t="shared" si="668"/>
        <v>15264.73660983938</v>
      </c>
      <c r="R263" s="22">
        <f t="shared" si="668"/>
        <v>52791.051900919134</v>
      </c>
      <c r="S263" s="22">
        <f t="shared" si="668"/>
        <v>53154.503602752462</v>
      </c>
      <c r="T263" s="22">
        <f t="shared" si="668"/>
        <v>53520.681192349555</v>
      </c>
      <c r="U263" s="22">
        <f t="shared" si="668"/>
        <v>53889.605113868616</v>
      </c>
      <c r="V263" s="22">
        <f t="shared" si="668"/>
        <v>54261.295964799065</v>
      </c>
      <c r="W263" s="22">
        <f t="shared" si="668"/>
        <v>54635.774497111488</v>
      </c>
      <c r="X263" s="22">
        <f t="shared" si="668"/>
        <v>55013.061618416265</v>
      </c>
      <c r="Y263" s="22">
        <f t="shared" si="668"/>
        <v>55393.178393130816</v>
      </c>
      <c r="Z263" s="22">
        <f t="shared" si="668"/>
        <v>55776.146043655739</v>
      </c>
      <c r="AA263" s="22">
        <f t="shared" si="668"/>
        <v>56161.985951559596</v>
      </c>
      <c r="AB263" s="22">
        <f t="shared" si="668"/>
        <v>56550.71965877273</v>
      </c>
      <c r="AC263" s="22">
        <f t="shared" si="668"/>
        <v>56942.36886878997</v>
      </c>
      <c r="AD263" s="22">
        <f t="shared" si="668"/>
        <v>93925.583319042329</v>
      </c>
      <c r="AE263" s="22">
        <f t="shared" si="668"/>
        <v>94323.129297477892</v>
      </c>
      <c r="AF263" s="22">
        <f t="shared" si="668"/>
        <v>94723.656870751714</v>
      </c>
      <c r="AG263" s="22">
        <f t="shared" si="668"/>
        <v>95127.188400825093</v>
      </c>
      <c r="AH263" s="22">
        <f t="shared" si="668"/>
        <v>95533.746417374015</v>
      </c>
      <c r="AI263" s="22">
        <f t="shared" si="668"/>
        <v>95943.353619047062</v>
      </c>
      <c r="AJ263" s="22">
        <f t="shared" si="668"/>
        <v>96356.032874732657</v>
      </c>
      <c r="AK263" s="22">
        <f t="shared" si="668"/>
        <v>96771.80722483588</v>
      </c>
      <c r="AL263" s="22">
        <f t="shared" ref="AL263:BQ263" si="669">AL$260-AL$261-AL$262</f>
        <v>97190.699882564892</v>
      </c>
      <c r="AM263" s="22">
        <f t="shared" si="669"/>
        <v>97612.734235226861</v>
      </c>
      <c r="AN263" s="22">
        <f t="shared" si="669"/>
        <v>98037.9338455338</v>
      </c>
      <c r="AO263" s="22">
        <f t="shared" si="669"/>
        <v>98466.322452918044</v>
      </c>
      <c r="AP263" s="22">
        <f t="shared" si="669"/>
        <v>131706.47298959119</v>
      </c>
      <c r="AQ263" s="22">
        <f t="shared" si="669"/>
        <v>132141.31152294535</v>
      </c>
      <c r="AR263" s="22">
        <f t="shared" si="669"/>
        <v>132579.41134529968</v>
      </c>
      <c r="AS263" s="22">
        <f t="shared" si="669"/>
        <v>133020.79691632168</v>
      </c>
      <c r="AT263" s="22">
        <f t="shared" si="669"/>
        <v>133465.49287912631</v>
      </c>
      <c r="AU263" s="22">
        <f t="shared" si="669"/>
        <v>133913.52406165202</v>
      </c>
      <c r="AV263" s="22">
        <f t="shared" si="669"/>
        <v>134364.91547804663</v>
      </c>
      <c r="AW263" s="22">
        <f t="shared" si="669"/>
        <v>134819.69233006422</v>
      </c>
      <c r="AX263" s="22">
        <f t="shared" si="669"/>
        <v>135277.88000847193</v>
      </c>
      <c r="AY263" s="22">
        <f t="shared" si="669"/>
        <v>135739.5040944677</v>
      </c>
      <c r="AZ263" s="22">
        <f t="shared" si="669"/>
        <v>136204.59036110845</v>
      </c>
      <c r="BA263" s="22">
        <f t="shared" si="669"/>
        <v>136673.16477474902</v>
      </c>
      <c r="BB263" s="22">
        <f t="shared" si="669"/>
        <v>138464.83849300735</v>
      </c>
      <c r="BC263" s="22">
        <f t="shared" si="669"/>
        <v>138940.46788016325</v>
      </c>
      <c r="BD263" s="22">
        <f t="shared" si="669"/>
        <v>139419.66448772285</v>
      </c>
      <c r="BE263" s="22">
        <f t="shared" si="669"/>
        <v>139902.45506983914</v>
      </c>
      <c r="BF263" s="22">
        <f t="shared" si="669"/>
        <v>140388.86658132132</v>
      </c>
      <c r="BG263" s="22">
        <f t="shared" si="669"/>
        <v>140878.92617913958</v>
      </c>
      <c r="BH263" s="22">
        <f t="shared" si="669"/>
        <v>141372.66122394151</v>
      </c>
      <c r="BI263" s="22">
        <f t="shared" si="669"/>
        <v>141870.09928157943</v>
      </c>
      <c r="BJ263" s="22">
        <f t="shared" si="669"/>
        <v>142371.26812464965</v>
      </c>
      <c r="BK263" s="22">
        <f t="shared" si="669"/>
        <v>142876.19573404291</v>
      </c>
      <c r="BL263" s="22">
        <f t="shared" si="669"/>
        <v>143384.9103005066</v>
      </c>
      <c r="BM263" s="22">
        <f t="shared" si="669"/>
        <v>143897.44022621878</v>
      </c>
      <c r="BN263" s="22">
        <f t="shared" si="669"/>
        <v>149515.72438115947</v>
      </c>
      <c r="BO263" s="22">
        <f t="shared" si="669"/>
        <v>149515.72438115947</v>
      </c>
      <c r="BP263" s="22">
        <f t="shared" si="669"/>
        <v>149515.72438115947</v>
      </c>
      <c r="BQ263" s="22">
        <f t="shared" si="669"/>
        <v>149515.72438115947</v>
      </c>
      <c r="BR263" s="22">
        <f t="shared" ref="BR263:CW263" si="670">BR$260-BR$261-BR$262</f>
        <v>149515.72438115947</v>
      </c>
      <c r="BS263" s="22">
        <f t="shared" si="670"/>
        <v>149515.72438115947</v>
      </c>
      <c r="BT263" s="22">
        <f t="shared" si="670"/>
        <v>149515.72438115947</v>
      </c>
      <c r="BU263" s="22">
        <f t="shared" si="670"/>
        <v>149515.72438115947</v>
      </c>
      <c r="BV263" s="22">
        <f t="shared" si="670"/>
        <v>149515.72438115947</v>
      </c>
      <c r="BW263" s="22">
        <f t="shared" si="670"/>
        <v>149515.72438115947</v>
      </c>
      <c r="BX263" s="22">
        <f t="shared" si="670"/>
        <v>149515.72438115947</v>
      </c>
      <c r="BY263" s="22">
        <f t="shared" si="670"/>
        <v>149515.72438115947</v>
      </c>
      <c r="BZ263" s="22">
        <f t="shared" si="670"/>
        <v>153631.3050727332</v>
      </c>
      <c r="CA263" s="22">
        <f t="shared" si="670"/>
        <v>153631.3050727332</v>
      </c>
      <c r="CB263" s="22">
        <f t="shared" si="670"/>
        <v>153631.3050727332</v>
      </c>
      <c r="CC263" s="22">
        <f t="shared" si="670"/>
        <v>153631.3050727332</v>
      </c>
      <c r="CD263" s="22">
        <f t="shared" si="670"/>
        <v>153631.3050727332</v>
      </c>
      <c r="CE263" s="22">
        <f t="shared" si="670"/>
        <v>153631.3050727332</v>
      </c>
      <c r="CF263" s="22">
        <f t="shared" si="670"/>
        <v>153631.3050727332</v>
      </c>
      <c r="CG263" s="22">
        <f t="shared" si="670"/>
        <v>153631.3050727332</v>
      </c>
      <c r="CH263" s="22">
        <f t="shared" si="670"/>
        <v>153631.3050727332</v>
      </c>
      <c r="CI263" s="22">
        <f t="shared" si="670"/>
        <v>153631.3050727332</v>
      </c>
      <c r="CJ263" s="22">
        <f t="shared" si="670"/>
        <v>153631.3050727332</v>
      </c>
      <c r="CK263" s="22">
        <f t="shared" si="670"/>
        <v>153631.3050727332</v>
      </c>
      <c r="CL263" s="22">
        <f t="shared" si="670"/>
        <v>157775.1011296208</v>
      </c>
      <c r="CM263" s="22">
        <f t="shared" si="670"/>
        <v>157775.1011296208</v>
      </c>
      <c r="CN263" s="22">
        <f t="shared" si="670"/>
        <v>157775.1011296208</v>
      </c>
      <c r="CO263" s="22">
        <f t="shared" si="670"/>
        <v>157775.1011296208</v>
      </c>
      <c r="CP263" s="22">
        <f t="shared" si="670"/>
        <v>157775.1011296208</v>
      </c>
      <c r="CQ263" s="22">
        <f t="shared" si="670"/>
        <v>157775.1011296208</v>
      </c>
      <c r="CR263" s="22">
        <f t="shared" si="670"/>
        <v>157775.1011296208</v>
      </c>
      <c r="CS263" s="22">
        <f t="shared" si="670"/>
        <v>157775.1011296208</v>
      </c>
      <c r="CT263" s="22">
        <f t="shared" si="670"/>
        <v>157775.1011296208</v>
      </c>
      <c r="CU263" s="22">
        <f t="shared" si="670"/>
        <v>157775.1011296208</v>
      </c>
      <c r="CV263" s="22">
        <f t="shared" si="670"/>
        <v>157775.1011296208</v>
      </c>
      <c r="CW263" s="22">
        <f t="shared" si="670"/>
        <v>157775.1011296208</v>
      </c>
      <c r="CX263" s="22">
        <f t="shared" ref="CX263:EC263" si="671">CX$260-CX$261-CX$262</f>
        <v>161947.01223224087</v>
      </c>
      <c r="CY263" s="22">
        <f t="shared" si="671"/>
        <v>161947.01223224087</v>
      </c>
      <c r="CZ263" s="22">
        <f t="shared" si="671"/>
        <v>161947.01223224087</v>
      </c>
      <c r="DA263" s="22">
        <f t="shared" si="671"/>
        <v>161947.01223224087</v>
      </c>
      <c r="DB263" s="22">
        <f t="shared" si="671"/>
        <v>161947.01223224087</v>
      </c>
      <c r="DC263" s="22">
        <f t="shared" si="671"/>
        <v>161947.01223224087</v>
      </c>
      <c r="DD263" s="22">
        <f t="shared" si="671"/>
        <v>161947.01223224087</v>
      </c>
      <c r="DE263" s="22">
        <f t="shared" si="671"/>
        <v>161947.01223224087</v>
      </c>
      <c r="DF263" s="22">
        <f t="shared" si="671"/>
        <v>161947.01223224087</v>
      </c>
      <c r="DG263" s="22">
        <f t="shared" si="671"/>
        <v>161947.01223224087</v>
      </c>
      <c r="DH263" s="22">
        <f t="shared" si="671"/>
        <v>161947.01223224087</v>
      </c>
      <c r="DI263" s="22">
        <f t="shared" si="671"/>
        <v>161947.01223224087</v>
      </c>
      <c r="DJ263" s="22">
        <f t="shared" si="671"/>
        <v>166146.92569841945</v>
      </c>
      <c r="DK263" s="22">
        <f t="shared" si="671"/>
        <v>166146.92569841945</v>
      </c>
      <c r="DL263" s="22">
        <f t="shared" si="671"/>
        <v>166146.92569841945</v>
      </c>
      <c r="DM263" s="22">
        <f t="shared" si="671"/>
        <v>166146.92569841945</v>
      </c>
      <c r="DN263" s="22">
        <f t="shared" si="671"/>
        <v>166146.92569841945</v>
      </c>
      <c r="DO263" s="22">
        <f t="shared" si="671"/>
        <v>166146.92569841945</v>
      </c>
      <c r="DP263" s="22">
        <f t="shared" si="671"/>
        <v>166146.92569841945</v>
      </c>
      <c r="DQ263" s="22">
        <f t="shared" si="671"/>
        <v>166146.92569841945</v>
      </c>
      <c r="DR263" s="22">
        <f t="shared" si="671"/>
        <v>166146.92569841945</v>
      </c>
      <c r="DS263" s="22">
        <f t="shared" si="671"/>
        <v>166146.92569841945</v>
      </c>
      <c r="DT263" s="22">
        <f t="shared" si="671"/>
        <v>166146.92569841945</v>
      </c>
      <c r="DU263" s="22">
        <f t="shared" si="671"/>
        <v>166146.92569841945</v>
      </c>
      <c r="DV263" s="22">
        <f t="shared" si="671"/>
        <v>0</v>
      </c>
      <c r="DW263" s="22">
        <f t="shared" si="671"/>
        <v>0</v>
      </c>
      <c r="DX263" s="22">
        <f t="shared" si="671"/>
        <v>0</v>
      </c>
      <c r="DY263" s="22">
        <f t="shared" si="671"/>
        <v>0</v>
      </c>
      <c r="DZ263" s="22">
        <f t="shared" si="671"/>
        <v>0</v>
      </c>
      <c r="EA263" s="22">
        <f t="shared" si="671"/>
        <v>0</v>
      </c>
      <c r="EB263" s="22">
        <f t="shared" si="671"/>
        <v>0</v>
      </c>
      <c r="EC263" s="22">
        <f t="shared" si="671"/>
        <v>0</v>
      </c>
      <c r="ED263" s="22">
        <f t="shared" ref="ED263:ES263" si="672">ED$260-ED$261-ED$262</f>
        <v>0</v>
      </c>
      <c r="EE263" s="22">
        <f t="shared" si="672"/>
        <v>0</v>
      </c>
      <c r="EF263" s="22">
        <f t="shared" si="672"/>
        <v>0</v>
      </c>
      <c r="EG263" s="22">
        <f t="shared" si="672"/>
        <v>0</v>
      </c>
      <c r="EH263" s="22">
        <f t="shared" si="672"/>
        <v>0</v>
      </c>
      <c r="EI263" s="22">
        <f t="shared" si="672"/>
        <v>0</v>
      </c>
      <c r="EJ263" s="22">
        <f t="shared" si="672"/>
        <v>0</v>
      </c>
      <c r="EK263" s="22">
        <f t="shared" si="672"/>
        <v>0</v>
      </c>
      <c r="EL263" s="22">
        <f t="shared" si="672"/>
        <v>0</v>
      </c>
      <c r="EM263" s="22">
        <f t="shared" si="672"/>
        <v>0</v>
      </c>
      <c r="EN263" s="22">
        <f t="shared" si="672"/>
        <v>0</v>
      </c>
      <c r="EO263" s="22">
        <f t="shared" si="672"/>
        <v>0</v>
      </c>
      <c r="EP263" s="22">
        <f t="shared" si="672"/>
        <v>0</v>
      </c>
      <c r="EQ263" s="22">
        <f t="shared" si="672"/>
        <v>0</v>
      </c>
      <c r="ER263" s="22">
        <f t="shared" si="672"/>
        <v>0</v>
      </c>
      <c r="ES263" s="22">
        <f t="shared" si="672"/>
        <v>0</v>
      </c>
    </row>
    <row r="264" spans="1:149" x14ac:dyDescent="0.3">
      <c r="A264" s="16"/>
      <c r="B264" s="15" t="s">
        <v>1117</v>
      </c>
      <c r="C264" s="16"/>
      <c r="D264" s="16"/>
      <c r="E264" s="16"/>
    </row>
    <row r="265" spans="1:149" x14ac:dyDescent="0.3">
      <c r="A265" s="14" t="s">
        <v>1317</v>
      </c>
      <c r="B265" s="18" t="s">
        <v>1119</v>
      </c>
      <c r="C265" s="18" t="s">
        <v>439</v>
      </c>
      <c r="E265" s="54">
        <f>INDEX(F265:ES265,1,MIN(144,Fin))</f>
        <v>3031156.2242397242</v>
      </c>
      <c r="F265" s="48">
        <f>IF(1&gt;Fin,0,IF(AND(F$8=1,ISNUMBER(Reales!F80)),IF(Reales!$C$80="PYG",IF(F$10&gt;0,N(Reales!F80)/F$10,0),N(Reales!F80)),F$227*IF(F$8=1,N(vg_DSO),V_DSO)/DiasMes))</f>
        <v>1594520.5479452051</v>
      </c>
      <c r="G265" s="48">
        <f>IF(2&gt;Fin,F$265,IF(AND(G$8=1,ISNUMBER(Reales!G80)),IF(Reales!$C$80="PYG",IF(G$10&gt;0,N(Reales!G80)/G$10,0),N(Reales!G80)),G$227*IF(G$8=1,N(vg_DSO),V_DSO)/DiasMes))</f>
        <v>1594520.5479452051</v>
      </c>
      <c r="H265" s="48">
        <f>IF(3&gt;Fin,G$265,IF(AND(H$8=1,ISNUMBER(Reales!H80)),IF(Reales!$C$80="PYG",IF(H$10&gt;0,N(Reales!H80)/H$10,0),N(Reales!H80)),H$227*IF(H$8=1,N(vg_DSO),V_DSO)/DiasMes))</f>
        <v>1594520.5479452051</v>
      </c>
      <c r="I265" s="48">
        <f>IF(4&gt;Fin,H$265,IF(AND(I$8=1,ISNUMBER(Reales!I80)),IF(Reales!$C$80="PYG",IF(I$10&gt;0,N(Reales!I80)/I$10,0),N(Reales!I80)),I$227*IF(I$8=1,N(vg_DSO),V_DSO)/DiasMes))</f>
        <v>1594520.5479452051</v>
      </c>
      <c r="J265" s="48">
        <f>IF(5&gt;Fin,I$265,IF(AND(J$8=1,ISNUMBER(Reales!J80)),IF(Reales!$C$80="PYG",IF(J$10&gt;0,N(Reales!J80)/J$10,0),N(Reales!J80)),J$227*IF(J$8=1,N(vg_DSO),V_DSO)/DiasMes))</f>
        <v>1594520.5479452051</v>
      </c>
      <c r="K265" s="48">
        <f>IF(6&gt;Fin,J$265,IF(AND(K$8=1,ISNUMBER(Reales!K80)),IF(Reales!$C$80="PYG",IF(K$10&gt;0,N(Reales!K80)/K$10,0),N(Reales!K80)),K$227*IF(K$8=1,N(vg_DSO),V_DSO)/DiasMes))</f>
        <v>1594520.5479452051</v>
      </c>
      <c r="L265" s="48">
        <f>IF(7&gt;Fin,K$265,IF(AND(L$8=1,ISNUMBER(Reales!L80)),IF(Reales!$C$80="PYG",IF(L$10&gt;0,N(Reales!L80)/L$10,0),N(Reales!L80)),L$227*IF(L$8=1,N(vg_DSO),V_DSO)/DiasMes))</f>
        <v>1594520.5479452051</v>
      </c>
      <c r="M265" s="48">
        <f>IF(8&gt;Fin,L$265,IF(AND(M$8=1,ISNUMBER(Reales!M80)),IF(Reales!$C$80="PYG",IF(M$10&gt;0,N(Reales!M80)/M$10,0),N(Reales!M80)),M$227*IF(M$8=1,N(vg_DSO),V_DSO)/DiasMes))</f>
        <v>1594520.5479452051</v>
      </c>
      <c r="N265" s="48">
        <f>IF(9&gt;Fin,M$265,IF(AND(N$8=1,ISNUMBER(Reales!N80)),IF(Reales!$C$80="PYG",IF(N$10&gt;0,N(Reales!N80)/N$10,0),N(Reales!N80)),N$227*IF(N$8=1,N(vg_DSO),V_DSO)/DiasMes))</f>
        <v>1594520.5479452051</v>
      </c>
      <c r="O265" s="48">
        <f>IF(10&gt;Fin,N$265,IF(AND(O$8=1,ISNUMBER(Reales!O80)),IF(Reales!$C$80="PYG",IF(O$10&gt;0,N(Reales!O80)/O$10,0),N(Reales!O80)),O$227*IF(O$8=1,N(vg_DSO),V_DSO)/DiasMes))</f>
        <v>1594520.5479452051</v>
      </c>
      <c r="P265" s="48">
        <f>IF(11&gt;Fin,O$265,IF(AND(P$8=1,ISNUMBER(Reales!P80)),IF(Reales!$C$80="PYG",IF(P$10&gt;0,N(Reales!P80)/P$10,0),N(Reales!P80)),P$227*IF(P$8=1,N(vg_DSO),V_DSO)/DiasMes))</f>
        <v>1594520.5479452051</v>
      </c>
      <c r="Q265" s="48">
        <f>IF(12&gt;Fin,P$265,IF(AND(Q$8=1,ISNUMBER(Reales!Q80)),IF(Reales!$C$80="PYG",IF(Q$10&gt;0,N(Reales!Q80)/Q$10,0),N(Reales!Q80)),Q$227*IF(Q$8=1,N(vg_DSO),V_DSO)/DiasMes))</f>
        <v>1594520.5479452051</v>
      </c>
      <c r="R265" s="48">
        <f>IF(13&gt;Fin,Q$265,IF(AND(R$8=1,ISNUMBER(Reales!R80)),IF(Reales!$C$80="PYG",IF(R$10&gt;0,N(Reales!R80)/R$10,0),N(Reales!R80)),R$227*IF(R$8=1,N(vg_DSO),V_DSO)/DiasMes))</f>
        <v>2032175.3424657534</v>
      </c>
      <c r="S265" s="48">
        <f>IF(14&gt;Fin,R$265,IF(AND(S$8=1,ISNUMBER(Reales!S80)),IF(Reales!$C$80="PYG",IF(S$10&gt;0,N(Reales!S80)/S$10,0),N(Reales!S80)),S$227*IF(S$8=1,N(vg_DSO),V_DSO)/DiasMes))</f>
        <v>2032175.3424657534</v>
      </c>
      <c r="T265" s="48">
        <f>IF(15&gt;Fin,S$265,IF(AND(T$8=1,ISNUMBER(Reales!T80)),IF(Reales!$C$80="PYG",IF(T$10&gt;0,N(Reales!T80)/T$10,0),N(Reales!T80)),T$227*IF(T$8=1,N(vg_DSO),V_DSO)/DiasMes))</f>
        <v>2032175.3424657534</v>
      </c>
      <c r="U265" s="48">
        <f>IF(16&gt;Fin,T$265,IF(AND(U$8=1,ISNUMBER(Reales!U80)),IF(Reales!$C$80="PYG",IF(U$10&gt;0,N(Reales!U80)/U$10,0),N(Reales!U80)),U$227*IF(U$8=1,N(vg_DSO),V_DSO)/DiasMes))</f>
        <v>2032175.3424657534</v>
      </c>
      <c r="V265" s="48">
        <f>IF(17&gt;Fin,U$265,IF(AND(V$8=1,ISNUMBER(Reales!V80)),IF(Reales!$C$80="PYG",IF(V$10&gt;0,N(Reales!V80)/V$10,0),N(Reales!V80)),V$227*IF(V$8=1,N(vg_DSO),V_DSO)/DiasMes))</f>
        <v>2032175.3424657534</v>
      </c>
      <c r="W265" s="48">
        <f>IF(18&gt;Fin,V$265,IF(AND(W$8=1,ISNUMBER(Reales!W80)),IF(Reales!$C$80="PYG",IF(W$10&gt;0,N(Reales!W80)/W$10,0),N(Reales!W80)),W$227*IF(W$8=1,N(vg_DSO),V_DSO)/DiasMes))</f>
        <v>2032175.3424657534</v>
      </c>
      <c r="X265" s="48">
        <f>IF(19&gt;Fin,W$265,IF(AND(X$8=1,ISNUMBER(Reales!X80)),IF(Reales!$C$80="PYG",IF(X$10&gt;0,N(Reales!X80)/X$10,0),N(Reales!X80)),X$227*IF(X$8=1,N(vg_DSO),V_DSO)/DiasMes))</f>
        <v>2032175.3424657534</v>
      </c>
      <c r="Y265" s="48">
        <f>IF(20&gt;Fin,X$265,IF(AND(Y$8=1,ISNUMBER(Reales!Y80)),IF(Reales!$C$80="PYG",IF(Y$10&gt;0,N(Reales!Y80)/Y$10,0),N(Reales!Y80)),Y$227*IF(Y$8=1,N(vg_DSO),V_DSO)/DiasMes))</f>
        <v>2032175.3424657534</v>
      </c>
      <c r="Z265" s="48">
        <f>IF(21&gt;Fin,Y$265,IF(AND(Z$8=1,ISNUMBER(Reales!Z80)),IF(Reales!$C$80="PYG",IF(Z$10&gt;0,N(Reales!Z80)/Z$10,0),N(Reales!Z80)),Z$227*IF(Z$8=1,N(vg_DSO),V_DSO)/DiasMes))</f>
        <v>2032175.3424657534</v>
      </c>
      <c r="AA265" s="48">
        <f>IF(22&gt;Fin,Z$265,IF(AND(AA$8=1,ISNUMBER(Reales!AA80)),IF(Reales!$C$80="PYG",IF(AA$10&gt;0,N(Reales!AA80)/AA$10,0),N(Reales!AA80)),AA$227*IF(AA$8=1,N(vg_DSO),V_DSO)/DiasMes))</f>
        <v>2032175.3424657534</v>
      </c>
      <c r="AB265" s="48">
        <f>IF(23&gt;Fin,AA$265,IF(AND(AB$8=1,ISNUMBER(Reales!AB80)),IF(Reales!$C$80="PYG",IF(AB$10&gt;0,N(Reales!AB80)/AB$10,0),N(Reales!AB80)),AB$227*IF(AB$8=1,N(vg_DSO),V_DSO)/DiasMes))</f>
        <v>2032175.3424657534</v>
      </c>
      <c r="AC265" s="48">
        <f>IF(24&gt;Fin,AB$265,IF(AND(AC$8=1,ISNUMBER(Reales!AC80)),IF(Reales!$C$80="PYG",IF(AC$10&gt;0,N(Reales!AC80)/AC$10,0),N(Reales!AC80)),AC$227*IF(AC$8=1,N(vg_DSO),V_DSO)/DiasMes))</f>
        <v>2032175.3424657534</v>
      </c>
      <c r="AD265" s="48">
        <f>IF(25&gt;Fin,AC$265,IF(AND(AD$8=1,ISNUMBER(Reales!AD80)),IF(Reales!$C$80="PYG",IF(AD$10&gt;0,N(Reales!AD80)/AD$10,0),N(Reales!AD80)),AD$227*IF(AD$8=1,N(vg_DSO),V_DSO)/DiasMes))</f>
        <v>2478423.7808219176</v>
      </c>
      <c r="AE265" s="48">
        <f>IF(26&gt;Fin,AD$265,IF(AND(AE$8=1,ISNUMBER(Reales!AE80)),IF(Reales!$C$80="PYG",IF(AE$10&gt;0,N(Reales!AE80)/AE$10,0),N(Reales!AE80)),AE$227*IF(AE$8=1,N(vg_DSO),V_DSO)/DiasMes))</f>
        <v>2478423.7808219176</v>
      </c>
      <c r="AF265" s="48">
        <f>IF(27&gt;Fin,AE$265,IF(AND(AF$8=1,ISNUMBER(Reales!AF80)),IF(Reales!$C$80="PYG",IF(AF$10&gt;0,N(Reales!AF80)/AF$10,0),N(Reales!AF80)),AF$227*IF(AF$8=1,N(vg_DSO),V_DSO)/DiasMes))</f>
        <v>2478423.7808219176</v>
      </c>
      <c r="AG265" s="48">
        <f>IF(28&gt;Fin,AF$265,IF(AND(AG$8=1,ISNUMBER(Reales!AG80)),IF(Reales!$C$80="PYG",IF(AG$10&gt;0,N(Reales!AG80)/AG$10,0),N(Reales!AG80)),AG$227*IF(AG$8=1,N(vg_DSO),V_DSO)/DiasMes))</f>
        <v>2478423.7808219176</v>
      </c>
      <c r="AH265" s="48">
        <f>IF(29&gt;Fin,AG$265,IF(AND(AH$8=1,ISNUMBER(Reales!AH80)),IF(Reales!$C$80="PYG",IF(AH$10&gt;0,N(Reales!AH80)/AH$10,0),N(Reales!AH80)),AH$227*IF(AH$8=1,N(vg_DSO),V_DSO)/DiasMes))</f>
        <v>2478423.7808219176</v>
      </c>
      <c r="AI265" s="48">
        <f>IF(30&gt;Fin,AH$265,IF(AND(AI$8=1,ISNUMBER(Reales!AI80)),IF(Reales!$C$80="PYG",IF(AI$10&gt;0,N(Reales!AI80)/AI$10,0),N(Reales!AI80)),AI$227*IF(AI$8=1,N(vg_DSO),V_DSO)/DiasMes))</f>
        <v>2478423.7808219176</v>
      </c>
      <c r="AJ265" s="48">
        <f>IF(31&gt;Fin,AI$265,IF(AND(AJ$8=1,ISNUMBER(Reales!AJ80)),IF(Reales!$C$80="PYG",IF(AJ$10&gt;0,N(Reales!AJ80)/AJ$10,0),N(Reales!AJ80)),AJ$227*IF(AJ$8=1,N(vg_DSO),V_DSO)/DiasMes))</f>
        <v>2478423.7808219176</v>
      </c>
      <c r="AK265" s="48">
        <f>IF(32&gt;Fin,AJ$265,IF(AND(AK$8=1,ISNUMBER(Reales!AK80)),IF(Reales!$C$80="PYG",IF(AK$10&gt;0,N(Reales!AK80)/AK$10,0),N(Reales!AK80)),AK$227*IF(AK$8=1,N(vg_DSO),V_DSO)/DiasMes))</f>
        <v>2478423.7808219176</v>
      </c>
      <c r="AL265" s="48">
        <f>IF(33&gt;Fin,AK$265,IF(AND(AL$8=1,ISNUMBER(Reales!AL80)),IF(Reales!$C$80="PYG",IF(AL$10&gt;0,N(Reales!AL80)/AL$10,0),N(Reales!AL80)),AL$227*IF(AL$8=1,N(vg_DSO),V_DSO)/DiasMes))</f>
        <v>2478423.7808219176</v>
      </c>
      <c r="AM265" s="48">
        <f>IF(34&gt;Fin,AL$265,IF(AND(AM$8=1,ISNUMBER(Reales!AM80)),IF(Reales!$C$80="PYG",IF(AM$10&gt;0,N(Reales!AM80)/AM$10,0),N(Reales!AM80)),AM$227*IF(AM$8=1,N(vg_DSO),V_DSO)/DiasMes))</f>
        <v>2478423.7808219176</v>
      </c>
      <c r="AN265" s="48">
        <f>IF(35&gt;Fin,AM$265,IF(AND(AN$8=1,ISNUMBER(Reales!AN80)),IF(Reales!$C$80="PYG",IF(AN$10&gt;0,N(Reales!AN80)/AN$10,0),N(Reales!AN80)),AN$227*IF(AN$8=1,N(vg_DSO),V_DSO)/DiasMes))</f>
        <v>2478423.7808219176</v>
      </c>
      <c r="AO265" s="48">
        <f>IF(36&gt;Fin,AN$265,IF(AND(AO$8=1,ISNUMBER(Reales!AO80)),IF(Reales!$C$80="PYG",IF(AO$10&gt;0,N(Reales!AO80)/AO$10,0),N(Reales!AO80)),AO$227*IF(AO$8=1,N(vg_DSO),V_DSO)/DiasMes))</f>
        <v>2478423.7808219176</v>
      </c>
      <c r="AP265" s="48">
        <f>IF(37&gt;Fin,AO$265,IF(AND(AP$8=1,ISNUMBER(Reales!AP80)),IF(Reales!$C$80="PYG",IF(AP$10&gt;0,N(Reales!AP80)/AP$10,0),N(Reales!AP80)),AP$227*IF(AP$8=1,N(vg_DSO),V_DSO)/DiasMes))</f>
        <v>2855486.2783561638</v>
      </c>
      <c r="AQ265" s="48">
        <f>IF(38&gt;Fin,AP$265,IF(AND(AQ$8=1,ISNUMBER(Reales!AQ80)),IF(Reales!$C$80="PYG",IF(AQ$10&gt;0,N(Reales!AQ80)/AQ$10,0),N(Reales!AQ80)),AQ$227*IF(AQ$8=1,N(vg_DSO),V_DSO)/DiasMes))</f>
        <v>2855486.2783561638</v>
      </c>
      <c r="AR265" s="48">
        <f>IF(39&gt;Fin,AQ$265,IF(AND(AR$8=1,ISNUMBER(Reales!AR80)),IF(Reales!$C$80="PYG",IF(AR$10&gt;0,N(Reales!AR80)/AR$10,0),N(Reales!AR80)),AR$227*IF(AR$8=1,N(vg_DSO),V_DSO)/DiasMes))</f>
        <v>2855486.2783561638</v>
      </c>
      <c r="AS265" s="48">
        <f>IF(40&gt;Fin,AR$265,IF(AND(AS$8=1,ISNUMBER(Reales!AS80)),IF(Reales!$C$80="PYG",IF(AS$10&gt;0,N(Reales!AS80)/AS$10,0),N(Reales!AS80)),AS$227*IF(AS$8=1,N(vg_DSO),V_DSO)/DiasMes))</f>
        <v>2855486.2783561638</v>
      </c>
      <c r="AT265" s="48">
        <f>IF(41&gt;Fin,AS$265,IF(AND(AT$8=1,ISNUMBER(Reales!AT80)),IF(Reales!$C$80="PYG",IF(AT$10&gt;0,N(Reales!AT80)/AT$10,0),N(Reales!AT80)),AT$227*IF(AT$8=1,N(vg_DSO),V_DSO)/DiasMes))</f>
        <v>2855486.2783561638</v>
      </c>
      <c r="AU265" s="48">
        <f>IF(42&gt;Fin,AT$265,IF(AND(AU$8=1,ISNUMBER(Reales!AU80)),IF(Reales!$C$80="PYG",IF(AU$10&gt;0,N(Reales!AU80)/AU$10,0),N(Reales!AU80)),AU$227*IF(AU$8=1,N(vg_DSO),V_DSO)/DiasMes))</f>
        <v>2855486.2783561638</v>
      </c>
      <c r="AV265" s="48">
        <f>IF(43&gt;Fin,AU$265,IF(AND(AV$8=1,ISNUMBER(Reales!AV80)),IF(Reales!$C$80="PYG",IF(AV$10&gt;0,N(Reales!AV80)/AV$10,0),N(Reales!AV80)),AV$227*IF(AV$8=1,N(vg_DSO),V_DSO)/DiasMes))</f>
        <v>2855486.2783561638</v>
      </c>
      <c r="AW265" s="48">
        <f>IF(44&gt;Fin,AV$265,IF(AND(AW$8=1,ISNUMBER(Reales!AW80)),IF(Reales!$C$80="PYG",IF(AW$10&gt;0,N(Reales!AW80)/AW$10,0),N(Reales!AW80)),AW$227*IF(AW$8=1,N(vg_DSO),V_DSO)/DiasMes))</f>
        <v>2855486.2783561638</v>
      </c>
      <c r="AX265" s="48">
        <f>IF(45&gt;Fin,AW$265,IF(AND(AX$8=1,ISNUMBER(Reales!AX80)),IF(Reales!$C$80="PYG",IF(AX$10&gt;0,N(Reales!AX80)/AX$10,0),N(Reales!AX80)),AX$227*IF(AX$8=1,N(vg_DSO),V_DSO)/DiasMes))</f>
        <v>2855486.2783561638</v>
      </c>
      <c r="AY265" s="48">
        <f>IF(46&gt;Fin,AX$265,IF(AND(AY$8=1,ISNUMBER(Reales!AY80)),IF(Reales!$C$80="PYG",IF(AY$10&gt;0,N(Reales!AY80)/AY$10,0),N(Reales!AY80)),AY$227*IF(AY$8=1,N(vg_DSO),V_DSO)/DiasMes))</f>
        <v>2855486.2783561638</v>
      </c>
      <c r="AZ265" s="48">
        <f>IF(47&gt;Fin,AY$265,IF(AND(AZ$8=1,ISNUMBER(Reales!AZ80)),IF(Reales!$C$80="PYG",IF(AZ$10&gt;0,N(Reales!AZ80)/AZ$10,0),N(Reales!AZ80)),AZ$227*IF(AZ$8=1,N(vg_DSO),V_DSO)/DiasMes))</f>
        <v>2855486.2783561638</v>
      </c>
      <c r="BA265" s="48">
        <f>IF(48&gt;Fin,AZ$265,IF(AND(BA$8=1,ISNUMBER(Reales!BA80)),IF(Reales!$C$80="PYG",IF(BA$10&gt;0,N(Reales!BA80)/BA$10,0),N(Reales!BA80)),BA$227*IF(BA$8=1,N(vg_DSO),V_DSO)/DiasMes))</f>
        <v>2855486.2783561638</v>
      </c>
      <c r="BB265" s="48">
        <f>IF(49&gt;Fin,BA$265,IF(AND(BB$8=1,ISNUMBER(Reales!BB80)),IF(Reales!$C$80="PYG",IF(BB$10&gt;0,N(Reales!BB80)/BB$10,0),N(Reales!BB80)),BB$227*IF(BB$8=1,N(vg_DSO),V_DSO)/DiasMes))</f>
        <v>2884041.1411397262</v>
      </c>
      <c r="BC265" s="48">
        <f>IF(50&gt;Fin,BB$265,IF(AND(BC$8=1,ISNUMBER(Reales!BC80)),IF(Reales!$C$80="PYG",IF(BC$10&gt;0,N(Reales!BC80)/BC$10,0),N(Reales!BC80)),BC$227*IF(BC$8=1,N(vg_DSO),V_DSO)/DiasMes))</f>
        <v>2884041.1411397262</v>
      </c>
      <c r="BD265" s="48">
        <f>IF(51&gt;Fin,BC$265,IF(AND(BD$8=1,ISNUMBER(Reales!BD80)),IF(Reales!$C$80="PYG",IF(BD$10&gt;0,N(Reales!BD80)/BD$10,0),N(Reales!BD80)),BD$227*IF(BD$8=1,N(vg_DSO),V_DSO)/DiasMes))</f>
        <v>2884041.1411397262</v>
      </c>
      <c r="BE265" s="48">
        <f>IF(52&gt;Fin,BD$265,IF(AND(BE$8=1,ISNUMBER(Reales!BE80)),IF(Reales!$C$80="PYG",IF(BE$10&gt;0,N(Reales!BE80)/BE$10,0),N(Reales!BE80)),BE$227*IF(BE$8=1,N(vg_DSO),V_DSO)/DiasMes))</f>
        <v>2884041.1411397262</v>
      </c>
      <c r="BF265" s="48">
        <f>IF(53&gt;Fin,BE$265,IF(AND(BF$8=1,ISNUMBER(Reales!BF80)),IF(Reales!$C$80="PYG",IF(BF$10&gt;0,N(Reales!BF80)/BF$10,0),N(Reales!BF80)),BF$227*IF(BF$8=1,N(vg_DSO),V_DSO)/DiasMes))</f>
        <v>2884041.1411397262</v>
      </c>
      <c r="BG265" s="48">
        <f>IF(54&gt;Fin,BF$265,IF(AND(BG$8=1,ISNUMBER(Reales!BG80)),IF(Reales!$C$80="PYG",IF(BG$10&gt;0,N(Reales!BG80)/BG$10,0),N(Reales!BG80)),BG$227*IF(BG$8=1,N(vg_DSO),V_DSO)/DiasMes))</f>
        <v>2884041.1411397262</v>
      </c>
      <c r="BH265" s="48">
        <f>IF(55&gt;Fin,BG$265,IF(AND(BH$8=1,ISNUMBER(Reales!BH80)),IF(Reales!$C$80="PYG",IF(BH$10&gt;0,N(Reales!BH80)/BH$10,0),N(Reales!BH80)),BH$227*IF(BH$8=1,N(vg_DSO),V_DSO)/DiasMes))</f>
        <v>2884041.1411397262</v>
      </c>
      <c r="BI265" s="48">
        <f>IF(56&gt;Fin,BH$265,IF(AND(BI$8=1,ISNUMBER(Reales!BI80)),IF(Reales!$C$80="PYG",IF(BI$10&gt;0,N(Reales!BI80)/BI$10,0),N(Reales!BI80)),BI$227*IF(BI$8=1,N(vg_DSO),V_DSO)/DiasMes))</f>
        <v>2884041.1411397262</v>
      </c>
      <c r="BJ265" s="48">
        <f>IF(57&gt;Fin,BI$265,IF(AND(BJ$8=1,ISNUMBER(Reales!BJ80)),IF(Reales!$C$80="PYG",IF(BJ$10&gt;0,N(Reales!BJ80)/BJ$10,0),N(Reales!BJ80)),BJ$227*IF(BJ$8=1,N(vg_DSO),V_DSO)/DiasMes))</f>
        <v>2884041.1411397262</v>
      </c>
      <c r="BK265" s="48">
        <f>IF(58&gt;Fin,BJ$265,IF(AND(BK$8=1,ISNUMBER(Reales!BK80)),IF(Reales!$C$80="PYG",IF(BK$10&gt;0,N(Reales!BK80)/BK$10,0),N(Reales!BK80)),BK$227*IF(BK$8=1,N(vg_DSO),V_DSO)/DiasMes))</f>
        <v>2884041.1411397262</v>
      </c>
      <c r="BL265" s="48">
        <f>IF(59&gt;Fin,BK$265,IF(AND(BL$8=1,ISNUMBER(Reales!BL80)),IF(Reales!$C$80="PYG",IF(BL$10&gt;0,N(Reales!BL80)/BL$10,0),N(Reales!BL80)),BL$227*IF(BL$8=1,N(vg_DSO),V_DSO)/DiasMes))</f>
        <v>2884041.1411397262</v>
      </c>
      <c r="BM265" s="48">
        <f>IF(60&gt;Fin,BL$265,IF(AND(BM$8=1,ISNUMBER(Reales!BM80)),IF(Reales!$C$80="PYG",IF(BM$10&gt;0,N(Reales!BM80)/BM$10,0),N(Reales!BM80)),BM$227*IF(BM$8=1,N(vg_DSO),V_DSO)/DiasMes))</f>
        <v>2884041.1411397262</v>
      </c>
      <c r="BN265" s="48">
        <f>IF(61&gt;Fin,BM$265,IF(AND(BN$8=1,ISNUMBER(Reales!BN80)),IF(Reales!$C$80="PYG",IF(BN$10&gt;0,N(Reales!BN80)/BN$10,0),N(Reales!BN80)),BN$227*IF(BN$8=1,N(vg_DSO),V_DSO)/DiasMes))</f>
        <v>2912881.5525511228</v>
      </c>
      <c r="BO265" s="48">
        <f>IF(62&gt;Fin,BN$265,IF(AND(BO$8=1,ISNUMBER(Reales!BO80)),IF(Reales!$C$80="PYG",IF(BO$10&gt;0,N(Reales!BO80)/BO$10,0),N(Reales!BO80)),BO$227*IF(BO$8=1,N(vg_DSO),V_DSO)/DiasMes))</f>
        <v>2912881.5525511228</v>
      </c>
      <c r="BP265" s="48">
        <f>IF(63&gt;Fin,BO$265,IF(AND(BP$8=1,ISNUMBER(Reales!BP80)),IF(Reales!$C$80="PYG",IF(BP$10&gt;0,N(Reales!BP80)/BP$10,0),N(Reales!BP80)),BP$227*IF(BP$8=1,N(vg_DSO),V_DSO)/DiasMes))</f>
        <v>2912881.5525511228</v>
      </c>
      <c r="BQ265" s="48">
        <f>IF(64&gt;Fin,BP$265,IF(AND(BQ$8=1,ISNUMBER(Reales!BQ80)),IF(Reales!$C$80="PYG",IF(BQ$10&gt;0,N(Reales!BQ80)/BQ$10,0),N(Reales!BQ80)),BQ$227*IF(BQ$8=1,N(vg_DSO),V_DSO)/DiasMes))</f>
        <v>2912881.5525511228</v>
      </c>
      <c r="BR265" s="48">
        <f>IF(65&gt;Fin,BQ$265,IF(AND(BR$8=1,ISNUMBER(Reales!BR80)),IF(Reales!$C$80="PYG",IF(BR$10&gt;0,N(Reales!BR80)/BR$10,0),N(Reales!BR80)),BR$227*IF(BR$8=1,N(vg_DSO),V_DSO)/DiasMes))</f>
        <v>2912881.5525511228</v>
      </c>
      <c r="BS265" s="48">
        <f>IF(66&gt;Fin,BR$265,IF(AND(BS$8=1,ISNUMBER(Reales!BS80)),IF(Reales!$C$80="PYG",IF(BS$10&gt;0,N(Reales!BS80)/BS$10,0),N(Reales!BS80)),BS$227*IF(BS$8=1,N(vg_DSO),V_DSO)/DiasMes))</f>
        <v>2912881.5525511228</v>
      </c>
      <c r="BT265" s="48">
        <f>IF(67&gt;Fin,BS$265,IF(AND(BT$8=1,ISNUMBER(Reales!BT80)),IF(Reales!$C$80="PYG",IF(BT$10&gt;0,N(Reales!BT80)/BT$10,0),N(Reales!BT80)),BT$227*IF(BT$8=1,N(vg_DSO),V_DSO)/DiasMes))</f>
        <v>2912881.5525511228</v>
      </c>
      <c r="BU265" s="48">
        <f>IF(68&gt;Fin,BT$265,IF(AND(BU$8=1,ISNUMBER(Reales!BU80)),IF(Reales!$C$80="PYG",IF(BU$10&gt;0,N(Reales!BU80)/BU$10,0),N(Reales!BU80)),BU$227*IF(BU$8=1,N(vg_DSO),V_DSO)/DiasMes))</f>
        <v>2912881.5525511228</v>
      </c>
      <c r="BV265" s="48">
        <f>IF(69&gt;Fin,BU$265,IF(AND(BV$8=1,ISNUMBER(Reales!BV80)),IF(Reales!$C$80="PYG",IF(BV$10&gt;0,N(Reales!BV80)/BV$10,0),N(Reales!BV80)),BV$227*IF(BV$8=1,N(vg_DSO),V_DSO)/DiasMes))</f>
        <v>2912881.5525511228</v>
      </c>
      <c r="BW265" s="48">
        <f>IF(70&gt;Fin,BV$265,IF(AND(BW$8=1,ISNUMBER(Reales!BW80)),IF(Reales!$C$80="PYG",IF(BW$10&gt;0,N(Reales!BW80)/BW$10,0),N(Reales!BW80)),BW$227*IF(BW$8=1,N(vg_DSO),V_DSO)/DiasMes))</f>
        <v>2912881.5525511228</v>
      </c>
      <c r="BX265" s="48">
        <f>IF(71&gt;Fin,BW$265,IF(AND(BX$8=1,ISNUMBER(Reales!BX80)),IF(Reales!$C$80="PYG",IF(BX$10&gt;0,N(Reales!BX80)/BX$10,0),N(Reales!BX80)),BX$227*IF(BX$8=1,N(vg_DSO),V_DSO)/DiasMes))</f>
        <v>2912881.5525511228</v>
      </c>
      <c r="BY265" s="48">
        <f>IF(72&gt;Fin,BX$265,IF(AND(BY$8=1,ISNUMBER(Reales!BY80)),IF(Reales!$C$80="PYG",IF(BY$10&gt;0,N(Reales!BY80)/BY$10,0),N(Reales!BY80)),BY$227*IF(BY$8=1,N(vg_DSO),V_DSO)/DiasMes))</f>
        <v>2912881.5525511228</v>
      </c>
      <c r="BZ265" s="48">
        <f>IF(73&gt;Fin,BY$265,IF(AND(BZ$8=1,ISNUMBER(Reales!BZ80)),IF(Reales!$C$80="PYG",IF(BZ$10&gt;0,N(Reales!BZ80)/BZ$10,0),N(Reales!BZ80)),BZ$227*IF(BZ$8=1,N(vg_DSO),V_DSO)/DiasMes))</f>
        <v>2942010.3680766346</v>
      </c>
      <c r="CA265" s="48">
        <f>IF(74&gt;Fin,BZ$265,IF(AND(CA$8=1,ISNUMBER(Reales!CA80)),IF(Reales!$C$80="PYG",IF(CA$10&gt;0,N(Reales!CA80)/CA$10,0),N(Reales!CA80)),CA$227*IF(CA$8=1,N(vg_DSO),V_DSO)/DiasMes))</f>
        <v>2942010.3680766346</v>
      </c>
      <c r="CB265" s="48">
        <f>IF(75&gt;Fin,CA$265,IF(AND(CB$8=1,ISNUMBER(Reales!CB80)),IF(Reales!$C$80="PYG",IF(CB$10&gt;0,N(Reales!CB80)/CB$10,0),N(Reales!CB80)),CB$227*IF(CB$8=1,N(vg_DSO),V_DSO)/DiasMes))</f>
        <v>2942010.3680766346</v>
      </c>
      <c r="CC265" s="48">
        <f>IF(76&gt;Fin,CB$265,IF(AND(CC$8=1,ISNUMBER(Reales!CC80)),IF(Reales!$C$80="PYG",IF(CC$10&gt;0,N(Reales!CC80)/CC$10,0),N(Reales!CC80)),CC$227*IF(CC$8=1,N(vg_DSO),V_DSO)/DiasMes))</f>
        <v>2942010.3680766346</v>
      </c>
      <c r="CD265" s="48">
        <f>IF(77&gt;Fin,CC$265,IF(AND(CD$8=1,ISNUMBER(Reales!CD80)),IF(Reales!$C$80="PYG",IF(CD$10&gt;0,N(Reales!CD80)/CD$10,0),N(Reales!CD80)),CD$227*IF(CD$8=1,N(vg_DSO),V_DSO)/DiasMes))</f>
        <v>2942010.3680766346</v>
      </c>
      <c r="CE265" s="48">
        <f>IF(78&gt;Fin,CD$265,IF(AND(CE$8=1,ISNUMBER(Reales!CE80)),IF(Reales!$C$80="PYG",IF(CE$10&gt;0,N(Reales!CE80)/CE$10,0),N(Reales!CE80)),CE$227*IF(CE$8=1,N(vg_DSO),V_DSO)/DiasMes))</f>
        <v>2942010.3680766346</v>
      </c>
      <c r="CF265" s="48">
        <f>IF(79&gt;Fin,CE$265,IF(AND(CF$8=1,ISNUMBER(Reales!CF80)),IF(Reales!$C$80="PYG",IF(CF$10&gt;0,N(Reales!CF80)/CF$10,0),N(Reales!CF80)),CF$227*IF(CF$8=1,N(vg_DSO),V_DSO)/DiasMes))</f>
        <v>2942010.3680766346</v>
      </c>
      <c r="CG265" s="48">
        <f>IF(80&gt;Fin,CF$265,IF(AND(CG$8=1,ISNUMBER(Reales!CG80)),IF(Reales!$C$80="PYG",IF(CG$10&gt;0,N(Reales!CG80)/CG$10,0),N(Reales!CG80)),CG$227*IF(CG$8=1,N(vg_DSO),V_DSO)/DiasMes))</f>
        <v>2942010.3680766346</v>
      </c>
      <c r="CH265" s="48">
        <f>IF(81&gt;Fin,CG$265,IF(AND(CH$8=1,ISNUMBER(Reales!CH80)),IF(Reales!$C$80="PYG",IF(CH$10&gt;0,N(Reales!CH80)/CH$10,0),N(Reales!CH80)),CH$227*IF(CH$8=1,N(vg_DSO),V_DSO)/DiasMes))</f>
        <v>2942010.3680766346</v>
      </c>
      <c r="CI265" s="48">
        <f>IF(82&gt;Fin,CH$265,IF(AND(CI$8=1,ISNUMBER(Reales!CI80)),IF(Reales!$C$80="PYG",IF(CI$10&gt;0,N(Reales!CI80)/CI$10,0),N(Reales!CI80)),CI$227*IF(CI$8=1,N(vg_DSO),V_DSO)/DiasMes))</f>
        <v>2942010.3680766346</v>
      </c>
      <c r="CJ265" s="48">
        <f>IF(83&gt;Fin,CI$265,IF(AND(CJ$8=1,ISNUMBER(Reales!CJ80)),IF(Reales!$C$80="PYG",IF(CJ$10&gt;0,N(Reales!CJ80)/CJ$10,0),N(Reales!CJ80)),CJ$227*IF(CJ$8=1,N(vg_DSO),V_DSO)/DiasMes))</f>
        <v>2942010.3680766346</v>
      </c>
      <c r="CK265" s="48">
        <f>IF(84&gt;Fin,CJ$265,IF(AND(CK$8=1,ISNUMBER(Reales!CK80)),IF(Reales!$C$80="PYG",IF(CK$10&gt;0,N(Reales!CK80)/CK$10,0),N(Reales!CK80)),CK$227*IF(CK$8=1,N(vg_DSO),V_DSO)/DiasMes))</f>
        <v>2942010.3680766346</v>
      </c>
      <c r="CL265" s="48">
        <f>IF(85&gt;Fin,CK$265,IF(AND(CL$8=1,ISNUMBER(Reales!CL80)),IF(Reales!$C$80="PYG",IF(CL$10&gt;0,N(Reales!CL80)/CL$10,0),N(Reales!CL80)),CL$227*IF(CL$8=1,N(vg_DSO),V_DSO)/DiasMes))</f>
        <v>2971430.4717574003</v>
      </c>
      <c r="CM265" s="48">
        <f>IF(86&gt;Fin,CL$265,IF(AND(CM$8=1,ISNUMBER(Reales!CM80)),IF(Reales!$C$80="PYG",IF(CM$10&gt;0,N(Reales!CM80)/CM$10,0),N(Reales!CM80)),CM$227*IF(CM$8=1,N(vg_DSO),V_DSO)/DiasMes))</f>
        <v>2971430.4717574003</v>
      </c>
      <c r="CN265" s="48">
        <f>IF(87&gt;Fin,CM$265,IF(AND(CN$8=1,ISNUMBER(Reales!CN80)),IF(Reales!$C$80="PYG",IF(CN$10&gt;0,N(Reales!CN80)/CN$10,0),N(Reales!CN80)),CN$227*IF(CN$8=1,N(vg_DSO),V_DSO)/DiasMes))</f>
        <v>2971430.4717574003</v>
      </c>
      <c r="CO265" s="48">
        <f>IF(88&gt;Fin,CN$265,IF(AND(CO$8=1,ISNUMBER(Reales!CO80)),IF(Reales!$C$80="PYG",IF(CO$10&gt;0,N(Reales!CO80)/CO$10,0),N(Reales!CO80)),CO$227*IF(CO$8=1,N(vg_DSO),V_DSO)/DiasMes))</f>
        <v>2971430.4717574003</v>
      </c>
      <c r="CP265" s="48">
        <f>IF(89&gt;Fin,CO$265,IF(AND(CP$8=1,ISNUMBER(Reales!CP80)),IF(Reales!$C$80="PYG",IF(CP$10&gt;0,N(Reales!CP80)/CP$10,0),N(Reales!CP80)),CP$227*IF(CP$8=1,N(vg_DSO),V_DSO)/DiasMes))</f>
        <v>2971430.4717574003</v>
      </c>
      <c r="CQ265" s="48">
        <f>IF(90&gt;Fin,CP$265,IF(AND(CQ$8=1,ISNUMBER(Reales!CQ80)),IF(Reales!$C$80="PYG",IF(CQ$10&gt;0,N(Reales!CQ80)/CQ$10,0),N(Reales!CQ80)),CQ$227*IF(CQ$8=1,N(vg_DSO),V_DSO)/DiasMes))</f>
        <v>2971430.4717574003</v>
      </c>
      <c r="CR265" s="48">
        <f>IF(91&gt;Fin,CQ$265,IF(AND(CR$8=1,ISNUMBER(Reales!CR80)),IF(Reales!$C$80="PYG",IF(CR$10&gt;0,N(Reales!CR80)/CR$10,0),N(Reales!CR80)),CR$227*IF(CR$8=1,N(vg_DSO),V_DSO)/DiasMes))</f>
        <v>2971430.4717574003</v>
      </c>
      <c r="CS265" s="48">
        <f>IF(92&gt;Fin,CR$265,IF(AND(CS$8=1,ISNUMBER(Reales!CS80)),IF(Reales!$C$80="PYG",IF(CS$10&gt;0,N(Reales!CS80)/CS$10,0),N(Reales!CS80)),CS$227*IF(CS$8=1,N(vg_DSO),V_DSO)/DiasMes))</f>
        <v>2971430.4717574003</v>
      </c>
      <c r="CT265" s="48">
        <f>IF(93&gt;Fin,CS$265,IF(AND(CT$8=1,ISNUMBER(Reales!CT80)),IF(Reales!$C$80="PYG",IF(CT$10&gt;0,N(Reales!CT80)/CT$10,0),N(Reales!CT80)),CT$227*IF(CT$8=1,N(vg_DSO),V_DSO)/DiasMes))</f>
        <v>2971430.4717574003</v>
      </c>
      <c r="CU265" s="48">
        <f>IF(94&gt;Fin,CT$265,IF(AND(CU$8=1,ISNUMBER(Reales!CU80)),IF(Reales!$C$80="PYG",IF(CU$10&gt;0,N(Reales!CU80)/CU$10,0),N(Reales!CU80)),CU$227*IF(CU$8=1,N(vg_DSO),V_DSO)/DiasMes))</f>
        <v>2971430.4717574003</v>
      </c>
      <c r="CV265" s="48">
        <f>IF(95&gt;Fin,CU$265,IF(AND(CV$8=1,ISNUMBER(Reales!CV80)),IF(Reales!$C$80="PYG",IF(CV$10&gt;0,N(Reales!CV80)/CV$10,0),N(Reales!CV80)),CV$227*IF(CV$8=1,N(vg_DSO),V_DSO)/DiasMes))</f>
        <v>2971430.4717574003</v>
      </c>
      <c r="CW265" s="48">
        <f>IF(96&gt;Fin,CV$265,IF(AND(CW$8=1,ISNUMBER(Reales!CW80)),IF(Reales!$C$80="PYG",IF(CW$10&gt;0,N(Reales!CW80)/CW$10,0),N(Reales!CW80)),CW$227*IF(CW$8=1,N(vg_DSO),V_DSO)/DiasMes))</f>
        <v>2971430.4717574003</v>
      </c>
      <c r="CX265" s="48">
        <f>IF(97&gt;Fin,CW$265,IF(AND(CX$8=1,ISNUMBER(Reales!CX80)),IF(Reales!$C$80="PYG",IF(CX$10&gt;0,N(Reales!CX80)/CX$10,0),N(Reales!CX80)),CX$227*IF(CX$8=1,N(vg_DSO),V_DSO)/DiasMes))</f>
        <v>3001144.7764749741</v>
      </c>
      <c r="CY265" s="48">
        <f>IF(98&gt;Fin,CX$265,IF(AND(CY$8=1,ISNUMBER(Reales!CY80)),IF(Reales!$C$80="PYG",IF(CY$10&gt;0,N(Reales!CY80)/CY$10,0),N(Reales!CY80)),CY$227*IF(CY$8=1,N(vg_DSO),V_DSO)/DiasMes))</f>
        <v>3001144.7764749741</v>
      </c>
      <c r="CZ265" s="48">
        <f>IF(99&gt;Fin,CY$265,IF(AND(CZ$8=1,ISNUMBER(Reales!CZ80)),IF(Reales!$C$80="PYG",IF(CZ$10&gt;0,N(Reales!CZ80)/CZ$10,0),N(Reales!CZ80)),CZ$227*IF(CZ$8=1,N(vg_DSO),V_DSO)/DiasMes))</f>
        <v>3001144.7764749741</v>
      </c>
      <c r="DA265" s="48">
        <f>IF(100&gt;Fin,CZ$265,IF(AND(DA$8=1,ISNUMBER(Reales!DA80)),IF(Reales!$C$80="PYG",IF(DA$10&gt;0,N(Reales!DA80)/DA$10,0),N(Reales!DA80)),DA$227*IF(DA$8=1,N(vg_DSO),V_DSO)/DiasMes))</f>
        <v>3001144.7764749741</v>
      </c>
      <c r="DB265" s="48">
        <f>IF(101&gt;Fin,DA$265,IF(AND(DB$8=1,ISNUMBER(Reales!DB80)),IF(Reales!$C$80="PYG",IF(DB$10&gt;0,N(Reales!DB80)/DB$10,0),N(Reales!DB80)),DB$227*IF(DB$8=1,N(vg_DSO),V_DSO)/DiasMes))</f>
        <v>3001144.7764749741</v>
      </c>
      <c r="DC265" s="48">
        <f>IF(102&gt;Fin,DB$265,IF(AND(DC$8=1,ISNUMBER(Reales!DC80)),IF(Reales!$C$80="PYG",IF(DC$10&gt;0,N(Reales!DC80)/DC$10,0),N(Reales!DC80)),DC$227*IF(DC$8=1,N(vg_DSO),V_DSO)/DiasMes))</f>
        <v>3001144.7764749741</v>
      </c>
      <c r="DD265" s="48">
        <f>IF(103&gt;Fin,DC$265,IF(AND(DD$8=1,ISNUMBER(Reales!DD80)),IF(Reales!$C$80="PYG",IF(DD$10&gt;0,N(Reales!DD80)/DD$10,0),N(Reales!DD80)),DD$227*IF(DD$8=1,N(vg_DSO),V_DSO)/DiasMes))</f>
        <v>3001144.7764749741</v>
      </c>
      <c r="DE265" s="48">
        <f>IF(104&gt;Fin,DD$265,IF(AND(DE$8=1,ISNUMBER(Reales!DE80)),IF(Reales!$C$80="PYG",IF(DE$10&gt;0,N(Reales!DE80)/DE$10,0),N(Reales!DE80)),DE$227*IF(DE$8=1,N(vg_DSO),V_DSO)/DiasMes))</f>
        <v>3001144.7764749741</v>
      </c>
      <c r="DF265" s="48">
        <f>IF(105&gt;Fin,DE$265,IF(AND(DF$8=1,ISNUMBER(Reales!DF80)),IF(Reales!$C$80="PYG",IF(DF$10&gt;0,N(Reales!DF80)/DF$10,0),N(Reales!DF80)),DF$227*IF(DF$8=1,N(vg_DSO),V_DSO)/DiasMes))</f>
        <v>3001144.7764749741</v>
      </c>
      <c r="DG265" s="48">
        <f>IF(106&gt;Fin,DF$265,IF(AND(DG$8=1,ISNUMBER(Reales!DG80)),IF(Reales!$C$80="PYG",IF(DG$10&gt;0,N(Reales!DG80)/DG$10,0),N(Reales!DG80)),DG$227*IF(DG$8=1,N(vg_DSO),V_DSO)/DiasMes))</f>
        <v>3001144.7764749741</v>
      </c>
      <c r="DH265" s="48">
        <f>IF(107&gt;Fin,DG$265,IF(AND(DH$8=1,ISNUMBER(Reales!DH80)),IF(Reales!$C$80="PYG",IF(DH$10&gt;0,N(Reales!DH80)/DH$10,0),N(Reales!DH80)),DH$227*IF(DH$8=1,N(vg_DSO),V_DSO)/DiasMes))</f>
        <v>3001144.7764749741</v>
      </c>
      <c r="DI265" s="48">
        <f>IF(108&gt;Fin,DH$265,IF(AND(DI$8=1,ISNUMBER(Reales!DI80)),IF(Reales!$C$80="PYG",IF(DI$10&gt;0,N(Reales!DI80)/DI$10,0),N(Reales!DI80)),DI$227*IF(DI$8=1,N(vg_DSO),V_DSO)/DiasMes))</f>
        <v>3001144.7764749741</v>
      </c>
      <c r="DJ265" s="48">
        <f>IF(109&gt;Fin,DI$265,IF(AND(DJ$8=1,ISNUMBER(Reales!DJ80)),IF(Reales!$C$80="PYG",IF(DJ$10&gt;0,N(Reales!DJ80)/DJ$10,0),N(Reales!DJ80)),DJ$227*IF(DJ$8=1,N(vg_DSO),V_DSO)/DiasMes))</f>
        <v>3031156.2242397242</v>
      </c>
      <c r="DK265" s="48">
        <f>IF(110&gt;Fin,DJ$265,IF(AND(DK$8=1,ISNUMBER(Reales!DK80)),IF(Reales!$C$80="PYG",IF(DK$10&gt;0,N(Reales!DK80)/DK$10,0),N(Reales!DK80)),DK$227*IF(DK$8=1,N(vg_DSO),V_DSO)/DiasMes))</f>
        <v>3031156.2242397242</v>
      </c>
      <c r="DL265" s="48">
        <f>IF(111&gt;Fin,DK$265,IF(AND(DL$8=1,ISNUMBER(Reales!DL80)),IF(Reales!$C$80="PYG",IF(DL$10&gt;0,N(Reales!DL80)/DL$10,0),N(Reales!DL80)),DL$227*IF(DL$8=1,N(vg_DSO),V_DSO)/DiasMes))</f>
        <v>3031156.2242397242</v>
      </c>
      <c r="DM265" s="48">
        <f>IF(112&gt;Fin,DL$265,IF(AND(DM$8=1,ISNUMBER(Reales!DM80)),IF(Reales!$C$80="PYG",IF(DM$10&gt;0,N(Reales!DM80)/DM$10,0),N(Reales!DM80)),DM$227*IF(DM$8=1,N(vg_DSO),V_DSO)/DiasMes))</f>
        <v>3031156.2242397242</v>
      </c>
      <c r="DN265" s="48">
        <f>IF(113&gt;Fin,DM$265,IF(AND(DN$8=1,ISNUMBER(Reales!DN80)),IF(Reales!$C$80="PYG",IF(DN$10&gt;0,N(Reales!DN80)/DN$10,0),N(Reales!DN80)),DN$227*IF(DN$8=1,N(vg_DSO),V_DSO)/DiasMes))</f>
        <v>3031156.2242397242</v>
      </c>
      <c r="DO265" s="48">
        <f>IF(114&gt;Fin,DN$265,IF(AND(DO$8=1,ISNUMBER(Reales!DO80)),IF(Reales!$C$80="PYG",IF(DO$10&gt;0,N(Reales!DO80)/DO$10,0),N(Reales!DO80)),DO$227*IF(DO$8=1,N(vg_DSO),V_DSO)/DiasMes))</f>
        <v>3031156.2242397242</v>
      </c>
      <c r="DP265" s="48">
        <f>IF(115&gt;Fin,DO$265,IF(AND(DP$8=1,ISNUMBER(Reales!DP80)),IF(Reales!$C$80="PYG",IF(DP$10&gt;0,N(Reales!DP80)/DP$10,0),N(Reales!DP80)),DP$227*IF(DP$8=1,N(vg_DSO),V_DSO)/DiasMes))</f>
        <v>3031156.2242397242</v>
      </c>
      <c r="DQ265" s="48">
        <f>IF(116&gt;Fin,DP$265,IF(AND(DQ$8=1,ISNUMBER(Reales!DQ80)),IF(Reales!$C$80="PYG",IF(DQ$10&gt;0,N(Reales!DQ80)/DQ$10,0),N(Reales!DQ80)),DQ$227*IF(DQ$8=1,N(vg_DSO),V_DSO)/DiasMes))</f>
        <v>3031156.2242397242</v>
      </c>
      <c r="DR265" s="48">
        <f>IF(117&gt;Fin,DQ$265,IF(AND(DR$8=1,ISNUMBER(Reales!DR80)),IF(Reales!$C$80="PYG",IF(DR$10&gt;0,N(Reales!DR80)/DR$10,0),N(Reales!DR80)),DR$227*IF(DR$8=1,N(vg_DSO),V_DSO)/DiasMes))</f>
        <v>3031156.2242397242</v>
      </c>
      <c r="DS265" s="48">
        <f>IF(118&gt;Fin,DR$265,IF(AND(DS$8=1,ISNUMBER(Reales!DS80)),IF(Reales!$C$80="PYG",IF(DS$10&gt;0,N(Reales!DS80)/DS$10,0),N(Reales!DS80)),DS$227*IF(DS$8=1,N(vg_DSO),V_DSO)/DiasMes))</f>
        <v>3031156.2242397242</v>
      </c>
      <c r="DT265" s="48">
        <f>IF(119&gt;Fin,DS$265,IF(AND(DT$8=1,ISNUMBER(Reales!DT80)),IF(Reales!$C$80="PYG",IF(DT$10&gt;0,N(Reales!DT80)/DT$10,0),N(Reales!DT80)),DT$227*IF(DT$8=1,N(vg_DSO),V_DSO)/DiasMes))</f>
        <v>3031156.2242397242</v>
      </c>
      <c r="DU265" s="48">
        <f>IF(120&gt;Fin,DT$265,IF(AND(DU$8=1,ISNUMBER(Reales!DU80)),IF(Reales!$C$80="PYG",IF(DU$10&gt;0,N(Reales!DU80)/DU$10,0),N(Reales!DU80)),DU$227*IF(DU$8=1,N(vg_DSO),V_DSO)/DiasMes))</f>
        <v>3031156.2242397242</v>
      </c>
      <c r="DV265" s="48">
        <f>IF(121&gt;Fin,DU$265,IF(AND(DV$8=1,ISNUMBER(Reales!DV80)),IF(Reales!$C$80="PYG",IF(DV$10&gt;0,N(Reales!DV80)/DV$10,0),N(Reales!DV80)),DV$227*IF(DV$8=1,N(vg_DSO),V_DSO)/DiasMes))</f>
        <v>3031156.2242397242</v>
      </c>
      <c r="DW265" s="48">
        <f>IF(122&gt;Fin,DV$265,IF(AND(DW$8=1,ISNUMBER(Reales!DW80)),IF(Reales!$C$80="PYG",IF(DW$10&gt;0,N(Reales!DW80)/DW$10,0),N(Reales!DW80)),DW$227*IF(DW$8=1,N(vg_DSO),V_DSO)/DiasMes))</f>
        <v>3031156.2242397242</v>
      </c>
      <c r="DX265" s="48">
        <f>IF(123&gt;Fin,DW$265,IF(AND(DX$8=1,ISNUMBER(Reales!DX80)),IF(Reales!$C$80="PYG",IF(DX$10&gt;0,N(Reales!DX80)/DX$10,0),N(Reales!DX80)),DX$227*IF(DX$8=1,N(vg_DSO),V_DSO)/DiasMes))</f>
        <v>3031156.2242397242</v>
      </c>
      <c r="DY265" s="48">
        <f>IF(124&gt;Fin,DX$265,IF(AND(DY$8=1,ISNUMBER(Reales!DY80)),IF(Reales!$C$80="PYG",IF(DY$10&gt;0,N(Reales!DY80)/DY$10,0),N(Reales!DY80)),DY$227*IF(DY$8=1,N(vg_DSO),V_DSO)/DiasMes))</f>
        <v>3031156.2242397242</v>
      </c>
      <c r="DZ265" s="48">
        <f>IF(125&gt;Fin,DY$265,IF(AND(DZ$8=1,ISNUMBER(Reales!DZ80)),IF(Reales!$C$80="PYG",IF(DZ$10&gt;0,N(Reales!DZ80)/DZ$10,0),N(Reales!DZ80)),DZ$227*IF(DZ$8=1,N(vg_DSO),V_DSO)/DiasMes))</f>
        <v>3031156.2242397242</v>
      </c>
      <c r="EA265" s="48">
        <f>IF(126&gt;Fin,DZ$265,IF(AND(EA$8=1,ISNUMBER(Reales!EA80)),IF(Reales!$C$80="PYG",IF(EA$10&gt;0,N(Reales!EA80)/EA$10,0),N(Reales!EA80)),EA$227*IF(EA$8=1,N(vg_DSO),V_DSO)/DiasMes))</f>
        <v>3031156.2242397242</v>
      </c>
      <c r="EB265" s="48">
        <f>IF(127&gt;Fin,EA$265,IF(AND(EB$8=1,ISNUMBER(Reales!EB80)),IF(Reales!$C$80="PYG",IF(EB$10&gt;0,N(Reales!EB80)/EB$10,0),N(Reales!EB80)),EB$227*IF(EB$8=1,N(vg_DSO),V_DSO)/DiasMes))</f>
        <v>3031156.2242397242</v>
      </c>
      <c r="EC265" s="48">
        <f>IF(128&gt;Fin,EB$265,IF(AND(EC$8=1,ISNUMBER(Reales!EC80)),IF(Reales!$C$80="PYG",IF(EC$10&gt;0,N(Reales!EC80)/EC$10,0),N(Reales!EC80)),EC$227*IF(EC$8=1,N(vg_DSO),V_DSO)/DiasMes))</f>
        <v>3031156.2242397242</v>
      </c>
      <c r="ED265" s="48">
        <f>IF(129&gt;Fin,EC$265,IF(AND(ED$8=1,ISNUMBER(Reales!ED80)),IF(Reales!$C$80="PYG",IF(ED$10&gt;0,N(Reales!ED80)/ED$10,0),N(Reales!ED80)),ED$227*IF(ED$8=1,N(vg_DSO),V_DSO)/DiasMes))</f>
        <v>3031156.2242397242</v>
      </c>
      <c r="EE265" s="48">
        <f>IF(130&gt;Fin,ED$265,IF(AND(EE$8=1,ISNUMBER(Reales!EE80)),IF(Reales!$C$80="PYG",IF(EE$10&gt;0,N(Reales!EE80)/EE$10,0),N(Reales!EE80)),EE$227*IF(EE$8=1,N(vg_DSO),V_DSO)/DiasMes))</f>
        <v>3031156.2242397242</v>
      </c>
      <c r="EF265" s="48">
        <f>IF(131&gt;Fin,EE$265,IF(AND(EF$8=1,ISNUMBER(Reales!EF80)),IF(Reales!$C$80="PYG",IF(EF$10&gt;0,N(Reales!EF80)/EF$10,0),N(Reales!EF80)),EF$227*IF(EF$8=1,N(vg_DSO),V_DSO)/DiasMes))</f>
        <v>3031156.2242397242</v>
      </c>
      <c r="EG265" s="48">
        <f>IF(132&gt;Fin,EF$265,IF(AND(EG$8=1,ISNUMBER(Reales!EG80)),IF(Reales!$C$80="PYG",IF(EG$10&gt;0,N(Reales!EG80)/EG$10,0),N(Reales!EG80)),EG$227*IF(EG$8=1,N(vg_DSO),V_DSO)/DiasMes))</f>
        <v>3031156.2242397242</v>
      </c>
      <c r="EH265" s="48">
        <f>IF(133&gt;Fin,EG$265,IF(AND(EH$8=1,ISNUMBER(Reales!EH80)),IF(Reales!$C$80="PYG",IF(EH$10&gt;0,N(Reales!EH80)/EH$10,0),N(Reales!EH80)),EH$227*IF(EH$8=1,N(vg_DSO),V_DSO)/DiasMes))</f>
        <v>3031156.2242397242</v>
      </c>
      <c r="EI265" s="48">
        <f>IF(134&gt;Fin,EH$265,IF(AND(EI$8=1,ISNUMBER(Reales!EI80)),IF(Reales!$C$80="PYG",IF(EI$10&gt;0,N(Reales!EI80)/EI$10,0),N(Reales!EI80)),EI$227*IF(EI$8=1,N(vg_DSO),V_DSO)/DiasMes))</f>
        <v>3031156.2242397242</v>
      </c>
      <c r="EJ265" s="48">
        <f>IF(135&gt;Fin,EI$265,IF(AND(EJ$8=1,ISNUMBER(Reales!EJ80)),IF(Reales!$C$80="PYG",IF(EJ$10&gt;0,N(Reales!EJ80)/EJ$10,0),N(Reales!EJ80)),EJ$227*IF(EJ$8=1,N(vg_DSO),V_DSO)/DiasMes))</f>
        <v>3031156.2242397242</v>
      </c>
      <c r="EK265" s="48">
        <f>IF(136&gt;Fin,EJ$265,IF(AND(EK$8=1,ISNUMBER(Reales!EK80)),IF(Reales!$C$80="PYG",IF(EK$10&gt;0,N(Reales!EK80)/EK$10,0),N(Reales!EK80)),EK$227*IF(EK$8=1,N(vg_DSO),V_DSO)/DiasMes))</f>
        <v>3031156.2242397242</v>
      </c>
      <c r="EL265" s="48">
        <f>IF(137&gt;Fin,EK$265,IF(AND(EL$8=1,ISNUMBER(Reales!EL80)),IF(Reales!$C$80="PYG",IF(EL$10&gt;0,N(Reales!EL80)/EL$10,0),N(Reales!EL80)),EL$227*IF(EL$8=1,N(vg_DSO),V_DSO)/DiasMes))</f>
        <v>3031156.2242397242</v>
      </c>
      <c r="EM265" s="48">
        <f>IF(138&gt;Fin,EL$265,IF(AND(EM$8=1,ISNUMBER(Reales!EM80)),IF(Reales!$C$80="PYG",IF(EM$10&gt;0,N(Reales!EM80)/EM$10,0),N(Reales!EM80)),EM$227*IF(EM$8=1,N(vg_DSO),V_DSO)/DiasMes))</f>
        <v>3031156.2242397242</v>
      </c>
      <c r="EN265" s="48">
        <f>IF(139&gt;Fin,EM$265,IF(AND(EN$8=1,ISNUMBER(Reales!EN80)),IF(Reales!$C$80="PYG",IF(EN$10&gt;0,N(Reales!EN80)/EN$10,0),N(Reales!EN80)),EN$227*IF(EN$8=1,N(vg_DSO),V_DSO)/DiasMes))</f>
        <v>3031156.2242397242</v>
      </c>
      <c r="EO265" s="48">
        <f>IF(140&gt;Fin,EN$265,IF(AND(EO$8=1,ISNUMBER(Reales!EO80)),IF(Reales!$C$80="PYG",IF(EO$10&gt;0,N(Reales!EO80)/EO$10,0),N(Reales!EO80)),EO$227*IF(EO$8=1,N(vg_DSO),V_DSO)/DiasMes))</f>
        <v>3031156.2242397242</v>
      </c>
      <c r="EP265" s="48">
        <f>IF(141&gt;Fin,EO$265,IF(AND(EP$8=1,ISNUMBER(Reales!EP80)),IF(Reales!$C$80="PYG",IF(EP$10&gt;0,N(Reales!EP80)/EP$10,0),N(Reales!EP80)),EP$227*IF(EP$8=1,N(vg_DSO),V_DSO)/DiasMes))</f>
        <v>3031156.2242397242</v>
      </c>
      <c r="EQ265" s="48">
        <f>IF(142&gt;Fin,EP$265,IF(AND(EQ$8=1,ISNUMBER(Reales!EQ80)),IF(Reales!$C$80="PYG",IF(EQ$10&gt;0,N(Reales!EQ80)/EQ$10,0),N(Reales!EQ80)),EQ$227*IF(EQ$8=1,N(vg_DSO),V_DSO)/DiasMes))</f>
        <v>3031156.2242397242</v>
      </c>
      <c r="ER265" s="48">
        <f>IF(143&gt;Fin,EQ$265,IF(AND(ER$8=1,ISNUMBER(Reales!ER80)),IF(Reales!$C$80="PYG",IF(ER$10&gt;0,N(Reales!ER80)/ER$10,0),N(Reales!ER80)),ER$227*IF(ER$8=1,N(vg_DSO),V_DSO)/DiasMes))</f>
        <v>3031156.2242397242</v>
      </c>
      <c r="ES265" s="48">
        <f>IF(144&gt;Fin,ER$265,IF(AND(ES$8=1,ISNUMBER(Reales!ES80)),IF(Reales!$C$80="PYG",IF(ES$10&gt;0,N(Reales!ES80)/ES$10,0),N(Reales!ES80)),ES$227*IF(ES$8=1,N(vg_DSO),V_DSO)/DiasMes))</f>
        <v>3031156.2242397242</v>
      </c>
    </row>
    <row r="266" spans="1:149" x14ac:dyDescent="0.3">
      <c r="A266" s="14" t="s">
        <v>1318</v>
      </c>
      <c r="B266" s="18" t="s">
        <v>963</v>
      </c>
      <c r="C266" s="18" t="s">
        <v>439</v>
      </c>
      <c r="E266" s="54">
        <f>INDEX(F266:ES266,1,MIN(144,Fin))</f>
        <v>1626937.9875055414</v>
      </c>
      <c r="F266" s="48">
        <f>IF(1&gt;Fin,0,IF(AND(F$8=1,ISNUMBER(Reales!F81)),IF(Reales!$C$81="PYG",IF(F$10&gt;0,N(Reales!F81)/F$10,0),N(Reales!F81)),F$249*IF(F$8=1,N(vg_DInv),V_DInv)/DiasMes+(F$249+F$250+F$251+F$252)*V_DPT/DiasMes))</f>
        <v>892648.83201483311</v>
      </c>
      <c r="G266" s="48">
        <f>IF(2&gt;Fin,F$266,IF(AND(G$8=1,ISNUMBER(Reales!G81)),IF(Reales!$C$81="PYG",IF(G$10&gt;0,N(Reales!G81)/G$10,0),N(Reales!G81)),G$249*IF(G$8=1,N(vg_DInv),V_DInv)/DiasMes+(G$249+G$250+G$251+G$252)*V_DPT/DiasMes))</f>
        <v>892648.83201483311</v>
      </c>
      <c r="H266" s="48">
        <f>IF(3&gt;Fin,G$266,IF(AND(H$8=1,ISNUMBER(Reales!H81)),IF(Reales!$C$81="PYG",IF(H$10&gt;0,N(Reales!H81)/H$10,0),N(Reales!H81)),H$249*IF(H$8=1,N(vg_DInv),V_DInv)/DiasMes+(H$249+H$250+H$251+H$252)*V_DPT/DiasMes))</f>
        <v>892648.83201483311</v>
      </c>
      <c r="I266" s="48">
        <f>IF(4&gt;Fin,H$266,IF(AND(I$8=1,ISNUMBER(Reales!I81)),IF(Reales!$C$81="PYG",IF(I$10&gt;0,N(Reales!I81)/I$10,0),N(Reales!I81)),I$249*IF(I$8=1,N(vg_DInv),V_DInv)/DiasMes+(I$249+I$250+I$251+I$252)*V_DPT/DiasMes))</f>
        <v>892648.83201483311</v>
      </c>
      <c r="J266" s="48">
        <f>IF(5&gt;Fin,I$266,IF(AND(J$8=1,ISNUMBER(Reales!J81)),IF(Reales!$C$81="PYG",IF(J$10&gt;0,N(Reales!J81)/J$10,0),N(Reales!J81)),J$249*IF(J$8=1,N(vg_DInv),V_DInv)/DiasMes+(J$249+J$250+J$251+J$252)*V_DPT/DiasMes))</f>
        <v>892648.83201483311</v>
      </c>
      <c r="K266" s="48">
        <f>IF(6&gt;Fin,J$266,IF(AND(K$8=1,ISNUMBER(Reales!K81)),IF(Reales!$C$81="PYG",IF(K$10&gt;0,N(Reales!K81)/K$10,0),N(Reales!K81)),K$249*IF(K$8=1,N(vg_DInv),V_DInv)/DiasMes+(K$249+K$250+K$251+K$252)*V_DPT/DiasMes))</f>
        <v>892648.83201483311</v>
      </c>
      <c r="L266" s="48">
        <f>IF(7&gt;Fin,K$266,IF(AND(L$8=1,ISNUMBER(Reales!L81)),IF(Reales!$C$81="PYG",IF(L$10&gt;0,N(Reales!L81)/L$10,0),N(Reales!L81)),L$249*IF(L$8=1,N(vg_DInv),V_DInv)/DiasMes+(L$249+L$250+L$251+L$252)*V_DPT/DiasMes))</f>
        <v>892648.83201483311</v>
      </c>
      <c r="M266" s="48">
        <f>IF(8&gt;Fin,L$266,IF(AND(M$8=1,ISNUMBER(Reales!M81)),IF(Reales!$C$81="PYG",IF(M$10&gt;0,N(Reales!M81)/M$10,0),N(Reales!M81)),M$249*IF(M$8=1,N(vg_DInv),V_DInv)/DiasMes+(M$249+M$250+M$251+M$252)*V_DPT/DiasMes))</f>
        <v>892648.83201483311</v>
      </c>
      <c r="N266" s="48">
        <f>IF(9&gt;Fin,M$266,IF(AND(N$8=1,ISNUMBER(Reales!N81)),IF(Reales!$C$81="PYG",IF(N$10&gt;0,N(Reales!N81)/N$10,0),N(Reales!N81)),N$249*IF(N$8=1,N(vg_DInv),V_DInv)/DiasMes+(N$249+N$250+N$251+N$252)*V_DPT/DiasMes))</f>
        <v>892648.83201483311</v>
      </c>
      <c r="O266" s="48">
        <f>IF(10&gt;Fin,N$266,IF(AND(O$8=1,ISNUMBER(Reales!O81)),IF(Reales!$C$81="PYG",IF(O$10&gt;0,N(Reales!O81)/O$10,0),N(Reales!O81)),O$249*IF(O$8=1,N(vg_DInv),V_DInv)/DiasMes+(O$249+O$250+O$251+O$252)*V_DPT/DiasMes))</f>
        <v>892648.83201483311</v>
      </c>
      <c r="P266" s="48">
        <f>IF(11&gt;Fin,O$266,IF(AND(P$8=1,ISNUMBER(Reales!P81)),IF(Reales!$C$81="PYG",IF(P$10&gt;0,N(Reales!P81)/P$10,0),N(Reales!P81)),P$249*IF(P$8=1,N(vg_DInv),V_DInv)/DiasMes+(P$249+P$250+P$251+P$252)*V_DPT/DiasMes))</f>
        <v>892648.83201483311</v>
      </c>
      <c r="Q266" s="48">
        <f>IF(12&gt;Fin,P$266,IF(AND(Q$8=1,ISNUMBER(Reales!Q81)),IF(Reales!$C$81="PYG",IF(Q$10&gt;0,N(Reales!Q81)/Q$10,0),N(Reales!Q81)),Q$249*IF(Q$8=1,N(vg_DInv),V_DInv)/DiasMes+(Q$249+Q$250+Q$251+Q$252)*V_DPT/DiasMes))</f>
        <v>892648.83201483311</v>
      </c>
      <c r="R266" s="48">
        <f>IF(13&gt;Fin,Q$266,IF(AND(R$8=1,ISNUMBER(Reales!R81)),IF(Reales!$C$81="PYG",IF(R$10&gt;0,N(Reales!R81)/R$10,0),N(Reales!R81)),R$249*IF(R$8=1,N(vg_DInv),V_DInv)/DiasMes+(R$249+R$250+R$251+R$252)*V_DPT/DiasMes))</f>
        <v>1128877.2903649563</v>
      </c>
      <c r="S266" s="48">
        <f>IF(14&gt;Fin,R$266,IF(AND(S$8=1,ISNUMBER(Reales!S81)),IF(Reales!$C$81="PYG",IF(S$10&gt;0,N(Reales!S81)/S$10,0),N(Reales!S81)),S$249*IF(S$8=1,N(vg_DInv),V_DInv)/DiasMes+(S$249+S$250+S$251+S$252)*V_DPT/DiasMes))</f>
        <v>1128877.2903649563</v>
      </c>
      <c r="T266" s="48">
        <f>IF(15&gt;Fin,S$266,IF(AND(T$8=1,ISNUMBER(Reales!T81)),IF(Reales!$C$81="PYG",IF(T$10&gt;0,N(Reales!T81)/T$10,0),N(Reales!T81)),T$249*IF(T$8=1,N(vg_DInv),V_DInv)/DiasMes+(T$249+T$250+T$251+T$252)*V_DPT/DiasMes))</f>
        <v>1128877.2903649563</v>
      </c>
      <c r="U266" s="48">
        <f>IF(16&gt;Fin,T$266,IF(AND(U$8=1,ISNUMBER(Reales!U81)),IF(Reales!$C$81="PYG",IF(U$10&gt;0,N(Reales!U81)/U$10,0),N(Reales!U81)),U$249*IF(U$8=1,N(vg_DInv),V_DInv)/DiasMes+(U$249+U$250+U$251+U$252)*V_DPT/DiasMes))</f>
        <v>1128877.2903649563</v>
      </c>
      <c r="V266" s="48">
        <f>IF(17&gt;Fin,U$266,IF(AND(V$8=1,ISNUMBER(Reales!V81)),IF(Reales!$C$81="PYG",IF(V$10&gt;0,N(Reales!V81)/V$10,0),N(Reales!V81)),V$249*IF(V$8=1,N(vg_DInv),V_DInv)/DiasMes+(V$249+V$250+V$251+V$252)*V_DPT/DiasMes))</f>
        <v>1128877.2903649563</v>
      </c>
      <c r="W266" s="48">
        <f>IF(18&gt;Fin,V$266,IF(AND(W$8=1,ISNUMBER(Reales!W81)),IF(Reales!$C$81="PYG",IF(W$10&gt;0,N(Reales!W81)/W$10,0),N(Reales!W81)),W$249*IF(W$8=1,N(vg_DInv),V_DInv)/DiasMes+(W$249+W$250+W$251+W$252)*V_DPT/DiasMes))</f>
        <v>1128877.2903649563</v>
      </c>
      <c r="X266" s="48">
        <f>IF(19&gt;Fin,W$266,IF(AND(X$8=1,ISNUMBER(Reales!X81)),IF(Reales!$C$81="PYG",IF(X$10&gt;0,N(Reales!X81)/X$10,0),N(Reales!X81)),X$249*IF(X$8=1,N(vg_DInv),V_DInv)/DiasMes+(X$249+X$250+X$251+X$252)*V_DPT/DiasMes))</f>
        <v>1128877.2903649563</v>
      </c>
      <c r="Y266" s="48">
        <f>IF(20&gt;Fin,X$266,IF(AND(Y$8=1,ISNUMBER(Reales!Y81)),IF(Reales!$C$81="PYG",IF(Y$10&gt;0,N(Reales!Y81)/Y$10,0),N(Reales!Y81)),Y$249*IF(Y$8=1,N(vg_DInv),V_DInv)/DiasMes+(Y$249+Y$250+Y$251+Y$252)*V_DPT/DiasMes))</f>
        <v>1128877.2903649563</v>
      </c>
      <c r="Z266" s="48">
        <f>IF(21&gt;Fin,Y$266,IF(AND(Z$8=1,ISNUMBER(Reales!Z81)),IF(Reales!$C$81="PYG",IF(Z$10&gt;0,N(Reales!Z81)/Z$10,0),N(Reales!Z81)),Z$249*IF(Z$8=1,N(vg_DInv),V_DInv)/DiasMes+(Z$249+Z$250+Z$251+Z$252)*V_DPT/DiasMes))</f>
        <v>1128877.2903649563</v>
      </c>
      <c r="AA266" s="48">
        <f>IF(22&gt;Fin,Z$266,IF(AND(AA$8=1,ISNUMBER(Reales!AA81)),IF(Reales!$C$81="PYG",IF(AA$10&gt;0,N(Reales!AA81)/AA$10,0),N(Reales!AA81)),AA$249*IF(AA$8=1,N(vg_DInv),V_DInv)/DiasMes+(AA$249+AA$250+AA$251+AA$252)*V_DPT/DiasMes))</f>
        <v>1128877.2903649563</v>
      </c>
      <c r="AB266" s="48">
        <f>IF(23&gt;Fin,AA$266,IF(AND(AB$8=1,ISNUMBER(Reales!AB81)),IF(Reales!$C$81="PYG",IF(AB$10&gt;0,N(Reales!AB81)/AB$10,0),N(Reales!AB81)),AB$249*IF(AB$8=1,N(vg_DInv),V_DInv)/DiasMes+(AB$249+AB$250+AB$251+AB$252)*V_DPT/DiasMes))</f>
        <v>1128877.2903649563</v>
      </c>
      <c r="AC266" s="48">
        <f>IF(24&gt;Fin,AB$266,IF(AND(AC$8=1,ISNUMBER(Reales!AC81)),IF(Reales!$C$81="PYG",IF(AC$10&gt;0,N(Reales!AC81)/AC$10,0),N(Reales!AC81)),AC$249*IF(AC$8=1,N(vg_DInv),V_DInv)/DiasMes+(AC$249+AC$250+AC$251+AC$252)*V_DPT/DiasMes))</f>
        <v>1128877.2903649563</v>
      </c>
      <c r="AD266" s="48">
        <f>IF(25&gt;Fin,AC$266,IF(AND(AD$8=1,ISNUMBER(Reales!AD81)),IF(Reales!$C$81="PYG",IF(AD$10&gt;0,N(Reales!AD81)/AD$10,0),N(Reales!AD81)),AD$249*IF(AD$8=1,N(vg_DInv),V_DInv)/DiasMes+(AD$249+AD$250+AD$251+AD$252)*V_DPT/DiasMes))</f>
        <v>1368953.6460456708</v>
      </c>
      <c r="AE266" s="48">
        <f>IF(26&gt;Fin,AD$266,IF(AND(AE$8=1,ISNUMBER(Reales!AE81)),IF(Reales!$C$81="PYG",IF(AE$10&gt;0,N(Reales!AE81)/AE$10,0),N(Reales!AE81)),AE$249*IF(AE$8=1,N(vg_DInv),V_DInv)/DiasMes+(AE$249+AE$250+AE$251+AE$252)*V_DPT/DiasMes))</f>
        <v>1368953.6460456708</v>
      </c>
      <c r="AF266" s="48">
        <f>IF(27&gt;Fin,AE$266,IF(AND(AF$8=1,ISNUMBER(Reales!AF81)),IF(Reales!$C$81="PYG",IF(AF$10&gt;0,N(Reales!AF81)/AF$10,0),N(Reales!AF81)),AF$249*IF(AF$8=1,N(vg_DInv),V_DInv)/DiasMes+(AF$249+AF$250+AF$251+AF$252)*V_DPT/DiasMes))</f>
        <v>1368953.6460456708</v>
      </c>
      <c r="AG266" s="48">
        <f>IF(28&gt;Fin,AF$266,IF(AND(AG$8=1,ISNUMBER(Reales!AG81)),IF(Reales!$C$81="PYG",IF(AG$10&gt;0,N(Reales!AG81)/AG$10,0),N(Reales!AG81)),AG$249*IF(AG$8=1,N(vg_DInv),V_DInv)/DiasMes+(AG$249+AG$250+AG$251+AG$252)*V_DPT/DiasMes))</f>
        <v>1368953.6460456708</v>
      </c>
      <c r="AH266" s="48">
        <f>IF(29&gt;Fin,AG$266,IF(AND(AH$8=1,ISNUMBER(Reales!AH81)),IF(Reales!$C$81="PYG",IF(AH$10&gt;0,N(Reales!AH81)/AH$10,0),N(Reales!AH81)),AH$249*IF(AH$8=1,N(vg_DInv),V_DInv)/DiasMes+(AH$249+AH$250+AH$251+AH$252)*V_DPT/DiasMes))</f>
        <v>1368953.6460456708</v>
      </c>
      <c r="AI266" s="48">
        <f>IF(30&gt;Fin,AH$266,IF(AND(AI$8=1,ISNUMBER(Reales!AI81)),IF(Reales!$C$81="PYG",IF(AI$10&gt;0,N(Reales!AI81)/AI$10,0),N(Reales!AI81)),AI$249*IF(AI$8=1,N(vg_DInv),V_DInv)/DiasMes+(AI$249+AI$250+AI$251+AI$252)*V_DPT/DiasMes))</f>
        <v>1368953.6460456708</v>
      </c>
      <c r="AJ266" s="48">
        <f>IF(31&gt;Fin,AI$266,IF(AND(AJ$8=1,ISNUMBER(Reales!AJ81)),IF(Reales!$C$81="PYG",IF(AJ$10&gt;0,N(Reales!AJ81)/AJ$10,0),N(Reales!AJ81)),AJ$249*IF(AJ$8=1,N(vg_DInv),V_DInv)/DiasMes+(AJ$249+AJ$250+AJ$251+AJ$252)*V_DPT/DiasMes))</f>
        <v>1368953.6460456708</v>
      </c>
      <c r="AK266" s="48">
        <f>IF(32&gt;Fin,AJ$266,IF(AND(AK$8=1,ISNUMBER(Reales!AK81)),IF(Reales!$C$81="PYG",IF(AK$10&gt;0,N(Reales!AK81)/AK$10,0),N(Reales!AK81)),AK$249*IF(AK$8=1,N(vg_DInv),V_DInv)/DiasMes+(AK$249+AK$250+AK$251+AK$252)*V_DPT/DiasMes))</f>
        <v>1368953.6460456708</v>
      </c>
      <c r="AL266" s="48">
        <f>IF(33&gt;Fin,AK$266,IF(AND(AL$8=1,ISNUMBER(Reales!AL81)),IF(Reales!$C$81="PYG",IF(AL$10&gt;0,N(Reales!AL81)/AL$10,0),N(Reales!AL81)),AL$249*IF(AL$8=1,N(vg_DInv),V_DInv)/DiasMes+(AL$249+AL$250+AL$251+AL$252)*V_DPT/DiasMes))</f>
        <v>1368953.6460456708</v>
      </c>
      <c r="AM266" s="48">
        <f>IF(34&gt;Fin,AL$266,IF(AND(AM$8=1,ISNUMBER(Reales!AM81)),IF(Reales!$C$81="PYG",IF(AM$10&gt;0,N(Reales!AM81)/AM$10,0),N(Reales!AM81)),AM$249*IF(AM$8=1,N(vg_DInv),V_DInv)/DiasMes+(AM$249+AM$250+AM$251+AM$252)*V_DPT/DiasMes))</f>
        <v>1368953.6460456708</v>
      </c>
      <c r="AN266" s="48">
        <f>IF(35&gt;Fin,AM$266,IF(AND(AN$8=1,ISNUMBER(Reales!AN81)),IF(Reales!$C$81="PYG",IF(AN$10&gt;0,N(Reales!AN81)/AN$10,0),N(Reales!AN81)),AN$249*IF(AN$8=1,N(vg_DInv),V_DInv)/DiasMes+(AN$249+AN$250+AN$251+AN$252)*V_DPT/DiasMes))</f>
        <v>1368953.6460456708</v>
      </c>
      <c r="AO266" s="48">
        <f>IF(36&gt;Fin,AN$266,IF(AND(AO$8=1,ISNUMBER(Reales!AO81)),IF(Reales!$C$81="PYG",IF(AO$10&gt;0,N(Reales!AO81)/AO$10,0),N(Reales!AO81)),AO$249*IF(AO$8=1,N(vg_DInv),V_DInv)/DiasMes+(AO$249+AO$250+AO$251+AO$252)*V_DPT/DiasMes))</f>
        <v>1368953.6460456708</v>
      </c>
      <c r="AP266" s="48">
        <f>IF(37&gt;Fin,AO$266,IF(AND(AP$8=1,ISNUMBER(Reales!AP81)),IF(Reales!$C$81="PYG",IF(AP$10&gt;0,N(Reales!AP81)/AP$10,0),N(Reales!AP81)),AP$249*IF(AP$8=1,N(vg_DInv),V_DInv)/DiasMes+(AP$249+AP$250+AP$251+AP$252)*V_DPT/DiasMes))</f>
        <v>1566231.6797149091</v>
      </c>
      <c r="AQ266" s="48">
        <f>IF(38&gt;Fin,AP$266,IF(AND(AQ$8=1,ISNUMBER(Reales!AQ81)),IF(Reales!$C$81="PYG",IF(AQ$10&gt;0,N(Reales!AQ81)/AQ$10,0),N(Reales!AQ81)),AQ$249*IF(AQ$8=1,N(vg_DInv),V_DInv)/DiasMes+(AQ$249+AQ$250+AQ$251+AQ$252)*V_DPT/DiasMes))</f>
        <v>1566231.6797149091</v>
      </c>
      <c r="AR266" s="48">
        <f>IF(39&gt;Fin,AQ$266,IF(AND(AR$8=1,ISNUMBER(Reales!AR81)),IF(Reales!$C$81="PYG",IF(AR$10&gt;0,N(Reales!AR81)/AR$10,0),N(Reales!AR81)),AR$249*IF(AR$8=1,N(vg_DInv),V_DInv)/DiasMes+(AR$249+AR$250+AR$251+AR$252)*V_DPT/DiasMes))</f>
        <v>1566231.6797149091</v>
      </c>
      <c r="AS266" s="48">
        <f>IF(40&gt;Fin,AR$266,IF(AND(AS$8=1,ISNUMBER(Reales!AS81)),IF(Reales!$C$81="PYG",IF(AS$10&gt;0,N(Reales!AS81)/AS$10,0),N(Reales!AS81)),AS$249*IF(AS$8=1,N(vg_DInv),V_DInv)/DiasMes+(AS$249+AS$250+AS$251+AS$252)*V_DPT/DiasMes))</f>
        <v>1566231.6797149091</v>
      </c>
      <c r="AT266" s="48">
        <f>IF(41&gt;Fin,AS$266,IF(AND(AT$8=1,ISNUMBER(Reales!AT81)),IF(Reales!$C$81="PYG",IF(AT$10&gt;0,N(Reales!AT81)/AT$10,0),N(Reales!AT81)),AT$249*IF(AT$8=1,N(vg_DInv),V_DInv)/DiasMes+(AT$249+AT$250+AT$251+AT$252)*V_DPT/DiasMes))</f>
        <v>1566231.6797149091</v>
      </c>
      <c r="AU266" s="48">
        <f>IF(42&gt;Fin,AT$266,IF(AND(AU$8=1,ISNUMBER(Reales!AU81)),IF(Reales!$C$81="PYG",IF(AU$10&gt;0,N(Reales!AU81)/AU$10,0),N(Reales!AU81)),AU$249*IF(AU$8=1,N(vg_DInv),V_DInv)/DiasMes+(AU$249+AU$250+AU$251+AU$252)*V_DPT/DiasMes))</f>
        <v>1566231.6797149091</v>
      </c>
      <c r="AV266" s="48">
        <f>IF(43&gt;Fin,AU$266,IF(AND(AV$8=1,ISNUMBER(Reales!AV81)),IF(Reales!$C$81="PYG",IF(AV$10&gt;0,N(Reales!AV81)/AV$10,0),N(Reales!AV81)),AV$249*IF(AV$8=1,N(vg_DInv),V_DInv)/DiasMes+(AV$249+AV$250+AV$251+AV$252)*V_DPT/DiasMes))</f>
        <v>1566231.6797149091</v>
      </c>
      <c r="AW266" s="48">
        <f>IF(44&gt;Fin,AV$266,IF(AND(AW$8=1,ISNUMBER(Reales!AW81)),IF(Reales!$C$81="PYG",IF(AW$10&gt;0,N(Reales!AW81)/AW$10,0),N(Reales!AW81)),AW$249*IF(AW$8=1,N(vg_DInv),V_DInv)/DiasMes+(AW$249+AW$250+AW$251+AW$252)*V_DPT/DiasMes))</f>
        <v>1566231.6797149091</v>
      </c>
      <c r="AX266" s="48">
        <f>IF(45&gt;Fin,AW$266,IF(AND(AX$8=1,ISNUMBER(Reales!AX81)),IF(Reales!$C$81="PYG",IF(AX$10&gt;0,N(Reales!AX81)/AX$10,0),N(Reales!AX81)),AX$249*IF(AX$8=1,N(vg_DInv),V_DInv)/DiasMes+(AX$249+AX$250+AX$251+AX$252)*V_DPT/DiasMes))</f>
        <v>1566231.6797149091</v>
      </c>
      <c r="AY266" s="48">
        <f>IF(46&gt;Fin,AX$266,IF(AND(AY$8=1,ISNUMBER(Reales!AY81)),IF(Reales!$C$81="PYG",IF(AY$10&gt;0,N(Reales!AY81)/AY$10,0),N(Reales!AY81)),AY$249*IF(AY$8=1,N(vg_DInv),V_DInv)/DiasMes+(AY$249+AY$250+AY$251+AY$252)*V_DPT/DiasMes))</f>
        <v>1566231.6797149091</v>
      </c>
      <c r="AZ266" s="48">
        <f>IF(47&gt;Fin,AY$266,IF(AND(AZ$8=1,ISNUMBER(Reales!AZ81)),IF(Reales!$C$81="PYG",IF(AZ$10&gt;0,N(Reales!AZ81)/AZ$10,0),N(Reales!AZ81)),AZ$249*IF(AZ$8=1,N(vg_DInv),V_DInv)/DiasMes+(AZ$249+AZ$250+AZ$251+AZ$252)*V_DPT/DiasMes))</f>
        <v>1566231.6797149091</v>
      </c>
      <c r="BA266" s="48">
        <f>IF(48&gt;Fin,AZ$266,IF(AND(BA$8=1,ISNUMBER(Reales!BA81)),IF(Reales!$C$81="PYG",IF(BA$10&gt;0,N(Reales!BA81)/BA$10,0),N(Reales!BA81)),BA$249*IF(BA$8=1,N(vg_DInv),V_DInv)/DiasMes+(BA$249+BA$250+BA$251+BA$252)*V_DPT/DiasMes))</f>
        <v>1566231.6797149091</v>
      </c>
      <c r="BB266" s="48">
        <f>IF(49&gt;Fin,BA$266,IF(AND(BB$8=1,ISNUMBER(Reales!BB81)),IF(Reales!$C$81="PYG",IF(BB$10&gt;0,N(Reales!BB81)/BB$10,0),N(Reales!BB81)),BB$249*IF(BB$8=1,N(vg_DInv),V_DInv)/DiasMes+(BB$249+BB$250+BB$251+BB$252)*V_DPT/DiasMes))</f>
        <v>1576853.1357856197</v>
      </c>
      <c r="BC266" s="48">
        <f>IF(50&gt;Fin,BB$266,IF(AND(BC$8=1,ISNUMBER(Reales!BC81)),IF(Reales!$C$81="PYG",IF(BC$10&gt;0,N(Reales!BC81)/BC$10,0),N(Reales!BC81)),BC$249*IF(BC$8=1,N(vg_DInv),V_DInv)/DiasMes+(BC$249+BC$250+BC$251+BC$252)*V_DPT/DiasMes))</f>
        <v>1576853.1357856197</v>
      </c>
      <c r="BD266" s="48">
        <f>IF(51&gt;Fin,BC$266,IF(AND(BD$8=1,ISNUMBER(Reales!BD81)),IF(Reales!$C$81="PYG",IF(BD$10&gt;0,N(Reales!BD81)/BD$10,0),N(Reales!BD81)),BD$249*IF(BD$8=1,N(vg_DInv),V_DInv)/DiasMes+(BD$249+BD$250+BD$251+BD$252)*V_DPT/DiasMes))</f>
        <v>1576853.1357856197</v>
      </c>
      <c r="BE266" s="48">
        <f>IF(52&gt;Fin,BD$266,IF(AND(BE$8=1,ISNUMBER(Reales!BE81)),IF(Reales!$C$81="PYG",IF(BE$10&gt;0,N(Reales!BE81)/BE$10,0),N(Reales!BE81)),BE$249*IF(BE$8=1,N(vg_DInv),V_DInv)/DiasMes+(BE$249+BE$250+BE$251+BE$252)*V_DPT/DiasMes))</f>
        <v>1576853.1357856197</v>
      </c>
      <c r="BF266" s="48">
        <f>IF(53&gt;Fin,BE$266,IF(AND(BF$8=1,ISNUMBER(Reales!BF81)),IF(Reales!$C$81="PYG",IF(BF$10&gt;0,N(Reales!BF81)/BF$10,0),N(Reales!BF81)),BF$249*IF(BF$8=1,N(vg_DInv),V_DInv)/DiasMes+(BF$249+BF$250+BF$251+BF$252)*V_DPT/DiasMes))</f>
        <v>1576853.1357856197</v>
      </c>
      <c r="BG266" s="48">
        <f>IF(54&gt;Fin,BF$266,IF(AND(BG$8=1,ISNUMBER(Reales!BG81)),IF(Reales!$C$81="PYG",IF(BG$10&gt;0,N(Reales!BG81)/BG$10,0),N(Reales!BG81)),BG$249*IF(BG$8=1,N(vg_DInv),V_DInv)/DiasMes+(BG$249+BG$250+BG$251+BG$252)*V_DPT/DiasMes))</f>
        <v>1576853.1357856197</v>
      </c>
      <c r="BH266" s="48">
        <f>IF(55&gt;Fin,BG$266,IF(AND(BH$8=1,ISNUMBER(Reales!BH81)),IF(Reales!$C$81="PYG",IF(BH$10&gt;0,N(Reales!BH81)/BH$10,0),N(Reales!BH81)),BH$249*IF(BH$8=1,N(vg_DInv),V_DInv)/DiasMes+(BH$249+BH$250+BH$251+BH$252)*V_DPT/DiasMes))</f>
        <v>1576853.1357856197</v>
      </c>
      <c r="BI266" s="48">
        <f>IF(56&gt;Fin,BH$266,IF(AND(BI$8=1,ISNUMBER(Reales!BI81)),IF(Reales!$C$81="PYG",IF(BI$10&gt;0,N(Reales!BI81)/BI$10,0),N(Reales!BI81)),BI$249*IF(BI$8=1,N(vg_DInv),V_DInv)/DiasMes+(BI$249+BI$250+BI$251+BI$252)*V_DPT/DiasMes))</f>
        <v>1576853.1357856197</v>
      </c>
      <c r="BJ266" s="48">
        <f>IF(57&gt;Fin,BI$266,IF(AND(BJ$8=1,ISNUMBER(Reales!BJ81)),IF(Reales!$C$81="PYG",IF(BJ$10&gt;0,N(Reales!BJ81)/BJ$10,0),N(Reales!BJ81)),BJ$249*IF(BJ$8=1,N(vg_DInv),V_DInv)/DiasMes+(BJ$249+BJ$250+BJ$251+BJ$252)*V_DPT/DiasMes))</f>
        <v>1576853.1357856197</v>
      </c>
      <c r="BK266" s="48">
        <f>IF(58&gt;Fin,BJ$266,IF(AND(BK$8=1,ISNUMBER(Reales!BK81)),IF(Reales!$C$81="PYG",IF(BK$10&gt;0,N(Reales!BK81)/BK$10,0),N(Reales!BK81)),BK$249*IF(BK$8=1,N(vg_DInv),V_DInv)/DiasMes+(BK$249+BK$250+BK$251+BK$252)*V_DPT/DiasMes))</f>
        <v>1576853.1357856197</v>
      </c>
      <c r="BL266" s="48">
        <f>IF(59&gt;Fin,BK$266,IF(AND(BL$8=1,ISNUMBER(Reales!BL81)),IF(Reales!$C$81="PYG",IF(BL$10&gt;0,N(Reales!BL81)/BL$10,0),N(Reales!BL81)),BL$249*IF(BL$8=1,N(vg_DInv),V_DInv)/DiasMes+(BL$249+BL$250+BL$251+BL$252)*V_DPT/DiasMes))</f>
        <v>1576853.1357856197</v>
      </c>
      <c r="BM266" s="48">
        <f>IF(60&gt;Fin,BL$266,IF(AND(BM$8=1,ISNUMBER(Reales!BM81)),IF(Reales!$C$81="PYG",IF(BM$10&gt;0,N(Reales!BM81)/BM$10,0),N(Reales!BM81)),BM$249*IF(BM$8=1,N(vg_DInv),V_DInv)/DiasMes+(BM$249+BM$250+BM$251+BM$252)*V_DPT/DiasMes))</f>
        <v>1576853.1357856197</v>
      </c>
      <c r="BN266" s="48">
        <f>IF(61&gt;Fin,BM$266,IF(AND(BN$8=1,ISNUMBER(Reales!BN81)),IF(Reales!$C$81="PYG",IF(BN$10&gt;0,N(Reales!BN81)/BN$10,0),N(Reales!BN81)),BN$249*IF(BN$8=1,N(vg_DInv),V_DInv)/DiasMes+(BN$249+BN$250+BN$251+BN$252)*V_DPT/DiasMes))</f>
        <v>1586671.3863739781</v>
      </c>
      <c r="BO266" s="48">
        <f>IF(62&gt;Fin,BN$266,IF(AND(BO$8=1,ISNUMBER(Reales!BO81)),IF(Reales!$C$81="PYG",IF(BO$10&gt;0,N(Reales!BO81)/BO$10,0),N(Reales!BO81)),BO$249*IF(BO$8=1,N(vg_DInv),V_DInv)/DiasMes+(BO$249+BO$250+BO$251+BO$252)*V_DPT/DiasMes))</f>
        <v>1586671.3863739781</v>
      </c>
      <c r="BP266" s="48">
        <f>IF(63&gt;Fin,BO$266,IF(AND(BP$8=1,ISNUMBER(Reales!BP81)),IF(Reales!$C$81="PYG",IF(BP$10&gt;0,N(Reales!BP81)/BP$10,0),N(Reales!BP81)),BP$249*IF(BP$8=1,N(vg_DInv),V_DInv)/DiasMes+(BP$249+BP$250+BP$251+BP$252)*V_DPT/DiasMes))</f>
        <v>1586671.3863739781</v>
      </c>
      <c r="BQ266" s="48">
        <f>IF(64&gt;Fin,BP$266,IF(AND(BQ$8=1,ISNUMBER(Reales!BQ81)),IF(Reales!$C$81="PYG",IF(BQ$10&gt;0,N(Reales!BQ81)/BQ$10,0),N(Reales!BQ81)),BQ$249*IF(BQ$8=1,N(vg_DInv),V_DInv)/DiasMes+(BQ$249+BQ$250+BQ$251+BQ$252)*V_DPT/DiasMes))</f>
        <v>1586671.3863739781</v>
      </c>
      <c r="BR266" s="48">
        <f>IF(65&gt;Fin,BQ$266,IF(AND(BR$8=1,ISNUMBER(Reales!BR81)),IF(Reales!$C$81="PYG",IF(BR$10&gt;0,N(Reales!BR81)/BR$10,0),N(Reales!BR81)),BR$249*IF(BR$8=1,N(vg_DInv),V_DInv)/DiasMes+(BR$249+BR$250+BR$251+BR$252)*V_DPT/DiasMes))</f>
        <v>1586671.3863739781</v>
      </c>
      <c r="BS266" s="48">
        <f>IF(66&gt;Fin,BR$266,IF(AND(BS$8=1,ISNUMBER(Reales!BS81)),IF(Reales!$C$81="PYG",IF(BS$10&gt;0,N(Reales!BS81)/BS$10,0),N(Reales!BS81)),BS$249*IF(BS$8=1,N(vg_DInv),V_DInv)/DiasMes+(BS$249+BS$250+BS$251+BS$252)*V_DPT/DiasMes))</f>
        <v>1586671.3863739781</v>
      </c>
      <c r="BT266" s="48">
        <f>IF(67&gt;Fin,BS$266,IF(AND(BT$8=1,ISNUMBER(Reales!BT81)),IF(Reales!$C$81="PYG",IF(BT$10&gt;0,N(Reales!BT81)/BT$10,0),N(Reales!BT81)),BT$249*IF(BT$8=1,N(vg_DInv),V_DInv)/DiasMes+(BT$249+BT$250+BT$251+BT$252)*V_DPT/DiasMes))</f>
        <v>1586671.3863739781</v>
      </c>
      <c r="BU266" s="48">
        <f>IF(68&gt;Fin,BT$266,IF(AND(BU$8=1,ISNUMBER(Reales!BU81)),IF(Reales!$C$81="PYG",IF(BU$10&gt;0,N(Reales!BU81)/BU$10,0),N(Reales!BU81)),BU$249*IF(BU$8=1,N(vg_DInv),V_DInv)/DiasMes+(BU$249+BU$250+BU$251+BU$252)*V_DPT/DiasMes))</f>
        <v>1586671.3863739781</v>
      </c>
      <c r="BV266" s="48">
        <f>IF(69&gt;Fin,BU$266,IF(AND(BV$8=1,ISNUMBER(Reales!BV81)),IF(Reales!$C$81="PYG",IF(BV$10&gt;0,N(Reales!BV81)/BV$10,0),N(Reales!BV81)),BV$249*IF(BV$8=1,N(vg_DInv),V_DInv)/DiasMes+(BV$249+BV$250+BV$251+BV$252)*V_DPT/DiasMes))</f>
        <v>1586671.3863739781</v>
      </c>
      <c r="BW266" s="48">
        <f>IF(70&gt;Fin,BV$266,IF(AND(BW$8=1,ISNUMBER(Reales!BW81)),IF(Reales!$C$81="PYG",IF(BW$10&gt;0,N(Reales!BW81)/BW$10,0),N(Reales!BW81)),BW$249*IF(BW$8=1,N(vg_DInv),V_DInv)/DiasMes+(BW$249+BW$250+BW$251+BW$252)*V_DPT/DiasMes))</f>
        <v>1586671.3863739781</v>
      </c>
      <c r="BX266" s="48">
        <f>IF(71&gt;Fin,BW$266,IF(AND(BX$8=1,ISNUMBER(Reales!BX81)),IF(Reales!$C$81="PYG",IF(BX$10&gt;0,N(Reales!BX81)/BX$10,0),N(Reales!BX81)),BX$249*IF(BX$8=1,N(vg_DInv),V_DInv)/DiasMes+(BX$249+BX$250+BX$251+BX$252)*V_DPT/DiasMes))</f>
        <v>1586671.3863739781</v>
      </c>
      <c r="BY266" s="48">
        <f>IF(72&gt;Fin,BX$266,IF(AND(BY$8=1,ISNUMBER(Reales!BY81)),IF(Reales!$C$81="PYG",IF(BY$10&gt;0,N(Reales!BY81)/BY$10,0),N(Reales!BY81)),BY$249*IF(BY$8=1,N(vg_DInv),V_DInv)/DiasMes+(BY$249+BY$250+BY$251+BY$252)*V_DPT/DiasMes))</f>
        <v>1586671.3863739781</v>
      </c>
      <c r="BZ266" s="48">
        <f>IF(73&gt;Fin,BY$266,IF(AND(BZ$8=1,ISNUMBER(Reales!BZ81)),IF(Reales!$C$81="PYG",IF(BZ$10&gt;0,N(Reales!BZ81)/BZ$10,0),N(Reales!BZ81)),BZ$249*IF(BZ$8=1,N(vg_DInv),V_DInv)/DiasMes+(BZ$249+BZ$250+BZ$251+BZ$252)*V_DPT/DiasMes))</f>
        <v>1596588.0044807398</v>
      </c>
      <c r="CA266" s="48">
        <f>IF(74&gt;Fin,BZ$266,IF(AND(CA$8=1,ISNUMBER(Reales!CA81)),IF(Reales!$C$81="PYG",IF(CA$10&gt;0,N(Reales!CA81)/CA$10,0),N(Reales!CA81)),CA$249*IF(CA$8=1,N(vg_DInv),V_DInv)/DiasMes+(CA$249+CA$250+CA$251+CA$252)*V_DPT/DiasMes))</f>
        <v>1596588.0044807398</v>
      </c>
      <c r="CB266" s="48">
        <f>IF(75&gt;Fin,CA$266,IF(AND(CB$8=1,ISNUMBER(Reales!CB81)),IF(Reales!$C$81="PYG",IF(CB$10&gt;0,N(Reales!CB81)/CB$10,0),N(Reales!CB81)),CB$249*IF(CB$8=1,N(vg_DInv),V_DInv)/DiasMes+(CB$249+CB$250+CB$251+CB$252)*V_DPT/DiasMes))</f>
        <v>1596588.0044807398</v>
      </c>
      <c r="CC266" s="48">
        <f>IF(76&gt;Fin,CB$266,IF(AND(CC$8=1,ISNUMBER(Reales!CC81)),IF(Reales!$C$81="PYG",IF(CC$10&gt;0,N(Reales!CC81)/CC$10,0),N(Reales!CC81)),CC$249*IF(CC$8=1,N(vg_DInv),V_DInv)/DiasMes+(CC$249+CC$250+CC$251+CC$252)*V_DPT/DiasMes))</f>
        <v>1596588.0044807398</v>
      </c>
      <c r="CD266" s="48">
        <f>IF(77&gt;Fin,CC$266,IF(AND(CD$8=1,ISNUMBER(Reales!CD81)),IF(Reales!$C$81="PYG",IF(CD$10&gt;0,N(Reales!CD81)/CD$10,0),N(Reales!CD81)),CD$249*IF(CD$8=1,N(vg_DInv),V_DInv)/DiasMes+(CD$249+CD$250+CD$251+CD$252)*V_DPT/DiasMes))</f>
        <v>1596588.0044807398</v>
      </c>
      <c r="CE266" s="48">
        <f>IF(78&gt;Fin,CD$266,IF(AND(CE$8=1,ISNUMBER(Reales!CE81)),IF(Reales!$C$81="PYG",IF(CE$10&gt;0,N(Reales!CE81)/CE$10,0),N(Reales!CE81)),CE$249*IF(CE$8=1,N(vg_DInv),V_DInv)/DiasMes+(CE$249+CE$250+CE$251+CE$252)*V_DPT/DiasMes))</f>
        <v>1596588.0044807398</v>
      </c>
      <c r="CF266" s="48">
        <f>IF(79&gt;Fin,CE$266,IF(AND(CF$8=1,ISNUMBER(Reales!CF81)),IF(Reales!$C$81="PYG",IF(CF$10&gt;0,N(Reales!CF81)/CF$10,0),N(Reales!CF81)),CF$249*IF(CF$8=1,N(vg_DInv),V_DInv)/DiasMes+(CF$249+CF$250+CF$251+CF$252)*V_DPT/DiasMes))</f>
        <v>1596588.0044807398</v>
      </c>
      <c r="CG266" s="48">
        <f>IF(80&gt;Fin,CF$266,IF(AND(CG$8=1,ISNUMBER(Reales!CG81)),IF(Reales!$C$81="PYG",IF(CG$10&gt;0,N(Reales!CG81)/CG$10,0),N(Reales!CG81)),CG$249*IF(CG$8=1,N(vg_DInv),V_DInv)/DiasMes+(CG$249+CG$250+CG$251+CG$252)*V_DPT/DiasMes))</f>
        <v>1596588.0044807398</v>
      </c>
      <c r="CH266" s="48">
        <f>IF(81&gt;Fin,CG$266,IF(AND(CH$8=1,ISNUMBER(Reales!CH81)),IF(Reales!$C$81="PYG",IF(CH$10&gt;0,N(Reales!CH81)/CH$10,0),N(Reales!CH81)),CH$249*IF(CH$8=1,N(vg_DInv),V_DInv)/DiasMes+(CH$249+CH$250+CH$251+CH$252)*V_DPT/DiasMes))</f>
        <v>1596588.0044807398</v>
      </c>
      <c r="CI266" s="48">
        <f>IF(82&gt;Fin,CH$266,IF(AND(CI$8=1,ISNUMBER(Reales!CI81)),IF(Reales!$C$81="PYG",IF(CI$10&gt;0,N(Reales!CI81)/CI$10,0),N(Reales!CI81)),CI$249*IF(CI$8=1,N(vg_DInv),V_DInv)/DiasMes+(CI$249+CI$250+CI$251+CI$252)*V_DPT/DiasMes))</f>
        <v>1596588.0044807398</v>
      </c>
      <c r="CJ266" s="48">
        <f>IF(83&gt;Fin,CI$266,IF(AND(CJ$8=1,ISNUMBER(Reales!CJ81)),IF(Reales!$C$81="PYG",IF(CJ$10&gt;0,N(Reales!CJ81)/CJ$10,0),N(Reales!CJ81)),CJ$249*IF(CJ$8=1,N(vg_DInv),V_DInv)/DiasMes+(CJ$249+CJ$250+CJ$251+CJ$252)*V_DPT/DiasMes))</f>
        <v>1596588.0044807398</v>
      </c>
      <c r="CK266" s="48">
        <f>IF(84&gt;Fin,CJ$266,IF(AND(CK$8=1,ISNUMBER(Reales!CK81)),IF(Reales!$C$81="PYG",IF(CK$10&gt;0,N(Reales!CK81)/CK$10,0),N(Reales!CK81)),CK$249*IF(CK$8=1,N(vg_DInv),V_DInv)/DiasMes+(CK$249+CK$250+CK$251+CK$252)*V_DPT/DiasMes))</f>
        <v>1596588.0044807398</v>
      </c>
      <c r="CL266" s="48">
        <f>IF(85&gt;Fin,CK$266,IF(AND(CL$8=1,ISNUMBER(Reales!CL81)),IF(Reales!$C$81="PYG",IF(CL$10&gt;0,N(Reales!CL81)/CL$10,0),N(Reales!CL81)),CL$249*IF(CL$8=1,N(vg_DInv),V_DInv)/DiasMes+(CL$249+CL$250+CL$251+CL$252)*V_DPT/DiasMes))</f>
        <v>1606603.9774813389</v>
      </c>
      <c r="CM266" s="48">
        <f>IF(86&gt;Fin,CL$266,IF(AND(CM$8=1,ISNUMBER(Reales!CM81)),IF(Reales!$C$81="PYG",IF(CM$10&gt;0,N(Reales!CM81)/CM$10,0),N(Reales!CM81)),CM$249*IF(CM$8=1,N(vg_DInv),V_DInv)/DiasMes+(CM$249+CM$250+CM$251+CM$252)*V_DPT/DiasMes))</f>
        <v>1606603.9774813389</v>
      </c>
      <c r="CN266" s="48">
        <f>IF(87&gt;Fin,CM$266,IF(AND(CN$8=1,ISNUMBER(Reales!CN81)),IF(Reales!$C$81="PYG",IF(CN$10&gt;0,N(Reales!CN81)/CN$10,0),N(Reales!CN81)),CN$249*IF(CN$8=1,N(vg_DInv),V_DInv)/DiasMes+(CN$249+CN$250+CN$251+CN$252)*V_DPT/DiasMes))</f>
        <v>1606603.9774813389</v>
      </c>
      <c r="CO266" s="48">
        <f>IF(88&gt;Fin,CN$266,IF(AND(CO$8=1,ISNUMBER(Reales!CO81)),IF(Reales!$C$81="PYG",IF(CO$10&gt;0,N(Reales!CO81)/CO$10,0),N(Reales!CO81)),CO$249*IF(CO$8=1,N(vg_DInv),V_DInv)/DiasMes+(CO$249+CO$250+CO$251+CO$252)*V_DPT/DiasMes))</f>
        <v>1606603.9774813389</v>
      </c>
      <c r="CP266" s="48">
        <f>IF(89&gt;Fin,CO$266,IF(AND(CP$8=1,ISNUMBER(Reales!CP81)),IF(Reales!$C$81="PYG",IF(CP$10&gt;0,N(Reales!CP81)/CP$10,0),N(Reales!CP81)),CP$249*IF(CP$8=1,N(vg_DInv),V_DInv)/DiasMes+(CP$249+CP$250+CP$251+CP$252)*V_DPT/DiasMes))</f>
        <v>1606603.9774813389</v>
      </c>
      <c r="CQ266" s="48">
        <f>IF(90&gt;Fin,CP$266,IF(AND(CQ$8=1,ISNUMBER(Reales!CQ81)),IF(Reales!$C$81="PYG",IF(CQ$10&gt;0,N(Reales!CQ81)/CQ$10,0),N(Reales!CQ81)),CQ$249*IF(CQ$8=1,N(vg_DInv),V_DInv)/DiasMes+(CQ$249+CQ$250+CQ$251+CQ$252)*V_DPT/DiasMes))</f>
        <v>1606603.9774813389</v>
      </c>
      <c r="CR266" s="48">
        <f>IF(91&gt;Fin,CQ$266,IF(AND(CR$8=1,ISNUMBER(Reales!CR81)),IF(Reales!$C$81="PYG",IF(CR$10&gt;0,N(Reales!CR81)/CR$10,0),N(Reales!CR81)),CR$249*IF(CR$8=1,N(vg_DInv),V_DInv)/DiasMes+(CR$249+CR$250+CR$251+CR$252)*V_DPT/DiasMes))</f>
        <v>1606603.9774813389</v>
      </c>
      <c r="CS266" s="48">
        <f>IF(92&gt;Fin,CR$266,IF(AND(CS$8=1,ISNUMBER(Reales!CS81)),IF(Reales!$C$81="PYG",IF(CS$10&gt;0,N(Reales!CS81)/CS$10,0),N(Reales!CS81)),CS$249*IF(CS$8=1,N(vg_DInv),V_DInv)/DiasMes+(CS$249+CS$250+CS$251+CS$252)*V_DPT/DiasMes))</f>
        <v>1606603.9774813389</v>
      </c>
      <c r="CT266" s="48">
        <f>IF(93&gt;Fin,CS$266,IF(AND(CT$8=1,ISNUMBER(Reales!CT81)),IF(Reales!$C$81="PYG",IF(CT$10&gt;0,N(Reales!CT81)/CT$10,0),N(Reales!CT81)),CT$249*IF(CT$8=1,N(vg_DInv),V_DInv)/DiasMes+(CT$249+CT$250+CT$251+CT$252)*V_DPT/DiasMes))</f>
        <v>1606603.9774813389</v>
      </c>
      <c r="CU266" s="48">
        <f>IF(94&gt;Fin,CT$266,IF(AND(CU$8=1,ISNUMBER(Reales!CU81)),IF(Reales!$C$81="PYG",IF(CU$10&gt;0,N(Reales!CU81)/CU$10,0),N(Reales!CU81)),CU$249*IF(CU$8=1,N(vg_DInv),V_DInv)/DiasMes+(CU$249+CU$250+CU$251+CU$252)*V_DPT/DiasMes))</f>
        <v>1606603.9774813389</v>
      </c>
      <c r="CV266" s="48">
        <f>IF(95&gt;Fin,CU$266,IF(AND(CV$8=1,ISNUMBER(Reales!CV81)),IF(Reales!$C$81="PYG",IF(CV$10&gt;0,N(Reales!CV81)/CV$10,0),N(Reales!CV81)),CV$249*IF(CV$8=1,N(vg_DInv),V_DInv)/DiasMes+(CV$249+CV$250+CV$251+CV$252)*V_DPT/DiasMes))</f>
        <v>1606603.9774813389</v>
      </c>
      <c r="CW266" s="48">
        <f>IF(96&gt;Fin,CV$266,IF(AND(CW$8=1,ISNUMBER(Reales!CW81)),IF(Reales!$C$81="PYG",IF(CW$10&gt;0,N(Reales!CW81)/CW$10,0),N(Reales!CW81)),CW$249*IF(CW$8=1,N(vg_DInv),V_DInv)/DiasMes+(CW$249+CW$250+CW$251+CW$252)*V_DPT/DiasMes))</f>
        <v>1606603.9774813389</v>
      </c>
      <c r="CX266" s="48">
        <f>IF(97&gt;Fin,CW$266,IF(AND(CX$8=1,ISNUMBER(Reales!CX81)),IF(Reales!$C$81="PYG",IF(CX$10&gt;0,N(Reales!CX81)/CX$10,0),N(Reales!CX81)),CX$249*IF(CX$8=1,N(vg_DInv),V_DInv)/DiasMes+(CX$249+CX$250+CX$251+CX$252)*V_DPT/DiasMes))</f>
        <v>1616720.3026989689</v>
      </c>
      <c r="CY266" s="48">
        <f>IF(98&gt;Fin,CX$266,IF(AND(CY$8=1,ISNUMBER(Reales!CY81)),IF(Reales!$C$81="PYG",IF(CY$10&gt;0,N(Reales!CY81)/CY$10,0),N(Reales!CY81)),CY$249*IF(CY$8=1,N(vg_DInv),V_DInv)/DiasMes+(CY$249+CY$250+CY$251+CY$252)*V_DPT/DiasMes))</f>
        <v>1616720.3026989689</v>
      </c>
      <c r="CZ266" s="48">
        <f>IF(99&gt;Fin,CY$266,IF(AND(CZ$8=1,ISNUMBER(Reales!CZ81)),IF(Reales!$C$81="PYG",IF(CZ$10&gt;0,N(Reales!CZ81)/CZ$10,0),N(Reales!CZ81)),CZ$249*IF(CZ$8=1,N(vg_DInv),V_DInv)/DiasMes+(CZ$249+CZ$250+CZ$251+CZ$252)*V_DPT/DiasMes))</f>
        <v>1616720.3026989689</v>
      </c>
      <c r="DA266" s="48">
        <f>IF(100&gt;Fin,CZ$266,IF(AND(DA$8=1,ISNUMBER(Reales!DA81)),IF(Reales!$C$81="PYG",IF(DA$10&gt;0,N(Reales!DA81)/DA$10,0),N(Reales!DA81)),DA$249*IF(DA$8=1,N(vg_DInv),V_DInv)/DiasMes+(DA$249+DA$250+DA$251+DA$252)*V_DPT/DiasMes))</f>
        <v>1616720.3026989689</v>
      </c>
      <c r="DB266" s="48">
        <f>IF(101&gt;Fin,DA$266,IF(AND(DB$8=1,ISNUMBER(Reales!DB81)),IF(Reales!$C$81="PYG",IF(DB$10&gt;0,N(Reales!DB81)/DB$10,0),N(Reales!DB81)),DB$249*IF(DB$8=1,N(vg_DInv),V_DInv)/DiasMes+(DB$249+DB$250+DB$251+DB$252)*V_DPT/DiasMes))</f>
        <v>1616720.3026989689</v>
      </c>
      <c r="DC266" s="48">
        <f>IF(102&gt;Fin,DB$266,IF(AND(DC$8=1,ISNUMBER(Reales!DC81)),IF(Reales!$C$81="PYG",IF(DC$10&gt;0,N(Reales!DC81)/DC$10,0),N(Reales!DC81)),DC$249*IF(DC$8=1,N(vg_DInv),V_DInv)/DiasMes+(DC$249+DC$250+DC$251+DC$252)*V_DPT/DiasMes))</f>
        <v>1616720.3026989689</v>
      </c>
      <c r="DD266" s="48">
        <f>IF(103&gt;Fin,DC$266,IF(AND(DD$8=1,ISNUMBER(Reales!DD81)),IF(Reales!$C$81="PYG",IF(DD$10&gt;0,N(Reales!DD81)/DD$10,0),N(Reales!DD81)),DD$249*IF(DD$8=1,N(vg_DInv),V_DInv)/DiasMes+(DD$249+DD$250+DD$251+DD$252)*V_DPT/DiasMes))</f>
        <v>1616720.3026989689</v>
      </c>
      <c r="DE266" s="48">
        <f>IF(104&gt;Fin,DD$266,IF(AND(DE$8=1,ISNUMBER(Reales!DE81)),IF(Reales!$C$81="PYG",IF(DE$10&gt;0,N(Reales!DE81)/DE$10,0),N(Reales!DE81)),DE$249*IF(DE$8=1,N(vg_DInv),V_DInv)/DiasMes+(DE$249+DE$250+DE$251+DE$252)*V_DPT/DiasMes))</f>
        <v>1616720.3026989689</v>
      </c>
      <c r="DF266" s="48">
        <f>IF(105&gt;Fin,DE$266,IF(AND(DF$8=1,ISNUMBER(Reales!DF81)),IF(Reales!$C$81="PYG",IF(DF$10&gt;0,N(Reales!DF81)/DF$10,0),N(Reales!DF81)),DF$249*IF(DF$8=1,N(vg_DInv),V_DInv)/DiasMes+(DF$249+DF$250+DF$251+DF$252)*V_DPT/DiasMes))</f>
        <v>1616720.3026989689</v>
      </c>
      <c r="DG266" s="48">
        <f>IF(106&gt;Fin,DF$266,IF(AND(DG$8=1,ISNUMBER(Reales!DG81)),IF(Reales!$C$81="PYG",IF(DG$10&gt;0,N(Reales!DG81)/DG$10,0),N(Reales!DG81)),DG$249*IF(DG$8=1,N(vg_DInv),V_DInv)/DiasMes+(DG$249+DG$250+DG$251+DG$252)*V_DPT/DiasMes))</f>
        <v>1616720.3026989689</v>
      </c>
      <c r="DH266" s="48">
        <f>IF(107&gt;Fin,DG$266,IF(AND(DH$8=1,ISNUMBER(Reales!DH81)),IF(Reales!$C$81="PYG",IF(DH$10&gt;0,N(Reales!DH81)/DH$10,0),N(Reales!DH81)),DH$249*IF(DH$8=1,N(vg_DInv),V_DInv)/DiasMes+(DH$249+DH$250+DH$251+DH$252)*V_DPT/DiasMes))</f>
        <v>1616720.3026989689</v>
      </c>
      <c r="DI266" s="48">
        <f>IF(108&gt;Fin,DH$266,IF(AND(DI$8=1,ISNUMBER(Reales!DI81)),IF(Reales!$C$81="PYG",IF(DI$10&gt;0,N(Reales!DI81)/DI$10,0),N(Reales!DI81)),DI$249*IF(DI$8=1,N(vg_DInv),V_DInv)/DiasMes+(DI$249+DI$250+DI$251+DI$252)*V_DPT/DiasMes))</f>
        <v>1616720.3026989689</v>
      </c>
      <c r="DJ266" s="48">
        <f>IF(109&gt;Fin,DI$266,IF(AND(DJ$8=1,ISNUMBER(Reales!DJ81)),IF(Reales!$C$81="PYG",IF(DJ$10&gt;0,N(Reales!DJ81)/DJ$10,0),N(Reales!DJ81)),DJ$249*IF(DJ$8=1,N(vg_DInv),V_DInv)/DiasMes+(DJ$249+DJ$250+DJ$251+DJ$252)*V_DPT/DiasMes))</f>
        <v>1626937.9875055414</v>
      </c>
      <c r="DK266" s="48">
        <f>IF(110&gt;Fin,DJ$266,IF(AND(DK$8=1,ISNUMBER(Reales!DK81)),IF(Reales!$C$81="PYG",IF(DK$10&gt;0,N(Reales!DK81)/DK$10,0),N(Reales!DK81)),DK$249*IF(DK$8=1,N(vg_DInv),V_DInv)/DiasMes+(DK$249+DK$250+DK$251+DK$252)*V_DPT/DiasMes))</f>
        <v>1626937.9875055414</v>
      </c>
      <c r="DL266" s="48">
        <f>IF(111&gt;Fin,DK$266,IF(AND(DL$8=1,ISNUMBER(Reales!DL81)),IF(Reales!$C$81="PYG",IF(DL$10&gt;0,N(Reales!DL81)/DL$10,0),N(Reales!DL81)),DL$249*IF(DL$8=1,N(vg_DInv),V_DInv)/DiasMes+(DL$249+DL$250+DL$251+DL$252)*V_DPT/DiasMes))</f>
        <v>1626937.9875055414</v>
      </c>
      <c r="DM266" s="48">
        <f>IF(112&gt;Fin,DL$266,IF(AND(DM$8=1,ISNUMBER(Reales!DM81)),IF(Reales!$C$81="PYG",IF(DM$10&gt;0,N(Reales!DM81)/DM$10,0),N(Reales!DM81)),DM$249*IF(DM$8=1,N(vg_DInv),V_DInv)/DiasMes+(DM$249+DM$250+DM$251+DM$252)*V_DPT/DiasMes))</f>
        <v>1626937.9875055414</v>
      </c>
      <c r="DN266" s="48">
        <f>IF(113&gt;Fin,DM$266,IF(AND(DN$8=1,ISNUMBER(Reales!DN81)),IF(Reales!$C$81="PYG",IF(DN$10&gt;0,N(Reales!DN81)/DN$10,0),N(Reales!DN81)),DN$249*IF(DN$8=1,N(vg_DInv),V_DInv)/DiasMes+(DN$249+DN$250+DN$251+DN$252)*V_DPT/DiasMes))</f>
        <v>1626937.9875055414</v>
      </c>
      <c r="DO266" s="48">
        <f>IF(114&gt;Fin,DN$266,IF(AND(DO$8=1,ISNUMBER(Reales!DO81)),IF(Reales!$C$81="PYG",IF(DO$10&gt;0,N(Reales!DO81)/DO$10,0),N(Reales!DO81)),DO$249*IF(DO$8=1,N(vg_DInv),V_DInv)/DiasMes+(DO$249+DO$250+DO$251+DO$252)*V_DPT/DiasMes))</f>
        <v>1626937.9875055414</v>
      </c>
      <c r="DP266" s="48">
        <f>IF(115&gt;Fin,DO$266,IF(AND(DP$8=1,ISNUMBER(Reales!DP81)),IF(Reales!$C$81="PYG",IF(DP$10&gt;0,N(Reales!DP81)/DP$10,0),N(Reales!DP81)),DP$249*IF(DP$8=1,N(vg_DInv),V_DInv)/DiasMes+(DP$249+DP$250+DP$251+DP$252)*V_DPT/DiasMes))</f>
        <v>1626937.9875055414</v>
      </c>
      <c r="DQ266" s="48">
        <f>IF(116&gt;Fin,DP$266,IF(AND(DQ$8=1,ISNUMBER(Reales!DQ81)),IF(Reales!$C$81="PYG",IF(DQ$10&gt;0,N(Reales!DQ81)/DQ$10,0),N(Reales!DQ81)),DQ$249*IF(DQ$8=1,N(vg_DInv),V_DInv)/DiasMes+(DQ$249+DQ$250+DQ$251+DQ$252)*V_DPT/DiasMes))</f>
        <v>1626937.9875055414</v>
      </c>
      <c r="DR266" s="48">
        <f>IF(117&gt;Fin,DQ$266,IF(AND(DR$8=1,ISNUMBER(Reales!DR81)),IF(Reales!$C$81="PYG",IF(DR$10&gt;0,N(Reales!DR81)/DR$10,0),N(Reales!DR81)),DR$249*IF(DR$8=1,N(vg_DInv),V_DInv)/DiasMes+(DR$249+DR$250+DR$251+DR$252)*V_DPT/DiasMes))</f>
        <v>1626937.9875055414</v>
      </c>
      <c r="DS266" s="48">
        <f>IF(118&gt;Fin,DR$266,IF(AND(DS$8=1,ISNUMBER(Reales!DS81)),IF(Reales!$C$81="PYG",IF(DS$10&gt;0,N(Reales!DS81)/DS$10,0),N(Reales!DS81)),DS$249*IF(DS$8=1,N(vg_DInv),V_DInv)/DiasMes+(DS$249+DS$250+DS$251+DS$252)*V_DPT/DiasMes))</f>
        <v>1626937.9875055414</v>
      </c>
      <c r="DT266" s="48">
        <f>IF(119&gt;Fin,DS$266,IF(AND(DT$8=1,ISNUMBER(Reales!DT81)),IF(Reales!$C$81="PYG",IF(DT$10&gt;0,N(Reales!DT81)/DT$10,0),N(Reales!DT81)),DT$249*IF(DT$8=1,N(vg_DInv),V_DInv)/DiasMes+(DT$249+DT$250+DT$251+DT$252)*V_DPT/DiasMes))</f>
        <v>1626937.9875055414</v>
      </c>
      <c r="DU266" s="48">
        <f>IF(120&gt;Fin,DT$266,IF(AND(DU$8=1,ISNUMBER(Reales!DU81)),IF(Reales!$C$81="PYG",IF(DU$10&gt;0,N(Reales!DU81)/DU$10,0),N(Reales!DU81)),DU$249*IF(DU$8=1,N(vg_DInv),V_DInv)/DiasMes+(DU$249+DU$250+DU$251+DU$252)*V_DPT/DiasMes))</f>
        <v>1626937.9875055414</v>
      </c>
      <c r="DV266" s="48">
        <f>IF(121&gt;Fin,DU$266,IF(AND(DV$8=1,ISNUMBER(Reales!DV81)),IF(Reales!$C$81="PYG",IF(DV$10&gt;0,N(Reales!DV81)/DV$10,0),N(Reales!DV81)),DV$249*IF(DV$8=1,N(vg_DInv),V_DInv)/DiasMes+(DV$249+DV$250+DV$251+DV$252)*V_DPT/DiasMes))</f>
        <v>1626937.9875055414</v>
      </c>
      <c r="DW266" s="48">
        <f>IF(122&gt;Fin,DV$266,IF(AND(DW$8=1,ISNUMBER(Reales!DW81)),IF(Reales!$C$81="PYG",IF(DW$10&gt;0,N(Reales!DW81)/DW$10,0),N(Reales!DW81)),DW$249*IF(DW$8=1,N(vg_DInv),V_DInv)/DiasMes+(DW$249+DW$250+DW$251+DW$252)*V_DPT/DiasMes))</f>
        <v>1626937.9875055414</v>
      </c>
      <c r="DX266" s="48">
        <f>IF(123&gt;Fin,DW$266,IF(AND(DX$8=1,ISNUMBER(Reales!DX81)),IF(Reales!$C$81="PYG",IF(DX$10&gt;0,N(Reales!DX81)/DX$10,0),N(Reales!DX81)),DX$249*IF(DX$8=1,N(vg_DInv),V_DInv)/DiasMes+(DX$249+DX$250+DX$251+DX$252)*V_DPT/DiasMes))</f>
        <v>1626937.9875055414</v>
      </c>
      <c r="DY266" s="48">
        <f>IF(124&gt;Fin,DX$266,IF(AND(DY$8=1,ISNUMBER(Reales!DY81)),IF(Reales!$C$81="PYG",IF(DY$10&gt;0,N(Reales!DY81)/DY$10,0),N(Reales!DY81)),DY$249*IF(DY$8=1,N(vg_DInv),V_DInv)/DiasMes+(DY$249+DY$250+DY$251+DY$252)*V_DPT/DiasMes))</f>
        <v>1626937.9875055414</v>
      </c>
      <c r="DZ266" s="48">
        <f>IF(125&gt;Fin,DY$266,IF(AND(DZ$8=1,ISNUMBER(Reales!DZ81)),IF(Reales!$C$81="PYG",IF(DZ$10&gt;0,N(Reales!DZ81)/DZ$10,0),N(Reales!DZ81)),DZ$249*IF(DZ$8=1,N(vg_DInv),V_DInv)/DiasMes+(DZ$249+DZ$250+DZ$251+DZ$252)*V_DPT/DiasMes))</f>
        <v>1626937.9875055414</v>
      </c>
      <c r="EA266" s="48">
        <f>IF(126&gt;Fin,DZ$266,IF(AND(EA$8=1,ISNUMBER(Reales!EA81)),IF(Reales!$C$81="PYG",IF(EA$10&gt;0,N(Reales!EA81)/EA$10,0),N(Reales!EA81)),EA$249*IF(EA$8=1,N(vg_DInv),V_DInv)/DiasMes+(EA$249+EA$250+EA$251+EA$252)*V_DPT/DiasMes))</f>
        <v>1626937.9875055414</v>
      </c>
      <c r="EB266" s="48">
        <f>IF(127&gt;Fin,EA$266,IF(AND(EB$8=1,ISNUMBER(Reales!EB81)),IF(Reales!$C$81="PYG",IF(EB$10&gt;0,N(Reales!EB81)/EB$10,0),N(Reales!EB81)),EB$249*IF(EB$8=1,N(vg_DInv),V_DInv)/DiasMes+(EB$249+EB$250+EB$251+EB$252)*V_DPT/DiasMes))</f>
        <v>1626937.9875055414</v>
      </c>
      <c r="EC266" s="48">
        <f>IF(128&gt;Fin,EB$266,IF(AND(EC$8=1,ISNUMBER(Reales!EC81)),IF(Reales!$C$81="PYG",IF(EC$10&gt;0,N(Reales!EC81)/EC$10,0),N(Reales!EC81)),EC$249*IF(EC$8=1,N(vg_DInv),V_DInv)/DiasMes+(EC$249+EC$250+EC$251+EC$252)*V_DPT/DiasMes))</f>
        <v>1626937.9875055414</v>
      </c>
      <c r="ED266" s="48">
        <f>IF(129&gt;Fin,EC$266,IF(AND(ED$8=1,ISNUMBER(Reales!ED81)),IF(Reales!$C$81="PYG",IF(ED$10&gt;0,N(Reales!ED81)/ED$10,0),N(Reales!ED81)),ED$249*IF(ED$8=1,N(vg_DInv),V_DInv)/DiasMes+(ED$249+ED$250+ED$251+ED$252)*V_DPT/DiasMes))</f>
        <v>1626937.9875055414</v>
      </c>
      <c r="EE266" s="48">
        <f>IF(130&gt;Fin,ED$266,IF(AND(EE$8=1,ISNUMBER(Reales!EE81)),IF(Reales!$C$81="PYG",IF(EE$10&gt;0,N(Reales!EE81)/EE$10,0),N(Reales!EE81)),EE$249*IF(EE$8=1,N(vg_DInv),V_DInv)/DiasMes+(EE$249+EE$250+EE$251+EE$252)*V_DPT/DiasMes))</f>
        <v>1626937.9875055414</v>
      </c>
      <c r="EF266" s="48">
        <f>IF(131&gt;Fin,EE$266,IF(AND(EF$8=1,ISNUMBER(Reales!EF81)),IF(Reales!$C$81="PYG",IF(EF$10&gt;0,N(Reales!EF81)/EF$10,0),N(Reales!EF81)),EF$249*IF(EF$8=1,N(vg_DInv),V_DInv)/DiasMes+(EF$249+EF$250+EF$251+EF$252)*V_DPT/DiasMes))</f>
        <v>1626937.9875055414</v>
      </c>
      <c r="EG266" s="48">
        <f>IF(132&gt;Fin,EF$266,IF(AND(EG$8=1,ISNUMBER(Reales!EG81)),IF(Reales!$C$81="PYG",IF(EG$10&gt;0,N(Reales!EG81)/EG$10,0),N(Reales!EG81)),EG$249*IF(EG$8=1,N(vg_DInv),V_DInv)/DiasMes+(EG$249+EG$250+EG$251+EG$252)*V_DPT/DiasMes))</f>
        <v>1626937.9875055414</v>
      </c>
      <c r="EH266" s="48">
        <f>IF(133&gt;Fin,EG$266,IF(AND(EH$8=1,ISNUMBER(Reales!EH81)),IF(Reales!$C$81="PYG",IF(EH$10&gt;0,N(Reales!EH81)/EH$10,0),N(Reales!EH81)),EH$249*IF(EH$8=1,N(vg_DInv),V_DInv)/DiasMes+(EH$249+EH$250+EH$251+EH$252)*V_DPT/DiasMes))</f>
        <v>1626937.9875055414</v>
      </c>
      <c r="EI266" s="48">
        <f>IF(134&gt;Fin,EH$266,IF(AND(EI$8=1,ISNUMBER(Reales!EI81)),IF(Reales!$C$81="PYG",IF(EI$10&gt;0,N(Reales!EI81)/EI$10,0),N(Reales!EI81)),EI$249*IF(EI$8=1,N(vg_DInv),V_DInv)/DiasMes+(EI$249+EI$250+EI$251+EI$252)*V_DPT/DiasMes))</f>
        <v>1626937.9875055414</v>
      </c>
      <c r="EJ266" s="48">
        <f>IF(135&gt;Fin,EI$266,IF(AND(EJ$8=1,ISNUMBER(Reales!EJ81)),IF(Reales!$C$81="PYG",IF(EJ$10&gt;0,N(Reales!EJ81)/EJ$10,0),N(Reales!EJ81)),EJ$249*IF(EJ$8=1,N(vg_DInv),V_DInv)/DiasMes+(EJ$249+EJ$250+EJ$251+EJ$252)*V_DPT/DiasMes))</f>
        <v>1626937.9875055414</v>
      </c>
      <c r="EK266" s="48">
        <f>IF(136&gt;Fin,EJ$266,IF(AND(EK$8=1,ISNUMBER(Reales!EK81)),IF(Reales!$C$81="PYG",IF(EK$10&gt;0,N(Reales!EK81)/EK$10,0),N(Reales!EK81)),EK$249*IF(EK$8=1,N(vg_DInv),V_DInv)/DiasMes+(EK$249+EK$250+EK$251+EK$252)*V_DPT/DiasMes))</f>
        <v>1626937.9875055414</v>
      </c>
      <c r="EL266" s="48">
        <f>IF(137&gt;Fin,EK$266,IF(AND(EL$8=1,ISNUMBER(Reales!EL81)),IF(Reales!$C$81="PYG",IF(EL$10&gt;0,N(Reales!EL81)/EL$10,0),N(Reales!EL81)),EL$249*IF(EL$8=1,N(vg_DInv),V_DInv)/DiasMes+(EL$249+EL$250+EL$251+EL$252)*V_DPT/DiasMes))</f>
        <v>1626937.9875055414</v>
      </c>
      <c r="EM266" s="48">
        <f>IF(138&gt;Fin,EL$266,IF(AND(EM$8=1,ISNUMBER(Reales!EM81)),IF(Reales!$C$81="PYG",IF(EM$10&gt;0,N(Reales!EM81)/EM$10,0),N(Reales!EM81)),EM$249*IF(EM$8=1,N(vg_DInv),V_DInv)/DiasMes+(EM$249+EM$250+EM$251+EM$252)*V_DPT/DiasMes))</f>
        <v>1626937.9875055414</v>
      </c>
      <c r="EN266" s="48">
        <f>IF(139&gt;Fin,EM$266,IF(AND(EN$8=1,ISNUMBER(Reales!EN81)),IF(Reales!$C$81="PYG",IF(EN$10&gt;0,N(Reales!EN81)/EN$10,0),N(Reales!EN81)),EN$249*IF(EN$8=1,N(vg_DInv),V_DInv)/DiasMes+(EN$249+EN$250+EN$251+EN$252)*V_DPT/DiasMes))</f>
        <v>1626937.9875055414</v>
      </c>
      <c r="EO266" s="48">
        <f>IF(140&gt;Fin,EN$266,IF(AND(EO$8=1,ISNUMBER(Reales!EO81)),IF(Reales!$C$81="PYG",IF(EO$10&gt;0,N(Reales!EO81)/EO$10,0),N(Reales!EO81)),EO$249*IF(EO$8=1,N(vg_DInv),V_DInv)/DiasMes+(EO$249+EO$250+EO$251+EO$252)*V_DPT/DiasMes))</f>
        <v>1626937.9875055414</v>
      </c>
      <c r="EP266" s="48">
        <f>IF(141&gt;Fin,EO$266,IF(AND(EP$8=1,ISNUMBER(Reales!EP81)),IF(Reales!$C$81="PYG",IF(EP$10&gt;0,N(Reales!EP81)/EP$10,0),N(Reales!EP81)),EP$249*IF(EP$8=1,N(vg_DInv),V_DInv)/DiasMes+(EP$249+EP$250+EP$251+EP$252)*V_DPT/DiasMes))</f>
        <v>1626937.9875055414</v>
      </c>
      <c r="EQ266" s="48">
        <f>IF(142&gt;Fin,EP$266,IF(AND(EQ$8=1,ISNUMBER(Reales!EQ81)),IF(Reales!$C$81="PYG",IF(EQ$10&gt;0,N(Reales!EQ81)/EQ$10,0),N(Reales!EQ81)),EQ$249*IF(EQ$8=1,N(vg_DInv),V_DInv)/DiasMes+(EQ$249+EQ$250+EQ$251+EQ$252)*V_DPT/DiasMes))</f>
        <v>1626937.9875055414</v>
      </c>
      <c r="ER266" s="48">
        <f>IF(143&gt;Fin,EQ$266,IF(AND(ER$8=1,ISNUMBER(Reales!ER81)),IF(Reales!$C$81="PYG",IF(ER$10&gt;0,N(Reales!ER81)/ER$10,0),N(Reales!ER81)),ER$249*IF(ER$8=1,N(vg_DInv),V_DInv)/DiasMes+(ER$249+ER$250+ER$251+ER$252)*V_DPT/DiasMes))</f>
        <v>1626937.9875055414</v>
      </c>
      <c r="ES266" s="48">
        <f>IF(144&gt;Fin,ER$266,IF(AND(ES$8=1,ISNUMBER(Reales!ES81)),IF(Reales!$C$81="PYG",IF(ES$10&gt;0,N(Reales!ES81)/ES$10,0),N(Reales!ES81)),ES$249*IF(ES$8=1,N(vg_DInv),V_DInv)/DiasMes+(ES$249+ES$250+ES$251+ES$252)*V_DPT/DiasMes))</f>
        <v>1626937.9875055414</v>
      </c>
    </row>
    <row r="267" spans="1:149" x14ac:dyDescent="0.3">
      <c r="A267" s="14" t="s">
        <v>1319</v>
      </c>
      <c r="B267" s="18" t="s">
        <v>1122</v>
      </c>
      <c r="C267" s="18" t="s">
        <v>439</v>
      </c>
      <c r="E267" s="54">
        <f>INDEX(F267:ES267,1,MIN(144,Fin))</f>
        <v>0</v>
      </c>
      <c r="F267" s="48">
        <f>IF(1&gt;Fin,0,IF(AND(F$8=1,ISNUMBER(Reales!F82)),IF(Reales!$C$82="PYG",IF(F$10&gt;0,N(Reales!F82)/F$10,0),N(Reales!F82)),F$257*V_IVAmeses))</f>
        <v>0</v>
      </c>
      <c r="G267" s="48">
        <f>IF(2&gt;Fin,F$267,IF(AND(G$8=1,ISNUMBER(Reales!G82)),IF(Reales!$C$82="PYG",IF(G$10&gt;0,N(Reales!G82)/G$10,0),N(Reales!G82)),G$257*V_IVAmeses))</f>
        <v>0</v>
      </c>
      <c r="H267" s="48">
        <f>IF(3&gt;Fin,G$267,IF(AND(H$8=1,ISNUMBER(Reales!H82)),IF(Reales!$C$82="PYG",IF(H$10&gt;0,N(Reales!H82)/H$10,0),N(Reales!H82)),H$257*V_IVAmeses))</f>
        <v>0</v>
      </c>
      <c r="I267" s="48">
        <f>IF(4&gt;Fin,H$267,IF(AND(I$8=1,ISNUMBER(Reales!I82)),IF(Reales!$C$82="PYG",IF(I$10&gt;0,N(Reales!I82)/I$10,0),N(Reales!I82)),I$257*V_IVAmeses))</f>
        <v>0</v>
      </c>
      <c r="J267" s="48">
        <f>IF(5&gt;Fin,I$267,IF(AND(J$8=1,ISNUMBER(Reales!J82)),IF(Reales!$C$82="PYG",IF(J$10&gt;0,N(Reales!J82)/J$10,0),N(Reales!J82)),J$257*V_IVAmeses))</f>
        <v>0</v>
      </c>
      <c r="K267" s="48">
        <f>IF(6&gt;Fin,J$267,IF(AND(K$8=1,ISNUMBER(Reales!K82)),IF(Reales!$C$82="PYG",IF(K$10&gt;0,N(Reales!K82)/K$10,0),N(Reales!K82)),K$257*V_IVAmeses))</f>
        <v>0</v>
      </c>
      <c r="L267" s="48">
        <f>IF(7&gt;Fin,K$267,IF(AND(L$8=1,ISNUMBER(Reales!L82)),IF(Reales!$C$82="PYG",IF(L$10&gt;0,N(Reales!L82)/L$10,0),N(Reales!L82)),L$257*V_IVAmeses))</f>
        <v>0</v>
      </c>
      <c r="M267" s="48">
        <f>IF(8&gt;Fin,L$267,IF(AND(M$8=1,ISNUMBER(Reales!M82)),IF(Reales!$C$82="PYG",IF(M$10&gt;0,N(Reales!M82)/M$10,0),N(Reales!M82)),M$257*V_IVAmeses))</f>
        <v>0</v>
      </c>
      <c r="N267" s="48">
        <f>IF(9&gt;Fin,M$267,IF(AND(N$8=1,ISNUMBER(Reales!N82)),IF(Reales!$C$82="PYG",IF(N$10&gt;0,N(Reales!N82)/N$10,0),N(Reales!N82)),N$257*V_IVAmeses))</f>
        <v>0</v>
      </c>
      <c r="O267" s="48">
        <f>IF(10&gt;Fin,N$267,IF(AND(O$8=1,ISNUMBER(Reales!O82)),IF(Reales!$C$82="PYG",IF(O$10&gt;0,N(Reales!O82)/O$10,0),N(Reales!O82)),O$257*V_IVAmeses))</f>
        <v>0</v>
      </c>
      <c r="P267" s="48">
        <f>IF(11&gt;Fin,O$267,IF(AND(P$8=1,ISNUMBER(Reales!P82)),IF(Reales!$C$82="PYG",IF(P$10&gt;0,N(Reales!P82)/P$10,0),N(Reales!P82)),P$257*V_IVAmeses))</f>
        <v>0</v>
      </c>
      <c r="Q267" s="48">
        <f>IF(12&gt;Fin,P$267,IF(AND(Q$8=1,ISNUMBER(Reales!Q82)),IF(Reales!$C$82="PYG",IF(Q$10&gt;0,N(Reales!Q82)/Q$10,0),N(Reales!Q82)),Q$257*V_IVAmeses))</f>
        <v>0</v>
      </c>
      <c r="R267" s="48">
        <f>IF(13&gt;Fin,Q$267,IF(AND(R$8=1,ISNUMBER(Reales!R82)),IF(Reales!$C$82="PYG",IF(R$10&gt;0,N(Reales!R82)/R$10,0),N(Reales!R82)),R$257*V_IVAmeses))</f>
        <v>0</v>
      </c>
      <c r="S267" s="48">
        <f>IF(14&gt;Fin,R$267,IF(AND(S$8=1,ISNUMBER(Reales!S82)),IF(Reales!$C$82="PYG",IF(S$10&gt;0,N(Reales!S82)/S$10,0),N(Reales!S82)),S$257*V_IVAmeses))</f>
        <v>0</v>
      </c>
      <c r="T267" s="48">
        <f>IF(15&gt;Fin,S$267,IF(AND(T$8=1,ISNUMBER(Reales!T82)),IF(Reales!$C$82="PYG",IF(T$10&gt;0,N(Reales!T82)/T$10,0),N(Reales!T82)),T$257*V_IVAmeses))</f>
        <v>0</v>
      </c>
      <c r="U267" s="48">
        <f>IF(16&gt;Fin,T$267,IF(AND(U$8=1,ISNUMBER(Reales!U82)),IF(Reales!$C$82="PYG",IF(U$10&gt;0,N(Reales!U82)/U$10,0),N(Reales!U82)),U$257*V_IVAmeses))</f>
        <v>0</v>
      </c>
      <c r="V267" s="48">
        <f>IF(17&gt;Fin,U$267,IF(AND(V$8=1,ISNUMBER(Reales!V82)),IF(Reales!$C$82="PYG",IF(V$10&gt;0,N(Reales!V82)/V$10,0),N(Reales!V82)),V$257*V_IVAmeses))</f>
        <v>0</v>
      </c>
      <c r="W267" s="48">
        <f>IF(18&gt;Fin,V$267,IF(AND(W$8=1,ISNUMBER(Reales!W82)),IF(Reales!$C$82="PYG",IF(W$10&gt;0,N(Reales!W82)/W$10,0),N(Reales!W82)),W$257*V_IVAmeses))</f>
        <v>0</v>
      </c>
      <c r="X267" s="48">
        <f>IF(19&gt;Fin,W$267,IF(AND(X$8=1,ISNUMBER(Reales!X82)),IF(Reales!$C$82="PYG",IF(X$10&gt;0,N(Reales!X82)/X$10,0),N(Reales!X82)),X$257*V_IVAmeses))</f>
        <v>0</v>
      </c>
      <c r="Y267" s="48">
        <f>IF(20&gt;Fin,X$267,IF(AND(Y$8=1,ISNUMBER(Reales!Y82)),IF(Reales!$C$82="PYG",IF(Y$10&gt;0,N(Reales!Y82)/Y$10,0),N(Reales!Y82)),Y$257*V_IVAmeses))</f>
        <v>0</v>
      </c>
      <c r="Z267" s="48">
        <f>IF(21&gt;Fin,Y$267,IF(AND(Z$8=1,ISNUMBER(Reales!Z82)),IF(Reales!$C$82="PYG",IF(Z$10&gt;0,N(Reales!Z82)/Z$10,0),N(Reales!Z82)),Z$257*V_IVAmeses))</f>
        <v>0</v>
      </c>
      <c r="AA267" s="48">
        <f>IF(22&gt;Fin,Z$267,IF(AND(AA$8=1,ISNUMBER(Reales!AA82)),IF(Reales!$C$82="PYG",IF(AA$10&gt;0,N(Reales!AA82)/AA$10,0),N(Reales!AA82)),AA$257*V_IVAmeses))</f>
        <v>0</v>
      </c>
      <c r="AB267" s="48">
        <f>IF(23&gt;Fin,AA$267,IF(AND(AB$8=1,ISNUMBER(Reales!AB82)),IF(Reales!$C$82="PYG",IF(AB$10&gt;0,N(Reales!AB82)/AB$10,0),N(Reales!AB82)),AB$257*V_IVAmeses))</f>
        <v>0</v>
      </c>
      <c r="AC267" s="48">
        <f>IF(24&gt;Fin,AB$267,IF(AND(AC$8=1,ISNUMBER(Reales!AC82)),IF(Reales!$C$82="PYG",IF(AC$10&gt;0,N(Reales!AC82)/AC$10,0),N(Reales!AC82)),AC$257*V_IVAmeses))</f>
        <v>0</v>
      </c>
      <c r="AD267" s="48">
        <f>IF(25&gt;Fin,AC$267,IF(AND(AD$8=1,ISNUMBER(Reales!AD82)),IF(Reales!$C$82="PYG",IF(AD$10&gt;0,N(Reales!AD82)/AD$10,0),N(Reales!AD82)),AD$257*V_IVAmeses))</f>
        <v>0</v>
      </c>
      <c r="AE267" s="48">
        <f>IF(26&gt;Fin,AD$267,IF(AND(AE$8=1,ISNUMBER(Reales!AE82)),IF(Reales!$C$82="PYG",IF(AE$10&gt;0,N(Reales!AE82)/AE$10,0),N(Reales!AE82)),AE$257*V_IVAmeses))</f>
        <v>0</v>
      </c>
      <c r="AF267" s="48">
        <f>IF(27&gt;Fin,AE$267,IF(AND(AF$8=1,ISNUMBER(Reales!AF82)),IF(Reales!$C$82="PYG",IF(AF$10&gt;0,N(Reales!AF82)/AF$10,0),N(Reales!AF82)),AF$257*V_IVAmeses))</f>
        <v>0</v>
      </c>
      <c r="AG267" s="48">
        <f>IF(28&gt;Fin,AF$267,IF(AND(AG$8=1,ISNUMBER(Reales!AG82)),IF(Reales!$C$82="PYG",IF(AG$10&gt;0,N(Reales!AG82)/AG$10,0),N(Reales!AG82)),AG$257*V_IVAmeses))</f>
        <v>0</v>
      </c>
      <c r="AH267" s="48">
        <f>IF(29&gt;Fin,AG$267,IF(AND(AH$8=1,ISNUMBER(Reales!AH82)),IF(Reales!$C$82="PYG",IF(AH$10&gt;0,N(Reales!AH82)/AH$10,0),N(Reales!AH82)),AH$257*V_IVAmeses))</f>
        <v>0</v>
      </c>
      <c r="AI267" s="48">
        <f>IF(30&gt;Fin,AH$267,IF(AND(AI$8=1,ISNUMBER(Reales!AI82)),IF(Reales!$C$82="PYG",IF(AI$10&gt;0,N(Reales!AI82)/AI$10,0),N(Reales!AI82)),AI$257*V_IVAmeses))</f>
        <v>0</v>
      </c>
      <c r="AJ267" s="48">
        <f>IF(31&gt;Fin,AI$267,IF(AND(AJ$8=1,ISNUMBER(Reales!AJ82)),IF(Reales!$C$82="PYG",IF(AJ$10&gt;0,N(Reales!AJ82)/AJ$10,0),N(Reales!AJ82)),AJ$257*V_IVAmeses))</f>
        <v>0</v>
      </c>
      <c r="AK267" s="48">
        <f>IF(32&gt;Fin,AJ$267,IF(AND(AK$8=1,ISNUMBER(Reales!AK82)),IF(Reales!$C$82="PYG",IF(AK$10&gt;0,N(Reales!AK82)/AK$10,0),N(Reales!AK82)),AK$257*V_IVAmeses))</f>
        <v>0</v>
      </c>
      <c r="AL267" s="48">
        <f>IF(33&gt;Fin,AK$267,IF(AND(AL$8=1,ISNUMBER(Reales!AL82)),IF(Reales!$C$82="PYG",IF(AL$10&gt;0,N(Reales!AL82)/AL$10,0),N(Reales!AL82)),AL$257*V_IVAmeses))</f>
        <v>0</v>
      </c>
      <c r="AM267" s="48">
        <f>IF(34&gt;Fin,AL$267,IF(AND(AM$8=1,ISNUMBER(Reales!AM82)),IF(Reales!$C$82="PYG",IF(AM$10&gt;0,N(Reales!AM82)/AM$10,0),N(Reales!AM82)),AM$257*V_IVAmeses))</f>
        <v>0</v>
      </c>
      <c r="AN267" s="48">
        <f>IF(35&gt;Fin,AM$267,IF(AND(AN$8=1,ISNUMBER(Reales!AN82)),IF(Reales!$C$82="PYG",IF(AN$10&gt;0,N(Reales!AN82)/AN$10,0),N(Reales!AN82)),AN$257*V_IVAmeses))</f>
        <v>0</v>
      </c>
      <c r="AO267" s="48">
        <f>IF(36&gt;Fin,AN$267,IF(AND(AO$8=1,ISNUMBER(Reales!AO82)),IF(Reales!$C$82="PYG",IF(AO$10&gt;0,N(Reales!AO82)/AO$10,0),N(Reales!AO82)),AO$257*V_IVAmeses))</f>
        <v>0</v>
      </c>
      <c r="AP267" s="48">
        <f>IF(37&gt;Fin,AO$267,IF(AND(AP$8=1,ISNUMBER(Reales!AP82)),IF(Reales!$C$82="PYG",IF(AP$10&gt;0,N(Reales!AP82)/AP$10,0),N(Reales!AP82)),AP$257*V_IVAmeses))</f>
        <v>0</v>
      </c>
      <c r="AQ267" s="48">
        <f>IF(38&gt;Fin,AP$267,IF(AND(AQ$8=1,ISNUMBER(Reales!AQ82)),IF(Reales!$C$82="PYG",IF(AQ$10&gt;0,N(Reales!AQ82)/AQ$10,0),N(Reales!AQ82)),AQ$257*V_IVAmeses))</f>
        <v>0</v>
      </c>
      <c r="AR267" s="48">
        <f>IF(39&gt;Fin,AQ$267,IF(AND(AR$8=1,ISNUMBER(Reales!AR82)),IF(Reales!$C$82="PYG",IF(AR$10&gt;0,N(Reales!AR82)/AR$10,0),N(Reales!AR82)),AR$257*V_IVAmeses))</f>
        <v>0</v>
      </c>
      <c r="AS267" s="48">
        <f>IF(40&gt;Fin,AR$267,IF(AND(AS$8=1,ISNUMBER(Reales!AS82)),IF(Reales!$C$82="PYG",IF(AS$10&gt;0,N(Reales!AS82)/AS$10,0),N(Reales!AS82)),AS$257*V_IVAmeses))</f>
        <v>0</v>
      </c>
      <c r="AT267" s="48">
        <f>IF(41&gt;Fin,AS$267,IF(AND(AT$8=1,ISNUMBER(Reales!AT82)),IF(Reales!$C$82="PYG",IF(AT$10&gt;0,N(Reales!AT82)/AT$10,0),N(Reales!AT82)),AT$257*V_IVAmeses))</f>
        <v>0</v>
      </c>
      <c r="AU267" s="48">
        <f>IF(42&gt;Fin,AT$267,IF(AND(AU$8=1,ISNUMBER(Reales!AU82)),IF(Reales!$C$82="PYG",IF(AU$10&gt;0,N(Reales!AU82)/AU$10,0),N(Reales!AU82)),AU$257*V_IVAmeses))</f>
        <v>0</v>
      </c>
      <c r="AV267" s="48">
        <f>IF(43&gt;Fin,AU$267,IF(AND(AV$8=1,ISNUMBER(Reales!AV82)),IF(Reales!$C$82="PYG",IF(AV$10&gt;0,N(Reales!AV82)/AV$10,0),N(Reales!AV82)),AV$257*V_IVAmeses))</f>
        <v>0</v>
      </c>
      <c r="AW267" s="48">
        <f>IF(44&gt;Fin,AV$267,IF(AND(AW$8=1,ISNUMBER(Reales!AW82)),IF(Reales!$C$82="PYG",IF(AW$10&gt;0,N(Reales!AW82)/AW$10,0),N(Reales!AW82)),AW$257*V_IVAmeses))</f>
        <v>0</v>
      </c>
      <c r="AX267" s="48">
        <f>IF(45&gt;Fin,AW$267,IF(AND(AX$8=1,ISNUMBER(Reales!AX82)),IF(Reales!$C$82="PYG",IF(AX$10&gt;0,N(Reales!AX82)/AX$10,0),N(Reales!AX82)),AX$257*V_IVAmeses))</f>
        <v>0</v>
      </c>
      <c r="AY267" s="48">
        <f>IF(46&gt;Fin,AX$267,IF(AND(AY$8=1,ISNUMBER(Reales!AY82)),IF(Reales!$C$82="PYG",IF(AY$10&gt;0,N(Reales!AY82)/AY$10,0),N(Reales!AY82)),AY$257*V_IVAmeses))</f>
        <v>0</v>
      </c>
      <c r="AZ267" s="48">
        <f>IF(47&gt;Fin,AY$267,IF(AND(AZ$8=1,ISNUMBER(Reales!AZ82)),IF(Reales!$C$82="PYG",IF(AZ$10&gt;0,N(Reales!AZ82)/AZ$10,0),N(Reales!AZ82)),AZ$257*V_IVAmeses))</f>
        <v>0</v>
      </c>
      <c r="BA267" s="48">
        <f>IF(48&gt;Fin,AZ$267,IF(AND(BA$8=1,ISNUMBER(Reales!BA82)),IF(Reales!$C$82="PYG",IF(BA$10&gt;0,N(Reales!BA82)/BA$10,0),N(Reales!BA82)),BA$257*V_IVAmeses))</f>
        <v>0</v>
      </c>
      <c r="BB267" s="48">
        <f>IF(49&gt;Fin,BA$267,IF(AND(BB$8=1,ISNUMBER(Reales!BB82)),IF(Reales!$C$82="PYG",IF(BB$10&gt;0,N(Reales!BB82)/BB$10,0),N(Reales!BB82)),BB$257*V_IVAmeses))</f>
        <v>0</v>
      </c>
      <c r="BC267" s="48">
        <f>IF(50&gt;Fin,BB$267,IF(AND(BC$8=1,ISNUMBER(Reales!BC82)),IF(Reales!$C$82="PYG",IF(BC$10&gt;0,N(Reales!BC82)/BC$10,0),N(Reales!BC82)),BC$257*V_IVAmeses))</f>
        <v>0</v>
      </c>
      <c r="BD267" s="48">
        <f>IF(51&gt;Fin,BC$267,IF(AND(BD$8=1,ISNUMBER(Reales!BD82)),IF(Reales!$C$82="PYG",IF(BD$10&gt;0,N(Reales!BD82)/BD$10,0),N(Reales!BD82)),BD$257*V_IVAmeses))</f>
        <v>0</v>
      </c>
      <c r="BE267" s="48">
        <f>IF(52&gt;Fin,BD$267,IF(AND(BE$8=1,ISNUMBER(Reales!BE82)),IF(Reales!$C$82="PYG",IF(BE$10&gt;0,N(Reales!BE82)/BE$10,0),N(Reales!BE82)),BE$257*V_IVAmeses))</f>
        <v>0</v>
      </c>
      <c r="BF267" s="48">
        <f>IF(53&gt;Fin,BE$267,IF(AND(BF$8=1,ISNUMBER(Reales!BF82)),IF(Reales!$C$82="PYG",IF(BF$10&gt;0,N(Reales!BF82)/BF$10,0),N(Reales!BF82)),BF$257*V_IVAmeses))</f>
        <v>0</v>
      </c>
      <c r="BG267" s="48">
        <f>IF(54&gt;Fin,BF$267,IF(AND(BG$8=1,ISNUMBER(Reales!BG82)),IF(Reales!$C$82="PYG",IF(BG$10&gt;0,N(Reales!BG82)/BG$10,0),N(Reales!BG82)),BG$257*V_IVAmeses))</f>
        <v>0</v>
      </c>
      <c r="BH267" s="48">
        <f>IF(55&gt;Fin,BG$267,IF(AND(BH$8=1,ISNUMBER(Reales!BH82)),IF(Reales!$C$82="PYG",IF(BH$10&gt;0,N(Reales!BH82)/BH$10,0),N(Reales!BH82)),BH$257*V_IVAmeses))</f>
        <v>0</v>
      </c>
      <c r="BI267" s="48">
        <f>IF(56&gt;Fin,BH$267,IF(AND(BI$8=1,ISNUMBER(Reales!BI82)),IF(Reales!$C$82="PYG",IF(BI$10&gt;0,N(Reales!BI82)/BI$10,0),N(Reales!BI82)),BI$257*V_IVAmeses))</f>
        <v>0</v>
      </c>
      <c r="BJ267" s="48">
        <f>IF(57&gt;Fin,BI$267,IF(AND(BJ$8=1,ISNUMBER(Reales!BJ82)),IF(Reales!$C$82="PYG",IF(BJ$10&gt;0,N(Reales!BJ82)/BJ$10,0),N(Reales!BJ82)),BJ$257*V_IVAmeses))</f>
        <v>0</v>
      </c>
      <c r="BK267" s="48">
        <f>IF(58&gt;Fin,BJ$267,IF(AND(BK$8=1,ISNUMBER(Reales!BK82)),IF(Reales!$C$82="PYG",IF(BK$10&gt;0,N(Reales!BK82)/BK$10,0),N(Reales!BK82)),BK$257*V_IVAmeses))</f>
        <v>0</v>
      </c>
      <c r="BL267" s="48">
        <f>IF(59&gt;Fin,BK$267,IF(AND(BL$8=1,ISNUMBER(Reales!BL82)),IF(Reales!$C$82="PYG",IF(BL$10&gt;0,N(Reales!BL82)/BL$10,0),N(Reales!BL82)),BL$257*V_IVAmeses))</f>
        <v>0</v>
      </c>
      <c r="BM267" s="48">
        <f>IF(60&gt;Fin,BL$267,IF(AND(BM$8=1,ISNUMBER(Reales!BM82)),IF(Reales!$C$82="PYG",IF(BM$10&gt;0,N(Reales!BM82)/BM$10,0),N(Reales!BM82)),BM$257*V_IVAmeses))</f>
        <v>0</v>
      </c>
      <c r="BN267" s="48">
        <f>IF(61&gt;Fin,BM$267,IF(AND(BN$8=1,ISNUMBER(Reales!BN82)),IF(Reales!$C$82="PYG",IF(BN$10&gt;0,N(Reales!BN82)/BN$10,0),N(Reales!BN82)),BN$257*V_IVAmeses))</f>
        <v>0</v>
      </c>
      <c r="BO267" s="48">
        <f>IF(62&gt;Fin,BN$267,IF(AND(BO$8=1,ISNUMBER(Reales!BO82)),IF(Reales!$C$82="PYG",IF(BO$10&gt;0,N(Reales!BO82)/BO$10,0),N(Reales!BO82)),BO$257*V_IVAmeses))</f>
        <v>0</v>
      </c>
      <c r="BP267" s="48">
        <f>IF(63&gt;Fin,BO$267,IF(AND(BP$8=1,ISNUMBER(Reales!BP82)),IF(Reales!$C$82="PYG",IF(BP$10&gt;0,N(Reales!BP82)/BP$10,0),N(Reales!BP82)),BP$257*V_IVAmeses))</f>
        <v>0</v>
      </c>
      <c r="BQ267" s="48">
        <f>IF(64&gt;Fin,BP$267,IF(AND(BQ$8=1,ISNUMBER(Reales!BQ82)),IF(Reales!$C$82="PYG",IF(BQ$10&gt;0,N(Reales!BQ82)/BQ$10,0),N(Reales!BQ82)),BQ$257*V_IVAmeses))</f>
        <v>0</v>
      </c>
      <c r="BR267" s="48">
        <f>IF(65&gt;Fin,BQ$267,IF(AND(BR$8=1,ISNUMBER(Reales!BR82)),IF(Reales!$C$82="PYG",IF(BR$10&gt;0,N(Reales!BR82)/BR$10,0),N(Reales!BR82)),BR$257*V_IVAmeses))</f>
        <v>0</v>
      </c>
      <c r="BS267" s="48">
        <f>IF(66&gt;Fin,BR$267,IF(AND(BS$8=1,ISNUMBER(Reales!BS82)),IF(Reales!$C$82="PYG",IF(BS$10&gt;0,N(Reales!BS82)/BS$10,0),N(Reales!BS82)),BS$257*V_IVAmeses))</f>
        <v>0</v>
      </c>
      <c r="BT267" s="48">
        <f>IF(67&gt;Fin,BS$267,IF(AND(BT$8=1,ISNUMBER(Reales!BT82)),IF(Reales!$C$82="PYG",IF(BT$10&gt;0,N(Reales!BT82)/BT$10,0),N(Reales!BT82)),BT$257*V_IVAmeses))</f>
        <v>0</v>
      </c>
      <c r="BU267" s="48">
        <f>IF(68&gt;Fin,BT$267,IF(AND(BU$8=1,ISNUMBER(Reales!BU82)),IF(Reales!$C$82="PYG",IF(BU$10&gt;0,N(Reales!BU82)/BU$10,0),N(Reales!BU82)),BU$257*V_IVAmeses))</f>
        <v>0</v>
      </c>
      <c r="BV267" s="48">
        <f>IF(69&gt;Fin,BU$267,IF(AND(BV$8=1,ISNUMBER(Reales!BV82)),IF(Reales!$C$82="PYG",IF(BV$10&gt;0,N(Reales!BV82)/BV$10,0),N(Reales!BV82)),BV$257*V_IVAmeses))</f>
        <v>0</v>
      </c>
      <c r="BW267" s="48">
        <f>IF(70&gt;Fin,BV$267,IF(AND(BW$8=1,ISNUMBER(Reales!BW82)),IF(Reales!$C$82="PYG",IF(BW$10&gt;0,N(Reales!BW82)/BW$10,0),N(Reales!BW82)),BW$257*V_IVAmeses))</f>
        <v>0</v>
      </c>
      <c r="BX267" s="48">
        <f>IF(71&gt;Fin,BW$267,IF(AND(BX$8=1,ISNUMBER(Reales!BX82)),IF(Reales!$C$82="PYG",IF(BX$10&gt;0,N(Reales!BX82)/BX$10,0),N(Reales!BX82)),BX$257*V_IVAmeses))</f>
        <v>0</v>
      </c>
      <c r="BY267" s="48">
        <f>IF(72&gt;Fin,BX$267,IF(AND(BY$8=1,ISNUMBER(Reales!BY82)),IF(Reales!$C$82="PYG",IF(BY$10&gt;0,N(Reales!BY82)/BY$10,0),N(Reales!BY82)),BY$257*V_IVAmeses))</f>
        <v>0</v>
      </c>
      <c r="BZ267" s="48">
        <f>IF(73&gt;Fin,BY$267,IF(AND(BZ$8=1,ISNUMBER(Reales!BZ82)),IF(Reales!$C$82="PYG",IF(BZ$10&gt;0,N(Reales!BZ82)/BZ$10,0),N(Reales!BZ82)),BZ$257*V_IVAmeses))</f>
        <v>0</v>
      </c>
      <c r="CA267" s="48">
        <f>IF(74&gt;Fin,BZ$267,IF(AND(CA$8=1,ISNUMBER(Reales!CA82)),IF(Reales!$C$82="PYG",IF(CA$10&gt;0,N(Reales!CA82)/CA$10,0),N(Reales!CA82)),CA$257*V_IVAmeses))</f>
        <v>0</v>
      </c>
      <c r="CB267" s="48">
        <f>IF(75&gt;Fin,CA$267,IF(AND(CB$8=1,ISNUMBER(Reales!CB82)),IF(Reales!$C$82="PYG",IF(CB$10&gt;0,N(Reales!CB82)/CB$10,0),N(Reales!CB82)),CB$257*V_IVAmeses))</f>
        <v>0</v>
      </c>
      <c r="CC267" s="48">
        <f>IF(76&gt;Fin,CB$267,IF(AND(CC$8=1,ISNUMBER(Reales!CC82)),IF(Reales!$C$82="PYG",IF(CC$10&gt;0,N(Reales!CC82)/CC$10,0),N(Reales!CC82)),CC$257*V_IVAmeses))</f>
        <v>0</v>
      </c>
      <c r="CD267" s="48">
        <f>IF(77&gt;Fin,CC$267,IF(AND(CD$8=1,ISNUMBER(Reales!CD82)),IF(Reales!$C$82="PYG",IF(CD$10&gt;0,N(Reales!CD82)/CD$10,0),N(Reales!CD82)),CD$257*V_IVAmeses))</f>
        <v>0</v>
      </c>
      <c r="CE267" s="48">
        <f>IF(78&gt;Fin,CD$267,IF(AND(CE$8=1,ISNUMBER(Reales!CE82)),IF(Reales!$C$82="PYG",IF(CE$10&gt;0,N(Reales!CE82)/CE$10,0),N(Reales!CE82)),CE$257*V_IVAmeses))</f>
        <v>0</v>
      </c>
      <c r="CF267" s="48">
        <f>IF(79&gt;Fin,CE$267,IF(AND(CF$8=1,ISNUMBER(Reales!CF82)),IF(Reales!$C$82="PYG",IF(CF$10&gt;0,N(Reales!CF82)/CF$10,0),N(Reales!CF82)),CF$257*V_IVAmeses))</f>
        <v>0</v>
      </c>
      <c r="CG267" s="48">
        <f>IF(80&gt;Fin,CF$267,IF(AND(CG$8=1,ISNUMBER(Reales!CG82)),IF(Reales!$C$82="PYG",IF(CG$10&gt;0,N(Reales!CG82)/CG$10,0),N(Reales!CG82)),CG$257*V_IVAmeses))</f>
        <v>0</v>
      </c>
      <c r="CH267" s="48">
        <f>IF(81&gt;Fin,CG$267,IF(AND(CH$8=1,ISNUMBER(Reales!CH82)),IF(Reales!$C$82="PYG",IF(CH$10&gt;0,N(Reales!CH82)/CH$10,0),N(Reales!CH82)),CH$257*V_IVAmeses))</f>
        <v>0</v>
      </c>
      <c r="CI267" s="48">
        <f>IF(82&gt;Fin,CH$267,IF(AND(CI$8=1,ISNUMBER(Reales!CI82)),IF(Reales!$C$82="PYG",IF(CI$10&gt;0,N(Reales!CI82)/CI$10,0),N(Reales!CI82)),CI$257*V_IVAmeses))</f>
        <v>0</v>
      </c>
      <c r="CJ267" s="48">
        <f>IF(83&gt;Fin,CI$267,IF(AND(CJ$8=1,ISNUMBER(Reales!CJ82)),IF(Reales!$C$82="PYG",IF(CJ$10&gt;0,N(Reales!CJ82)/CJ$10,0),N(Reales!CJ82)),CJ$257*V_IVAmeses))</f>
        <v>0</v>
      </c>
      <c r="CK267" s="48">
        <f>IF(84&gt;Fin,CJ$267,IF(AND(CK$8=1,ISNUMBER(Reales!CK82)),IF(Reales!$C$82="PYG",IF(CK$10&gt;0,N(Reales!CK82)/CK$10,0),N(Reales!CK82)),CK$257*V_IVAmeses))</f>
        <v>0</v>
      </c>
      <c r="CL267" s="48">
        <f>IF(85&gt;Fin,CK$267,IF(AND(CL$8=1,ISNUMBER(Reales!CL82)),IF(Reales!$C$82="PYG",IF(CL$10&gt;0,N(Reales!CL82)/CL$10,0),N(Reales!CL82)),CL$257*V_IVAmeses))</f>
        <v>0</v>
      </c>
      <c r="CM267" s="48">
        <f>IF(86&gt;Fin,CL$267,IF(AND(CM$8=1,ISNUMBER(Reales!CM82)),IF(Reales!$C$82="PYG",IF(CM$10&gt;0,N(Reales!CM82)/CM$10,0),N(Reales!CM82)),CM$257*V_IVAmeses))</f>
        <v>0</v>
      </c>
      <c r="CN267" s="48">
        <f>IF(87&gt;Fin,CM$267,IF(AND(CN$8=1,ISNUMBER(Reales!CN82)),IF(Reales!$C$82="PYG",IF(CN$10&gt;0,N(Reales!CN82)/CN$10,0),N(Reales!CN82)),CN$257*V_IVAmeses))</f>
        <v>0</v>
      </c>
      <c r="CO267" s="48">
        <f>IF(88&gt;Fin,CN$267,IF(AND(CO$8=1,ISNUMBER(Reales!CO82)),IF(Reales!$C$82="PYG",IF(CO$10&gt;0,N(Reales!CO82)/CO$10,0),N(Reales!CO82)),CO$257*V_IVAmeses))</f>
        <v>0</v>
      </c>
      <c r="CP267" s="48">
        <f>IF(89&gt;Fin,CO$267,IF(AND(CP$8=1,ISNUMBER(Reales!CP82)),IF(Reales!$C$82="PYG",IF(CP$10&gt;0,N(Reales!CP82)/CP$10,0),N(Reales!CP82)),CP$257*V_IVAmeses))</f>
        <v>0</v>
      </c>
      <c r="CQ267" s="48">
        <f>IF(90&gt;Fin,CP$267,IF(AND(CQ$8=1,ISNUMBER(Reales!CQ82)),IF(Reales!$C$82="PYG",IF(CQ$10&gt;0,N(Reales!CQ82)/CQ$10,0),N(Reales!CQ82)),CQ$257*V_IVAmeses))</f>
        <v>0</v>
      </c>
      <c r="CR267" s="48">
        <f>IF(91&gt;Fin,CQ$267,IF(AND(CR$8=1,ISNUMBER(Reales!CR82)),IF(Reales!$C$82="PYG",IF(CR$10&gt;0,N(Reales!CR82)/CR$10,0),N(Reales!CR82)),CR$257*V_IVAmeses))</f>
        <v>0</v>
      </c>
      <c r="CS267" s="48">
        <f>IF(92&gt;Fin,CR$267,IF(AND(CS$8=1,ISNUMBER(Reales!CS82)),IF(Reales!$C$82="PYG",IF(CS$10&gt;0,N(Reales!CS82)/CS$10,0),N(Reales!CS82)),CS$257*V_IVAmeses))</f>
        <v>0</v>
      </c>
      <c r="CT267" s="48">
        <f>IF(93&gt;Fin,CS$267,IF(AND(CT$8=1,ISNUMBER(Reales!CT82)),IF(Reales!$C$82="PYG",IF(CT$10&gt;0,N(Reales!CT82)/CT$10,0),N(Reales!CT82)),CT$257*V_IVAmeses))</f>
        <v>0</v>
      </c>
      <c r="CU267" s="48">
        <f>IF(94&gt;Fin,CT$267,IF(AND(CU$8=1,ISNUMBER(Reales!CU82)),IF(Reales!$C$82="PYG",IF(CU$10&gt;0,N(Reales!CU82)/CU$10,0),N(Reales!CU82)),CU$257*V_IVAmeses))</f>
        <v>0</v>
      </c>
      <c r="CV267" s="48">
        <f>IF(95&gt;Fin,CU$267,IF(AND(CV$8=1,ISNUMBER(Reales!CV82)),IF(Reales!$C$82="PYG",IF(CV$10&gt;0,N(Reales!CV82)/CV$10,0),N(Reales!CV82)),CV$257*V_IVAmeses))</f>
        <v>0</v>
      </c>
      <c r="CW267" s="48">
        <f>IF(96&gt;Fin,CV$267,IF(AND(CW$8=1,ISNUMBER(Reales!CW82)),IF(Reales!$C$82="PYG",IF(CW$10&gt;0,N(Reales!CW82)/CW$10,0),N(Reales!CW82)),CW$257*V_IVAmeses))</f>
        <v>0</v>
      </c>
      <c r="CX267" s="48">
        <f>IF(97&gt;Fin,CW$267,IF(AND(CX$8=1,ISNUMBER(Reales!CX82)),IF(Reales!$C$82="PYG",IF(CX$10&gt;0,N(Reales!CX82)/CX$10,0),N(Reales!CX82)),CX$257*V_IVAmeses))</f>
        <v>0</v>
      </c>
      <c r="CY267" s="48">
        <f>IF(98&gt;Fin,CX$267,IF(AND(CY$8=1,ISNUMBER(Reales!CY82)),IF(Reales!$C$82="PYG",IF(CY$10&gt;0,N(Reales!CY82)/CY$10,0),N(Reales!CY82)),CY$257*V_IVAmeses))</f>
        <v>0</v>
      </c>
      <c r="CZ267" s="48">
        <f>IF(99&gt;Fin,CY$267,IF(AND(CZ$8=1,ISNUMBER(Reales!CZ82)),IF(Reales!$C$82="PYG",IF(CZ$10&gt;0,N(Reales!CZ82)/CZ$10,0),N(Reales!CZ82)),CZ$257*V_IVAmeses))</f>
        <v>0</v>
      </c>
      <c r="DA267" s="48">
        <f>IF(100&gt;Fin,CZ$267,IF(AND(DA$8=1,ISNUMBER(Reales!DA82)),IF(Reales!$C$82="PYG",IF(DA$10&gt;0,N(Reales!DA82)/DA$10,0),N(Reales!DA82)),DA$257*V_IVAmeses))</f>
        <v>0</v>
      </c>
      <c r="DB267" s="48">
        <f>IF(101&gt;Fin,DA$267,IF(AND(DB$8=1,ISNUMBER(Reales!DB82)),IF(Reales!$C$82="PYG",IF(DB$10&gt;0,N(Reales!DB82)/DB$10,0),N(Reales!DB82)),DB$257*V_IVAmeses))</f>
        <v>0</v>
      </c>
      <c r="DC267" s="48">
        <f>IF(102&gt;Fin,DB$267,IF(AND(DC$8=1,ISNUMBER(Reales!DC82)),IF(Reales!$C$82="PYG",IF(DC$10&gt;0,N(Reales!DC82)/DC$10,0),N(Reales!DC82)),DC$257*V_IVAmeses))</f>
        <v>0</v>
      </c>
      <c r="DD267" s="48">
        <f>IF(103&gt;Fin,DC$267,IF(AND(DD$8=1,ISNUMBER(Reales!DD82)),IF(Reales!$C$82="PYG",IF(DD$10&gt;0,N(Reales!DD82)/DD$10,0),N(Reales!DD82)),DD$257*V_IVAmeses))</f>
        <v>0</v>
      </c>
      <c r="DE267" s="48">
        <f>IF(104&gt;Fin,DD$267,IF(AND(DE$8=1,ISNUMBER(Reales!DE82)),IF(Reales!$C$82="PYG",IF(DE$10&gt;0,N(Reales!DE82)/DE$10,0),N(Reales!DE82)),DE$257*V_IVAmeses))</f>
        <v>0</v>
      </c>
      <c r="DF267" s="48">
        <f>IF(105&gt;Fin,DE$267,IF(AND(DF$8=1,ISNUMBER(Reales!DF82)),IF(Reales!$C$82="PYG",IF(DF$10&gt;0,N(Reales!DF82)/DF$10,0),N(Reales!DF82)),DF$257*V_IVAmeses))</f>
        <v>0</v>
      </c>
      <c r="DG267" s="48">
        <f>IF(106&gt;Fin,DF$267,IF(AND(DG$8=1,ISNUMBER(Reales!DG82)),IF(Reales!$C$82="PYG",IF(DG$10&gt;0,N(Reales!DG82)/DG$10,0),N(Reales!DG82)),DG$257*V_IVAmeses))</f>
        <v>0</v>
      </c>
      <c r="DH267" s="48">
        <f>IF(107&gt;Fin,DG$267,IF(AND(DH$8=1,ISNUMBER(Reales!DH82)),IF(Reales!$C$82="PYG",IF(DH$10&gt;0,N(Reales!DH82)/DH$10,0),N(Reales!DH82)),DH$257*V_IVAmeses))</f>
        <v>0</v>
      </c>
      <c r="DI267" s="48">
        <f>IF(108&gt;Fin,DH$267,IF(AND(DI$8=1,ISNUMBER(Reales!DI82)),IF(Reales!$C$82="PYG",IF(DI$10&gt;0,N(Reales!DI82)/DI$10,0),N(Reales!DI82)),DI$257*V_IVAmeses))</f>
        <v>0</v>
      </c>
      <c r="DJ267" s="48">
        <f>IF(109&gt;Fin,DI$267,IF(AND(DJ$8=1,ISNUMBER(Reales!DJ82)),IF(Reales!$C$82="PYG",IF(DJ$10&gt;0,N(Reales!DJ82)/DJ$10,0),N(Reales!DJ82)),DJ$257*V_IVAmeses))</f>
        <v>0</v>
      </c>
      <c r="DK267" s="48">
        <f>IF(110&gt;Fin,DJ$267,IF(AND(DK$8=1,ISNUMBER(Reales!DK82)),IF(Reales!$C$82="PYG",IF(DK$10&gt;0,N(Reales!DK82)/DK$10,0),N(Reales!DK82)),DK$257*V_IVAmeses))</f>
        <v>0</v>
      </c>
      <c r="DL267" s="48">
        <f>IF(111&gt;Fin,DK$267,IF(AND(DL$8=1,ISNUMBER(Reales!DL82)),IF(Reales!$C$82="PYG",IF(DL$10&gt;0,N(Reales!DL82)/DL$10,0),N(Reales!DL82)),DL$257*V_IVAmeses))</f>
        <v>0</v>
      </c>
      <c r="DM267" s="48">
        <f>IF(112&gt;Fin,DL$267,IF(AND(DM$8=1,ISNUMBER(Reales!DM82)),IF(Reales!$C$82="PYG",IF(DM$10&gt;0,N(Reales!DM82)/DM$10,0),N(Reales!DM82)),DM$257*V_IVAmeses))</f>
        <v>0</v>
      </c>
      <c r="DN267" s="48">
        <f>IF(113&gt;Fin,DM$267,IF(AND(DN$8=1,ISNUMBER(Reales!DN82)),IF(Reales!$C$82="PYG",IF(DN$10&gt;0,N(Reales!DN82)/DN$10,0),N(Reales!DN82)),DN$257*V_IVAmeses))</f>
        <v>0</v>
      </c>
      <c r="DO267" s="48">
        <f>IF(114&gt;Fin,DN$267,IF(AND(DO$8=1,ISNUMBER(Reales!DO82)),IF(Reales!$C$82="PYG",IF(DO$10&gt;0,N(Reales!DO82)/DO$10,0),N(Reales!DO82)),DO$257*V_IVAmeses))</f>
        <v>0</v>
      </c>
      <c r="DP267" s="48">
        <f>IF(115&gt;Fin,DO$267,IF(AND(DP$8=1,ISNUMBER(Reales!DP82)),IF(Reales!$C$82="PYG",IF(DP$10&gt;0,N(Reales!DP82)/DP$10,0),N(Reales!DP82)),DP$257*V_IVAmeses))</f>
        <v>0</v>
      </c>
      <c r="DQ267" s="48">
        <f>IF(116&gt;Fin,DP$267,IF(AND(DQ$8=1,ISNUMBER(Reales!DQ82)),IF(Reales!$C$82="PYG",IF(DQ$10&gt;0,N(Reales!DQ82)/DQ$10,0),N(Reales!DQ82)),DQ$257*V_IVAmeses))</f>
        <v>0</v>
      </c>
      <c r="DR267" s="48">
        <f>IF(117&gt;Fin,DQ$267,IF(AND(DR$8=1,ISNUMBER(Reales!DR82)),IF(Reales!$C$82="PYG",IF(DR$10&gt;0,N(Reales!DR82)/DR$10,0),N(Reales!DR82)),DR$257*V_IVAmeses))</f>
        <v>0</v>
      </c>
      <c r="DS267" s="48">
        <f>IF(118&gt;Fin,DR$267,IF(AND(DS$8=1,ISNUMBER(Reales!DS82)),IF(Reales!$C$82="PYG",IF(DS$10&gt;0,N(Reales!DS82)/DS$10,0),N(Reales!DS82)),DS$257*V_IVAmeses))</f>
        <v>0</v>
      </c>
      <c r="DT267" s="48">
        <f>IF(119&gt;Fin,DS$267,IF(AND(DT$8=1,ISNUMBER(Reales!DT82)),IF(Reales!$C$82="PYG",IF(DT$10&gt;0,N(Reales!DT82)/DT$10,0),N(Reales!DT82)),DT$257*V_IVAmeses))</f>
        <v>0</v>
      </c>
      <c r="DU267" s="48">
        <f>IF(120&gt;Fin,DT$267,IF(AND(DU$8=1,ISNUMBER(Reales!DU82)),IF(Reales!$C$82="PYG",IF(DU$10&gt;0,N(Reales!DU82)/DU$10,0),N(Reales!DU82)),DU$257*V_IVAmeses))</f>
        <v>0</v>
      </c>
      <c r="DV267" s="48">
        <f>IF(121&gt;Fin,DU$267,IF(AND(DV$8=1,ISNUMBER(Reales!DV82)),IF(Reales!$C$82="PYG",IF(DV$10&gt;0,N(Reales!DV82)/DV$10,0),N(Reales!DV82)),DV$257*V_IVAmeses))</f>
        <v>0</v>
      </c>
      <c r="DW267" s="48">
        <f>IF(122&gt;Fin,DV$267,IF(AND(DW$8=1,ISNUMBER(Reales!DW82)),IF(Reales!$C$82="PYG",IF(DW$10&gt;0,N(Reales!DW82)/DW$10,0),N(Reales!DW82)),DW$257*V_IVAmeses))</f>
        <v>0</v>
      </c>
      <c r="DX267" s="48">
        <f>IF(123&gt;Fin,DW$267,IF(AND(DX$8=1,ISNUMBER(Reales!DX82)),IF(Reales!$C$82="PYG",IF(DX$10&gt;0,N(Reales!DX82)/DX$10,0),N(Reales!DX82)),DX$257*V_IVAmeses))</f>
        <v>0</v>
      </c>
      <c r="DY267" s="48">
        <f>IF(124&gt;Fin,DX$267,IF(AND(DY$8=1,ISNUMBER(Reales!DY82)),IF(Reales!$C$82="PYG",IF(DY$10&gt;0,N(Reales!DY82)/DY$10,0),N(Reales!DY82)),DY$257*V_IVAmeses))</f>
        <v>0</v>
      </c>
      <c r="DZ267" s="48">
        <f>IF(125&gt;Fin,DY$267,IF(AND(DZ$8=1,ISNUMBER(Reales!DZ82)),IF(Reales!$C$82="PYG",IF(DZ$10&gt;0,N(Reales!DZ82)/DZ$10,0),N(Reales!DZ82)),DZ$257*V_IVAmeses))</f>
        <v>0</v>
      </c>
      <c r="EA267" s="48">
        <f>IF(126&gt;Fin,DZ$267,IF(AND(EA$8=1,ISNUMBER(Reales!EA82)),IF(Reales!$C$82="PYG",IF(EA$10&gt;0,N(Reales!EA82)/EA$10,0),N(Reales!EA82)),EA$257*V_IVAmeses))</f>
        <v>0</v>
      </c>
      <c r="EB267" s="48">
        <f>IF(127&gt;Fin,EA$267,IF(AND(EB$8=1,ISNUMBER(Reales!EB82)),IF(Reales!$C$82="PYG",IF(EB$10&gt;0,N(Reales!EB82)/EB$10,0),N(Reales!EB82)),EB$257*V_IVAmeses))</f>
        <v>0</v>
      </c>
      <c r="EC267" s="48">
        <f>IF(128&gt;Fin,EB$267,IF(AND(EC$8=1,ISNUMBER(Reales!EC82)),IF(Reales!$C$82="PYG",IF(EC$10&gt;0,N(Reales!EC82)/EC$10,0),N(Reales!EC82)),EC$257*V_IVAmeses))</f>
        <v>0</v>
      </c>
      <c r="ED267" s="48">
        <f>IF(129&gt;Fin,EC$267,IF(AND(ED$8=1,ISNUMBER(Reales!ED82)),IF(Reales!$C$82="PYG",IF(ED$10&gt;0,N(Reales!ED82)/ED$10,0),N(Reales!ED82)),ED$257*V_IVAmeses))</f>
        <v>0</v>
      </c>
      <c r="EE267" s="48">
        <f>IF(130&gt;Fin,ED$267,IF(AND(EE$8=1,ISNUMBER(Reales!EE82)),IF(Reales!$C$82="PYG",IF(EE$10&gt;0,N(Reales!EE82)/EE$10,0),N(Reales!EE82)),EE$257*V_IVAmeses))</f>
        <v>0</v>
      </c>
      <c r="EF267" s="48">
        <f>IF(131&gt;Fin,EE$267,IF(AND(EF$8=1,ISNUMBER(Reales!EF82)),IF(Reales!$C$82="PYG",IF(EF$10&gt;0,N(Reales!EF82)/EF$10,0),N(Reales!EF82)),EF$257*V_IVAmeses))</f>
        <v>0</v>
      </c>
      <c r="EG267" s="48">
        <f>IF(132&gt;Fin,EF$267,IF(AND(EG$8=1,ISNUMBER(Reales!EG82)),IF(Reales!$C$82="PYG",IF(EG$10&gt;0,N(Reales!EG82)/EG$10,0),N(Reales!EG82)),EG$257*V_IVAmeses))</f>
        <v>0</v>
      </c>
      <c r="EH267" s="48">
        <f>IF(133&gt;Fin,EG$267,IF(AND(EH$8=1,ISNUMBER(Reales!EH82)),IF(Reales!$C$82="PYG",IF(EH$10&gt;0,N(Reales!EH82)/EH$10,0),N(Reales!EH82)),EH$257*V_IVAmeses))</f>
        <v>0</v>
      </c>
      <c r="EI267" s="48">
        <f>IF(134&gt;Fin,EH$267,IF(AND(EI$8=1,ISNUMBER(Reales!EI82)),IF(Reales!$C$82="PYG",IF(EI$10&gt;0,N(Reales!EI82)/EI$10,0),N(Reales!EI82)),EI$257*V_IVAmeses))</f>
        <v>0</v>
      </c>
      <c r="EJ267" s="48">
        <f>IF(135&gt;Fin,EI$267,IF(AND(EJ$8=1,ISNUMBER(Reales!EJ82)),IF(Reales!$C$82="PYG",IF(EJ$10&gt;0,N(Reales!EJ82)/EJ$10,0),N(Reales!EJ82)),EJ$257*V_IVAmeses))</f>
        <v>0</v>
      </c>
      <c r="EK267" s="48">
        <f>IF(136&gt;Fin,EJ$267,IF(AND(EK$8=1,ISNUMBER(Reales!EK82)),IF(Reales!$C$82="PYG",IF(EK$10&gt;0,N(Reales!EK82)/EK$10,0),N(Reales!EK82)),EK$257*V_IVAmeses))</f>
        <v>0</v>
      </c>
      <c r="EL267" s="48">
        <f>IF(137&gt;Fin,EK$267,IF(AND(EL$8=1,ISNUMBER(Reales!EL82)),IF(Reales!$C$82="PYG",IF(EL$10&gt;0,N(Reales!EL82)/EL$10,0),N(Reales!EL82)),EL$257*V_IVAmeses))</f>
        <v>0</v>
      </c>
      <c r="EM267" s="48">
        <f>IF(138&gt;Fin,EL$267,IF(AND(EM$8=1,ISNUMBER(Reales!EM82)),IF(Reales!$C$82="PYG",IF(EM$10&gt;0,N(Reales!EM82)/EM$10,0),N(Reales!EM82)),EM$257*V_IVAmeses))</f>
        <v>0</v>
      </c>
      <c r="EN267" s="48">
        <f>IF(139&gt;Fin,EM$267,IF(AND(EN$8=1,ISNUMBER(Reales!EN82)),IF(Reales!$C$82="PYG",IF(EN$10&gt;0,N(Reales!EN82)/EN$10,0),N(Reales!EN82)),EN$257*V_IVAmeses))</f>
        <v>0</v>
      </c>
      <c r="EO267" s="48">
        <f>IF(140&gt;Fin,EN$267,IF(AND(EO$8=1,ISNUMBER(Reales!EO82)),IF(Reales!$C$82="PYG",IF(EO$10&gt;0,N(Reales!EO82)/EO$10,0),N(Reales!EO82)),EO$257*V_IVAmeses))</f>
        <v>0</v>
      </c>
      <c r="EP267" s="48">
        <f>IF(141&gt;Fin,EO$267,IF(AND(EP$8=1,ISNUMBER(Reales!EP82)),IF(Reales!$C$82="PYG",IF(EP$10&gt;0,N(Reales!EP82)/EP$10,0),N(Reales!EP82)),EP$257*V_IVAmeses))</f>
        <v>0</v>
      </c>
      <c r="EQ267" s="48">
        <f>IF(142&gt;Fin,EP$267,IF(AND(EQ$8=1,ISNUMBER(Reales!EQ82)),IF(Reales!$C$82="PYG",IF(EQ$10&gt;0,N(Reales!EQ82)/EQ$10,0),N(Reales!EQ82)),EQ$257*V_IVAmeses))</f>
        <v>0</v>
      </c>
      <c r="ER267" s="48">
        <f>IF(143&gt;Fin,EQ$267,IF(AND(ER$8=1,ISNUMBER(Reales!ER82)),IF(Reales!$C$82="PYG",IF(ER$10&gt;0,N(Reales!ER82)/ER$10,0),N(Reales!ER82)),ER$257*V_IVAmeses))</f>
        <v>0</v>
      </c>
      <c r="ES267" s="48">
        <f>IF(144&gt;Fin,ER$267,IF(AND(ES$8=1,ISNUMBER(Reales!ES82)),IF(Reales!$C$82="PYG",IF(ES$10&gt;0,N(Reales!ES82)/ES$10,0),N(Reales!ES82)),ES$257*V_IVAmeses))</f>
        <v>0</v>
      </c>
    </row>
    <row r="268" spans="1:149" x14ac:dyDescent="0.3">
      <c r="A268" s="14" t="s">
        <v>1320</v>
      </c>
      <c r="B268" s="18" t="s">
        <v>1124</v>
      </c>
      <c r="C268" s="18" t="s">
        <v>439</v>
      </c>
      <c r="E268" s="54">
        <f>INDEX(F268:ES268,1,MIN(144,Fin))</f>
        <v>158331.69442298592</v>
      </c>
      <c r="F268" s="48">
        <f>IF(1&gt;Fin,0,IF(AND(F$8=1,ISNUMBER(Reales!F83)),IF(Reales!$C$83="PYG",IF(F$10&gt;0,N(Reales!F83)/F$10,0),N(Reales!F83)),F$249*V_DPOmp/DiasMes+(F$250+F$252+F$255+F$256)*V_DPOot/DiasMes))</f>
        <v>99105.492601008082</v>
      </c>
      <c r="G268" s="48">
        <f>IF(2&gt;Fin,F$268,IF(AND(G$8=1,ISNUMBER(Reales!G83)),IF(Reales!$C$83="PYG",IF(G$10&gt;0,N(Reales!G83)/G$10,0),N(Reales!G83)),G$249*V_DPOmp/DiasMes+(G$250+G$252+G$255+G$256)*V_DPOot/DiasMes))</f>
        <v>99105.492601008082</v>
      </c>
      <c r="H268" s="48">
        <f>IF(3&gt;Fin,G$268,IF(AND(H$8=1,ISNUMBER(Reales!H83)),IF(Reales!$C$83="PYG",IF(H$10&gt;0,N(Reales!H83)/H$10,0),N(Reales!H83)),H$249*V_DPOmp/DiasMes+(H$250+H$252+H$255+H$256)*V_DPOot/DiasMes))</f>
        <v>99105.492601008082</v>
      </c>
      <c r="I268" s="48">
        <f>IF(4&gt;Fin,H$268,IF(AND(I$8=1,ISNUMBER(Reales!I83)),IF(Reales!$C$83="PYG",IF(I$10&gt;0,N(Reales!I83)/I$10,0),N(Reales!I83)),I$249*V_DPOmp/DiasMes+(I$250+I$252+I$255+I$256)*V_DPOot/DiasMes))</f>
        <v>99105.492601008082</v>
      </c>
      <c r="J268" s="48">
        <f>IF(5&gt;Fin,I$268,IF(AND(J$8=1,ISNUMBER(Reales!J83)),IF(Reales!$C$83="PYG",IF(J$10&gt;0,N(Reales!J83)/J$10,0),N(Reales!J83)),J$249*V_DPOmp/DiasMes+(J$250+J$252+J$255+J$256)*V_DPOot/DiasMes))</f>
        <v>99105.492601008082</v>
      </c>
      <c r="K268" s="48">
        <f>IF(6&gt;Fin,J$268,IF(AND(K$8=1,ISNUMBER(Reales!K83)),IF(Reales!$C$83="PYG",IF(K$10&gt;0,N(Reales!K83)/K$10,0),N(Reales!K83)),K$249*V_DPOmp/DiasMes+(K$250+K$252+K$255+K$256)*V_DPOot/DiasMes))</f>
        <v>99105.492601008082</v>
      </c>
      <c r="L268" s="48">
        <f>IF(7&gt;Fin,K$268,IF(AND(L$8=1,ISNUMBER(Reales!L83)),IF(Reales!$C$83="PYG",IF(L$10&gt;0,N(Reales!L83)/L$10,0),N(Reales!L83)),L$249*V_DPOmp/DiasMes+(L$250+L$252+L$255+L$256)*V_DPOot/DiasMes))</f>
        <v>99105.492601008082</v>
      </c>
      <c r="M268" s="48">
        <f>IF(8&gt;Fin,L$268,IF(AND(M$8=1,ISNUMBER(Reales!M83)),IF(Reales!$C$83="PYG",IF(M$10&gt;0,N(Reales!M83)/M$10,0),N(Reales!M83)),M$249*V_DPOmp/DiasMes+(M$250+M$252+M$255+M$256)*V_DPOot/DiasMes))</f>
        <v>99105.492601008082</v>
      </c>
      <c r="N268" s="48">
        <f>IF(9&gt;Fin,M$268,IF(AND(N$8=1,ISNUMBER(Reales!N83)),IF(Reales!$C$83="PYG",IF(N$10&gt;0,N(Reales!N83)/N$10,0),N(Reales!N83)),N$249*V_DPOmp/DiasMes+(N$250+N$252+N$255+N$256)*V_DPOot/DiasMes))</f>
        <v>99105.492601008082</v>
      </c>
      <c r="O268" s="48">
        <f>IF(10&gt;Fin,N$268,IF(AND(O$8=1,ISNUMBER(Reales!O83)),IF(Reales!$C$83="PYG",IF(O$10&gt;0,N(Reales!O83)/O$10,0),N(Reales!O83)),O$249*V_DPOmp/DiasMes+(O$250+O$252+O$255+O$256)*V_DPOot/DiasMes))</f>
        <v>99105.492601008082</v>
      </c>
      <c r="P268" s="48">
        <f>IF(11&gt;Fin,O$268,IF(AND(P$8=1,ISNUMBER(Reales!P83)),IF(Reales!$C$83="PYG",IF(P$10&gt;0,N(Reales!P83)/P$10,0),N(Reales!P83)),P$249*V_DPOmp/DiasMes+(P$250+P$252+P$255+P$256)*V_DPOot/DiasMes))</f>
        <v>99105.492601008082</v>
      </c>
      <c r="Q268" s="48">
        <f>IF(12&gt;Fin,P$268,IF(AND(Q$8=1,ISNUMBER(Reales!Q83)),IF(Reales!$C$83="PYG",IF(Q$10&gt;0,N(Reales!Q83)/Q$10,0),N(Reales!Q83)),Q$249*V_DPOmp/DiasMes+(Q$250+Q$252+Q$255+Q$256)*V_DPOot/DiasMes))</f>
        <v>99105.492601008082</v>
      </c>
      <c r="R268" s="48">
        <f>IF(13&gt;Fin,Q$268,IF(AND(R$8=1,ISNUMBER(Reales!R83)),IF(Reales!$C$83="PYG",IF(R$10&gt;0,N(Reales!R83)/R$10,0),N(Reales!R83)),R$249*V_DPOmp/DiasMes+(R$250+R$252+R$255+R$256)*V_DPOot/DiasMes))</f>
        <v>117843.30107603548</v>
      </c>
      <c r="S268" s="48">
        <f>IF(14&gt;Fin,R$268,IF(AND(S$8=1,ISNUMBER(Reales!S83)),IF(Reales!$C$83="PYG",IF(S$10&gt;0,N(Reales!S83)/S$10,0),N(Reales!S83)),S$249*V_DPOmp/DiasMes+(S$250+S$252+S$255+S$256)*V_DPOot/DiasMes))</f>
        <v>117843.30107603548</v>
      </c>
      <c r="T268" s="48">
        <f>IF(15&gt;Fin,S$268,IF(AND(T$8=1,ISNUMBER(Reales!T83)),IF(Reales!$C$83="PYG",IF(T$10&gt;0,N(Reales!T83)/T$10,0),N(Reales!T83)),T$249*V_DPOmp/DiasMes+(T$250+T$252+T$255+T$256)*V_DPOot/DiasMes))</f>
        <v>117843.30107603548</v>
      </c>
      <c r="U268" s="48">
        <f>IF(16&gt;Fin,T$268,IF(AND(U$8=1,ISNUMBER(Reales!U83)),IF(Reales!$C$83="PYG",IF(U$10&gt;0,N(Reales!U83)/U$10,0),N(Reales!U83)),U$249*V_DPOmp/DiasMes+(U$250+U$252+U$255+U$256)*V_DPOot/DiasMes))</f>
        <v>117843.30107603548</v>
      </c>
      <c r="V268" s="48">
        <f>IF(17&gt;Fin,U$268,IF(AND(V$8=1,ISNUMBER(Reales!V83)),IF(Reales!$C$83="PYG",IF(V$10&gt;0,N(Reales!V83)/V$10,0),N(Reales!V83)),V$249*V_DPOmp/DiasMes+(V$250+V$252+V$255+V$256)*V_DPOot/DiasMes))</f>
        <v>117843.30107603548</v>
      </c>
      <c r="W268" s="48">
        <f>IF(18&gt;Fin,V$268,IF(AND(W$8=1,ISNUMBER(Reales!W83)),IF(Reales!$C$83="PYG",IF(W$10&gt;0,N(Reales!W83)/W$10,0),N(Reales!W83)),W$249*V_DPOmp/DiasMes+(W$250+W$252+W$255+W$256)*V_DPOot/DiasMes))</f>
        <v>117843.30107603548</v>
      </c>
      <c r="X268" s="48">
        <f>IF(19&gt;Fin,W$268,IF(AND(X$8=1,ISNUMBER(Reales!X83)),IF(Reales!$C$83="PYG",IF(X$10&gt;0,N(Reales!X83)/X$10,0),N(Reales!X83)),X$249*V_DPOmp/DiasMes+(X$250+X$252+X$255+X$256)*V_DPOot/DiasMes))</f>
        <v>117843.30107603548</v>
      </c>
      <c r="Y268" s="48">
        <f>IF(20&gt;Fin,X$268,IF(AND(Y$8=1,ISNUMBER(Reales!Y83)),IF(Reales!$C$83="PYG",IF(Y$10&gt;0,N(Reales!Y83)/Y$10,0),N(Reales!Y83)),Y$249*V_DPOmp/DiasMes+(Y$250+Y$252+Y$255+Y$256)*V_DPOot/DiasMes))</f>
        <v>117843.30107603548</v>
      </c>
      <c r="Z268" s="48">
        <f>IF(21&gt;Fin,Y$268,IF(AND(Z$8=1,ISNUMBER(Reales!Z83)),IF(Reales!$C$83="PYG",IF(Z$10&gt;0,N(Reales!Z83)/Z$10,0),N(Reales!Z83)),Z$249*V_DPOmp/DiasMes+(Z$250+Z$252+Z$255+Z$256)*V_DPOot/DiasMes))</f>
        <v>117843.30107603548</v>
      </c>
      <c r="AA268" s="48">
        <f>IF(22&gt;Fin,Z$268,IF(AND(AA$8=1,ISNUMBER(Reales!AA83)),IF(Reales!$C$83="PYG",IF(AA$10&gt;0,N(Reales!AA83)/AA$10,0),N(Reales!AA83)),AA$249*V_DPOmp/DiasMes+(AA$250+AA$252+AA$255+AA$256)*V_DPOot/DiasMes))</f>
        <v>117843.30107603548</v>
      </c>
      <c r="AB268" s="48">
        <f>IF(23&gt;Fin,AA$268,IF(AND(AB$8=1,ISNUMBER(Reales!AB83)),IF(Reales!$C$83="PYG",IF(AB$10&gt;0,N(Reales!AB83)/AB$10,0),N(Reales!AB83)),AB$249*V_DPOmp/DiasMes+(AB$250+AB$252+AB$255+AB$256)*V_DPOot/DiasMes))</f>
        <v>117843.30107603548</v>
      </c>
      <c r="AC268" s="48">
        <f>IF(24&gt;Fin,AB$268,IF(AND(AC$8=1,ISNUMBER(Reales!AC83)),IF(Reales!$C$83="PYG",IF(AC$10&gt;0,N(Reales!AC83)/AC$10,0),N(Reales!AC83)),AC$249*V_DPOmp/DiasMes+(AC$250+AC$252+AC$255+AC$256)*V_DPOot/DiasMes))</f>
        <v>117843.30107603548</v>
      </c>
      <c r="AD268" s="48">
        <f>IF(25&gt;Fin,AC$268,IF(AND(AD$8=1,ISNUMBER(Reales!AD83)),IF(Reales!$C$83="PYG",IF(AD$10&gt;0,N(Reales!AD83)/AD$10,0),N(Reales!AD83)),AD$249*V_DPOmp/DiasMes+(AD$250+AD$252+AD$255+AD$256)*V_DPOot/DiasMes))</f>
        <v>136841.16448049096</v>
      </c>
      <c r="AE268" s="48">
        <f>IF(26&gt;Fin,AD$268,IF(AND(AE$8=1,ISNUMBER(Reales!AE83)),IF(Reales!$C$83="PYG",IF(AE$10&gt;0,N(Reales!AE83)/AE$10,0),N(Reales!AE83)),AE$249*V_DPOmp/DiasMes+(AE$250+AE$252+AE$255+AE$256)*V_DPOot/DiasMes))</f>
        <v>136841.16448049096</v>
      </c>
      <c r="AF268" s="48">
        <f>IF(27&gt;Fin,AE$268,IF(AND(AF$8=1,ISNUMBER(Reales!AF83)),IF(Reales!$C$83="PYG",IF(AF$10&gt;0,N(Reales!AF83)/AF$10,0),N(Reales!AF83)),AF$249*V_DPOmp/DiasMes+(AF$250+AF$252+AF$255+AF$256)*V_DPOot/DiasMes))</f>
        <v>136841.16448049096</v>
      </c>
      <c r="AG268" s="48">
        <f>IF(28&gt;Fin,AF$268,IF(AND(AG$8=1,ISNUMBER(Reales!AG83)),IF(Reales!$C$83="PYG",IF(AG$10&gt;0,N(Reales!AG83)/AG$10,0),N(Reales!AG83)),AG$249*V_DPOmp/DiasMes+(AG$250+AG$252+AG$255+AG$256)*V_DPOot/DiasMes))</f>
        <v>136841.16448049096</v>
      </c>
      <c r="AH268" s="48">
        <f>IF(29&gt;Fin,AG$268,IF(AND(AH$8=1,ISNUMBER(Reales!AH83)),IF(Reales!$C$83="PYG",IF(AH$10&gt;0,N(Reales!AH83)/AH$10,0),N(Reales!AH83)),AH$249*V_DPOmp/DiasMes+(AH$250+AH$252+AH$255+AH$256)*V_DPOot/DiasMes))</f>
        <v>136841.16448049096</v>
      </c>
      <c r="AI268" s="48">
        <f>IF(30&gt;Fin,AH$268,IF(AND(AI$8=1,ISNUMBER(Reales!AI83)),IF(Reales!$C$83="PYG",IF(AI$10&gt;0,N(Reales!AI83)/AI$10,0),N(Reales!AI83)),AI$249*V_DPOmp/DiasMes+(AI$250+AI$252+AI$255+AI$256)*V_DPOot/DiasMes))</f>
        <v>136841.16448049096</v>
      </c>
      <c r="AJ268" s="48">
        <f>IF(31&gt;Fin,AI$268,IF(AND(AJ$8=1,ISNUMBER(Reales!AJ83)),IF(Reales!$C$83="PYG",IF(AJ$10&gt;0,N(Reales!AJ83)/AJ$10,0),N(Reales!AJ83)),AJ$249*V_DPOmp/DiasMes+(AJ$250+AJ$252+AJ$255+AJ$256)*V_DPOot/DiasMes))</f>
        <v>136841.16448049096</v>
      </c>
      <c r="AK268" s="48">
        <f>IF(32&gt;Fin,AJ$268,IF(AND(AK$8=1,ISNUMBER(Reales!AK83)),IF(Reales!$C$83="PYG",IF(AK$10&gt;0,N(Reales!AK83)/AK$10,0),N(Reales!AK83)),AK$249*V_DPOmp/DiasMes+(AK$250+AK$252+AK$255+AK$256)*V_DPOot/DiasMes))</f>
        <v>136841.16448049096</v>
      </c>
      <c r="AL268" s="48">
        <f>IF(33&gt;Fin,AK$268,IF(AND(AL$8=1,ISNUMBER(Reales!AL83)),IF(Reales!$C$83="PYG",IF(AL$10&gt;0,N(Reales!AL83)/AL$10,0),N(Reales!AL83)),AL$249*V_DPOmp/DiasMes+(AL$250+AL$252+AL$255+AL$256)*V_DPOot/DiasMes))</f>
        <v>136841.16448049096</v>
      </c>
      <c r="AM268" s="48">
        <f>IF(34&gt;Fin,AL$268,IF(AND(AM$8=1,ISNUMBER(Reales!AM83)),IF(Reales!$C$83="PYG",IF(AM$10&gt;0,N(Reales!AM83)/AM$10,0),N(Reales!AM83)),AM$249*V_DPOmp/DiasMes+(AM$250+AM$252+AM$255+AM$256)*V_DPOot/DiasMes))</f>
        <v>136841.16448049096</v>
      </c>
      <c r="AN268" s="48">
        <f>IF(35&gt;Fin,AM$268,IF(AND(AN$8=1,ISNUMBER(Reales!AN83)),IF(Reales!$C$83="PYG",IF(AN$10&gt;0,N(Reales!AN83)/AN$10,0),N(Reales!AN83)),AN$249*V_DPOmp/DiasMes+(AN$250+AN$252+AN$255+AN$256)*V_DPOot/DiasMes))</f>
        <v>136841.16448049096</v>
      </c>
      <c r="AO268" s="48">
        <f>IF(36&gt;Fin,AN$268,IF(AND(AO$8=1,ISNUMBER(Reales!AO83)),IF(Reales!$C$83="PYG",IF(AO$10&gt;0,N(Reales!AO83)/AO$10,0),N(Reales!AO83)),AO$249*V_DPOmp/DiasMes+(AO$250+AO$252+AO$255+AO$256)*V_DPOot/DiasMes))</f>
        <v>136841.16448049096</v>
      </c>
      <c r="AP268" s="48">
        <f>IF(37&gt;Fin,AO$268,IF(AND(AP$8=1,ISNUMBER(Reales!AP83)),IF(Reales!$C$83="PYG",IF(AP$10&gt;0,N(Reales!AP83)/AP$10,0),N(Reales!AP83)),AP$249*V_DPOmp/DiasMes+(AP$250+AP$252+AP$255+AP$256)*V_DPOot/DiasMes))</f>
        <v>152372.62575066317</v>
      </c>
      <c r="AQ268" s="48">
        <f>IF(38&gt;Fin,AP$268,IF(AND(AQ$8=1,ISNUMBER(Reales!AQ83)),IF(Reales!$C$83="PYG",IF(AQ$10&gt;0,N(Reales!AQ83)/AQ$10,0),N(Reales!AQ83)),AQ$249*V_DPOmp/DiasMes+(AQ$250+AQ$252+AQ$255+AQ$256)*V_DPOot/DiasMes))</f>
        <v>152372.62575066317</v>
      </c>
      <c r="AR268" s="48">
        <f>IF(39&gt;Fin,AQ$268,IF(AND(AR$8=1,ISNUMBER(Reales!AR83)),IF(Reales!$C$83="PYG",IF(AR$10&gt;0,N(Reales!AR83)/AR$10,0),N(Reales!AR83)),AR$249*V_DPOmp/DiasMes+(AR$250+AR$252+AR$255+AR$256)*V_DPOot/DiasMes))</f>
        <v>152372.62575066317</v>
      </c>
      <c r="AS268" s="48">
        <f>IF(40&gt;Fin,AR$268,IF(AND(AS$8=1,ISNUMBER(Reales!AS83)),IF(Reales!$C$83="PYG",IF(AS$10&gt;0,N(Reales!AS83)/AS$10,0),N(Reales!AS83)),AS$249*V_DPOmp/DiasMes+(AS$250+AS$252+AS$255+AS$256)*V_DPOot/DiasMes))</f>
        <v>152372.62575066317</v>
      </c>
      <c r="AT268" s="48">
        <f>IF(41&gt;Fin,AS$268,IF(AND(AT$8=1,ISNUMBER(Reales!AT83)),IF(Reales!$C$83="PYG",IF(AT$10&gt;0,N(Reales!AT83)/AT$10,0),N(Reales!AT83)),AT$249*V_DPOmp/DiasMes+(AT$250+AT$252+AT$255+AT$256)*V_DPOot/DiasMes))</f>
        <v>152372.62575066317</v>
      </c>
      <c r="AU268" s="48">
        <f>IF(42&gt;Fin,AT$268,IF(AND(AU$8=1,ISNUMBER(Reales!AU83)),IF(Reales!$C$83="PYG",IF(AU$10&gt;0,N(Reales!AU83)/AU$10,0),N(Reales!AU83)),AU$249*V_DPOmp/DiasMes+(AU$250+AU$252+AU$255+AU$256)*V_DPOot/DiasMes))</f>
        <v>152372.62575066317</v>
      </c>
      <c r="AV268" s="48">
        <f>IF(43&gt;Fin,AU$268,IF(AND(AV$8=1,ISNUMBER(Reales!AV83)),IF(Reales!$C$83="PYG",IF(AV$10&gt;0,N(Reales!AV83)/AV$10,0),N(Reales!AV83)),AV$249*V_DPOmp/DiasMes+(AV$250+AV$252+AV$255+AV$256)*V_DPOot/DiasMes))</f>
        <v>152372.62575066317</v>
      </c>
      <c r="AW268" s="48">
        <f>IF(44&gt;Fin,AV$268,IF(AND(AW$8=1,ISNUMBER(Reales!AW83)),IF(Reales!$C$83="PYG",IF(AW$10&gt;0,N(Reales!AW83)/AW$10,0),N(Reales!AW83)),AW$249*V_DPOmp/DiasMes+(AW$250+AW$252+AW$255+AW$256)*V_DPOot/DiasMes))</f>
        <v>152372.62575066317</v>
      </c>
      <c r="AX268" s="48">
        <f>IF(45&gt;Fin,AW$268,IF(AND(AX$8=1,ISNUMBER(Reales!AX83)),IF(Reales!$C$83="PYG",IF(AX$10&gt;0,N(Reales!AX83)/AX$10,0),N(Reales!AX83)),AX$249*V_DPOmp/DiasMes+(AX$250+AX$252+AX$255+AX$256)*V_DPOot/DiasMes))</f>
        <v>152372.62575066317</v>
      </c>
      <c r="AY268" s="48">
        <f>IF(46&gt;Fin,AX$268,IF(AND(AY$8=1,ISNUMBER(Reales!AY83)),IF(Reales!$C$83="PYG",IF(AY$10&gt;0,N(Reales!AY83)/AY$10,0),N(Reales!AY83)),AY$249*V_DPOmp/DiasMes+(AY$250+AY$252+AY$255+AY$256)*V_DPOot/DiasMes))</f>
        <v>152372.62575066317</v>
      </c>
      <c r="AZ268" s="48">
        <f>IF(47&gt;Fin,AY$268,IF(AND(AZ$8=1,ISNUMBER(Reales!AZ83)),IF(Reales!$C$83="PYG",IF(AZ$10&gt;0,N(Reales!AZ83)/AZ$10,0),N(Reales!AZ83)),AZ$249*V_DPOmp/DiasMes+(AZ$250+AZ$252+AZ$255+AZ$256)*V_DPOot/DiasMes))</f>
        <v>152372.62575066317</v>
      </c>
      <c r="BA268" s="48">
        <f>IF(48&gt;Fin,AZ$268,IF(AND(BA$8=1,ISNUMBER(Reales!BA83)),IF(Reales!$C$83="PYG",IF(BA$10&gt;0,N(Reales!BA83)/BA$10,0),N(Reales!BA83)),BA$249*V_DPOmp/DiasMes+(BA$250+BA$252+BA$255+BA$256)*V_DPOot/DiasMes))</f>
        <v>152372.62575066317</v>
      </c>
      <c r="BB268" s="48">
        <f>IF(49&gt;Fin,BA$268,IF(AND(BB$8=1,ISNUMBER(Reales!BB83)),IF(Reales!$C$83="PYG",IF(BB$10&gt;0,N(Reales!BB83)/BB$10,0),N(Reales!BB83)),BB$249*V_DPOmp/DiasMes+(BB$250+BB$252+BB$255+BB$256)*V_DPOot/DiasMes))</f>
        <v>153439.39689907618</v>
      </c>
      <c r="BC268" s="48">
        <f>IF(50&gt;Fin,BB$268,IF(AND(BC$8=1,ISNUMBER(Reales!BC83)),IF(Reales!$C$83="PYG",IF(BC$10&gt;0,N(Reales!BC83)/BC$10,0),N(Reales!BC83)),BC$249*V_DPOmp/DiasMes+(BC$250+BC$252+BC$255+BC$256)*V_DPOot/DiasMes))</f>
        <v>153439.39689907618</v>
      </c>
      <c r="BD268" s="48">
        <f>IF(51&gt;Fin,BC$268,IF(AND(BD$8=1,ISNUMBER(Reales!BD83)),IF(Reales!$C$83="PYG",IF(BD$10&gt;0,N(Reales!BD83)/BD$10,0),N(Reales!BD83)),BD$249*V_DPOmp/DiasMes+(BD$250+BD$252+BD$255+BD$256)*V_DPOot/DiasMes))</f>
        <v>153439.39689907618</v>
      </c>
      <c r="BE268" s="48">
        <f>IF(52&gt;Fin,BD$268,IF(AND(BE$8=1,ISNUMBER(Reales!BE83)),IF(Reales!$C$83="PYG",IF(BE$10&gt;0,N(Reales!BE83)/BE$10,0),N(Reales!BE83)),BE$249*V_DPOmp/DiasMes+(BE$250+BE$252+BE$255+BE$256)*V_DPOot/DiasMes))</f>
        <v>153439.39689907618</v>
      </c>
      <c r="BF268" s="48">
        <f>IF(53&gt;Fin,BE$268,IF(AND(BF$8=1,ISNUMBER(Reales!BF83)),IF(Reales!$C$83="PYG",IF(BF$10&gt;0,N(Reales!BF83)/BF$10,0),N(Reales!BF83)),BF$249*V_DPOmp/DiasMes+(BF$250+BF$252+BF$255+BF$256)*V_DPOot/DiasMes))</f>
        <v>153439.39689907618</v>
      </c>
      <c r="BG268" s="48">
        <f>IF(54&gt;Fin,BF$268,IF(AND(BG$8=1,ISNUMBER(Reales!BG83)),IF(Reales!$C$83="PYG",IF(BG$10&gt;0,N(Reales!BG83)/BG$10,0),N(Reales!BG83)),BG$249*V_DPOmp/DiasMes+(BG$250+BG$252+BG$255+BG$256)*V_DPOot/DiasMes))</f>
        <v>153439.39689907618</v>
      </c>
      <c r="BH268" s="48">
        <f>IF(55&gt;Fin,BG$268,IF(AND(BH$8=1,ISNUMBER(Reales!BH83)),IF(Reales!$C$83="PYG",IF(BH$10&gt;0,N(Reales!BH83)/BH$10,0),N(Reales!BH83)),BH$249*V_DPOmp/DiasMes+(BH$250+BH$252+BH$255+BH$256)*V_DPOot/DiasMes))</f>
        <v>153439.39689907618</v>
      </c>
      <c r="BI268" s="48">
        <f>IF(56&gt;Fin,BH$268,IF(AND(BI$8=1,ISNUMBER(Reales!BI83)),IF(Reales!$C$83="PYG",IF(BI$10&gt;0,N(Reales!BI83)/BI$10,0),N(Reales!BI83)),BI$249*V_DPOmp/DiasMes+(BI$250+BI$252+BI$255+BI$256)*V_DPOot/DiasMes))</f>
        <v>153439.39689907618</v>
      </c>
      <c r="BJ268" s="48">
        <f>IF(57&gt;Fin,BI$268,IF(AND(BJ$8=1,ISNUMBER(Reales!BJ83)),IF(Reales!$C$83="PYG",IF(BJ$10&gt;0,N(Reales!BJ83)/BJ$10,0),N(Reales!BJ83)),BJ$249*V_DPOmp/DiasMes+(BJ$250+BJ$252+BJ$255+BJ$256)*V_DPOot/DiasMes))</f>
        <v>153439.39689907618</v>
      </c>
      <c r="BK268" s="48">
        <f>IF(58&gt;Fin,BJ$268,IF(AND(BK$8=1,ISNUMBER(Reales!BK83)),IF(Reales!$C$83="PYG",IF(BK$10&gt;0,N(Reales!BK83)/BK$10,0),N(Reales!BK83)),BK$249*V_DPOmp/DiasMes+(BK$250+BK$252+BK$255+BK$256)*V_DPOot/DiasMes))</f>
        <v>153439.39689907618</v>
      </c>
      <c r="BL268" s="48">
        <f>IF(59&gt;Fin,BK$268,IF(AND(BL$8=1,ISNUMBER(Reales!BL83)),IF(Reales!$C$83="PYG",IF(BL$10&gt;0,N(Reales!BL83)/BL$10,0),N(Reales!BL83)),BL$249*V_DPOmp/DiasMes+(BL$250+BL$252+BL$255+BL$256)*V_DPOot/DiasMes))</f>
        <v>153439.39689907618</v>
      </c>
      <c r="BM268" s="48">
        <f>IF(60&gt;Fin,BL$268,IF(AND(BM$8=1,ISNUMBER(Reales!BM83)),IF(Reales!$C$83="PYG",IF(BM$10&gt;0,N(Reales!BM83)/BM$10,0),N(Reales!BM83)),BM$249*V_DPOmp/DiasMes+(BM$250+BM$252+BM$255+BM$256)*V_DPOot/DiasMes))</f>
        <v>153439.39689907618</v>
      </c>
      <c r="BN268" s="48">
        <f>IF(61&gt;Fin,BM$268,IF(AND(BN$8=1,ISNUMBER(Reales!BN83)),IF(Reales!$C$83="PYG",IF(BN$10&gt;0,N(Reales!BN83)/BN$10,0),N(Reales!BN83)),BN$249*V_DPOmp/DiasMes+(BN$250+BN$252+BN$255+BN$256)*V_DPOot/DiasMes))</f>
        <v>154373.20243023391</v>
      </c>
      <c r="BO268" s="48">
        <f>IF(62&gt;Fin,BN$268,IF(AND(BO$8=1,ISNUMBER(Reales!BO83)),IF(Reales!$C$83="PYG",IF(BO$10&gt;0,N(Reales!BO83)/BO$10,0),N(Reales!BO83)),BO$249*V_DPOmp/DiasMes+(BO$250+BO$252+BO$255+BO$256)*V_DPOot/DiasMes))</f>
        <v>154373.20243023391</v>
      </c>
      <c r="BP268" s="48">
        <f>IF(63&gt;Fin,BO$268,IF(AND(BP$8=1,ISNUMBER(Reales!BP83)),IF(Reales!$C$83="PYG",IF(BP$10&gt;0,N(Reales!BP83)/BP$10,0),N(Reales!BP83)),BP$249*V_DPOmp/DiasMes+(BP$250+BP$252+BP$255+BP$256)*V_DPOot/DiasMes))</f>
        <v>154373.20243023391</v>
      </c>
      <c r="BQ268" s="48">
        <f>IF(64&gt;Fin,BP$268,IF(AND(BQ$8=1,ISNUMBER(Reales!BQ83)),IF(Reales!$C$83="PYG",IF(BQ$10&gt;0,N(Reales!BQ83)/BQ$10,0),N(Reales!BQ83)),BQ$249*V_DPOmp/DiasMes+(BQ$250+BQ$252+BQ$255+BQ$256)*V_DPOot/DiasMes))</f>
        <v>154373.20243023391</v>
      </c>
      <c r="BR268" s="48">
        <f>IF(65&gt;Fin,BQ$268,IF(AND(BR$8=1,ISNUMBER(Reales!BR83)),IF(Reales!$C$83="PYG",IF(BR$10&gt;0,N(Reales!BR83)/BR$10,0),N(Reales!BR83)),BR$249*V_DPOmp/DiasMes+(BR$250+BR$252+BR$255+BR$256)*V_DPOot/DiasMes))</f>
        <v>154373.20243023391</v>
      </c>
      <c r="BS268" s="48">
        <f>IF(66&gt;Fin,BR$268,IF(AND(BS$8=1,ISNUMBER(Reales!BS83)),IF(Reales!$C$83="PYG",IF(BS$10&gt;0,N(Reales!BS83)/BS$10,0),N(Reales!BS83)),BS$249*V_DPOmp/DiasMes+(BS$250+BS$252+BS$255+BS$256)*V_DPOot/DiasMes))</f>
        <v>154373.20243023391</v>
      </c>
      <c r="BT268" s="48">
        <f>IF(67&gt;Fin,BS$268,IF(AND(BT$8=1,ISNUMBER(Reales!BT83)),IF(Reales!$C$83="PYG",IF(BT$10&gt;0,N(Reales!BT83)/BT$10,0),N(Reales!BT83)),BT$249*V_DPOmp/DiasMes+(BT$250+BT$252+BT$255+BT$256)*V_DPOot/DiasMes))</f>
        <v>154373.20243023391</v>
      </c>
      <c r="BU268" s="48">
        <f>IF(68&gt;Fin,BT$268,IF(AND(BU$8=1,ISNUMBER(Reales!BU83)),IF(Reales!$C$83="PYG",IF(BU$10&gt;0,N(Reales!BU83)/BU$10,0),N(Reales!BU83)),BU$249*V_DPOmp/DiasMes+(BU$250+BU$252+BU$255+BU$256)*V_DPOot/DiasMes))</f>
        <v>154373.20243023391</v>
      </c>
      <c r="BV268" s="48">
        <f>IF(69&gt;Fin,BU$268,IF(AND(BV$8=1,ISNUMBER(Reales!BV83)),IF(Reales!$C$83="PYG",IF(BV$10&gt;0,N(Reales!BV83)/BV$10,0),N(Reales!BV83)),BV$249*V_DPOmp/DiasMes+(BV$250+BV$252+BV$255+BV$256)*V_DPOot/DiasMes))</f>
        <v>154373.20243023391</v>
      </c>
      <c r="BW268" s="48">
        <f>IF(70&gt;Fin,BV$268,IF(AND(BW$8=1,ISNUMBER(Reales!BW83)),IF(Reales!$C$83="PYG",IF(BW$10&gt;0,N(Reales!BW83)/BW$10,0),N(Reales!BW83)),BW$249*V_DPOmp/DiasMes+(BW$250+BW$252+BW$255+BW$256)*V_DPOot/DiasMes))</f>
        <v>154373.20243023391</v>
      </c>
      <c r="BX268" s="48">
        <f>IF(71&gt;Fin,BW$268,IF(AND(BX$8=1,ISNUMBER(Reales!BX83)),IF(Reales!$C$83="PYG",IF(BX$10&gt;0,N(Reales!BX83)/BX$10,0),N(Reales!BX83)),BX$249*V_DPOmp/DiasMes+(BX$250+BX$252+BX$255+BX$256)*V_DPOot/DiasMes))</f>
        <v>154373.20243023391</v>
      </c>
      <c r="BY268" s="48">
        <f>IF(72&gt;Fin,BX$268,IF(AND(BY$8=1,ISNUMBER(Reales!BY83)),IF(Reales!$C$83="PYG",IF(BY$10&gt;0,N(Reales!BY83)/BY$10,0),N(Reales!BY83)),BY$249*V_DPOmp/DiasMes+(BY$250+BY$252+BY$255+BY$256)*V_DPOot/DiasMes))</f>
        <v>154373.20243023391</v>
      </c>
      <c r="BZ268" s="48">
        <f>IF(73&gt;Fin,BY$268,IF(AND(BZ$8=1,ISNUMBER(Reales!BZ83)),IF(Reales!$C$83="PYG",IF(BZ$10&gt;0,N(Reales!BZ83)/BZ$10,0),N(Reales!BZ83)),BZ$249*V_DPOmp/DiasMes+(BZ$250+BZ$252+BZ$255+BZ$256)*V_DPOot/DiasMes))</f>
        <v>155328.74283772666</v>
      </c>
      <c r="CA268" s="48">
        <f>IF(74&gt;Fin,BZ$268,IF(AND(CA$8=1,ISNUMBER(Reales!CA83)),IF(Reales!$C$83="PYG",IF(CA$10&gt;0,N(Reales!CA83)/CA$10,0),N(Reales!CA83)),CA$249*V_DPOmp/DiasMes+(CA$250+CA$252+CA$255+CA$256)*V_DPOot/DiasMes))</f>
        <v>155328.74283772666</v>
      </c>
      <c r="CB268" s="48">
        <f>IF(75&gt;Fin,CA$268,IF(AND(CB$8=1,ISNUMBER(Reales!CB83)),IF(Reales!$C$83="PYG",IF(CB$10&gt;0,N(Reales!CB83)/CB$10,0),N(Reales!CB83)),CB$249*V_DPOmp/DiasMes+(CB$250+CB$252+CB$255+CB$256)*V_DPOot/DiasMes))</f>
        <v>155328.74283772666</v>
      </c>
      <c r="CC268" s="48">
        <f>IF(76&gt;Fin,CB$268,IF(AND(CC$8=1,ISNUMBER(Reales!CC83)),IF(Reales!$C$83="PYG",IF(CC$10&gt;0,N(Reales!CC83)/CC$10,0),N(Reales!CC83)),CC$249*V_DPOmp/DiasMes+(CC$250+CC$252+CC$255+CC$256)*V_DPOot/DiasMes))</f>
        <v>155328.74283772666</v>
      </c>
      <c r="CD268" s="48">
        <f>IF(77&gt;Fin,CC$268,IF(AND(CD$8=1,ISNUMBER(Reales!CD83)),IF(Reales!$C$83="PYG",IF(CD$10&gt;0,N(Reales!CD83)/CD$10,0),N(Reales!CD83)),CD$249*V_DPOmp/DiasMes+(CD$250+CD$252+CD$255+CD$256)*V_DPOot/DiasMes))</f>
        <v>155328.74283772666</v>
      </c>
      <c r="CE268" s="48">
        <f>IF(78&gt;Fin,CD$268,IF(AND(CE$8=1,ISNUMBER(Reales!CE83)),IF(Reales!$C$83="PYG",IF(CE$10&gt;0,N(Reales!CE83)/CE$10,0),N(Reales!CE83)),CE$249*V_DPOmp/DiasMes+(CE$250+CE$252+CE$255+CE$256)*V_DPOot/DiasMes))</f>
        <v>155328.74283772666</v>
      </c>
      <c r="CF268" s="48">
        <f>IF(79&gt;Fin,CE$268,IF(AND(CF$8=1,ISNUMBER(Reales!CF83)),IF(Reales!$C$83="PYG",IF(CF$10&gt;0,N(Reales!CF83)/CF$10,0),N(Reales!CF83)),CF$249*V_DPOmp/DiasMes+(CF$250+CF$252+CF$255+CF$256)*V_DPOot/DiasMes))</f>
        <v>155328.74283772666</v>
      </c>
      <c r="CG268" s="48">
        <f>IF(80&gt;Fin,CF$268,IF(AND(CG$8=1,ISNUMBER(Reales!CG83)),IF(Reales!$C$83="PYG",IF(CG$10&gt;0,N(Reales!CG83)/CG$10,0),N(Reales!CG83)),CG$249*V_DPOmp/DiasMes+(CG$250+CG$252+CG$255+CG$256)*V_DPOot/DiasMes))</f>
        <v>155328.74283772666</v>
      </c>
      <c r="CH268" s="48">
        <f>IF(81&gt;Fin,CG$268,IF(AND(CH$8=1,ISNUMBER(Reales!CH83)),IF(Reales!$C$83="PYG",IF(CH$10&gt;0,N(Reales!CH83)/CH$10,0),N(Reales!CH83)),CH$249*V_DPOmp/DiasMes+(CH$250+CH$252+CH$255+CH$256)*V_DPOot/DiasMes))</f>
        <v>155328.74283772666</v>
      </c>
      <c r="CI268" s="48">
        <f>IF(82&gt;Fin,CH$268,IF(AND(CI$8=1,ISNUMBER(Reales!CI83)),IF(Reales!$C$83="PYG",IF(CI$10&gt;0,N(Reales!CI83)/CI$10,0),N(Reales!CI83)),CI$249*V_DPOmp/DiasMes+(CI$250+CI$252+CI$255+CI$256)*V_DPOot/DiasMes))</f>
        <v>155328.74283772666</v>
      </c>
      <c r="CJ268" s="48">
        <f>IF(83&gt;Fin,CI$268,IF(AND(CJ$8=1,ISNUMBER(Reales!CJ83)),IF(Reales!$C$83="PYG",IF(CJ$10&gt;0,N(Reales!CJ83)/CJ$10,0),N(Reales!CJ83)),CJ$249*V_DPOmp/DiasMes+(CJ$250+CJ$252+CJ$255+CJ$256)*V_DPOot/DiasMes))</f>
        <v>155328.74283772666</v>
      </c>
      <c r="CK268" s="48">
        <f>IF(84&gt;Fin,CJ$268,IF(AND(CK$8=1,ISNUMBER(Reales!CK83)),IF(Reales!$C$83="PYG",IF(CK$10&gt;0,N(Reales!CK83)/CK$10,0),N(Reales!CK83)),CK$249*V_DPOmp/DiasMes+(CK$250+CK$252+CK$255+CK$256)*V_DPOot/DiasMes))</f>
        <v>155328.74283772666</v>
      </c>
      <c r="CL268" s="48">
        <f>IF(85&gt;Fin,CK$268,IF(AND(CL$8=1,ISNUMBER(Reales!CL83)),IF(Reales!$C$83="PYG",IF(CL$10&gt;0,N(Reales!CL83)/CL$10,0),N(Reales!CL83)),CL$249*V_DPOmp/DiasMes+(CL$250+CL$252+CL$255+CL$256)*V_DPOot/DiasMes))</f>
        <v>156306.60182457283</v>
      </c>
      <c r="CM268" s="48">
        <f>IF(86&gt;Fin,CL$268,IF(AND(CM$8=1,ISNUMBER(Reales!CM83)),IF(Reales!$C$83="PYG",IF(CM$10&gt;0,N(Reales!CM83)/CM$10,0),N(Reales!CM83)),CM$249*V_DPOmp/DiasMes+(CM$250+CM$252+CM$255+CM$256)*V_DPOot/DiasMes))</f>
        <v>156306.60182457283</v>
      </c>
      <c r="CN268" s="48">
        <f>IF(87&gt;Fin,CM$268,IF(AND(CN$8=1,ISNUMBER(Reales!CN83)),IF(Reales!$C$83="PYG",IF(CN$10&gt;0,N(Reales!CN83)/CN$10,0),N(Reales!CN83)),CN$249*V_DPOmp/DiasMes+(CN$250+CN$252+CN$255+CN$256)*V_DPOot/DiasMes))</f>
        <v>156306.60182457283</v>
      </c>
      <c r="CO268" s="48">
        <f>IF(88&gt;Fin,CN$268,IF(AND(CO$8=1,ISNUMBER(Reales!CO83)),IF(Reales!$C$83="PYG",IF(CO$10&gt;0,N(Reales!CO83)/CO$10,0),N(Reales!CO83)),CO$249*V_DPOmp/DiasMes+(CO$250+CO$252+CO$255+CO$256)*V_DPOot/DiasMes))</f>
        <v>156306.60182457283</v>
      </c>
      <c r="CP268" s="48">
        <f>IF(89&gt;Fin,CO$268,IF(AND(CP$8=1,ISNUMBER(Reales!CP83)),IF(Reales!$C$83="PYG",IF(CP$10&gt;0,N(Reales!CP83)/CP$10,0),N(Reales!CP83)),CP$249*V_DPOmp/DiasMes+(CP$250+CP$252+CP$255+CP$256)*V_DPOot/DiasMes))</f>
        <v>156306.60182457283</v>
      </c>
      <c r="CQ268" s="48">
        <f>IF(90&gt;Fin,CP$268,IF(AND(CQ$8=1,ISNUMBER(Reales!CQ83)),IF(Reales!$C$83="PYG",IF(CQ$10&gt;0,N(Reales!CQ83)/CQ$10,0),N(Reales!CQ83)),CQ$249*V_DPOmp/DiasMes+(CQ$250+CQ$252+CQ$255+CQ$256)*V_DPOot/DiasMes))</f>
        <v>156306.60182457283</v>
      </c>
      <c r="CR268" s="48">
        <f>IF(91&gt;Fin,CQ$268,IF(AND(CR$8=1,ISNUMBER(Reales!CR83)),IF(Reales!$C$83="PYG",IF(CR$10&gt;0,N(Reales!CR83)/CR$10,0),N(Reales!CR83)),CR$249*V_DPOmp/DiasMes+(CR$250+CR$252+CR$255+CR$256)*V_DPOot/DiasMes))</f>
        <v>156306.60182457283</v>
      </c>
      <c r="CS268" s="48">
        <f>IF(92&gt;Fin,CR$268,IF(AND(CS$8=1,ISNUMBER(Reales!CS83)),IF(Reales!$C$83="PYG",IF(CS$10&gt;0,N(Reales!CS83)/CS$10,0),N(Reales!CS83)),CS$249*V_DPOmp/DiasMes+(CS$250+CS$252+CS$255+CS$256)*V_DPOot/DiasMes))</f>
        <v>156306.60182457283</v>
      </c>
      <c r="CT268" s="48">
        <f>IF(93&gt;Fin,CS$268,IF(AND(CT$8=1,ISNUMBER(Reales!CT83)),IF(Reales!$C$83="PYG",IF(CT$10&gt;0,N(Reales!CT83)/CT$10,0),N(Reales!CT83)),CT$249*V_DPOmp/DiasMes+(CT$250+CT$252+CT$255+CT$256)*V_DPOot/DiasMes))</f>
        <v>156306.60182457283</v>
      </c>
      <c r="CU268" s="48">
        <f>IF(94&gt;Fin,CT$268,IF(AND(CU$8=1,ISNUMBER(Reales!CU83)),IF(Reales!$C$83="PYG",IF(CU$10&gt;0,N(Reales!CU83)/CU$10,0),N(Reales!CU83)),CU$249*V_DPOmp/DiasMes+(CU$250+CU$252+CU$255+CU$256)*V_DPOot/DiasMes))</f>
        <v>156306.60182457283</v>
      </c>
      <c r="CV268" s="48">
        <f>IF(95&gt;Fin,CU$268,IF(AND(CV$8=1,ISNUMBER(Reales!CV83)),IF(Reales!$C$83="PYG",IF(CV$10&gt;0,N(Reales!CV83)/CV$10,0),N(Reales!CV83)),CV$249*V_DPOmp/DiasMes+(CV$250+CV$252+CV$255+CV$256)*V_DPOot/DiasMes))</f>
        <v>156306.60182457283</v>
      </c>
      <c r="CW268" s="48">
        <f>IF(96&gt;Fin,CV$268,IF(AND(CW$8=1,ISNUMBER(Reales!CW83)),IF(Reales!$C$83="PYG",IF(CW$10&gt;0,N(Reales!CW83)/CW$10,0),N(Reales!CW83)),CW$249*V_DPOmp/DiasMes+(CW$250+CW$252+CW$255+CW$256)*V_DPOot/DiasMes))</f>
        <v>156306.60182457283</v>
      </c>
      <c r="CX268" s="48">
        <f>IF(97&gt;Fin,CW$268,IF(AND(CX$8=1,ISNUMBER(Reales!CX83)),IF(Reales!$C$83="PYG",IF(CX$10&gt;0,N(Reales!CX83)/CX$10,0),N(Reales!CX83)),CX$249*V_DPOmp/DiasMes+(CX$250+CX$252+CX$255+CX$256)*V_DPOot/DiasMes))</f>
        <v>157307.37981044123</v>
      </c>
      <c r="CY268" s="48">
        <f>IF(98&gt;Fin,CX$268,IF(AND(CY$8=1,ISNUMBER(Reales!CY83)),IF(Reales!$C$83="PYG",IF(CY$10&gt;0,N(Reales!CY83)/CY$10,0),N(Reales!CY83)),CY$249*V_DPOmp/DiasMes+(CY$250+CY$252+CY$255+CY$256)*V_DPOot/DiasMes))</f>
        <v>157307.37981044123</v>
      </c>
      <c r="CZ268" s="48">
        <f>IF(99&gt;Fin,CY$268,IF(AND(CZ$8=1,ISNUMBER(Reales!CZ83)),IF(Reales!$C$83="PYG",IF(CZ$10&gt;0,N(Reales!CZ83)/CZ$10,0),N(Reales!CZ83)),CZ$249*V_DPOmp/DiasMes+(CZ$250+CZ$252+CZ$255+CZ$256)*V_DPOot/DiasMes))</f>
        <v>157307.37981044123</v>
      </c>
      <c r="DA268" s="48">
        <f>IF(100&gt;Fin,CZ$268,IF(AND(DA$8=1,ISNUMBER(Reales!DA83)),IF(Reales!$C$83="PYG",IF(DA$10&gt;0,N(Reales!DA83)/DA$10,0),N(Reales!DA83)),DA$249*V_DPOmp/DiasMes+(DA$250+DA$252+DA$255+DA$256)*V_DPOot/DiasMes))</f>
        <v>157307.37981044123</v>
      </c>
      <c r="DB268" s="48">
        <f>IF(101&gt;Fin,DA$268,IF(AND(DB$8=1,ISNUMBER(Reales!DB83)),IF(Reales!$C$83="PYG",IF(DB$10&gt;0,N(Reales!DB83)/DB$10,0),N(Reales!DB83)),DB$249*V_DPOmp/DiasMes+(DB$250+DB$252+DB$255+DB$256)*V_DPOot/DiasMes))</f>
        <v>157307.37981044123</v>
      </c>
      <c r="DC268" s="48">
        <f>IF(102&gt;Fin,DB$268,IF(AND(DC$8=1,ISNUMBER(Reales!DC83)),IF(Reales!$C$83="PYG",IF(DC$10&gt;0,N(Reales!DC83)/DC$10,0),N(Reales!DC83)),DC$249*V_DPOmp/DiasMes+(DC$250+DC$252+DC$255+DC$256)*V_DPOot/DiasMes))</f>
        <v>157307.37981044123</v>
      </c>
      <c r="DD268" s="48">
        <f>IF(103&gt;Fin,DC$268,IF(AND(DD$8=1,ISNUMBER(Reales!DD83)),IF(Reales!$C$83="PYG",IF(DD$10&gt;0,N(Reales!DD83)/DD$10,0),N(Reales!DD83)),DD$249*V_DPOmp/DiasMes+(DD$250+DD$252+DD$255+DD$256)*V_DPOot/DiasMes))</f>
        <v>157307.37981044123</v>
      </c>
      <c r="DE268" s="48">
        <f>IF(104&gt;Fin,DD$268,IF(AND(DE$8=1,ISNUMBER(Reales!DE83)),IF(Reales!$C$83="PYG",IF(DE$10&gt;0,N(Reales!DE83)/DE$10,0),N(Reales!DE83)),DE$249*V_DPOmp/DiasMes+(DE$250+DE$252+DE$255+DE$256)*V_DPOot/DiasMes))</f>
        <v>157307.37981044123</v>
      </c>
      <c r="DF268" s="48">
        <f>IF(105&gt;Fin,DE$268,IF(AND(DF$8=1,ISNUMBER(Reales!DF83)),IF(Reales!$C$83="PYG",IF(DF$10&gt;0,N(Reales!DF83)/DF$10,0),N(Reales!DF83)),DF$249*V_DPOmp/DiasMes+(DF$250+DF$252+DF$255+DF$256)*V_DPOot/DiasMes))</f>
        <v>157307.37981044123</v>
      </c>
      <c r="DG268" s="48">
        <f>IF(106&gt;Fin,DF$268,IF(AND(DG$8=1,ISNUMBER(Reales!DG83)),IF(Reales!$C$83="PYG",IF(DG$10&gt;0,N(Reales!DG83)/DG$10,0),N(Reales!DG83)),DG$249*V_DPOmp/DiasMes+(DG$250+DG$252+DG$255+DG$256)*V_DPOot/DiasMes))</f>
        <v>157307.37981044123</v>
      </c>
      <c r="DH268" s="48">
        <f>IF(107&gt;Fin,DG$268,IF(AND(DH$8=1,ISNUMBER(Reales!DH83)),IF(Reales!$C$83="PYG",IF(DH$10&gt;0,N(Reales!DH83)/DH$10,0),N(Reales!DH83)),DH$249*V_DPOmp/DiasMes+(DH$250+DH$252+DH$255+DH$256)*V_DPOot/DiasMes))</f>
        <v>157307.37981044123</v>
      </c>
      <c r="DI268" s="48">
        <f>IF(108&gt;Fin,DH$268,IF(AND(DI$8=1,ISNUMBER(Reales!DI83)),IF(Reales!$C$83="PYG",IF(DI$10&gt;0,N(Reales!DI83)/DI$10,0),N(Reales!DI83)),DI$249*V_DPOmp/DiasMes+(DI$250+DI$252+DI$255+DI$256)*V_DPOot/DiasMes))</f>
        <v>157307.37981044123</v>
      </c>
      <c r="DJ268" s="48">
        <f>IF(109&gt;Fin,DI$268,IF(AND(DJ$8=1,ISNUMBER(Reales!DJ83)),IF(Reales!$C$83="PYG",IF(DJ$10&gt;0,N(Reales!DJ83)/DJ$10,0),N(Reales!DJ83)),DJ$249*V_DPOmp/DiasMes+(DJ$250+DJ$252+DJ$255+DJ$256)*V_DPOot/DiasMes))</f>
        <v>158331.69442298592</v>
      </c>
      <c r="DK268" s="48">
        <f>IF(110&gt;Fin,DJ$268,IF(AND(DK$8=1,ISNUMBER(Reales!DK83)),IF(Reales!$C$83="PYG",IF(DK$10&gt;0,N(Reales!DK83)/DK$10,0),N(Reales!DK83)),DK$249*V_DPOmp/DiasMes+(DK$250+DK$252+DK$255+DK$256)*V_DPOot/DiasMes))</f>
        <v>158331.69442298592</v>
      </c>
      <c r="DL268" s="48">
        <f>IF(111&gt;Fin,DK$268,IF(AND(DL$8=1,ISNUMBER(Reales!DL83)),IF(Reales!$C$83="PYG",IF(DL$10&gt;0,N(Reales!DL83)/DL$10,0),N(Reales!DL83)),DL$249*V_DPOmp/DiasMes+(DL$250+DL$252+DL$255+DL$256)*V_DPOot/DiasMes))</f>
        <v>158331.69442298592</v>
      </c>
      <c r="DM268" s="48">
        <f>IF(112&gt;Fin,DL$268,IF(AND(DM$8=1,ISNUMBER(Reales!DM83)),IF(Reales!$C$83="PYG",IF(DM$10&gt;0,N(Reales!DM83)/DM$10,0),N(Reales!DM83)),DM$249*V_DPOmp/DiasMes+(DM$250+DM$252+DM$255+DM$256)*V_DPOot/DiasMes))</f>
        <v>158331.69442298592</v>
      </c>
      <c r="DN268" s="48">
        <f>IF(113&gt;Fin,DM$268,IF(AND(DN$8=1,ISNUMBER(Reales!DN83)),IF(Reales!$C$83="PYG",IF(DN$10&gt;0,N(Reales!DN83)/DN$10,0),N(Reales!DN83)),DN$249*V_DPOmp/DiasMes+(DN$250+DN$252+DN$255+DN$256)*V_DPOot/DiasMes))</f>
        <v>158331.69442298592</v>
      </c>
      <c r="DO268" s="48">
        <f>IF(114&gt;Fin,DN$268,IF(AND(DO$8=1,ISNUMBER(Reales!DO83)),IF(Reales!$C$83="PYG",IF(DO$10&gt;0,N(Reales!DO83)/DO$10,0),N(Reales!DO83)),DO$249*V_DPOmp/DiasMes+(DO$250+DO$252+DO$255+DO$256)*V_DPOot/DiasMes))</f>
        <v>158331.69442298592</v>
      </c>
      <c r="DP268" s="48">
        <f>IF(115&gt;Fin,DO$268,IF(AND(DP$8=1,ISNUMBER(Reales!DP83)),IF(Reales!$C$83="PYG",IF(DP$10&gt;0,N(Reales!DP83)/DP$10,0),N(Reales!DP83)),DP$249*V_DPOmp/DiasMes+(DP$250+DP$252+DP$255+DP$256)*V_DPOot/DiasMes))</f>
        <v>158331.69442298592</v>
      </c>
      <c r="DQ268" s="48">
        <f>IF(116&gt;Fin,DP$268,IF(AND(DQ$8=1,ISNUMBER(Reales!DQ83)),IF(Reales!$C$83="PYG",IF(DQ$10&gt;0,N(Reales!DQ83)/DQ$10,0),N(Reales!DQ83)),DQ$249*V_DPOmp/DiasMes+(DQ$250+DQ$252+DQ$255+DQ$256)*V_DPOot/DiasMes))</f>
        <v>158331.69442298592</v>
      </c>
      <c r="DR268" s="48">
        <f>IF(117&gt;Fin,DQ$268,IF(AND(DR$8=1,ISNUMBER(Reales!DR83)),IF(Reales!$C$83="PYG",IF(DR$10&gt;0,N(Reales!DR83)/DR$10,0),N(Reales!DR83)),DR$249*V_DPOmp/DiasMes+(DR$250+DR$252+DR$255+DR$256)*V_DPOot/DiasMes))</f>
        <v>158331.69442298592</v>
      </c>
      <c r="DS268" s="48">
        <f>IF(118&gt;Fin,DR$268,IF(AND(DS$8=1,ISNUMBER(Reales!DS83)),IF(Reales!$C$83="PYG",IF(DS$10&gt;0,N(Reales!DS83)/DS$10,0),N(Reales!DS83)),DS$249*V_DPOmp/DiasMes+(DS$250+DS$252+DS$255+DS$256)*V_DPOot/DiasMes))</f>
        <v>158331.69442298592</v>
      </c>
      <c r="DT268" s="48">
        <f>IF(119&gt;Fin,DS$268,IF(AND(DT$8=1,ISNUMBER(Reales!DT83)),IF(Reales!$C$83="PYG",IF(DT$10&gt;0,N(Reales!DT83)/DT$10,0),N(Reales!DT83)),DT$249*V_DPOmp/DiasMes+(DT$250+DT$252+DT$255+DT$256)*V_DPOot/DiasMes))</f>
        <v>158331.69442298592</v>
      </c>
      <c r="DU268" s="48">
        <f>IF(120&gt;Fin,DT$268,IF(AND(DU$8=1,ISNUMBER(Reales!DU83)),IF(Reales!$C$83="PYG",IF(DU$10&gt;0,N(Reales!DU83)/DU$10,0),N(Reales!DU83)),DU$249*V_DPOmp/DiasMes+(DU$250+DU$252+DU$255+DU$256)*V_DPOot/DiasMes))</f>
        <v>158331.69442298592</v>
      </c>
      <c r="DV268" s="48">
        <f>IF(121&gt;Fin,DU$268,IF(AND(DV$8=1,ISNUMBER(Reales!DV83)),IF(Reales!$C$83="PYG",IF(DV$10&gt;0,N(Reales!DV83)/DV$10,0),N(Reales!DV83)),DV$249*V_DPOmp/DiasMes+(DV$250+DV$252+DV$255+DV$256)*V_DPOot/DiasMes))</f>
        <v>158331.69442298592</v>
      </c>
      <c r="DW268" s="48">
        <f>IF(122&gt;Fin,DV$268,IF(AND(DW$8=1,ISNUMBER(Reales!DW83)),IF(Reales!$C$83="PYG",IF(DW$10&gt;0,N(Reales!DW83)/DW$10,0),N(Reales!DW83)),DW$249*V_DPOmp/DiasMes+(DW$250+DW$252+DW$255+DW$256)*V_DPOot/DiasMes))</f>
        <v>158331.69442298592</v>
      </c>
      <c r="DX268" s="48">
        <f>IF(123&gt;Fin,DW$268,IF(AND(DX$8=1,ISNUMBER(Reales!DX83)),IF(Reales!$C$83="PYG",IF(DX$10&gt;0,N(Reales!DX83)/DX$10,0),N(Reales!DX83)),DX$249*V_DPOmp/DiasMes+(DX$250+DX$252+DX$255+DX$256)*V_DPOot/DiasMes))</f>
        <v>158331.69442298592</v>
      </c>
      <c r="DY268" s="48">
        <f>IF(124&gt;Fin,DX$268,IF(AND(DY$8=1,ISNUMBER(Reales!DY83)),IF(Reales!$C$83="PYG",IF(DY$10&gt;0,N(Reales!DY83)/DY$10,0),N(Reales!DY83)),DY$249*V_DPOmp/DiasMes+(DY$250+DY$252+DY$255+DY$256)*V_DPOot/DiasMes))</f>
        <v>158331.69442298592</v>
      </c>
      <c r="DZ268" s="48">
        <f>IF(125&gt;Fin,DY$268,IF(AND(DZ$8=1,ISNUMBER(Reales!DZ83)),IF(Reales!$C$83="PYG",IF(DZ$10&gt;0,N(Reales!DZ83)/DZ$10,0),N(Reales!DZ83)),DZ$249*V_DPOmp/DiasMes+(DZ$250+DZ$252+DZ$255+DZ$256)*V_DPOot/DiasMes))</f>
        <v>158331.69442298592</v>
      </c>
      <c r="EA268" s="48">
        <f>IF(126&gt;Fin,DZ$268,IF(AND(EA$8=1,ISNUMBER(Reales!EA83)),IF(Reales!$C$83="PYG",IF(EA$10&gt;0,N(Reales!EA83)/EA$10,0),N(Reales!EA83)),EA$249*V_DPOmp/DiasMes+(EA$250+EA$252+EA$255+EA$256)*V_DPOot/DiasMes))</f>
        <v>158331.69442298592</v>
      </c>
      <c r="EB268" s="48">
        <f>IF(127&gt;Fin,EA$268,IF(AND(EB$8=1,ISNUMBER(Reales!EB83)),IF(Reales!$C$83="PYG",IF(EB$10&gt;0,N(Reales!EB83)/EB$10,0),N(Reales!EB83)),EB$249*V_DPOmp/DiasMes+(EB$250+EB$252+EB$255+EB$256)*V_DPOot/DiasMes))</f>
        <v>158331.69442298592</v>
      </c>
      <c r="EC268" s="48">
        <f>IF(128&gt;Fin,EB$268,IF(AND(EC$8=1,ISNUMBER(Reales!EC83)),IF(Reales!$C$83="PYG",IF(EC$10&gt;0,N(Reales!EC83)/EC$10,0),N(Reales!EC83)),EC$249*V_DPOmp/DiasMes+(EC$250+EC$252+EC$255+EC$256)*V_DPOot/DiasMes))</f>
        <v>158331.69442298592</v>
      </c>
      <c r="ED268" s="48">
        <f>IF(129&gt;Fin,EC$268,IF(AND(ED$8=1,ISNUMBER(Reales!ED83)),IF(Reales!$C$83="PYG",IF(ED$10&gt;0,N(Reales!ED83)/ED$10,0),N(Reales!ED83)),ED$249*V_DPOmp/DiasMes+(ED$250+ED$252+ED$255+ED$256)*V_DPOot/DiasMes))</f>
        <v>158331.69442298592</v>
      </c>
      <c r="EE268" s="48">
        <f>IF(130&gt;Fin,ED$268,IF(AND(EE$8=1,ISNUMBER(Reales!EE83)),IF(Reales!$C$83="PYG",IF(EE$10&gt;0,N(Reales!EE83)/EE$10,0),N(Reales!EE83)),EE$249*V_DPOmp/DiasMes+(EE$250+EE$252+EE$255+EE$256)*V_DPOot/DiasMes))</f>
        <v>158331.69442298592</v>
      </c>
      <c r="EF268" s="48">
        <f>IF(131&gt;Fin,EE$268,IF(AND(EF$8=1,ISNUMBER(Reales!EF83)),IF(Reales!$C$83="PYG",IF(EF$10&gt;0,N(Reales!EF83)/EF$10,0),N(Reales!EF83)),EF$249*V_DPOmp/DiasMes+(EF$250+EF$252+EF$255+EF$256)*V_DPOot/DiasMes))</f>
        <v>158331.69442298592</v>
      </c>
      <c r="EG268" s="48">
        <f>IF(132&gt;Fin,EF$268,IF(AND(EG$8=1,ISNUMBER(Reales!EG83)),IF(Reales!$C$83="PYG",IF(EG$10&gt;0,N(Reales!EG83)/EG$10,0),N(Reales!EG83)),EG$249*V_DPOmp/DiasMes+(EG$250+EG$252+EG$255+EG$256)*V_DPOot/DiasMes))</f>
        <v>158331.69442298592</v>
      </c>
      <c r="EH268" s="48">
        <f>IF(133&gt;Fin,EG$268,IF(AND(EH$8=1,ISNUMBER(Reales!EH83)),IF(Reales!$C$83="PYG",IF(EH$10&gt;0,N(Reales!EH83)/EH$10,0),N(Reales!EH83)),EH$249*V_DPOmp/DiasMes+(EH$250+EH$252+EH$255+EH$256)*V_DPOot/DiasMes))</f>
        <v>158331.69442298592</v>
      </c>
      <c r="EI268" s="48">
        <f>IF(134&gt;Fin,EH$268,IF(AND(EI$8=1,ISNUMBER(Reales!EI83)),IF(Reales!$C$83="PYG",IF(EI$10&gt;0,N(Reales!EI83)/EI$10,0),N(Reales!EI83)),EI$249*V_DPOmp/DiasMes+(EI$250+EI$252+EI$255+EI$256)*V_DPOot/DiasMes))</f>
        <v>158331.69442298592</v>
      </c>
      <c r="EJ268" s="48">
        <f>IF(135&gt;Fin,EI$268,IF(AND(EJ$8=1,ISNUMBER(Reales!EJ83)),IF(Reales!$C$83="PYG",IF(EJ$10&gt;0,N(Reales!EJ83)/EJ$10,0),N(Reales!EJ83)),EJ$249*V_DPOmp/DiasMes+(EJ$250+EJ$252+EJ$255+EJ$256)*V_DPOot/DiasMes))</f>
        <v>158331.69442298592</v>
      </c>
      <c r="EK268" s="48">
        <f>IF(136&gt;Fin,EJ$268,IF(AND(EK$8=1,ISNUMBER(Reales!EK83)),IF(Reales!$C$83="PYG",IF(EK$10&gt;0,N(Reales!EK83)/EK$10,0),N(Reales!EK83)),EK$249*V_DPOmp/DiasMes+(EK$250+EK$252+EK$255+EK$256)*V_DPOot/DiasMes))</f>
        <v>158331.69442298592</v>
      </c>
      <c r="EL268" s="48">
        <f>IF(137&gt;Fin,EK$268,IF(AND(EL$8=1,ISNUMBER(Reales!EL83)),IF(Reales!$C$83="PYG",IF(EL$10&gt;0,N(Reales!EL83)/EL$10,0),N(Reales!EL83)),EL$249*V_DPOmp/DiasMes+(EL$250+EL$252+EL$255+EL$256)*V_DPOot/DiasMes))</f>
        <v>158331.69442298592</v>
      </c>
      <c r="EM268" s="48">
        <f>IF(138&gt;Fin,EL$268,IF(AND(EM$8=1,ISNUMBER(Reales!EM83)),IF(Reales!$C$83="PYG",IF(EM$10&gt;0,N(Reales!EM83)/EM$10,0),N(Reales!EM83)),EM$249*V_DPOmp/DiasMes+(EM$250+EM$252+EM$255+EM$256)*V_DPOot/DiasMes))</f>
        <v>158331.69442298592</v>
      </c>
      <c r="EN268" s="48">
        <f>IF(139&gt;Fin,EM$268,IF(AND(EN$8=1,ISNUMBER(Reales!EN83)),IF(Reales!$C$83="PYG",IF(EN$10&gt;0,N(Reales!EN83)/EN$10,0),N(Reales!EN83)),EN$249*V_DPOmp/DiasMes+(EN$250+EN$252+EN$255+EN$256)*V_DPOot/DiasMes))</f>
        <v>158331.69442298592</v>
      </c>
      <c r="EO268" s="48">
        <f>IF(140&gt;Fin,EN$268,IF(AND(EO$8=1,ISNUMBER(Reales!EO83)),IF(Reales!$C$83="PYG",IF(EO$10&gt;0,N(Reales!EO83)/EO$10,0),N(Reales!EO83)),EO$249*V_DPOmp/DiasMes+(EO$250+EO$252+EO$255+EO$256)*V_DPOot/DiasMes))</f>
        <v>158331.69442298592</v>
      </c>
      <c r="EP268" s="48">
        <f>IF(141&gt;Fin,EO$268,IF(AND(EP$8=1,ISNUMBER(Reales!EP83)),IF(Reales!$C$83="PYG",IF(EP$10&gt;0,N(Reales!EP83)/EP$10,0),N(Reales!EP83)),EP$249*V_DPOmp/DiasMes+(EP$250+EP$252+EP$255+EP$256)*V_DPOot/DiasMes))</f>
        <v>158331.69442298592</v>
      </c>
      <c r="EQ268" s="48">
        <f>IF(142&gt;Fin,EP$268,IF(AND(EQ$8=1,ISNUMBER(Reales!EQ83)),IF(Reales!$C$83="PYG",IF(EQ$10&gt;0,N(Reales!EQ83)/EQ$10,0),N(Reales!EQ83)),EQ$249*V_DPOmp/DiasMes+(EQ$250+EQ$252+EQ$255+EQ$256)*V_DPOot/DiasMes))</f>
        <v>158331.69442298592</v>
      </c>
      <c r="ER268" s="48">
        <f>IF(143&gt;Fin,EQ$268,IF(AND(ER$8=1,ISNUMBER(Reales!ER83)),IF(Reales!$C$83="PYG",IF(ER$10&gt;0,N(Reales!ER83)/ER$10,0),N(Reales!ER83)),ER$249*V_DPOmp/DiasMes+(ER$250+ER$252+ER$255+ER$256)*V_DPOot/DiasMes))</f>
        <v>158331.69442298592</v>
      </c>
      <c r="ES268" s="48">
        <f>IF(144&gt;Fin,ER$268,IF(AND(ES$8=1,ISNUMBER(Reales!ES83)),IF(Reales!$C$83="PYG",IF(ES$10&gt;0,N(Reales!ES83)/ES$10,0),N(Reales!ES83)),ES$249*V_DPOmp/DiasMes+(ES$250+ES$252+ES$255+ES$256)*V_DPOot/DiasMes))</f>
        <v>158331.69442298592</v>
      </c>
    </row>
    <row r="269" spans="1:149" x14ac:dyDescent="0.3">
      <c r="A269" s="14" t="s">
        <v>1321</v>
      </c>
      <c r="B269" s="68" t="s">
        <v>1126</v>
      </c>
      <c r="C269" s="18" t="s">
        <v>439</v>
      </c>
      <c r="E269" s="54">
        <f>MAX(F269:ES269)</f>
        <v>4499762.5173222795</v>
      </c>
      <c r="F269" s="22">
        <f t="shared" ref="F269:AK269" si="673">F$265+F$266+F$267-F$268</f>
        <v>2388063.8873590301</v>
      </c>
      <c r="G269" s="22">
        <f t="shared" si="673"/>
        <v>2388063.8873590301</v>
      </c>
      <c r="H269" s="22">
        <f t="shared" si="673"/>
        <v>2388063.8873590301</v>
      </c>
      <c r="I269" s="22">
        <f t="shared" si="673"/>
        <v>2388063.8873590301</v>
      </c>
      <c r="J269" s="22">
        <f t="shared" si="673"/>
        <v>2388063.8873590301</v>
      </c>
      <c r="K269" s="22">
        <f t="shared" si="673"/>
        <v>2388063.8873590301</v>
      </c>
      <c r="L269" s="22">
        <f t="shared" si="673"/>
        <v>2388063.8873590301</v>
      </c>
      <c r="M269" s="22">
        <f t="shared" si="673"/>
        <v>2388063.8873590301</v>
      </c>
      <c r="N269" s="22">
        <f t="shared" si="673"/>
        <v>2388063.8873590301</v>
      </c>
      <c r="O269" s="22">
        <f t="shared" si="673"/>
        <v>2388063.8873590301</v>
      </c>
      <c r="P269" s="22">
        <f t="shared" si="673"/>
        <v>2388063.8873590301</v>
      </c>
      <c r="Q269" s="22">
        <f t="shared" si="673"/>
        <v>2388063.8873590301</v>
      </c>
      <c r="R269" s="22">
        <f t="shared" si="673"/>
        <v>3043209.3317546742</v>
      </c>
      <c r="S269" s="22">
        <f t="shared" si="673"/>
        <v>3043209.3317546742</v>
      </c>
      <c r="T269" s="22">
        <f t="shared" si="673"/>
        <v>3043209.3317546742</v>
      </c>
      <c r="U269" s="22">
        <f t="shared" si="673"/>
        <v>3043209.3317546742</v>
      </c>
      <c r="V269" s="22">
        <f t="shared" si="673"/>
        <v>3043209.3317546742</v>
      </c>
      <c r="W269" s="22">
        <f t="shared" si="673"/>
        <v>3043209.3317546742</v>
      </c>
      <c r="X269" s="22">
        <f t="shared" si="673"/>
        <v>3043209.3317546742</v>
      </c>
      <c r="Y269" s="22">
        <f t="shared" si="673"/>
        <v>3043209.3317546742</v>
      </c>
      <c r="Z269" s="22">
        <f t="shared" si="673"/>
        <v>3043209.3317546742</v>
      </c>
      <c r="AA269" s="22">
        <f t="shared" si="673"/>
        <v>3043209.3317546742</v>
      </c>
      <c r="AB269" s="22">
        <f t="shared" si="673"/>
        <v>3043209.3317546742</v>
      </c>
      <c r="AC269" s="22">
        <f t="shared" si="673"/>
        <v>3043209.3317546742</v>
      </c>
      <c r="AD269" s="22">
        <f t="shared" si="673"/>
        <v>3710536.2623870973</v>
      </c>
      <c r="AE269" s="22">
        <f t="shared" si="673"/>
        <v>3710536.2623870973</v>
      </c>
      <c r="AF269" s="22">
        <f t="shared" si="673"/>
        <v>3710536.2623870973</v>
      </c>
      <c r="AG269" s="22">
        <f t="shared" si="673"/>
        <v>3710536.2623870973</v>
      </c>
      <c r="AH269" s="22">
        <f t="shared" si="673"/>
        <v>3710536.2623870973</v>
      </c>
      <c r="AI269" s="22">
        <f t="shared" si="673"/>
        <v>3710536.2623870973</v>
      </c>
      <c r="AJ269" s="22">
        <f t="shared" si="673"/>
        <v>3710536.2623870973</v>
      </c>
      <c r="AK269" s="22">
        <f t="shared" si="673"/>
        <v>3710536.2623870973</v>
      </c>
      <c r="AL269" s="22">
        <f t="shared" ref="AL269:BQ269" si="674">AL$265+AL$266+AL$267-AL$268</f>
        <v>3710536.2623870973</v>
      </c>
      <c r="AM269" s="22">
        <f t="shared" si="674"/>
        <v>3710536.2623870973</v>
      </c>
      <c r="AN269" s="22">
        <f t="shared" si="674"/>
        <v>3710536.2623870973</v>
      </c>
      <c r="AO269" s="22">
        <f t="shared" si="674"/>
        <v>3710536.2623870973</v>
      </c>
      <c r="AP269" s="22">
        <f t="shared" si="674"/>
        <v>4269345.3323204098</v>
      </c>
      <c r="AQ269" s="22">
        <f t="shared" si="674"/>
        <v>4269345.3323204098</v>
      </c>
      <c r="AR269" s="22">
        <f t="shared" si="674"/>
        <v>4269345.3323204098</v>
      </c>
      <c r="AS269" s="22">
        <f t="shared" si="674"/>
        <v>4269345.3323204098</v>
      </c>
      <c r="AT269" s="22">
        <f t="shared" si="674"/>
        <v>4269345.3323204098</v>
      </c>
      <c r="AU269" s="22">
        <f t="shared" si="674"/>
        <v>4269345.3323204098</v>
      </c>
      <c r="AV269" s="22">
        <f t="shared" si="674"/>
        <v>4269345.3323204098</v>
      </c>
      <c r="AW269" s="22">
        <f t="shared" si="674"/>
        <v>4269345.3323204098</v>
      </c>
      <c r="AX269" s="22">
        <f t="shared" si="674"/>
        <v>4269345.3323204098</v>
      </c>
      <c r="AY269" s="22">
        <f t="shared" si="674"/>
        <v>4269345.3323204098</v>
      </c>
      <c r="AZ269" s="22">
        <f t="shared" si="674"/>
        <v>4269345.3323204098</v>
      </c>
      <c r="BA269" s="22">
        <f t="shared" si="674"/>
        <v>4269345.3323204098</v>
      </c>
      <c r="BB269" s="22">
        <f t="shared" si="674"/>
        <v>4307454.8800262697</v>
      </c>
      <c r="BC269" s="22">
        <f t="shared" si="674"/>
        <v>4307454.8800262697</v>
      </c>
      <c r="BD269" s="22">
        <f t="shared" si="674"/>
        <v>4307454.8800262697</v>
      </c>
      <c r="BE269" s="22">
        <f t="shared" si="674"/>
        <v>4307454.8800262697</v>
      </c>
      <c r="BF269" s="22">
        <f t="shared" si="674"/>
        <v>4307454.8800262697</v>
      </c>
      <c r="BG269" s="22">
        <f t="shared" si="674"/>
        <v>4307454.8800262697</v>
      </c>
      <c r="BH269" s="22">
        <f t="shared" si="674"/>
        <v>4307454.8800262697</v>
      </c>
      <c r="BI269" s="22">
        <f t="shared" si="674"/>
        <v>4307454.8800262697</v>
      </c>
      <c r="BJ269" s="22">
        <f t="shared" si="674"/>
        <v>4307454.8800262697</v>
      </c>
      <c r="BK269" s="22">
        <f t="shared" si="674"/>
        <v>4307454.8800262697</v>
      </c>
      <c r="BL269" s="22">
        <f t="shared" si="674"/>
        <v>4307454.8800262697</v>
      </c>
      <c r="BM269" s="22">
        <f t="shared" si="674"/>
        <v>4307454.8800262697</v>
      </c>
      <c r="BN269" s="22">
        <f t="shared" si="674"/>
        <v>4345179.7364948662</v>
      </c>
      <c r="BO269" s="22">
        <f t="shared" si="674"/>
        <v>4345179.7364948662</v>
      </c>
      <c r="BP269" s="22">
        <f t="shared" si="674"/>
        <v>4345179.7364948662</v>
      </c>
      <c r="BQ269" s="22">
        <f t="shared" si="674"/>
        <v>4345179.7364948662</v>
      </c>
      <c r="BR269" s="22">
        <f t="shared" ref="BR269:CW269" si="675">BR$265+BR$266+BR$267-BR$268</f>
        <v>4345179.7364948662</v>
      </c>
      <c r="BS269" s="22">
        <f t="shared" si="675"/>
        <v>4345179.7364948662</v>
      </c>
      <c r="BT269" s="22">
        <f t="shared" si="675"/>
        <v>4345179.7364948662</v>
      </c>
      <c r="BU269" s="22">
        <f t="shared" si="675"/>
        <v>4345179.7364948662</v>
      </c>
      <c r="BV269" s="22">
        <f t="shared" si="675"/>
        <v>4345179.7364948662</v>
      </c>
      <c r="BW269" s="22">
        <f t="shared" si="675"/>
        <v>4345179.7364948662</v>
      </c>
      <c r="BX269" s="22">
        <f t="shared" si="675"/>
        <v>4345179.7364948662</v>
      </c>
      <c r="BY269" s="22">
        <f t="shared" si="675"/>
        <v>4345179.7364948662</v>
      </c>
      <c r="BZ269" s="22">
        <f t="shared" si="675"/>
        <v>4383269.6297196476</v>
      </c>
      <c r="CA269" s="22">
        <f t="shared" si="675"/>
        <v>4383269.6297196476</v>
      </c>
      <c r="CB269" s="22">
        <f t="shared" si="675"/>
        <v>4383269.6297196476</v>
      </c>
      <c r="CC269" s="22">
        <f t="shared" si="675"/>
        <v>4383269.6297196476</v>
      </c>
      <c r="CD269" s="22">
        <f t="shared" si="675"/>
        <v>4383269.6297196476</v>
      </c>
      <c r="CE269" s="22">
        <f t="shared" si="675"/>
        <v>4383269.6297196476</v>
      </c>
      <c r="CF269" s="22">
        <f t="shared" si="675"/>
        <v>4383269.6297196476</v>
      </c>
      <c r="CG269" s="22">
        <f t="shared" si="675"/>
        <v>4383269.6297196476</v>
      </c>
      <c r="CH269" s="22">
        <f t="shared" si="675"/>
        <v>4383269.6297196476</v>
      </c>
      <c r="CI269" s="22">
        <f t="shared" si="675"/>
        <v>4383269.6297196476</v>
      </c>
      <c r="CJ269" s="22">
        <f t="shared" si="675"/>
        <v>4383269.6297196476</v>
      </c>
      <c r="CK269" s="22">
        <f t="shared" si="675"/>
        <v>4383269.6297196476</v>
      </c>
      <c r="CL269" s="22">
        <f t="shared" si="675"/>
        <v>4421727.8474141657</v>
      </c>
      <c r="CM269" s="22">
        <f t="shared" si="675"/>
        <v>4421727.8474141657</v>
      </c>
      <c r="CN269" s="22">
        <f t="shared" si="675"/>
        <v>4421727.8474141657</v>
      </c>
      <c r="CO269" s="22">
        <f t="shared" si="675"/>
        <v>4421727.8474141657</v>
      </c>
      <c r="CP269" s="22">
        <f t="shared" si="675"/>
        <v>4421727.8474141657</v>
      </c>
      <c r="CQ269" s="22">
        <f t="shared" si="675"/>
        <v>4421727.8474141657</v>
      </c>
      <c r="CR269" s="22">
        <f t="shared" si="675"/>
        <v>4421727.8474141657</v>
      </c>
      <c r="CS269" s="22">
        <f t="shared" si="675"/>
        <v>4421727.8474141657</v>
      </c>
      <c r="CT269" s="22">
        <f t="shared" si="675"/>
        <v>4421727.8474141657</v>
      </c>
      <c r="CU269" s="22">
        <f t="shared" si="675"/>
        <v>4421727.8474141657</v>
      </c>
      <c r="CV269" s="22">
        <f t="shared" si="675"/>
        <v>4421727.8474141657</v>
      </c>
      <c r="CW269" s="22">
        <f t="shared" si="675"/>
        <v>4421727.8474141657</v>
      </c>
      <c r="CX269" s="22">
        <f t="shared" ref="CX269:EC269" si="676">CX$265+CX$266+CX$267-CX$268</f>
        <v>4460557.6993635017</v>
      </c>
      <c r="CY269" s="22">
        <f t="shared" si="676"/>
        <v>4460557.6993635017</v>
      </c>
      <c r="CZ269" s="22">
        <f t="shared" si="676"/>
        <v>4460557.6993635017</v>
      </c>
      <c r="DA269" s="22">
        <f t="shared" si="676"/>
        <v>4460557.6993635017</v>
      </c>
      <c r="DB269" s="22">
        <f t="shared" si="676"/>
        <v>4460557.6993635017</v>
      </c>
      <c r="DC269" s="22">
        <f t="shared" si="676"/>
        <v>4460557.6993635017</v>
      </c>
      <c r="DD269" s="22">
        <f t="shared" si="676"/>
        <v>4460557.6993635017</v>
      </c>
      <c r="DE269" s="22">
        <f t="shared" si="676"/>
        <v>4460557.6993635017</v>
      </c>
      <c r="DF269" s="22">
        <f t="shared" si="676"/>
        <v>4460557.6993635017</v>
      </c>
      <c r="DG269" s="22">
        <f t="shared" si="676"/>
        <v>4460557.6993635017</v>
      </c>
      <c r="DH269" s="22">
        <f t="shared" si="676"/>
        <v>4460557.6993635017</v>
      </c>
      <c r="DI269" s="22">
        <f t="shared" si="676"/>
        <v>4460557.6993635017</v>
      </c>
      <c r="DJ269" s="22">
        <f t="shared" si="676"/>
        <v>4499762.5173222795</v>
      </c>
      <c r="DK269" s="22">
        <f t="shared" si="676"/>
        <v>4499762.5173222795</v>
      </c>
      <c r="DL269" s="22">
        <f t="shared" si="676"/>
        <v>4499762.5173222795</v>
      </c>
      <c r="DM269" s="22">
        <f t="shared" si="676"/>
        <v>4499762.5173222795</v>
      </c>
      <c r="DN269" s="22">
        <f t="shared" si="676"/>
        <v>4499762.5173222795</v>
      </c>
      <c r="DO269" s="22">
        <f t="shared" si="676"/>
        <v>4499762.5173222795</v>
      </c>
      <c r="DP269" s="22">
        <f t="shared" si="676"/>
        <v>4499762.5173222795</v>
      </c>
      <c r="DQ269" s="22">
        <f t="shared" si="676"/>
        <v>4499762.5173222795</v>
      </c>
      <c r="DR269" s="22">
        <f t="shared" si="676"/>
        <v>4499762.5173222795</v>
      </c>
      <c r="DS269" s="22">
        <f t="shared" si="676"/>
        <v>4499762.5173222795</v>
      </c>
      <c r="DT269" s="22">
        <f t="shared" si="676"/>
        <v>4499762.5173222795</v>
      </c>
      <c r="DU269" s="22">
        <f t="shared" si="676"/>
        <v>4499762.5173222795</v>
      </c>
      <c r="DV269" s="22">
        <f t="shared" si="676"/>
        <v>4499762.5173222795</v>
      </c>
      <c r="DW269" s="22">
        <f t="shared" si="676"/>
        <v>4499762.5173222795</v>
      </c>
      <c r="DX269" s="22">
        <f t="shared" si="676"/>
        <v>4499762.5173222795</v>
      </c>
      <c r="DY269" s="22">
        <f t="shared" si="676"/>
        <v>4499762.5173222795</v>
      </c>
      <c r="DZ269" s="22">
        <f t="shared" si="676"/>
        <v>4499762.5173222795</v>
      </c>
      <c r="EA269" s="22">
        <f t="shared" si="676"/>
        <v>4499762.5173222795</v>
      </c>
      <c r="EB269" s="22">
        <f t="shared" si="676"/>
        <v>4499762.5173222795</v>
      </c>
      <c r="EC269" s="22">
        <f t="shared" si="676"/>
        <v>4499762.5173222795</v>
      </c>
      <c r="ED269" s="22">
        <f t="shared" ref="ED269:ES269" si="677">ED$265+ED$266+ED$267-ED$268</f>
        <v>4499762.5173222795</v>
      </c>
      <c r="EE269" s="22">
        <f t="shared" si="677"/>
        <v>4499762.5173222795</v>
      </c>
      <c r="EF269" s="22">
        <f t="shared" si="677"/>
        <v>4499762.5173222795</v>
      </c>
      <c r="EG269" s="22">
        <f t="shared" si="677"/>
        <v>4499762.5173222795</v>
      </c>
      <c r="EH269" s="22">
        <f t="shared" si="677"/>
        <v>4499762.5173222795</v>
      </c>
      <c r="EI269" s="22">
        <f t="shared" si="677"/>
        <v>4499762.5173222795</v>
      </c>
      <c r="EJ269" s="22">
        <f t="shared" si="677"/>
        <v>4499762.5173222795</v>
      </c>
      <c r="EK269" s="22">
        <f t="shared" si="677"/>
        <v>4499762.5173222795</v>
      </c>
      <c r="EL269" s="22">
        <f t="shared" si="677"/>
        <v>4499762.5173222795</v>
      </c>
      <c r="EM269" s="22">
        <f t="shared" si="677"/>
        <v>4499762.5173222795</v>
      </c>
      <c r="EN269" s="22">
        <f t="shared" si="677"/>
        <v>4499762.5173222795</v>
      </c>
      <c r="EO269" s="22">
        <f t="shared" si="677"/>
        <v>4499762.5173222795</v>
      </c>
      <c r="EP269" s="22">
        <f t="shared" si="677"/>
        <v>4499762.5173222795</v>
      </c>
      <c r="EQ269" s="22">
        <f t="shared" si="677"/>
        <v>4499762.5173222795</v>
      </c>
      <c r="ER269" s="22">
        <f t="shared" si="677"/>
        <v>4499762.5173222795</v>
      </c>
      <c r="ES269" s="22">
        <f t="shared" si="677"/>
        <v>4499762.5173222795</v>
      </c>
    </row>
    <row r="270" spans="1:149" x14ac:dyDescent="0.3">
      <c r="A270" s="14" t="s">
        <v>1322</v>
      </c>
      <c r="B270" s="18" t="s">
        <v>1128</v>
      </c>
      <c r="C270" s="18" t="s">
        <v>439</v>
      </c>
      <c r="E270" s="54">
        <f>SUM(F270:ES270)</f>
        <v>4499762.5173222795</v>
      </c>
      <c r="F270" s="48">
        <f>F$269-0</f>
        <v>2388063.8873590301</v>
      </c>
      <c r="G270" s="48">
        <f t="shared" ref="G270:AL270" si="678">G$269-F$269</f>
        <v>0</v>
      </c>
      <c r="H270" s="48">
        <f t="shared" si="678"/>
        <v>0</v>
      </c>
      <c r="I270" s="48">
        <f t="shared" si="678"/>
        <v>0</v>
      </c>
      <c r="J270" s="48">
        <f t="shared" si="678"/>
        <v>0</v>
      </c>
      <c r="K270" s="48">
        <f t="shared" si="678"/>
        <v>0</v>
      </c>
      <c r="L270" s="48">
        <f t="shared" si="678"/>
        <v>0</v>
      </c>
      <c r="M270" s="48">
        <f t="shared" si="678"/>
        <v>0</v>
      </c>
      <c r="N270" s="48">
        <f t="shared" si="678"/>
        <v>0</v>
      </c>
      <c r="O270" s="48">
        <f t="shared" si="678"/>
        <v>0</v>
      </c>
      <c r="P270" s="48">
        <f t="shared" si="678"/>
        <v>0</v>
      </c>
      <c r="Q270" s="48">
        <f t="shared" si="678"/>
        <v>0</v>
      </c>
      <c r="R270" s="48">
        <f t="shared" si="678"/>
        <v>655145.44439564412</v>
      </c>
      <c r="S270" s="48">
        <f t="shared" si="678"/>
        <v>0</v>
      </c>
      <c r="T270" s="48">
        <f t="shared" si="678"/>
        <v>0</v>
      </c>
      <c r="U270" s="48">
        <f t="shared" si="678"/>
        <v>0</v>
      </c>
      <c r="V270" s="48">
        <f t="shared" si="678"/>
        <v>0</v>
      </c>
      <c r="W270" s="48">
        <f t="shared" si="678"/>
        <v>0</v>
      </c>
      <c r="X270" s="48">
        <f t="shared" si="678"/>
        <v>0</v>
      </c>
      <c r="Y270" s="48">
        <f t="shared" si="678"/>
        <v>0</v>
      </c>
      <c r="Z270" s="48">
        <f t="shared" si="678"/>
        <v>0</v>
      </c>
      <c r="AA270" s="48">
        <f t="shared" si="678"/>
        <v>0</v>
      </c>
      <c r="AB270" s="48">
        <f t="shared" si="678"/>
        <v>0</v>
      </c>
      <c r="AC270" s="48">
        <f t="shared" si="678"/>
        <v>0</v>
      </c>
      <c r="AD270" s="48">
        <f t="shared" si="678"/>
        <v>667326.93063242314</v>
      </c>
      <c r="AE270" s="48">
        <f t="shared" si="678"/>
        <v>0</v>
      </c>
      <c r="AF270" s="48">
        <f t="shared" si="678"/>
        <v>0</v>
      </c>
      <c r="AG270" s="48">
        <f t="shared" si="678"/>
        <v>0</v>
      </c>
      <c r="AH270" s="48">
        <f t="shared" si="678"/>
        <v>0</v>
      </c>
      <c r="AI270" s="48">
        <f t="shared" si="678"/>
        <v>0</v>
      </c>
      <c r="AJ270" s="48">
        <f t="shared" si="678"/>
        <v>0</v>
      </c>
      <c r="AK270" s="48">
        <f t="shared" si="678"/>
        <v>0</v>
      </c>
      <c r="AL270" s="48">
        <f t="shared" si="678"/>
        <v>0</v>
      </c>
      <c r="AM270" s="48">
        <f t="shared" ref="AM270:BR270" si="679">AM$269-AL$269</f>
        <v>0</v>
      </c>
      <c r="AN270" s="48">
        <f t="shared" si="679"/>
        <v>0</v>
      </c>
      <c r="AO270" s="48">
        <f t="shared" si="679"/>
        <v>0</v>
      </c>
      <c r="AP270" s="48">
        <f t="shared" si="679"/>
        <v>558809.06993331248</v>
      </c>
      <c r="AQ270" s="48">
        <f t="shared" si="679"/>
        <v>0</v>
      </c>
      <c r="AR270" s="48">
        <f t="shared" si="679"/>
        <v>0</v>
      </c>
      <c r="AS270" s="48">
        <f t="shared" si="679"/>
        <v>0</v>
      </c>
      <c r="AT270" s="48">
        <f t="shared" si="679"/>
        <v>0</v>
      </c>
      <c r="AU270" s="48">
        <f t="shared" si="679"/>
        <v>0</v>
      </c>
      <c r="AV270" s="48">
        <f t="shared" si="679"/>
        <v>0</v>
      </c>
      <c r="AW270" s="48">
        <f t="shared" si="679"/>
        <v>0</v>
      </c>
      <c r="AX270" s="48">
        <f t="shared" si="679"/>
        <v>0</v>
      </c>
      <c r="AY270" s="48">
        <f t="shared" si="679"/>
        <v>0</v>
      </c>
      <c r="AZ270" s="48">
        <f t="shared" si="679"/>
        <v>0</v>
      </c>
      <c r="BA270" s="48">
        <f t="shared" si="679"/>
        <v>0</v>
      </c>
      <c r="BB270" s="48">
        <f t="shared" si="679"/>
        <v>38109.547705859877</v>
      </c>
      <c r="BC270" s="48">
        <f t="shared" si="679"/>
        <v>0</v>
      </c>
      <c r="BD270" s="48">
        <f t="shared" si="679"/>
        <v>0</v>
      </c>
      <c r="BE270" s="48">
        <f t="shared" si="679"/>
        <v>0</v>
      </c>
      <c r="BF270" s="48">
        <f t="shared" si="679"/>
        <v>0</v>
      </c>
      <c r="BG270" s="48">
        <f t="shared" si="679"/>
        <v>0</v>
      </c>
      <c r="BH270" s="48">
        <f t="shared" si="679"/>
        <v>0</v>
      </c>
      <c r="BI270" s="48">
        <f t="shared" si="679"/>
        <v>0</v>
      </c>
      <c r="BJ270" s="48">
        <f t="shared" si="679"/>
        <v>0</v>
      </c>
      <c r="BK270" s="48">
        <f t="shared" si="679"/>
        <v>0</v>
      </c>
      <c r="BL270" s="48">
        <f t="shared" si="679"/>
        <v>0</v>
      </c>
      <c r="BM270" s="48">
        <f t="shared" si="679"/>
        <v>0</v>
      </c>
      <c r="BN270" s="48">
        <f t="shared" si="679"/>
        <v>37724.856468596496</v>
      </c>
      <c r="BO270" s="48">
        <f t="shared" si="679"/>
        <v>0</v>
      </c>
      <c r="BP270" s="48">
        <f t="shared" si="679"/>
        <v>0</v>
      </c>
      <c r="BQ270" s="48">
        <f t="shared" si="679"/>
        <v>0</v>
      </c>
      <c r="BR270" s="48">
        <f t="shared" si="679"/>
        <v>0</v>
      </c>
      <c r="BS270" s="48">
        <f t="shared" ref="BS270:CX270" si="680">BS$269-BR$269</f>
        <v>0</v>
      </c>
      <c r="BT270" s="48">
        <f t="shared" si="680"/>
        <v>0</v>
      </c>
      <c r="BU270" s="48">
        <f t="shared" si="680"/>
        <v>0</v>
      </c>
      <c r="BV270" s="48">
        <f t="shared" si="680"/>
        <v>0</v>
      </c>
      <c r="BW270" s="48">
        <f t="shared" si="680"/>
        <v>0</v>
      </c>
      <c r="BX270" s="48">
        <f t="shared" si="680"/>
        <v>0</v>
      </c>
      <c r="BY270" s="48">
        <f t="shared" si="680"/>
        <v>0</v>
      </c>
      <c r="BZ270" s="48">
        <f t="shared" si="680"/>
        <v>38089.893224781379</v>
      </c>
      <c r="CA270" s="48">
        <f t="shared" si="680"/>
        <v>0</v>
      </c>
      <c r="CB270" s="48">
        <f t="shared" si="680"/>
        <v>0</v>
      </c>
      <c r="CC270" s="48">
        <f t="shared" si="680"/>
        <v>0</v>
      </c>
      <c r="CD270" s="48">
        <f t="shared" si="680"/>
        <v>0</v>
      </c>
      <c r="CE270" s="48">
        <f t="shared" si="680"/>
        <v>0</v>
      </c>
      <c r="CF270" s="48">
        <f t="shared" si="680"/>
        <v>0</v>
      </c>
      <c r="CG270" s="48">
        <f t="shared" si="680"/>
        <v>0</v>
      </c>
      <c r="CH270" s="48">
        <f t="shared" si="680"/>
        <v>0</v>
      </c>
      <c r="CI270" s="48">
        <f t="shared" si="680"/>
        <v>0</v>
      </c>
      <c r="CJ270" s="48">
        <f t="shared" si="680"/>
        <v>0</v>
      </c>
      <c r="CK270" s="48">
        <f t="shared" si="680"/>
        <v>0</v>
      </c>
      <c r="CL270" s="48">
        <f t="shared" si="680"/>
        <v>38458.217694518156</v>
      </c>
      <c r="CM270" s="48">
        <f t="shared" si="680"/>
        <v>0</v>
      </c>
      <c r="CN270" s="48">
        <f t="shared" si="680"/>
        <v>0</v>
      </c>
      <c r="CO270" s="48">
        <f t="shared" si="680"/>
        <v>0</v>
      </c>
      <c r="CP270" s="48">
        <f t="shared" si="680"/>
        <v>0</v>
      </c>
      <c r="CQ270" s="48">
        <f t="shared" si="680"/>
        <v>0</v>
      </c>
      <c r="CR270" s="48">
        <f t="shared" si="680"/>
        <v>0</v>
      </c>
      <c r="CS270" s="48">
        <f t="shared" si="680"/>
        <v>0</v>
      </c>
      <c r="CT270" s="48">
        <f t="shared" si="680"/>
        <v>0</v>
      </c>
      <c r="CU270" s="48">
        <f t="shared" si="680"/>
        <v>0</v>
      </c>
      <c r="CV270" s="48">
        <f t="shared" si="680"/>
        <v>0</v>
      </c>
      <c r="CW270" s="48">
        <f t="shared" si="680"/>
        <v>0</v>
      </c>
      <c r="CX270" s="48">
        <f t="shared" si="680"/>
        <v>38829.851949336007</v>
      </c>
      <c r="CY270" s="48">
        <f t="shared" ref="CY270:ED270" si="681">CY$269-CX$269</f>
        <v>0</v>
      </c>
      <c r="CZ270" s="48">
        <f t="shared" si="681"/>
        <v>0</v>
      </c>
      <c r="DA270" s="48">
        <f t="shared" si="681"/>
        <v>0</v>
      </c>
      <c r="DB270" s="48">
        <f t="shared" si="681"/>
        <v>0</v>
      </c>
      <c r="DC270" s="48">
        <f t="shared" si="681"/>
        <v>0</v>
      </c>
      <c r="DD270" s="48">
        <f t="shared" si="681"/>
        <v>0</v>
      </c>
      <c r="DE270" s="48">
        <f t="shared" si="681"/>
        <v>0</v>
      </c>
      <c r="DF270" s="48">
        <f t="shared" si="681"/>
        <v>0</v>
      </c>
      <c r="DG270" s="48">
        <f t="shared" si="681"/>
        <v>0</v>
      </c>
      <c r="DH270" s="48">
        <f t="shared" si="681"/>
        <v>0</v>
      </c>
      <c r="DI270" s="48">
        <f t="shared" si="681"/>
        <v>0</v>
      </c>
      <c r="DJ270" s="48">
        <f t="shared" si="681"/>
        <v>39204.81795877777</v>
      </c>
      <c r="DK270" s="48">
        <f t="shared" si="681"/>
        <v>0</v>
      </c>
      <c r="DL270" s="48">
        <f t="shared" si="681"/>
        <v>0</v>
      </c>
      <c r="DM270" s="48">
        <f t="shared" si="681"/>
        <v>0</v>
      </c>
      <c r="DN270" s="48">
        <f t="shared" si="681"/>
        <v>0</v>
      </c>
      <c r="DO270" s="48">
        <f t="shared" si="681"/>
        <v>0</v>
      </c>
      <c r="DP270" s="48">
        <f t="shared" si="681"/>
        <v>0</v>
      </c>
      <c r="DQ270" s="48">
        <f t="shared" si="681"/>
        <v>0</v>
      </c>
      <c r="DR270" s="48">
        <f t="shared" si="681"/>
        <v>0</v>
      </c>
      <c r="DS270" s="48">
        <f t="shared" si="681"/>
        <v>0</v>
      </c>
      <c r="DT270" s="48">
        <f t="shared" si="681"/>
        <v>0</v>
      </c>
      <c r="DU270" s="48">
        <f t="shared" si="681"/>
        <v>0</v>
      </c>
      <c r="DV270" s="48">
        <f t="shared" si="681"/>
        <v>0</v>
      </c>
      <c r="DW270" s="48">
        <f t="shared" si="681"/>
        <v>0</v>
      </c>
      <c r="DX270" s="48">
        <f t="shared" si="681"/>
        <v>0</v>
      </c>
      <c r="DY270" s="48">
        <f t="shared" si="681"/>
        <v>0</v>
      </c>
      <c r="DZ270" s="48">
        <f t="shared" si="681"/>
        <v>0</v>
      </c>
      <c r="EA270" s="48">
        <f t="shared" si="681"/>
        <v>0</v>
      </c>
      <c r="EB270" s="48">
        <f t="shared" si="681"/>
        <v>0</v>
      </c>
      <c r="EC270" s="48">
        <f t="shared" si="681"/>
        <v>0</v>
      </c>
      <c r="ED270" s="48">
        <f t="shared" si="681"/>
        <v>0</v>
      </c>
      <c r="EE270" s="48">
        <f t="shared" ref="EE270:ES270" si="682">EE$269-ED$269</f>
        <v>0</v>
      </c>
      <c r="EF270" s="48">
        <f t="shared" si="682"/>
        <v>0</v>
      </c>
      <c r="EG270" s="48">
        <f t="shared" si="682"/>
        <v>0</v>
      </c>
      <c r="EH270" s="48">
        <f t="shared" si="682"/>
        <v>0</v>
      </c>
      <c r="EI270" s="48">
        <f t="shared" si="682"/>
        <v>0</v>
      </c>
      <c r="EJ270" s="48">
        <f t="shared" si="682"/>
        <v>0</v>
      </c>
      <c r="EK270" s="48">
        <f t="shared" si="682"/>
        <v>0</v>
      </c>
      <c r="EL270" s="48">
        <f t="shared" si="682"/>
        <v>0</v>
      </c>
      <c r="EM270" s="48">
        <f t="shared" si="682"/>
        <v>0</v>
      </c>
      <c r="EN270" s="48">
        <f t="shared" si="682"/>
        <v>0</v>
      </c>
      <c r="EO270" s="48">
        <f t="shared" si="682"/>
        <v>0</v>
      </c>
      <c r="EP270" s="48">
        <f t="shared" si="682"/>
        <v>0</v>
      </c>
      <c r="EQ270" s="48">
        <f t="shared" si="682"/>
        <v>0</v>
      </c>
      <c r="ER270" s="48">
        <f t="shared" si="682"/>
        <v>0</v>
      </c>
      <c r="ES270" s="48">
        <f t="shared" si="682"/>
        <v>0</v>
      </c>
    </row>
    <row r="271" spans="1:149" x14ac:dyDescent="0.3">
      <c r="A271" s="16"/>
      <c r="B271" s="15" t="s">
        <v>1129</v>
      </c>
      <c r="C271" s="16"/>
      <c r="D271" s="16"/>
      <c r="E271" s="16"/>
    </row>
    <row r="272" spans="1:149" x14ac:dyDescent="0.3">
      <c r="A272" s="14" t="s">
        <v>1323</v>
      </c>
      <c r="B272" s="68" t="s">
        <v>1131</v>
      </c>
      <c r="C272" s="18" t="s">
        <v>439</v>
      </c>
      <c r="E272" s="54">
        <f>SUM(F272:ES272)</f>
        <v>11809741.498938739</v>
      </c>
      <c r="F272" s="22">
        <f t="shared" ref="F272:AK272" si="683">(F$258-F$262-F$270)*F$9</f>
        <v>-2345566.3868834404</v>
      </c>
      <c r="G272" s="22">
        <f t="shared" si="683"/>
        <v>42497.500475589746</v>
      </c>
      <c r="H272" s="22">
        <f t="shared" si="683"/>
        <v>42497.500475589746</v>
      </c>
      <c r="I272" s="22">
        <f t="shared" si="683"/>
        <v>42497.500475589746</v>
      </c>
      <c r="J272" s="22">
        <f t="shared" si="683"/>
        <v>42497.500475589746</v>
      </c>
      <c r="K272" s="22">
        <f t="shared" si="683"/>
        <v>42497.500475589746</v>
      </c>
      <c r="L272" s="22">
        <f t="shared" si="683"/>
        <v>42497.500475589746</v>
      </c>
      <c r="M272" s="22">
        <f t="shared" si="683"/>
        <v>42497.500475589746</v>
      </c>
      <c r="N272" s="22">
        <f t="shared" si="683"/>
        <v>42497.500475589746</v>
      </c>
      <c r="O272" s="22">
        <f t="shared" si="683"/>
        <v>42497.500475589746</v>
      </c>
      <c r="P272" s="22">
        <f t="shared" si="683"/>
        <v>42497.500475589746</v>
      </c>
      <c r="Q272" s="22">
        <f t="shared" si="683"/>
        <v>42497.500475589746</v>
      </c>
      <c r="R272" s="22">
        <f t="shared" si="683"/>
        <v>-574649.04140167939</v>
      </c>
      <c r="S272" s="22">
        <f t="shared" si="683"/>
        <v>80496.402993964788</v>
      </c>
      <c r="T272" s="22">
        <f t="shared" si="683"/>
        <v>80496.402993964788</v>
      </c>
      <c r="U272" s="22">
        <f t="shared" si="683"/>
        <v>80496.402993964788</v>
      </c>
      <c r="V272" s="22">
        <f t="shared" si="683"/>
        <v>80496.402993964788</v>
      </c>
      <c r="W272" s="22">
        <f t="shared" si="683"/>
        <v>80496.402993964788</v>
      </c>
      <c r="X272" s="22">
        <f t="shared" si="683"/>
        <v>80496.402993964788</v>
      </c>
      <c r="Y272" s="22">
        <f t="shared" si="683"/>
        <v>80496.402993964788</v>
      </c>
      <c r="Z272" s="22">
        <f t="shared" si="683"/>
        <v>80496.402993964788</v>
      </c>
      <c r="AA272" s="22">
        <f t="shared" si="683"/>
        <v>80496.402993964788</v>
      </c>
      <c r="AB272" s="22">
        <f t="shared" si="683"/>
        <v>80496.402993964788</v>
      </c>
      <c r="AC272" s="22">
        <f t="shared" si="683"/>
        <v>80496.402993964788</v>
      </c>
      <c r="AD272" s="22">
        <f t="shared" si="683"/>
        <v>-550241.89976729837</v>
      </c>
      <c r="AE272" s="22">
        <f t="shared" si="683"/>
        <v>117085.03086512479</v>
      </c>
      <c r="AF272" s="22">
        <f t="shared" si="683"/>
        <v>117085.03086512479</v>
      </c>
      <c r="AG272" s="22">
        <f t="shared" si="683"/>
        <v>117085.03086512479</v>
      </c>
      <c r="AH272" s="22">
        <f t="shared" si="683"/>
        <v>117085.03086512479</v>
      </c>
      <c r="AI272" s="22">
        <f t="shared" si="683"/>
        <v>117085.03086512479</v>
      </c>
      <c r="AJ272" s="22">
        <f t="shared" si="683"/>
        <v>117085.03086512479</v>
      </c>
      <c r="AK272" s="22">
        <f t="shared" si="683"/>
        <v>117085.03086512479</v>
      </c>
      <c r="AL272" s="22">
        <f t="shared" ref="AL272:BQ272" si="684">(AL$258-AL$262-AL$270)*AL$9</f>
        <v>117085.03086512479</v>
      </c>
      <c r="AM272" s="22">
        <f t="shared" si="684"/>
        <v>117085.03086512479</v>
      </c>
      <c r="AN272" s="22">
        <f t="shared" si="684"/>
        <v>117085.03086512479</v>
      </c>
      <c r="AO272" s="22">
        <f t="shared" si="684"/>
        <v>117085.03086512479</v>
      </c>
      <c r="AP272" s="22">
        <f t="shared" si="684"/>
        <v>-408915.49005345418</v>
      </c>
      <c r="AQ272" s="22">
        <f t="shared" si="684"/>
        <v>149893.57987985833</v>
      </c>
      <c r="AR272" s="22">
        <f t="shared" si="684"/>
        <v>149893.57987985833</v>
      </c>
      <c r="AS272" s="22">
        <f t="shared" si="684"/>
        <v>149893.57987985833</v>
      </c>
      <c r="AT272" s="22">
        <f t="shared" si="684"/>
        <v>149893.57987985833</v>
      </c>
      <c r="AU272" s="22">
        <f t="shared" si="684"/>
        <v>149893.57987985833</v>
      </c>
      <c r="AV272" s="22">
        <f t="shared" si="684"/>
        <v>149893.57987985833</v>
      </c>
      <c r="AW272" s="22">
        <f t="shared" si="684"/>
        <v>149893.57987985833</v>
      </c>
      <c r="AX272" s="22">
        <f t="shared" si="684"/>
        <v>149893.57987985833</v>
      </c>
      <c r="AY272" s="22">
        <f t="shared" si="684"/>
        <v>149893.57987985833</v>
      </c>
      <c r="AZ272" s="22">
        <f t="shared" si="684"/>
        <v>149893.57987985833</v>
      </c>
      <c r="BA272" s="22">
        <f t="shared" si="684"/>
        <v>149893.57987985833</v>
      </c>
      <c r="BB272" s="22">
        <f t="shared" si="684"/>
        <v>113103.61717051393</v>
      </c>
      <c r="BC272" s="22">
        <f t="shared" si="684"/>
        <v>151213.1648763738</v>
      </c>
      <c r="BD272" s="22">
        <f t="shared" si="684"/>
        <v>151213.1648763738</v>
      </c>
      <c r="BE272" s="22">
        <f t="shared" si="684"/>
        <v>151213.1648763738</v>
      </c>
      <c r="BF272" s="22">
        <f t="shared" si="684"/>
        <v>151213.1648763738</v>
      </c>
      <c r="BG272" s="22">
        <f t="shared" si="684"/>
        <v>151213.1648763738</v>
      </c>
      <c r="BH272" s="22">
        <f t="shared" si="684"/>
        <v>151213.1648763738</v>
      </c>
      <c r="BI272" s="22">
        <f t="shared" si="684"/>
        <v>151213.1648763738</v>
      </c>
      <c r="BJ272" s="22">
        <f t="shared" si="684"/>
        <v>151213.1648763738</v>
      </c>
      <c r="BK272" s="22">
        <f t="shared" si="684"/>
        <v>151213.1648763738</v>
      </c>
      <c r="BL272" s="22">
        <f t="shared" si="684"/>
        <v>151213.1648763738</v>
      </c>
      <c r="BM272" s="22">
        <f t="shared" si="684"/>
        <v>151213.1648763738</v>
      </c>
      <c r="BN272" s="22">
        <f t="shared" si="684"/>
        <v>117575.58532922962</v>
      </c>
      <c r="BO272" s="22">
        <f t="shared" si="684"/>
        <v>155300.44179782612</v>
      </c>
      <c r="BP272" s="22">
        <f t="shared" si="684"/>
        <v>155300.44179782612</v>
      </c>
      <c r="BQ272" s="22">
        <f t="shared" si="684"/>
        <v>155300.44179782612</v>
      </c>
      <c r="BR272" s="22">
        <f t="shared" ref="BR272:CW272" si="685">(BR$258-BR$262-BR$270)*BR$9</f>
        <v>155300.44179782612</v>
      </c>
      <c r="BS272" s="22">
        <f t="shared" si="685"/>
        <v>155300.44179782612</v>
      </c>
      <c r="BT272" s="22">
        <f t="shared" si="685"/>
        <v>155300.44179782612</v>
      </c>
      <c r="BU272" s="22">
        <f t="shared" si="685"/>
        <v>155300.44179782612</v>
      </c>
      <c r="BV272" s="22">
        <f t="shared" si="685"/>
        <v>155300.44179782612</v>
      </c>
      <c r="BW272" s="22">
        <f t="shared" si="685"/>
        <v>155300.44179782612</v>
      </c>
      <c r="BX272" s="22">
        <f t="shared" si="685"/>
        <v>155300.44179782612</v>
      </c>
      <c r="BY272" s="22">
        <f t="shared" si="685"/>
        <v>155300.44179782612</v>
      </c>
      <c r="BZ272" s="22">
        <f t="shared" si="685"/>
        <v>121326.1292646185</v>
      </c>
      <c r="CA272" s="22">
        <f t="shared" si="685"/>
        <v>159416.02248939988</v>
      </c>
      <c r="CB272" s="22">
        <f t="shared" si="685"/>
        <v>159416.02248939988</v>
      </c>
      <c r="CC272" s="22">
        <f t="shared" si="685"/>
        <v>159416.02248939988</v>
      </c>
      <c r="CD272" s="22">
        <f t="shared" si="685"/>
        <v>159416.02248939988</v>
      </c>
      <c r="CE272" s="22">
        <f t="shared" si="685"/>
        <v>159416.02248939988</v>
      </c>
      <c r="CF272" s="22">
        <f t="shared" si="685"/>
        <v>159416.02248939988</v>
      </c>
      <c r="CG272" s="22">
        <f t="shared" si="685"/>
        <v>159416.02248939988</v>
      </c>
      <c r="CH272" s="22">
        <f t="shared" si="685"/>
        <v>159416.02248939988</v>
      </c>
      <c r="CI272" s="22">
        <f t="shared" si="685"/>
        <v>159416.02248939988</v>
      </c>
      <c r="CJ272" s="22">
        <f t="shared" si="685"/>
        <v>159416.02248939988</v>
      </c>
      <c r="CK272" s="22">
        <f t="shared" si="685"/>
        <v>159416.02248939988</v>
      </c>
      <c r="CL272" s="22">
        <f t="shared" si="685"/>
        <v>125101.6008517693</v>
      </c>
      <c r="CM272" s="22">
        <f t="shared" si="685"/>
        <v>163559.81854628745</v>
      </c>
      <c r="CN272" s="22">
        <f t="shared" si="685"/>
        <v>163559.81854628745</v>
      </c>
      <c r="CO272" s="22">
        <f t="shared" si="685"/>
        <v>163559.81854628745</v>
      </c>
      <c r="CP272" s="22">
        <f t="shared" si="685"/>
        <v>163559.81854628745</v>
      </c>
      <c r="CQ272" s="22">
        <f t="shared" si="685"/>
        <v>163559.81854628745</v>
      </c>
      <c r="CR272" s="22">
        <f t="shared" si="685"/>
        <v>163559.81854628745</v>
      </c>
      <c r="CS272" s="22">
        <f t="shared" si="685"/>
        <v>163559.81854628745</v>
      </c>
      <c r="CT272" s="22">
        <f t="shared" si="685"/>
        <v>163559.81854628745</v>
      </c>
      <c r="CU272" s="22">
        <f t="shared" si="685"/>
        <v>163559.81854628745</v>
      </c>
      <c r="CV272" s="22">
        <f t="shared" si="685"/>
        <v>163559.81854628745</v>
      </c>
      <c r="CW272" s="22">
        <f t="shared" si="685"/>
        <v>163559.81854628745</v>
      </c>
      <c r="CX272" s="22">
        <f t="shared" ref="CX272:EC272" si="686">(CX$258-CX$262-CX$270)*CX$9</f>
        <v>128901.87769957155</v>
      </c>
      <c r="CY272" s="22">
        <f t="shared" si="686"/>
        <v>167731.72964890755</v>
      </c>
      <c r="CZ272" s="22">
        <f t="shared" si="686"/>
        <v>167731.72964890755</v>
      </c>
      <c r="DA272" s="22">
        <f t="shared" si="686"/>
        <v>167731.72964890755</v>
      </c>
      <c r="DB272" s="22">
        <f t="shared" si="686"/>
        <v>167731.72964890755</v>
      </c>
      <c r="DC272" s="22">
        <f t="shared" si="686"/>
        <v>167731.72964890755</v>
      </c>
      <c r="DD272" s="22">
        <f t="shared" si="686"/>
        <v>167731.72964890755</v>
      </c>
      <c r="DE272" s="22">
        <f t="shared" si="686"/>
        <v>167731.72964890755</v>
      </c>
      <c r="DF272" s="22">
        <f t="shared" si="686"/>
        <v>167731.72964890755</v>
      </c>
      <c r="DG272" s="22">
        <f t="shared" si="686"/>
        <v>167731.72964890755</v>
      </c>
      <c r="DH272" s="22">
        <f t="shared" si="686"/>
        <v>167731.72964890755</v>
      </c>
      <c r="DI272" s="22">
        <f t="shared" si="686"/>
        <v>167731.72964890755</v>
      </c>
      <c r="DJ272" s="22">
        <f t="shared" si="686"/>
        <v>132726.82515630833</v>
      </c>
      <c r="DK272" s="22">
        <f t="shared" si="686"/>
        <v>171931.6431150861</v>
      </c>
      <c r="DL272" s="22">
        <f t="shared" si="686"/>
        <v>171931.6431150861</v>
      </c>
      <c r="DM272" s="22">
        <f t="shared" si="686"/>
        <v>171931.6431150861</v>
      </c>
      <c r="DN272" s="22">
        <f t="shared" si="686"/>
        <v>171931.6431150861</v>
      </c>
      <c r="DO272" s="22">
        <f t="shared" si="686"/>
        <v>171931.6431150861</v>
      </c>
      <c r="DP272" s="22">
        <f t="shared" si="686"/>
        <v>171931.6431150861</v>
      </c>
      <c r="DQ272" s="22">
        <f t="shared" si="686"/>
        <v>171931.6431150861</v>
      </c>
      <c r="DR272" s="22">
        <f t="shared" si="686"/>
        <v>171931.6431150861</v>
      </c>
      <c r="DS272" s="22">
        <f t="shared" si="686"/>
        <v>171931.6431150861</v>
      </c>
      <c r="DT272" s="22">
        <f t="shared" si="686"/>
        <v>171931.6431150861</v>
      </c>
      <c r="DU272" s="22">
        <f t="shared" si="686"/>
        <v>171931.6431150861</v>
      </c>
      <c r="DV272" s="22">
        <f t="shared" si="686"/>
        <v>0</v>
      </c>
      <c r="DW272" s="22">
        <f t="shared" si="686"/>
        <v>0</v>
      </c>
      <c r="DX272" s="22">
        <f t="shared" si="686"/>
        <v>0</v>
      </c>
      <c r="DY272" s="22">
        <f t="shared" si="686"/>
        <v>0</v>
      </c>
      <c r="DZ272" s="22">
        <f t="shared" si="686"/>
        <v>0</v>
      </c>
      <c r="EA272" s="22">
        <f t="shared" si="686"/>
        <v>0</v>
      </c>
      <c r="EB272" s="22">
        <f t="shared" si="686"/>
        <v>0</v>
      </c>
      <c r="EC272" s="22">
        <f t="shared" si="686"/>
        <v>0</v>
      </c>
      <c r="ED272" s="22">
        <f t="shared" ref="ED272:ES272" si="687">(ED$258-ED$262-ED$270)*ED$9</f>
        <v>0</v>
      </c>
      <c r="EE272" s="22">
        <f t="shared" si="687"/>
        <v>0</v>
      </c>
      <c r="EF272" s="22">
        <f t="shared" si="687"/>
        <v>0</v>
      </c>
      <c r="EG272" s="22">
        <f t="shared" si="687"/>
        <v>0</v>
      </c>
      <c r="EH272" s="22">
        <f t="shared" si="687"/>
        <v>0</v>
      </c>
      <c r="EI272" s="22">
        <f t="shared" si="687"/>
        <v>0</v>
      </c>
      <c r="EJ272" s="22">
        <f t="shared" si="687"/>
        <v>0</v>
      </c>
      <c r="EK272" s="22">
        <f t="shared" si="687"/>
        <v>0</v>
      </c>
      <c r="EL272" s="22">
        <f t="shared" si="687"/>
        <v>0</v>
      </c>
      <c r="EM272" s="22">
        <f t="shared" si="687"/>
        <v>0</v>
      </c>
      <c r="EN272" s="22">
        <f t="shared" si="687"/>
        <v>0</v>
      </c>
      <c r="EO272" s="22">
        <f t="shared" si="687"/>
        <v>0</v>
      </c>
      <c r="EP272" s="22">
        <f t="shared" si="687"/>
        <v>0</v>
      </c>
      <c r="EQ272" s="22">
        <f t="shared" si="687"/>
        <v>0</v>
      </c>
      <c r="ER272" s="22">
        <f t="shared" si="687"/>
        <v>0</v>
      </c>
      <c r="ES272" s="22">
        <f t="shared" si="687"/>
        <v>0</v>
      </c>
    </row>
    <row r="273" spans="1:149" x14ac:dyDescent="0.3">
      <c r="A273" s="14" t="s">
        <v>1324</v>
      </c>
      <c r="B273" s="18" t="s">
        <v>946</v>
      </c>
      <c r="C273" s="18" t="s">
        <v>439</v>
      </c>
      <c r="E273" s="54">
        <f>SUM(F273:ES273)</f>
        <v>755044.08999999985</v>
      </c>
      <c r="F273" s="48">
        <f>IF(F$8=1,IF(Reales!$C$72="PYG",IF(F$10&gt;0,N(Reales!F72)/F$10,0),N(Reales!F72)),(SUMIF(Inv_Q,1,Inv_R)+SUMIF(Inv_Q,1,Inv_M)*(1+V_dCapex))*F$9)</f>
        <v>655044.08999999985</v>
      </c>
      <c r="G273" s="48">
        <f>IF(G$8=1,IF(Reales!$C$72="PYG",IF(G$10&gt;0,N(Reales!G72)/G$10,0),N(Reales!G72)),(SUMIF(Inv_Q,2,Inv_R)+SUMIF(Inv_Q,2,Inv_M)*(1+V_dCapex))*G$9)</f>
        <v>0</v>
      </c>
      <c r="H273" s="48">
        <f>IF(H$8=1,IF(Reales!$C$72="PYG",IF(H$10&gt;0,N(Reales!H72)/H$10,0),N(Reales!H72)),(SUMIF(Inv_Q,3,Inv_R)+SUMIF(Inv_Q,3,Inv_M)*(1+V_dCapex))*H$9)</f>
        <v>0</v>
      </c>
      <c r="I273" s="48">
        <f>IF(I$8=1,IF(Reales!$C$72="PYG",IF(I$10&gt;0,N(Reales!I72)/I$10,0),N(Reales!I72)),(SUMIF(Inv_Q,4,Inv_R)+SUMIF(Inv_Q,4,Inv_M)*(1+V_dCapex))*I$9)</f>
        <v>0</v>
      </c>
      <c r="J273" s="48">
        <f>IF(J$8=1,IF(Reales!$C$72="PYG",IF(J$10&gt;0,N(Reales!J72)/J$10,0),N(Reales!J72)),(SUMIF(Inv_Q,5,Inv_R)+SUMIF(Inv_Q,5,Inv_M)*(1+V_dCapex))*J$9)</f>
        <v>0</v>
      </c>
      <c r="K273" s="48">
        <f>IF(K$8=1,IF(Reales!$C$72="PYG",IF(K$10&gt;0,N(Reales!K72)/K$10,0),N(Reales!K72)),(SUMIF(Inv_Q,6,Inv_R)+SUMIF(Inv_Q,6,Inv_M)*(1+V_dCapex))*K$9)</f>
        <v>0</v>
      </c>
      <c r="L273" s="48">
        <f>IF(L$8=1,IF(Reales!$C$72="PYG",IF(L$10&gt;0,N(Reales!L72)/L$10,0),N(Reales!L72)),(SUMIF(Inv_Q,7,Inv_R)+SUMIF(Inv_Q,7,Inv_M)*(1+V_dCapex))*L$9)</f>
        <v>0</v>
      </c>
      <c r="M273" s="48">
        <f>IF(M$8=1,IF(Reales!$C$72="PYG",IF(M$10&gt;0,N(Reales!M72)/M$10,0),N(Reales!M72)),(SUMIF(Inv_Q,8,Inv_R)+SUMIF(Inv_Q,8,Inv_M)*(1+V_dCapex))*M$9)</f>
        <v>0</v>
      </c>
      <c r="N273" s="48">
        <f>IF(N$8=1,IF(Reales!$C$72="PYG",IF(N$10&gt;0,N(Reales!N72)/N$10,0),N(Reales!N72)),(SUMIF(Inv_Q,9,Inv_R)+SUMIF(Inv_Q,9,Inv_M)*(1+V_dCapex))*N$9)</f>
        <v>0</v>
      </c>
      <c r="O273" s="48">
        <f>IF(O$8=1,IF(Reales!$C$72="PYG",IF(O$10&gt;0,N(Reales!O72)/O$10,0),N(Reales!O72)),(SUMIF(Inv_Q,10,Inv_R)+SUMIF(Inv_Q,10,Inv_M)*(1+V_dCapex))*O$9)</f>
        <v>0</v>
      </c>
      <c r="P273" s="48">
        <f>IF(P$8=1,IF(Reales!$C$72="PYG",IF(P$10&gt;0,N(Reales!P72)/P$10,0),N(Reales!P72)),(SUMIF(Inv_Q,11,Inv_R)+SUMIF(Inv_Q,11,Inv_M)*(1+V_dCapex))*P$9)</f>
        <v>0</v>
      </c>
      <c r="Q273" s="48">
        <f>IF(Q$8=1,IF(Reales!$C$72="PYG",IF(Q$10&gt;0,N(Reales!Q72)/Q$10,0),N(Reales!Q72)),(SUMIF(Inv_Q,12,Inv_R)+SUMIF(Inv_Q,12,Inv_M)*(1+V_dCapex))*Q$9)</f>
        <v>0</v>
      </c>
      <c r="R273" s="48">
        <f>IF(R$8=1,IF(Reales!$C$72="PYG",IF(R$10&gt;0,N(Reales!R72)/R$10,0),N(Reales!R72)),(SUMIF(Inv_Q,13,Inv_R)+SUMIF(Inv_Q,13,Inv_M)*(1+V_dCapex))*R$9)</f>
        <v>100000</v>
      </c>
      <c r="S273" s="48">
        <f>IF(S$8=1,IF(Reales!$C$72="PYG",IF(S$10&gt;0,N(Reales!S72)/S$10,0),N(Reales!S72)),(SUMIF(Inv_Q,14,Inv_R)+SUMIF(Inv_Q,14,Inv_M)*(1+V_dCapex))*S$9)</f>
        <v>0</v>
      </c>
      <c r="T273" s="48">
        <f>IF(T$8=1,IF(Reales!$C$72="PYG",IF(T$10&gt;0,N(Reales!T72)/T$10,0),N(Reales!T72)),(SUMIF(Inv_Q,15,Inv_R)+SUMIF(Inv_Q,15,Inv_M)*(1+V_dCapex))*T$9)</f>
        <v>0</v>
      </c>
      <c r="U273" s="48">
        <f>IF(U$8=1,IF(Reales!$C$72="PYG",IF(U$10&gt;0,N(Reales!U72)/U$10,0),N(Reales!U72)),(SUMIF(Inv_Q,16,Inv_R)+SUMIF(Inv_Q,16,Inv_M)*(1+V_dCapex))*U$9)</f>
        <v>0</v>
      </c>
      <c r="V273" s="48">
        <f>IF(V$8=1,IF(Reales!$C$72="PYG",IF(V$10&gt;0,N(Reales!V72)/V$10,0),N(Reales!V72)),(SUMIF(Inv_Q,17,Inv_R)+SUMIF(Inv_Q,17,Inv_M)*(1+V_dCapex))*V$9)</f>
        <v>0</v>
      </c>
      <c r="W273" s="48">
        <f>IF(W$8=1,IF(Reales!$C$72="PYG",IF(W$10&gt;0,N(Reales!W72)/W$10,0),N(Reales!W72)),(SUMIF(Inv_Q,18,Inv_R)+SUMIF(Inv_Q,18,Inv_M)*(1+V_dCapex))*W$9)</f>
        <v>0</v>
      </c>
      <c r="X273" s="48">
        <f>IF(X$8=1,IF(Reales!$C$72="PYG",IF(X$10&gt;0,N(Reales!X72)/X$10,0),N(Reales!X72)),(SUMIF(Inv_Q,19,Inv_R)+SUMIF(Inv_Q,19,Inv_M)*(1+V_dCapex))*X$9)</f>
        <v>0</v>
      </c>
      <c r="Y273" s="48">
        <f>IF(Y$8=1,IF(Reales!$C$72="PYG",IF(Y$10&gt;0,N(Reales!Y72)/Y$10,0),N(Reales!Y72)),(SUMIF(Inv_Q,20,Inv_R)+SUMIF(Inv_Q,20,Inv_M)*(1+V_dCapex))*Y$9)</f>
        <v>0</v>
      </c>
      <c r="Z273" s="48">
        <f>IF(Z$8=1,IF(Reales!$C$72="PYG",IF(Z$10&gt;0,N(Reales!Z72)/Z$10,0),N(Reales!Z72)),(SUMIF(Inv_Q,21,Inv_R)+SUMIF(Inv_Q,21,Inv_M)*(1+V_dCapex))*Z$9)</f>
        <v>0</v>
      </c>
      <c r="AA273" s="48">
        <f>IF(AA$8=1,IF(Reales!$C$72="PYG",IF(AA$10&gt;0,N(Reales!AA72)/AA$10,0),N(Reales!AA72)),(SUMIF(Inv_Q,22,Inv_R)+SUMIF(Inv_Q,22,Inv_M)*(1+V_dCapex))*AA$9)</f>
        <v>0</v>
      </c>
      <c r="AB273" s="48">
        <f>IF(AB$8=1,IF(Reales!$C$72="PYG",IF(AB$10&gt;0,N(Reales!AB72)/AB$10,0),N(Reales!AB72)),(SUMIF(Inv_Q,23,Inv_R)+SUMIF(Inv_Q,23,Inv_M)*(1+V_dCapex))*AB$9)</f>
        <v>0</v>
      </c>
      <c r="AC273" s="48">
        <f>IF(AC$8=1,IF(Reales!$C$72="PYG",IF(AC$10&gt;0,N(Reales!AC72)/AC$10,0),N(Reales!AC72)),(SUMIF(Inv_Q,24,Inv_R)+SUMIF(Inv_Q,24,Inv_M)*(1+V_dCapex))*AC$9)</f>
        <v>0</v>
      </c>
      <c r="AD273" s="48">
        <f>IF(AD$8=1,IF(Reales!$C$72="PYG",IF(AD$10&gt;0,N(Reales!AD72)/AD$10,0),N(Reales!AD72)),(SUMIF(Inv_Q,25,Inv_R)+SUMIF(Inv_Q,25,Inv_M)*(1+V_dCapex))*AD$9)</f>
        <v>0</v>
      </c>
      <c r="AE273" s="48">
        <f>IF(AE$8=1,IF(Reales!$C$72="PYG",IF(AE$10&gt;0,N(Reales!AE72)/AE$10,0),N(Reales!AE72)),(SUMIF(Inv_Q,26,Inv_R)+SUMIF(Inv_Q,26,Inv_M)*(1+V_dCapex))*AE$9)</f>
        <v>0</v>
      </c>
      <c r="AF273" s="48">
        <f>IF(AF$8=1,IF(Reales!$C$72="PYG",IF(AF$10&gt;0,N(Reales!AF72)/AF$10,0),N(Reales!AF72)),(SUMIF(Inv_Q,27,Inv_R)+SUMIF(Inv_Q,27,Inv_M)*(1+V_dCapex))*AF$9)</f>
        <v>0</v>
      </c>
      <c r="AG273" s="48">
        <f>IF(AG$8=1,IF(Reales!$C$72="PYG",IF(AG$10&gt;0,N(Reales!AG72)/AG$10,0),N(Reales!AG72)),(SUMIF(Inv_Q,28,Inv_R)+SUMIF(Inv_Q,28,Inv_M)*(1+V_dCapex))*AG$9)</f>
        <v>0</v>
      </c>
      <c r="AH273" s="48">
        <f>IF(AH$8=1,IF(Reales!$C$72="PYG",IF(AH$10&gt;0,N(Reales!AH72)/AH$10,0),N(Reales!AH72)),(SUMIF(Inv_Q,29,Inv_R)+SUMIF(Inv_Q,29,Inv_M)*(1+V_dCapex))*AH$9)</f>
        <v>0</v>
      </c>
      <c r="AI273" s="48">
        <f>IF(AI$8=1,IF(Reales!$C$72="PYG",IF(AI$10&gt;0,N(Reales!AI72)/AI$10,0),N(Reales!AI72)),(SUMIF(Inv_Q,30,Inv_R)+SUMIF(Inv_Q,30,Inv_M)*(1+V_dCapex))*AI$9)</f>
        <v>0</v>
      </c>
      <c r="AJ273" s="48">
        <f>IF(AJ$8=1,IF(Reales!$C$72="PYG",IF(AJ$10&gt;0,N(Reales!AJ72)/AJ$10,0),N(Reales!AJ72)),(SUMIF(Inv_Q,31,Inv_R)+SUMIF(Inv_Q,31,Inv_M)*(1+V_dCapex))*AJ$9)</f>
        <v>0</v>
      </c>
      <c r="AK273" s="48">
        <f>IF(AK$8=1,IF(Reales!$C$72="PYG",IF(AK$10&gt;0,N(Reales!AK72)/AK$10,0),N(Reales!AK72)),(SUMIF(Inv_Q,32,Inv_R)+SUMIF(Inv_Q,32,Inv_M)*(1+V_dCapex))*AK$9)</f>
        <v>0</v>
      </c>
      <c r="AL273" s="48">
        <f>IF(AL$8=1,IF(Reales!$C$72="PYG",IF(AL$10&gt;0,N(Reales!AL72)/AL$10,0),N(Reales!AL72)),(SUMIF(Inv_Q,33,Inv_R)+SUMIF(Inv_Q,33,Inv_M)*(1+V_dCapex))*AL$9)</f>
        <v>0</v>
      </c>
      <c r="AM273" s="48">
        <f>IF(AM$8=1,IF(Reales!$C$72="PYG",IF(AM$10&gt;0,N(Reales!AM72)/AM$10,0),N(Reales!AM72)),(SUMIF(Inv_Q,34,Inv_R)+SUMIF(Inv_Q,34,Inv_M)*(1+V_dCapex))*AM$9)</f>
        <v>0</v>
      </c>
      <c r="AN273" s="48">
        <f>IF(AN$8=1,IF(Reales!$C$72="PYG",IF(AN$10&gt;0,N(Reales!AN72)/AN$10,0),N(Reales!AN72)),(SUMIF(Inv_Q,35,Inv_R)+SUMIF(Inv_Q,35,Inv_M)*(1+V_dCapex))*AN$9)</f>
        <v>0</v>
      </c>
      <c r="AO273" s="48">
        <f>IF(AO$8=1,IF(Reales!$C$72="PYG",IF(AO$10&gt;0,N(Reales!AO72)/AO$10,0),N(Reales!AO72)),(SUMIF(Inv_Q,36,Inv_R)+SUMIF(Inv_Q,36,Inv_M)*(1+V_dCapex))*AO$9)</f>
        <v>0</v>
      </c>
      <c r="AP273" s="48">
        <f>IF(AP$8=1,IF(Reales!$C$72="PYG",IF(AP$10&gt;0,N(Reales!AP72)/AP$10,0),N(Reales!AP72)),(SUMIF(Inv_Q,37,Inv_R)+SUMIF(Inv_Q,37,Inv_M)*(1+V_dCapex))*AP$9)</f>
        <v>0</v>
      </c>
      <c r="AQ273" s="48">
        <f>IF(AQ$8=1,IF(Reales!$C$72="PYG",IF(AQ$10&gt;0,N(Reales!AQ72)/AQ$10,0),N(Reales!AQ72)),(SUMIF(Inv_Q,38,Inv_R)+SUMIF(Inv_Q,38,Inv_M)*(1+V_dCapex))*AQ$9)</f>
        <v>0</v>
      </c>
      <c r="AR273" s="48">
        <f>IF(AR$8=1,IF(Reales!$C$72="PYG",IF(AR$10&gt;0,N(Reales!AR72)/AR$10,0),N(Reales!AR72)),(SUMIF(Inv_Q,39,Inv_R)+SUMIF(Inv_Q,39,Inv_M)*(1+V_dCapex))*AR$9)</f>
        <v>0</v>
      </c>
      <c r="AS273" s="48">
        <f>IF(AS$8=1,IF(Reales!$C$72="PYG",IF(AS$10&gt;0,N(Reales!AS72)/AS$10,0),N(Reales!AS72)),(SUMIF(Inv_Q,40,Inv_R)+SUMIF(Inv_Q,40,Inv_M)*(1+V_dCapex))*AS$9)</f>
        <v>0</v>
      </c>
      <c r="AT273" s="48">
        <f>IF(AT$8=1,IF(Reales!$C$72="PYG",IF(AT$10&gt;0,N(Reales!AT72)/AT$10,0),N(Reales!AT72)),(SUMIF(Inv_Q,41,Inv_R)+SUMIF(Inv_Q,41,Inv_M)*(1+V_dCapex))*AT$9)</f>
        <v>0</v>
      </c>
      <c r="AU273" s="48">
        <f>IF(AU$8=1,IF(Reales!$C$72="PYG",IF(AU$10&gt;0,N(Reales!AU72)/AU$10,0),N(Reales!AU72)),(SUMIF(Inv_Q,42,Inv_R)+SUMIF(Inv_Q,42,Inv_M)*(1+V_dCapex))*AU$9)</f>
        <v>0</v>
      </c>
      <c r="AV273" s="48">
        <f>IF(AV$8=1,IF(Reales!$C$72="PYG",IF(AV$10&gt;0,N(Reales!AV72)/AV$10,0),N(Reales!AV72)),(SUMIF(Inv_Q,43,Inv_R)+SUMIF(Inv_Q,43,Inv_M)*(1+V_dCapex))*AV$9)</f>
        <v>0</v>
      </c>
      <c r="AW273" s="48">
        <f>IF(AW$8=1,IF(Reales!$C$72="PYG",IF(AW$10&gt;0,N(Reales!AW72)/AW$10,0),N(Reales!AW72)),(SUMIF(Inv_Q,44,Inv_R)+SUMIF(Inv_Q,44,Inv_M)*(1+V_dCapex))*AW$9)</f>
        <v>0</v>
      </c>
      <c r="AX273" s="48">
        <f>IF(AX$8=1,IF(Reales!$C$72="PYG",IF(AX$10&gt;0,N(Reales!AX72)/AX$10,0),N(Reales!AX72)),(SUMIF(Inv_Q,45,Inv_R)+SUMIF(Inv_Q,45,Inv_M)*(1+V_dCapex))*AX$9)</f>
        <v>0</v>
      </c>
      <c r="AY273" s="48">
        <f>IF(AY$8=1,IF(Reales!$C$72="PYG",IF(AY$10&gt;0,N(Reales!AY72)/AY$10,0),N(Reales!AY72)),(SUMIF(Inv_Q,46,Inv_R)+SUMIF(Inv_Q,46,Inv_M)*(1+V_dCapex))*AY$9)</f>
        <v>0</v>
      </c>
      <c r="AZ273" s="48">
        <f>IF(AZ$8=1,IF(Reales!$C$72="PYG",IF(AZ$10&gt;0,N(Reales!AZ72)/AZ$10,0),N(Reales!AZ72)),(SUMIF(Inv_Q,47,Inv_R)+SUMIF(Inv_Q,47,Inv_M)*(1+V_dCapex))*AZ$9)</f>
        <v>0</v>
      </c>
      <c r="BA273" s="48">
        <f>IF(BA$8=1,IF(Reales!$C$72="PYG",IF(BA$10&gt;0,N(Reales!BA72)/BA$10,0),N(Reales!BA72)),(SUMIF(Inv_Q,48,Inv_R)+SUMIF(Inv_Q,48,Inv_M)*(1+V_dCapex))*BA$9)</f>
        <v>0</v>
      </c>
      <c r="BB273" s="48">
        <f>IF(BB$8=1,IF(Reales!$C$72="PYG",IF(BB$10&gt;0,N(Reales!BB72)/BB$10,0),N(Reales!BB72)),(SUMIF(Inv_Q,49,Inv_R)+SUMIF(Inv_Q,49,Inv_M)*(1+V_dCapex))*BB$9)</f>
        <v>0</v>
      </c>
      <c r="BC273" s="48">
        <f>IF(BC$8=1,IF(Reales!$C$72="PYG",IF(BC$10&gt;0,N(Reales!BC72)/BC$10,0),N(Reales!BC72)),(SUMIF(Inv_Q,50,Inv_R)+SUMIF(Inv_Q,50,Inv_M)*(1+V_dCapex))*BC$9)</f>
        <v>0</v>
      </c>
      <c r="BD273" s="48">
        <f>IF(BD$8=1,IF(Reales!$C$72="PYG",IF(BD$10&gt;0,N(Reales!BD72)/BD$10,0),N(Reales!BD72)),(SUMIF(Inv_Q,51,Inv_R)+SUMIF(Inv_Q,51,Inv_M)*(1+V_dCapex))*BD$9)</f>
        <v>0</v>
      </c>
      <c r="BE273" s="48">
        <f>IF(BE$8=1,IF(Reales!$C$72="PYG",IF(BE$10&gt;0,N(Reales!BE72)/BE$10,0),N(Reales!BE72)),(SUMIF(Inv_Q,52,Inv_R)+SUMIF(Inv_Q,52,Inv_M)*(1+V_dCapex))*BE$9)</f>
        <v>0</v>
      </c>
      <c r="BF273" s="48">
        <f>IF(BF$8=1,IF(Reales!$C$72="PYG",IF(BF$10&gt;0,N(Reales!BF72)/BF$10,0),N(Reales!BF72)),(SUMIF(Inv_Q,53,Inv_R)+SUMIF(Inv_Q,53,Inv_M)*(1+V_dCapex))*BF$9)</f>
        <v>0</v>
      </c>
      <c r="BG273" s="48">
        <f>IF(BG$8=1,IF(Reales!$C$72="PYG",IF(BG$10&gt;0,N(Reales!BG72)/BG$10,0),N(Reales!BG72)),(SUMIF(Inv_Q,54,Inv_R)+SUMIF(Inv_Q,54,Inv_M)*(1+V_dCapex))*BG$9)</f>
        <v>0</v>
      </c>
      <c r="BH273" s="48">
        <f>IF(BH$8=1,IF(Reales!$C$72="PYG",IF(BH$10&gt;0,N(Reales!BH72)/BH$10,0),N(Reales!BH72)),(SUMIF(Inv_Q,55,Inv_R)+SUMIF(Inv_Q,55,Inv_M)*(1+V_dCapex))*BH$9)</f>
        <v>0</v>
      </c>
      <c r="BI273" s="48">
        <f>IF(BI$8=1,IF(Reales!$C$72="PYG",IF(BI$10&gt;0,N(Reales!BI72)/BI$10,0),N(Reales!BI72)),(SUMIF(Inv_Q,56,Inv_R)+SUMIF(Inv_Q,56,Inv_M)*(1+V_dCapex))*BI$9)</f>
        <v>0</v>
      </c>
      <c r="BJ273" s="48">
        <f>IF(BJ$8=1,IF(Reales!$C$72="PYG",IF(BJ$10&gt;0,N(Reales!BJ72)/BJ$10,0),N(Reales!BJ72)),(SUMIF(Inv_Q,57,Inv_R)+SUMIF(Inv_Q,57,Inv_M)*(1+V_dCapex))*BJ$9)</f>
        <v>0</v>
      </c>
      <c r="BK273" s="48">
        <f>IF(BK$8=1,IF(Reales!$C$72="PYG",IF(BK$10&gt;0,N(Reales!BK72)/BK$10,0),N(Reales!BK72)),(SUMIF(Inv_Q,58,Inv_R)+SUMIF(Inv_Q,58,Inv_M)*(1+V_dCapex))*BK$9)</f>
        <v>0</v>
      </c>
      <c r="BL273" s="48">
        <f>IF(BL$8=1,IF(Reales!$C$72="PYG",IF(BL$10&gt;0,N(Reales!BL72)/BL$10,0),N(Reales!BL72)),(SUMIF(Inv_Q,59,Inv_R)+SUMIF(Inv_Q,59,Inv_M)*(1+V_dCapex))*BL$9)</f>
        <v>0</v>
      </c>
      <c r="BM273" s="48">
        <f>IF(BM$8=1,IF(Reales!$C$72="PYG",IF(BM$10&gt;0,N(Reales!BM72)/BM$10,0),N(Reales!BM72)),(SUMIF(Inv_Q,60,Inv_R)+SUMIF(Inv_Q,60,Inv_M)*(1+V_dCapex))*BM$9)</f>
        <v>0</v>
      </c>
      <c r="BN273" s="48">
        <f>IF(BN$8=1,IF(Reales!$C$72="PYG",IF(BN$10&gt;0,N(Reales!BN72)/BN$10,0),N(Reales!BN72)),(SUMIF(Inv_Q,61,Inv_R)+SUMIF(Inv_Q,61,Inv_M)*(1+V_dCapex))*BN$9)</f>
        <v>0</v>
      </c>
      <c r="BO273" s="48">
        <f>IF(BO$8=1,IF(Reales!$C$72="PYG",IF(BO$10&gt;0,N(Reales!BO72)/BO$10,0),N(Reales!BO72)),(SUMIF(Inv_Q,62,Inv_R)+SUMIF(Inv_Q,62,Inv_M)*(1+V_dCapex))*BO$9)</f>
        <v>0</v>
      </c>
      <c r="BP273" s="48">
        <f>IF(BP$8=1,IF(Reales!$C$72="PYG",IF(BP$10&gt;0,N(Reales!BP72)/BP$10,0),N(Reales!BP72)),(SUMIF(Inv_Q,63,Inv_R)+SUMIF(Inv_Q,63,Inv_M)*(1+V_dCapex))*BP$9)</f>
        <v>0</v>
      </c>
      <c r="BQ273" s="48">
        <f>IF(BQ$8=1,IF(Reales!$C$72="PYG",IF(BQ$10&gt;0,N(Reales!BQ72)/BQ$10,0),N(Reales!BQ72)),(SUMIF(Inv_Q,64,Inv_R)+SUMIF(Inv_Q,64,Inv_M)*(1+V_dCapex))*BQ$9)</f>
        <v>0</v>
      </c>
      <c r="BR273" s="48">
        <f>IF(BR$8=1,IF(Reales!$C$72="PYG",IF(BR$10&gt;0,N(Reales!BR72)/BR$10,0),N(Reales!BR72)),(SUMIF(Inv_Q,65,Inv_R)+SUMIF(Inv_Q,65,Inv_M)*(1+V_dCapex))*BR$9)</f>
        <v>0</v>
      </c>
      <c r="BS273" s="48">
        <f>IF(BS$8=1,IF(Reales!$C$72="PYG",IF(BS$10&gt;0,N(Reales!BS72)/BS$10,0),N(Reales!BS72)),(SUMIF(Inv_Q,66,Inv_R)+SUMIF(Inv_Q,66,Inv_M)*(1+V_dCapex))*BS$9)</f>
        <v>0</v>
      </c>
      <c r="BT273" s="48">
        <f>IF(BT$8=1,IF(Reales!$C$72="PYG",IF(BT$10&gt;0,N(Reales!BT72)/BT$10,0),N(Reales!BT72)),(SUMIF(Inv_Q,67,Inv_R)+SUMIF(Inv_Q,67,Inv_M)*(1+V_dCapex))*BT$9)</f>
        <v>0</v>
      </c>
      <c r="BU273" s="48">
        <f>IF(BU$8=1,IF(Reales!$C$72="PYG",IF(BU$10&gt;0,N(Reales!BU72)/BU$10,0),N(Reales!BU72)),(SUMIF(Inv_Q,68,Inv_R)+SUMIF(Inv_Q,68,Inv_M)*(1+V_dCapex))*BU$9)</f>
        <v>0</v>
      </c>
      <c r="BV273" s="48">
        <f>IF(BV$8=1,IF(Reales!$C$72="PYG",IF(BV$10&gt;0,N(Reales!BV72)/BV$10,0),N(Reales!BV72)),(SUMIF(Inv_Q,69,Inv_R)+SUMIF(Inv_Q,69,Inv_M)*(1+V_dCapex))*BV$9)</f>
        <v>0</v>
      </c>
      <c r="BW273" s="48">
        <f>IF(BW$8=1,IF(Reales!$C$72="PYG",IF(BW$10&gt;0,N(Reales!BW72)/BW$10,0),N(Reales!BW72)),(SUMIF(Inv_Q,70,Inv_R)+SUMIF(Inv_Q,70,Inv_M)*(1+V_dCapex))*BW$9)</f>
        <v>0</v>
      </c>
      <c r="BX273" s="48">
        <f>IF(BX$8=1,IF(Reales!$C$72="PYG",IF(BX$10&gt;0,N(Reales!BX72)/BX$10,0),N(Reales!BX72)),(SUMIF(Inv_Q,71,Inv_R)+SUMIF(Inv_Q,71,Inv_M)*(1+V_dCapex))*BX$9)</f>
        <v>0</v>
      </c>
      <c r="BY273" s="48">
        <f>IF(BY$8=1,IF(Reales!$C$72="PYG",IF(BY$10&gt;0,N(Reales!BY72)/BY$10,0),N(Reales!BY72)),(SUMIF(Inv_Q,72,Inv_R)+SUMIF(Inv_Q,72,Inv_M)*(1+V_dCapex))*BY$9)</f>
        <v>0</v>
      </c>
      <c r="BZ273" s="48">
        <f>IF(BZ$8=1,IF(Reales!$C$72="PYG",IF(BZ$10&gt;0,N(Reales!BZ72)/BZ$10,0),N(Reales!BZ72)),(SUMIF(Inv_Q,73,Inv_R)+SUMIF(Inv_Q,73,Inv_M)*(1+V_dCapex))*BZ$9)</f>
        <v>0</v>
      </c>
      <c r="CA273" s="48">
        <f>IF(CA$8=1,IF(Reales!$C$72="PYG",IF(CA$10&gt;0,N(Reales!CA72)/CA$10,0),N(Reales!CA72)),(SUMIF(Inv_Q,74,Inv_R)+SUMIF(Inv_Q,74,Inv_M)*(1+V_dCapex))*CA$9)</f>
        <v>0</v>
      </c>
      <c r="CB273" s="48">
        <f>IF(CB$8=1,IF(Reales!$C$72="PYG",IF(CB$10&gt;0,N(Reales!CB72)/CB$10,0),N(Reales!CB72)),(SUMIF(Inv_Q,75,Inv_R)+SUMIF(Inv_Q,75,Inv_M)*(1+V_dCapex))*CB$9)</f>
        <v>0</v>
      </c>
      <c r="CC273" s="48">
        <f>IF(CC$8=1,IF(Reales!$C$72="PYG",IF(CC$10&gt;0,N(Reales!CC72)/CC$10,0),N(Reales!CC72)),(SUMIF(Inv_Q,76,Inv_R)+SUMIF(Inv_Q,76,Inv_M)*(1+V_dCapex))*CC$9)</f>
        <v>0</v>
      </c>
      <c r="CD273" s="48">
        <f>IF(CD$8=1,IF(Reales!$C$72="PYG",IF(CD$10&gt;0,N(Reales!CD72)/CD$10,0),N(Reales!CD72)),(SUMIF(Inv_Q,77,Inv_R)+SUMIF(Inv_Q,77,Inv_M)*(1+V_dCapex))*CD$9)</f>
        <v>0</v>
      </c>
      <c r="CE273" s="48">
        <f>IF(CE$8=1,IF(Reales!$C$72="PYG",IF(CE$10&gt;0,N(Reales!CE72)/CE$10,0),N(Reales!CE72)),(SUMIF(Inv_Q,78,Inv_R)+SUMIF(Inv_Q,78,Inv_M)*(1+V_dCapex))*CE$9)</f>
        <v>0</v>
      </c>
      <c r="CF273" s="48">
        <f>IF(CF$8=1,IF(Reales!$C$72="PYG",IF(CF$10&gt;0,N(Reales!CF72)/CF$10,0),N(Reales!CF72)),(SUMIF(Inv_Q,79,Inv_R)+SUMIF(Inv_Q,79,Inv_M)*(1+V_dCapex))*CF$9)</f>
        <v>0</v>
      </c>
      <c r="CG273" s="48">
        <f>IF(CG$8=1,IF(Reales!$C$72="PYG",IF(CG$10&gt;0,N(Reales!CG72)/CG$10,0),N(Reales!CG72)),(SUMIF(Inv_Q,80,Inv_R)+SUMIF(Inv_Q,80,Inv_M)*(1+V_dCapex))*CG$9)</f>
        <v>0</v>
      </c>
      <c r="CH273" s="48">
        <f>IF(CH$8=1,IF(Reales!$C$72="PYG",IF(CH$10&gt;0,N(Reales!CH72)/CH$10,0),N(Reales!CH72)),(SUMIF(Inv_Q,81,Inv_R)+SUMIF(Inv_Q,81,Inv_M)*(1+V_dCapex))*CH$9)</f>
        <v>0</v>
      </c>
      <c r="CI273" s="48">
        <f>IF(CI$8=1,IF(Reales!$C$72="PYG",IF(CI$10&gt;0,N(Reales!CI72)/CI$10,0),N(Reales!CI72)),(SUMIF(Inv_Q,82,Inv_R)+SUMIF(Inv_Q,82,Inv_M)*(1+V_dCapex))*CI$9)</f>
        <v>0</v>
      </c>
      <c r="CJ273" s="48">
        <f>IF(CJ$8=1,IF(Reales!$C$72="PYG",IF(CJ$10&gt;0,N(Reales!CJ72)/CJ$10,0),N(Reales!CJ72)),(SUMIF(Inv_Q,83,Inv_R)+SUMIF(Inv_Q,83,Inv_M)*(1+V_dCapex))*CJ$9)</f>
        <v>0</v>
      </c>
      <c r="CK273" s="48">
        <f>IF(CK$8=1,IF(Reales!$C$72="PYG",IF(CK$10&gt;0,N(Reales!CK72)/CK$10,0),N(Reales!CK72)),(SUMIF(Inv_Q,84,Inv_R)+SUMIF(Inv_Q,84,Inv_M)*(1+V_dCapex))*CK$9)</f>
        <v>0</v>
      </c>
      <c r="CL273" s="48">
        <f>IF(CL$8=1,IF(Reales!$C$72="PYG",IF(CL$10&gt;0,N(Reales!CL72)/CL$10,0),N(Reales!CL72)),(SUMIF(Inv_Q,85,Inv_R)+SUMIF(Inv_Q,85,Inv_M)*(1+V_dCapex))*CL$9)</f>
        <v>0</v>
      </c>
      <c r="CM273" s="48">
        <f>IF(CM$8=1,IF(Reales!$C$72="PYG",IF(CM$10&gt;0,N(Reales!CM72)/CM$10,0),N(Reales!CM72)),(SUMIF(Inv_Q,86,Inv_R)+SUMIF(Inv_Q,86,Inv_M)*(1+V_dCapex))*CM$9)</f>
        <v>0</v>
      </c>
      <c r="CN273" s="48">
        <f>IF(CN$8=1,IF(Reales!$C$72="PYG",IF(CN$10&gt;0,N(Reales!CN72)/CN$10,0),N(Reales!CN72)),(SUMIF(Inv_Q,87,Inv_R)+SUMIF(Inv_Q,87,Inv_M)*(1+V_dCapex))*CN$9)</f>
        <v>0</v>
      </c>
      <c r="CO273" s="48">
        <f>IF(CO$8=1,IF(Reales!$C$72="PYG",IF(CO$10&gt;0,N(Reales!CO72)/CO$10,0),N(Reales!CO72)),(SUMIF(Inv_Q,88,Inv_R)+SUMIF(Inv_Q,88,Inv_M)*(1+V_dCapex))*CO$9)</f>
        <v>0</v>
      </c>
      <c r="CP273" s="48">
        <f>IF(CP$8=1,IF(Reales!$C$72="PYG",IF(CP$10&gt;0,N(Reales!CP72)/CP$10,0),N(Reales!CP72)),(SUMIF(Inv_Q,89,Inv_R)+SUMIF(Inv_Q,89,Inv_M)*(1+V_dCapex))*CP$9)</f>
        <v>0</v>
      </c>
      <c r="CQ273" s="48">
        <f>IF(CQ$8=1,IF(Reales!$C$72="PYG",IF(CQ$10&gt;0,N(Reales!CQ72)/CQ$10,0),N(Reales!CQ72)),(SUMIF(Inv_Q,90,Inv_R)+SUMIF(Inv_Q,90,Inv_M)*(1+V_dCapex))*CQ$9)</f>
        <v>0</v>
      </c>
      <c r="CR273" s="48">
        <f>IF(CR$8=1,IF(Reales!$C$72="PYG",IF(CR$10&gt;0,N(Reales!CR72)/CR$10,0),N(Reales!CR72)),(SUMIF(Inv_Q,91,Inv_R)+SUMIF(Inv_Q,91,Inv_M)*(1+V_dCapex))*CR$9)</f>
        <v>0</v>
      </c>
      <c r="CS273" s="48">
        <f>IF(CS$8=1,IF(Reales!$C$72="PYG",IF(CS$10&gt;0,N(Reales!CS72)/CS$10,0),N(Reales!CS72)),(SUMIF(Inv_Q,92,Inv_R)+SUMIF(Inv_Q,92,Inv_M)*(1+V_dCapex))*CS$9)</f>
        <v>0</v>
      </c>
      <c r="CT273" s="48">
        <f>IF(CT$8=1,IF(Reales!$C$72="PYG",IF(CT$10&gt;0,N(Reales!CT72)/CT$10,0),N(Reales!CT72)),(SUMIF(Inv_Q,93,Inv_R)+SUMIF(Inv_Q,93,Inv_M)*(1+V_dCapex))*CT$9)</f>
        <v>0</v>
      </c>
      <c r="CU273" s="48">
        <f>IF(CU$8=1,IF(Reales!$C$72="PYG",IF(CU$10&gt;0,N(Reales!CU72)/CU$10,0),N(Reales!CU72)),(SUMIF(Inv_Q,94,Inv_R)+SUMIF(Inv_Q,94,Inv_M)*(1+V_dCapex))*CU$9)</f>
        <v>0</v>
      </c>
      <c r="CV273" s="48">
        <f>IF(CV$8=1,IF(Reales!$C$72="PYG",IF(CV$10&gt;0,N(Reales!CV72)/CV$10,0),N(Reales!CV72)),(SUMIF(Inv_Q,95,Inv_R)+SUMIF(Inv_Q,95,Inv_M)*(1+V_dCapex))*CV$9)</f>
        <v>0</v>
      </c>
      <c r="CW273" s="48">
        <f>IF(CW$8=1,IF(Reales!$C$72="PYG",IF(CW$10&gt;0,N(Reales!CW72)/CW$10,0),N(Reales!CW72)),(SUMIF(Inv_Q,96,Inv_R)+SUMIF(Inv_Q,96,Inv_M)*(1+V_dCapex))*CW$9)</f>
        <v>0</v>
      </c>
      <c r="CX273" s="48">
        <f>IF(CX$8=1,IF(Reales!$C$72="PYG",IF(CX$10&gt;0,N(Reales!CX72)/CX$10,0),N(Reales!CX72)),(SUMIF(Inv_Q,97,Inv_R)+SUMIF(Inv_Q,97,Inv_M)*(1+V_dCapex))*CX$9)</f>
        <v>0</v>
      </c>
      <c r="CY273" s="48">
        <f>IF(CY$8=1,IF(Reales!$C$72="PYG",IF(CY$10&gt;0,N(Reales!CY72)/CY$10,0),N(Reales!CY72)),(SUMIF(Inv_Q,98,Inv_R)+SUMIF(Inv_Q,98,Inv_M)*(1+V_dCapex))*CY$9)</f>
        <v>0</v>
      </c>
      <c r="CZ273" s="48">
        <f>IF(CZ$8=1,IF(Reales!$C$72="PYG",IF(CZ$10&gt;0,N(Reales!CZ72)/CZ$10,0),N(Reales!CZ72)),(SUMIF(Inv_Q,99,Inv_R)+SUMIF(Inv_Q,99,Inv_M)*(1+V_dCapex))*CZ$9)</f>
        <v>0</v>
      </c>
      <c r="DA273" s="48">
        <f>IF(DA$8=1,IF(Reales!$C$72="PYG",IF(DA$10&gt;0,N(Reales!DA72)/DA$10,0),N(Reales!DA72)),(SUMIF(Inv_Q,100,Inv_R)+SUMIF(Inv_Q,100,Inv_M)*(1+V_dCapex))*DA$9)</f>
        <v>0</v>
      </c>
      <c r="DB273" s="48">
        <f>IF(DB$8=1,IF(Reales!$C$72="PYG",IF(DB$10&gt;0,N(Reales!DB72)/DB$10,0),N(Reales!DB72)),(SUMIF(Inv_Q,101,Inv_R)+SUMIF(Inv_Q,101,Inv_M)*(1+V_dCapex))*DB$9)</f>
        <v>0</v>
      </c>
      <c r="DC273" s="48">
        <f>IF(DC$8=1,IF(Reales!$C$72="PYG",IF(DC$10&gt;0,N(Reales!DC72)/DC$10,0),N(Reales!DC72)),(SUMIF(Inv_Q,102,Inv_R)+SUMIF(Inv_Q,102,Inv_M)*(1+V_dCapex))*DC$9)</f>
        <v>0</v>
      </c>
      <c r="DD273" s="48">
        <f>IF(DD$8=1,IF(Reales!$C$72="PYG",IF(DD$10&gt;0,N(Reales!DD72)/DD$10,0),N(Reales!DD72)),(SUMIF(Inv_Q,103,Inv_R)+SUMIF(Inv_Q,103,Inv_M)*(1+V_dCapex))*DD$9)</f>
        <v>0</v>
      </c>
      <c r="DE273" s="48">
        <f>IF(DE$8=1,IF(Reales!$C$72="PYG",IF(DE$10&gt;0,N(Reales!DE72)/DE$10,0),N(Reales!DE72)),(SUMIF(Inv_Q,104,Inv_R)+SUMIF(Inv_Q,104,Inv_M)*(1+V_dCapex))*DE$9)</f>
        <v>0</v>
      </c>
      <c r="DF273" s="48">
        <f>IF(DF$8=1,IF(Reales!$C$72="PYG",IF(DF$10&gt;0,N(Reales!DF72)/DF$10,0),N(Reales!DF72)),(SUMIF(Inv_Q,105,Inv_R)+SUMIF(Inv_Q,105,Inv_M)*(1+V_dCapex))*DF$9)</f>
        <v>0</v>
      </c>
      <c r="DG273" s="48">
        <f>IF(DG$8=1,IF(Reales!$C$72="PYG",IF(DG$10&gt;0,N(Reales!DG72)/DG$10,0),N(Reales!DG72)),(SUMIF(Inv_Q,106,Inv_R)+SUMIF(Inv_Q,106,Inv_M)*(1+V_dCapex))*DG$9)</f>
        <v>0</v>
      </c>
      <c r="DH273" s="48">
        <f>IF(DH$8=1,IF(Reales!$C$72="PYG",IF(DH$10&gt;0,N(Reales!DH72)/DH$10,0),N(Reales!DH72)),(SUMIF(Inv_Q,107,Inv_R)+SUMIF(Inv_Q,107,Inv_M)*(1+V_dCapex))*DH$9)</f>
        <v>0</v>
      </c>
      <c r="DI273" s="48">
        <f>IF(DI$8=1,IF(Reales!$C$72="PYG",IF(DI$10&gt;0,N(Reales!DI72)/DI$10,0),N(Reales!DI72)),(SUMIF(Inv_Q,108,Inv_R)+SUMIF(Inv_Q,108,Inv_M)*(1+V_dCapex))*DI$9)</f>
        <v>0</v>
      </c>
      <c r="DJ273" s="48">
        <f>IF(DJ$8=1,IF(Reales!$C$72="PYG",IF(DJ$10&gt;0,N(Reales!DJ72)/DJ$10,0),N(Reales!DJ72)),(SUMIF(Inv_Q,109,Inv_R)+SUMIF(Inv_Q,109,Inv_M)*(1+V_dCapex))*DJ$9)</f>
        <v>0</v>
      </c>
      <c r="DK273" s="48">
        <f>IF(DK$8=1,IF(Reales!$C$72="PYG",IF(DK$10&gt;0,N(Reales!DK72)/DK$10,0),N(Reales!DK72)),(SUMIF(Inv_Q,110,Inv_R)+SUMIF(Inv_Q,110,Inv_M)*(1+V_dCapex))*DK$9)</f>
        <v>0</v>
      </c>
      <c r="DL273" s="48">
        <f>IF(DL$8=1,IF(Reales!$C$72="PYG",IF(DL$10&gt;0,N(Reales!DL72)/DL$10,0),N(Reales!DL72)),(SUMIF(Inv_Q,111,Inv_R)+SUMIF(Inv_Q,111,Inv_M)*(1+V_dCapex))*DL$9)</f>
        <v>0</v>
      </c>
      <c r="DM273" s="48">
        <f>IF(DM$8=1,IF(Reales!$C$72="PYG",IF(DM$10&gt;0,N(Reales!DM72)/DM$10,0),N(Reales!DM72)),(SUMIF(Inv_Q,112,Inv_R)+SUMIF(Inv_Q,112,Inv_M)*(1+V_dCapex))*DM$9)</f>
        <v>0</v>
      </c>
      <c r="DN273" s="48">
        <f>IF(DN$8=1,IF(Reales!$C$72="PYG",IF(DN$10&gt;0,N(Reales!DN72)/DN$10,0),N(Reales!DN72)),(SUMIF(Inv_Q,113,Inv_R)+SUMIF(Inv_Q,113,Inv_M)*(1+V_dCapex))*DN$9)</f>
        <v>0</v>
      </c>
      <c r="DO273" s="48">
        <f>IF(DO$8=1,IF(Reales!$C$72="PYG",IF(DO$10&gt;0,N(Reales!DO72)/DO$10,0),N(Reales!DO72)),(SUMIF(Inv_Q,114,Inv_R)+SUMIF(Inv_Q,114,Inv_M)*(1+V_dCapex))*DO$9)</f>
        <v>0</v>
      </c>
      <c r="DP273" s="48">
        <f>IF(DP$8=1,IF(Reales!$C$72="PYG",IF(DP$10&gt;0,N(Reales!DP72)/DP$10,0),N(Reales!DP72)),(SUMIF(Inv_Q,115,Inv_R)+SUMIF(Inv_Q,115,Inv_M)*(1+V_dCapex))*DP$9)</f>
        <v>0</v>
      </c>
      <c r="DQ273" s="48">
        <f>IF(DQ$8=1,IF(Reales!$C$72="PYG",IF(DQ$10&gt;0,N(Reales!DQ72)/DQ$10,0),N(Reales!DQ72)),(SUMIF(Inv_Q,116,Inv_R)+SUMIF(Inv_Q,116,Inv_M)*(1+V_dCapex))*DQ$9)</f>
        <v>0</v>
      </c>
      <c r="DR273" s="48">
        <f>IF(DR$8=1,IF(Reales!$C$72="PYG",IF(DR$10&gt;0,N(Reales!DR72)/DR$10,0),N(Reales!DR72)),(SUMIF(Inv_Q,117,Inv_R)+SUMIF(Inv_Q,117,Inv_M)*(1+V_dCapex))*DR$9)</f>
        <v>0</v>
      </c>
      <c r="DS273" s="48">
        <f>IF(DS$8=1,IF(Reales!$C$72="PYG",IF(DS$10&gt;0,N(Reales!DS72)/DS$10,0),N(Reales!DS72)),(SUMIF(Inv_Q,118,Inv_R)+SUMIF(Inv_Q,118,Inv_M)*(1+V_dCapex))*DS$9)</f>
        <v>0</v>
      </c>
      <c r="DT273" s="48">
        <f>IF(DT$8=1,IF(Reales!$C$72="PYG",IF(DT$10&gt;0,N(Reales!DT72)/DT$10,0),N(Reales!DT72)),(SUMIF(Inv_Q,119,Inv_R)+SUMIF(Inv_Q,119,Inv_M)*(1+V_dCapex))*DT$9)</f>
        <v>0</v>
      </c>
      <c r="DU273" s="48">
        <f>IF(DU$8=1,IF(Reales!$C$72="PYG",IF(DU$10&gt;0,N(Reales!DU72)/DU$10,0),N(Reales!DU72)),(SUMIF(Inv_Q,120,Inv_R)+SUMIF(Inv_Q,120,Inv_M)*(1+V_dCapex))*DU$9)</f>
        <v>0</v>
      </c>
      <c r="DV273" s="48">
        <f>IF(DV$8=1,IF(Reales!$C$72="PYG",IF(DV$10&gt;0,N(Reales!DV72)/DV$10,0),N(Reales!DV72)),(SUMIF(Inv_Q,121,Inv_R)+SUMIF(Inv_Q,121,Inv_M)*(1+V_dCapex))*DV$9)</f>
        <v>0</v>
      </c>
      <c r="DW273" s="48">
        <f>IF(DW$8=1,IF(Reales!$C$72="PYG",IF(DW$10&gt;0,N(Reales!DW72)/DW$10,0),N(Reales!DW72)),(SUMIF(Inv_Q,122,Inv_R)+SUMIF(Inv_Q,122,Inv_M)*(1+V_dCapex))*DW$9)</f>
        <v>0</v>
      </c>
      <c r="DX273" s="48">
        <f>IF(DX$8=1,IF(Reales!$C$72="PYG",IF(DX$10&gt;0,N(Reales!DX72)/DX$10,0),N(Reales!DX72)),(SUMIF(Inv_Q,123,Inv_R)+SUMIF(Inv_Q,123,Inv_M)*(1+V_dCapex))*DX$9)</f>
        <v>0</v>
      </c>
      <c r="DY273" s="48">
        <f>IF(DY$8=1,IF(Reales!$C$72="PYG",IF(DY$10&gt;0,N(Reales!DY72)/DY$10,0),N(Reales!DY72)),(SUMIF(Inv_Q,124,Inv_R)+SUMIF(Inv_Q,124,Inv_M)*(1+V_dCapex))*DY$9)</f>
        <v>0</v>
      </c>
      <c r="DZ273" s="48">
        <f>IF(DZ$8=1,IF(Reales!$C$72="PYG",IF(DZ$10&gt;0,N(Reales!DZ72)/DZ$10,0),N(Reales!DZ72)),(SUMIF(Inv_Q,125,Inv_R)+SUMIF(Inv_Q,125,Inv_M)*(1+V_dCapex))*DZ$9)</f>
        <v>0</v>
      </c>
      <c r="EA273" s="48">
        <f>IF(EA$8=1,IF(Reales!$C$72="PYG",IF(EA$10&gt;0,N(Reales!EA72)/EA$10,0),N(Reales!EA72)),(SUMIF(Inv_Q,126,Inv_R)+SUMIF(Inv_Q,126,Inv_M)*(1+V_dCapex))*EA$9)</f>
        <v>0</v>
      </c>
      <c r="EB273" s="48">
        <f>IF(EB$8=1,IF(Reales!$C$72="PYG",IF(EB$10&gt;0,N(Reales!EB72)/EB$10,0),N(Reales!EB72)),(SUMIF(Inv_Q,127,Inv_R)+SUMIF(Inv_Q,127,Inv_M)*(1+V_dCapex))*EB$9)</f>
        <v>0</v>
      </c>
      <c r="EC273" s="48">
        <f>IF(EC$8=1,IF(Reales!$C$72="PYG",IF(EC$10&gt;0,N(Reales!EC72)/EC$10,0),N(Reales!EC72)),(SUMIF(Inv_Q,128,Inv_R)+SUMIF(Inv_Q,128,Inv_M)*(1+V_dCapex))*EC$9)</f>
        <v>0</v>
      </c>
      <c r="ED273" s="48">
        <f>IF(ED$8=1,IF(Reales!$C$72="PYG",IF(ED$10&gt;0,N(Reales!ED72)/ED$10,0),N(Reales!ED72)),(SUMIF(Inv_Q,129,Inv_R)+SUMIF(Inv_Q,129,Inv_M)*(1+V_dCapex))*ED$9)</f>
        <v>0</v>
      </c>
      <c r="EE273" s="48">
        <f>IF(EE$8=1,IF(Reales!$C$72="PYG",IF(EE$10&gt;0,N(Reales!EE72)/EE$10,0),N(Reales!EE72)),(SUMIF(Inv_Q,130,Inv_R)+SUMIF(Inv_Q,130,Inv_M)*(1+V_dCapex))*EE$9)</f>
        <v>0</v>
      </c>
      <c r="EF273" s="48">
        <f>IF(EF$8=1,IF(Reales!$C$72="PYG",IF(EF$10&gt;0,N(Reales!EF72)/EF$10,0),N(Reales!EF72)),(SUMIF(Inv_Q,131,Inv_R)+SUMIF(Inv_Q,131,Inv_M)*(1+V_dCapex))*EF$9)</f>
        <v>0</v>
      </c>
      <c r="EG273" s="48">
        <f>IF(EG$8=1,IF(Reales!$C$72="PYG",IF(EG$10&gt;0,N(Reales!EG72)/EG$10,0),N(Reales!EG72)),(SUMIF(Inv_Q,132,Inv_R)+SUMIF(Inv_Q,132,Inv_M)*(1+V_dCapex))*EG$9)</f>
        <v>0</v>
      </c>
      <c r="EH273" s="48">
        <f>IF(EH$8=1,IF(Reales!$C$72="PYG",IF(EH$10&gt;0,N(Reales!EH72)/EH$10,0),N(Reales!EH72)),(SUMIF(Inv_Q,133,Inv_R)+SUMIF(Inv_Q,133,Inv_M)*(1+V_dCapex))*EH$9)</f>
        <v>0</v>
      </c>
      <c r="EI273" s="48">
        <f>IF(EI$8=1,IF(Reales!$C$72="PYG",IF(EI$10&gt;0,N(Reales!EI72)/EI$10,0),N(Reales!EI72)),(SUMIF(Inv_Q,134,Inv_R)+SUMIF(Inv_Q,134,Inv_M)*(1+V_dCapex))*EI$9)</f>
        <v>0</v>
      </c>
      <c r="EJ273" s="48">
        <f>IF(EJ$8=1,IF(Reales!$C$72="PYG",IF(EJ$10&gt;0,N(Reales!EJ72)/EJ$10,0),N(Reales!EJ72)),(SUMIF(Inv_Q,135,Inv_R)+SUMIF(Inv_Q,135,Inv_M)*(1+V_dCapex))*EJ$9)</f>
        <v>0</v>
      </c>
      <c r="EK273" s="48">
        <f>IF(EK$8=1,IF(Reales!$C$72="PYG",IF(EK$10&gt;0,N(Reales!EK72)/EK$10,0),N(Reales!EK72)),(SUMIF(Inv_Q,136,Inv_R)+SUMIF(Inv_Q,136,Inv_M)*(1+V_dCapex))*EK$9)</f>
        <v>0</v>
      </c>
      <c r="EL273" s="48">
        <f>IF(EL$8=1,IF(Reales!$C$72="PYG",IF(EL$10&gt;0,N(Reales!EL72)/EL$10,0),N(Reales!EL72)),(SUMIF(Inv_Q,137,Inv_R)+SUMIF(Inv_Q,137,Inv_M)*(1+V_dCapex))*EL$9)</f>
        <v>0</v>
      </c>
      <c r="EM273" s="48">
        <f>IF(EM$8=1,IF(Reales!$C$72="PYG",IF(EM$10&gt;0,N(Reales!EM72)/EM$10,0),N(Reales!EM72)),(SUMIF(Inv_Q,138,Inv_R)+SUMIF(Inv_Q,138,Inv_M)*(1+V_dCapex))*EM$9)</f>
        <v>0</v>
      </c>
      <c r="EN273" s="48">
        <f>IF(EN$8=1,IF(Reales!$C$72="PYG",IF(EN$10&gt;0,N(Reales!EN72)/EN$10,0),N(Reales!EN72)),(SUMIF(Inv_Q,139,Inv_R)+SUMIF(Inv_Q,139,Inv_M)*(1+V_dCapex))*EN$9)</f>
        <v>0</v>
      </c>
      <c r="EO273" s="48">
        <f>IF(EO$8=1,IF(Reales!$C$72="PYG",IF(EO$10&gt;0,N(Reales!EO72)/EO$10,0),N(Reales!EO72)),(SUMIF(Inv_Q,140,Inv_R)+SUMIF(Inv_Q,140,Inv_M)*(1+V_dCapex))*EO$9)</f>
        <v>0</v>
      </c>
      <c r="EP273" s="48">
        <f>IF(EP$8=1,IF(Reales!$C$72="PYG",IF(EP$10&gt;0,N(Reales!EP72)/EP$10,0),N(Reales!EP72)),(SUMIF(Inv_Q,141,Inv_R)+SUMIF(Inv_Q,141,Inv_M)*(1+V_dCapex))*EP$9)</f>
        <v>0</v>
      </c>
      <c r="EQ273" s="48">
        <f>IF(EQ$8=1,IF(Reales!$C$72="PYG",IF(EQ$10&gt;0,N(Reales!EQ72)/EQ$10,0),N(Reales!EQ72)),(SUMIF(Inv_Q,142,Inv_R)+SUMIF(Inv_Q,142,Inv_M)*(1+V_dCapex))*EQ$9)</f>
        <v>0</v>
      </c>
      <c r="ER273" s="48">
        <f>IF(ER$8=1,IF(Reales!$C$72="PYG",IF(ER$10&gt;0,N(Reales!ER72)/ER$10,0),N(Reales!ER72)),(SUMIF(Inv_Q,143,Inv_R)+SUMIF(Inv_Q,143,Inv_M)*(1+V_dCapex))*ER$9)</f>
        <v>0</v>
      </c>
      <c r="ES273" s="48">
        <f>IF(ES$8=1,IF(Reales!$C$72="PYG",IF(ES$10&gt;0,N(Reales!ES72)/ES$10,0),N(Reales!ES72)),(SUMIF(Inv_Q,144,Inv_R)+SUMIF(Inv_Q,144,Inv_M)*(1+V_dCapex))*ES$9)</f>
        <v>0</v>
      </c>
    </row>
    <row r="274" spans="1:149" x14ac:dyDescent="0.3">
      <c r="A274" s="14" t="s">
        <v>1325</v>
      </c>
      <c r="B274" s="18" t="s">
        <v>1134</v>
      </c>
      <c r="C274" s="18" t="s">
        <v>439</v>
      </c>
      <c r="E274" s="54">
        <f>INDEX(F274:ES274,1,MIN(144,Fin))</f>
        <v>10000.000000000771</v>
      </c>
      <c r="F274" s="48">
        <f>0+F$273-F$259</f>
        <v>649078.07258333324</v>
      </c>
      <c r="G274" s="48">
        <f t="shared" ref="G274:AL274" si="688">F$274+G$273-G$259</f>
        <v>643112.05516666663</v>
      </c>
      <c r="H274" s="48">
        <f t="shared" si="688"/>
        <v>637146.03775000002</v>
      </c>
      <c r="I274" s="48">
        <f t="shared" si="688"/>
        <v>631180.02033333341</v>
      </c>
      <c r="J274" s="48">
        <f t="shared" si="688"/>
        <v>625214.0029166668</v>
      </c>
      <c r="K274" s="48">
        <f t="shared" si="688"/>
        <v>619247.98550000018</v>
      </c>
      <c r="L274" s="48">
        <f t="shared" si="688"/>
        <v>613281.96808333357</v>
      </c>
      <c r="M274" s="48">
        <f t="shared" si="688"/>
        <v>607315.95066666696</v>
      </c>
      <c r="N274" s="48">
        <f t="shared" si="688"/>
        <v>601349.93325000035</v>
      </c>
      <c r="O274" s="48">
        <f t="shared" si="688"/>
        <v>595383.91583333374</v>
      </c>
      <c r="P274" s="48">
        <f t="shared" si="688"/>
        <v>589417.89841666713</v>
      </c>
      <c r="Q274" s="48">
        <f t="shared" si="688"/>
        <v>583451.88100000052</v>
      </c>
      <c r="R274" s="48">
        <f t="shared" si="688"/>
        <v>676652.53025000053</v>
      </c>
      <c r="S274" s="48">
        <f t="shared" si="688"/>
        <v>669853.17950000055</v>
      </c>
      <c r="T274" s="48">
        <f t="shared" si="688"/>
        <v>663053.82875000057</v>
      </c>
      <c r="U274" s="48">
        <f t="shared" si="688"/>
        <v>656254.47800000058</v>
      </c>
      <c r="V274" s="48">
        <f t="shared" si="688"/>
        <v>649455.1272500006</v>
      </c>
      <c r="W274" s="48">
        <f t="shared" si="688"/>
        <v>642655.77650000062</v>
      </c>
      <c r="X274" s="48">
        <f t="shared" si="688"/>
        <v>635856.42575000064</v>
      </c>
      <c r="Y274" s="48">
        <f t="shared" si="688"/>
        <v>629057.07500000065</v>
      </c>
      <c r="Z274" s="48">
        <f t="shared" si="688"/>
        <v>622257.72425000067</v>
      </c>
      <c r="AA274" s="48">
        <f t="shared" si="688"/>
        <v>615458.37350000069</v>
      </c>
      <c r="AB274" s="48">
        <f t="shared" si="688"/>
        <v>608659.0227500007</v>
      </c>
      <c r="AC274" s="48">
        <f t="shared" si="688"/>
        <v>601859.67200000072</v>
      </c>
      <c r="AD274" s="48">
        <f t="shared" si="688"/>
        <v>595060.32125000074</v>
      </c>
      <c r="AE274" s="48">
        <f t="shared" si="688"/>
        <v>588260.97050000075</v>
      </c>
      <c r="AF274" s="48">
        <f t="shared" si="688"/>
        <v>581461.61975000077</v>
      </c>
      <c r="AG274" s="48">
        <f t="shared" si="688"/>
        <v>574662.26900000079</v>
      </c>
      <c r="AH274" s="48">
        <f t="shared" si="688"/>
        <v>567862.9182500008</v>
      </c>
      <c r="AI274" s="48">
        <f t="shared" si="688"/>
        <v>561063.56750000082</v>
      </c>
      <c r="AJ274" s="48">
        <f t="shared" si="688"/>
        <v>554264.21675000084</v>
      </c>
      <c r="AK274" s="48">
        <f t="shared" si="688"/>
        <v>547464.86600000085</v>
      </c>
      <c r="AL274" s="48">
        <f t="shared" si="688"/>
        <v>540665.51525000087</v>
      </c>
      <c r="AM274" s="48">
        <f t="shared" ref="AM274:BR274" si="689">AL$274+AM$273-AM$259</f>
        <v>533866.16450000089</v>
      </c>
      <c r="AN274" s="48">
        <f t="shared" si="689"/>
        <v>527066.8137500009</v>
      </c>
      <c r="AO274" s="48">
        <f t="shared" si="689"/>
        <v>520267.46300000092</v>
      </c>
      <c r="AP274" s="48">
        <f t="shared" si="689"/>
        <v>513468.11225000094</v>
      </c>
      <c r="AQ274" s="48">
        <f t="shared" si="689"/>
        <v>506668.76150000095</v>
      </c>
      <c r="AR274" s="48">
        <f t="shared" si="689"/>
        <v>499869.41075000097</v>
      </c>
      <c r="AS274" s="48">
        <f t="shared" si="689"/>
        <v>493070.06000000099</v>
      </c>
      <c r="AT274" s="48">
        <f t="shared" si="689"/>
        <v>486270.709250001</v>
      </c>
      <c r="AU274" s="48">
        <f t="shared" si="689"/>
        <v>479471.35850000102</v>
      </c>
      <c r="AV274" s="48">
        <f t="shared" si="689"/>
        <v>472672.00775000104</v>
      </c>
      <c r="AW274" s="48">
        <f t="shared" si="689"/>
        <v>465872.65700000105</v>
      </c>
      <c r="AX274" s="48">
        <f t="shared" si="689"/>
        <v>459073.30625000107</v>
      </c>
      <c r="AY274" s="48">
        <f t="shared" si="689"/>
        <v>452273.95550000109</v>
      </c>
      <c r="AZ274" s="48">
        <f t="shared" si="689"/>
        <v>445474.6047500011</v>
      </c>
      <c r="BA274" s="48">
        <f t="shared" si="689"/>
        <v>438675.25400000112</v>
      </c>
      <c r="BB274" s="48">
        <f t="shared" si="689"/>
        <v>431875.90325000114</v>
      </c>
      <c r="BC274" s="48">
        <f t="shared" si="689"/>
        <v>425076.55250000115</v>
      </c>
      <c r="BD274" s="48">
        <f t="shared" si="689"/>
        <v>418277.20175000117</v>
      </c>
      <c r="BE274" s="48">
        <f t="shared" si="689"/>
        <v>411477.85100000119</v>
      </c>
      <c r="BF274" s="48">
        <f t="shared" si="689"/>
        <v>404678.50025000121</v>
      </c>
      <c r="BG274" s="48">
        <f t="shared" si="689"/>
        <v>397879.14950000122</v>
      </c>
      <c r="BH274" s="48">
        <f t="shared" si="689"/>
        <v>391079.79875000124</v>
      </c>
      <c r="BI274" s="48">
        <f t="shared" si="689"/>
        <v>384280.44800000126</v>
      </c>
      <c r="BJ274" s="48">
        <f t="shared" si="689"/>
        <v>377481.09725000127</v>
      </c>
      <c r="BK274" s="48">
        <f t="shared" si="689"/>
        <v>370681.74650000129</v>
      </c>
      <c r="BL274" s="48">
        <f t="shared" si="689"/>
        <v>363882.39575000131</v>
      </c>
      <c r="BM274" s="48">
        <f t="shared" si="689"/>
        <v>357083.04500000132</v>
      </c>
      <c r="BN274" s="48">
        <f t="shared" si="689"/>
        <v>351298.32758333464</v>
      </c>
      <c r="BO274" s="48">
        <f t="shared" si="689"/>
        <v>345513.61016666796</v>
      </c>
      <c r="BP274" s="48">
        <f t="shared" si="689"/>
        <v>339728.89275000128</v>
      </c>
      <c r="BQ274" s="48">
        <f t="shared" si="689"/>
        <v>333944.1753333346</v>
      </c>
      <c r="BR274" s="48">
        <f t="shared" si="689"/>
        <v>328159.45791666792</v>
      </c>
      <c r="BS274" s="48">
        <f t="shared" ref="BS274:CX274" si="690">BR$274+BS$273-BS$259</f>
        <v>322374.74050000124</v>
      </c>
      <c r="BT274" s="48">
        <f t="shared" si="690"/>
        <v>316590.02308333456</v>
      </c>
      <c r="BU274" s="48">
        <f t="shared" si="690"/>
        <v>310805.30566666787</v>
      </c>
      <c r="BV274" s="48">
        <f t="shared" si="690"/>
        <v>305020.58825000119</v>
      </c>
      <c r="BW274" s="48">
        <f t="shared" si="690"/>
        <v>299235.87083333451</v>
      </c>
      <c r="BX274" s="48">
        <f t="shared" si="690"/>
        <v>293451.15341666783</v>
      </c>
      <c r="BY274" s="48">
        <f t="shared" si="690"/>
        <v>287666.43600000115</v>
      </c>
      <c r="BZ274" s="48">
        <f t="shared" si="690"/>
        <v>281881.71858333447</v>
      </c>
      <c r="CA274" s="48">
        <f t="shared" si="690"/>
        <v>276097.00116666779</v>
      </c>
      <c r="CB274" s="48">
        <f t="shared" si="690"/>
        <v>270312.28375000111</v>
      </c>
      <c r="CC274" s="48">
        <f t="shared" si="690"/>
        <v>264527.56633333443</v>
      </c>
      <c r="CD274" s="48">
        <f t="shared" si="690"/>
        <v>258742.84891666775</v>
      </c>
      <c r="CE274" s="48">
        <f t="shared" si="690"/>
        <v>252958.13150000107</v>
      </c>
      <c r="CF274" s="48">
        <f t="shared" si="690"/>
        <v>247173.41408333438</v>
      </c>
      <c r="CG274" s="48">
        <f t="shared" si="690"/>
        <v>241388.6966666677</v>
      </c>
      <c r="CH274" s="48">
        <f t="shared" si="690"/>
        <v>235603.97925000102</v>
      </c>
      <c r="CI274" s="48">
        <f t="shared" si="690"/>
        <v>229819.26183333434</v>
      </c>
      <c r="CJ274" s="48">
        <f t="shared" si="690"/>
        <v>224034.54441666766</v>
      </c>
      <c r="CK274" s="48">
        <f t="shared" si="690"/>
        <v>218249.82700000098</v>
      </c>
      <c r="CL274" s="48">
        <f t="shared" si="690"/>
        <v>212465.1095833343</v>
      </c>
      <c r="CM274" s="48">
        <f t="shared" si="690"/>
        <v>206680.39216666762</v>
      </c>
      <c r="CN274" s="48">
        <f t="shared" si="690"/>
        <v>200895.67475000094</v>
      </c>
      <c r="CO274" s="48">
        <f t="shared" si="690"/>
        <v>195110.95733333426</v>
      </c>
      <c r="CP274" s="48">
        <f t="shared" si="690"/>
        <v>189326.23991666758</v>
      </c>
      <c r="CQ274" s="48">
        <f t="shared" si="690"/>
        <v>183541.52250000089</v>
      </c>
      <c r="CR274" s="48">
        <f t="shared" si="690"/>
        <v>177756.80508333421</v>
      </c>
      <c r="CS274" s="48">
        <f t="shared" si="690"/>
        <v>171972.08766666753</v>
      </c>
      <c r="CT274" s="48">
        <f t="shared" si="690"/>
        <v>166187.37025000085</v>
      </c>
      <c r="CU274" s="48">
        <f t="shared" si="690"/>
        <v>160402.65283333417</v>
      </c>
      <c r="CV274" s="48">
        <f t="shared" si="690"/>
        <v>154617.93541666749</v>
      </c>
      <c r="CW274" s="48">
        <f t="shared" si="690"/>
        <v>148833.21800000081</v>
      </c>
      <c r="CX274" s="48">
        <f t="shared" si="690"/>
        <v>143048.50058333413</v>
      </c>
      <c r="CY274" s="48">
        <f t="shared" ref="CY274:ED274" si="691">CX$274+CY$273-CY$259</f>
        <v>137263.78316666745</v>
      </c>
      <c r="CZ274" s="48">
        <f t="shared" si="691"/>
        <v>131479.06575000077</v>
      </c>
      <c r="DA274" s="48">
        <f t="shared" si="691"/>
        <v>125694.3483333341</v>
      </c>
      <c r="DB274" s="48">
        <f t="shared" si="691"/>
        <v>119909.63091666743</v>
      </c>
      <c r="DC274" s="48">
        <f t="shared" si="691"/>
        <v>114124.91350000077</v>
      </c>
      <c r="DD274" s="48">
        <f t="shared" si="691"/>
        <v>108340.1960833341</v>
      </c>
      <c r="DE274" s="48">
        <f t="shared" si="691"/>
        <v>102555.47866666743</v>
      </c>
      <c r="DF274" s="48">
        <f t="shared" si="691"/>
        <v>96770.761250000767</v>
      </c>
      <c r="DG274" s="48">
        <f t="shared" si="691"/>
        <v>90986.043833334101</v>
      </c>
      <c r="DH274" s="48">
        <f t="shared" si="691"/>
        <v>85201.326416667434</v>
      </c>
      <c r="DI274" s="48">
        <f t="shared" si="691"/>
        <v>79416.609000000768</v>
      </c>
      <c r="DJ274" s="48">
        <f t="shared" si="691"/>
        <v>73631.891583334102</v>
      </c>
      <c r="DK274" s="48">
        <f t="shared" si="691"/>
        <v>67847.174166667435</v>
      </c>
      <c r="DL274" s="48">
        <f t="shared" si="691"/>
        <v>62062.456750000769</v>
      </c>
      <c r="DM274" s="48">
        <f t="shared" si="691"/>
        <v>56277.739333334102</v>
      </c>
      <c r="DN274" s="48">
        <f t="shared" si="691"/>
        <v>50493.021916667436</v>
      </c>
      <c r="DO274" s="48">
        <f t="shared" si="691"/>
        <v>44708.30450000077</v>
      </c>
      <c r="DP274" s="48">
        <f t="shared" si="691"/>
        <v>38923.587083334103</v>
      </c>
      <c r="DQ274" s="48">
        <f t="shared" si="691"/>
        <v>33138.869666667437</v>
      </c>
      <c r="DR274" s="48">
        <f t="shared" si="691"/>
        <v>27354.15225000077</v>
      </c>
      <c r="DS274" s="48">
        <f t="shared" si="691"/>
        <v>21569.434833334104</v>
      </c>
      <c r="DT274" s="48">
        <f t="shared" si="691"/>
        <v>15784.717416667438</v>
      </c>
      <c r="DU274" s="48">
        <f t="shared" si="691"/>
        <v>10000.000000000771</v>
      </c>
      <c r="DV274" s="48">
        <f t="shared" si="691"/>
        <v>10000.000000000771</v>
      </c>
      <c r="DW274" s="48">
        <f t="shared" si="691"/>
        <v>10000.000000000771</v>
      </c>
      <c r="DX274" s="48">
        <f t="shared" si="691"/>
        <v>10000.000000000771</v>
      </c>
      <c r="DY274" s="48">
        <f t="shared" si="691"/>
        <v>10000.000000000771</v>
      </c>
      <c r="DZ274" s="48">
        <f t="shared" si="691"/>
        <v>10000.000000000771</v>
      </c>
      <c r="EA274" s="48">
        <f t="shared" si="691"/>
        <v>10000.000000000771</v>
      </c>
      <c r="EB274" s="48">
        <f t="shared" si="691"/>
        <v>10000.000000000771</v>
      </c>
      <c r="EC274" s="48">
        <f t="shared" si="691"/>
        <v>10000.000000000771</v>
      </c>
      <c r="ED274" s="48">
        <f t="shared" si="691"/>
        <v>10000.000000000771</v>
      </c>
      <c r="EE274" s="48">
        <f t="shared" ref="EE274:ES274" si="692">ED$274+EE$273-EE$259</f>
        <v>10000.000000000771</v>
      </c>
      <c r="EF274" s="48">
        <f t="shared" si="692"/>
        <v>10000.000000000771</v>
      </c>
      <c r="EG274" s="48">
        <f t="shared" si="692"/>
        <v>10000.000000000771</v>
      </c>
      <c r="EH274" s="48">
        <f t="shared" si="692"/>
        <v>10000.000000000771</v>
      </c>
      <c r="EI274" s="48">
        <f t="shared" si="692"/>
        <v>10000.000000000771</v>
      </c>
      <c r="EJ274" s="48">
        <f t="shared" si="692"/>
        <v>10000.000000000771</v>
      </c>
      <c r="EK274" s="48">
        <f t="shared" si="692"/>
        <v>10000.000000000771</v>
      </c>
      <c r="EL274" s="48">
        <f t="shared" si="692"/>
        <v>10000.000000000771</v>
      </c>
      <c r="EM274" s="48">
        <f t="shared" si="692"/>
        <v>10000.000000000771</v>
      </c>
      <c r="EN274" s="48">
        <f t="shared" si="692"/>
        <v>10000.000000000771</v>
      </c>
      <c r="EO274" s="48">
        <f t="shared" si="692"/>
        <v>10000.000000000771</v>
      </c>
      <c r="EP274" s="48">
        <f t="shared" si="692"/>
        <v>10000.000000000771</v>
      </c>
      <c r="EQ274" s="48">
        <f t="shared" si="692"/>
        <v>10000.000000000771</v>
      </c>
      <c r="ER274" s="48">
        <f t="shared" si="692"/>
        <v>10000.000000000771</v>
      </c>
      <c r="ES274" s="48">
        <f t="shared" si="692"/>
        <v>10000.000000000771</v>
      </c>
    </row>
    <row r="275" spans="1:149" x14ac:dyDescent="0.3">
      <c r="A275" s="14" t="s">
        <v>1326</v>
      </c>
      <c r="B275" s="18" t="s">
        <v>1136</v>
      </c>
      <c r="C275" s="18" t="s">
        <v>439</v>
      </c>
      <c r="E275" s="54">
        <f>SUM(F275:ES275)</f>
        <v>4509762.5173222804</v>
      </c>
      <c r="F275" s="48">
        <f>IF(1=Fin,F$269*V_RealCT+F$274*V_RealAF,0)</f>
        <v>0</v>
      </c>
      <c r="G275" s="48">
        <f>IF(2=Fin,G$269*V_RealCT+G$274*V_RealAF,0)</f>
        <v>0</v>
      </c>
      <c r="H275" s="48">
        <f>IF(3=Fin,H$269*V_RealCT+H$274*V_RealAF,0)</f>
        <v>0</v>
      </c>
      <c r="I275" s="48">
        <f>IF(4=Fin,I$269*V_RealCT+I$274*V_RealAF,0)</f>
        <v>0</v>
      </c>
      <c r="J275" s="48">
        <f>IF(5=Fin,J$269*V_RealCT+J$274*V_RealAF,0)</f>
        <v>0</v>
      </c>
      <c r="K275" s="48">
        <f>IF(6=Fin,K$269*V_RealCT+K$274*V_RealAF,0)</f>
        <v>0</v>
      </c>
      <c r="L275" s="48">
        <f>IF(7=Fin,L$269*V_RealCT+L$274*V_RealAF,0)</f>
        <v>0</v>
      </c>
      <c r="M275" s="48">
        <f>IF(8=Fin,M$269*V_RealCT+M$274*V_RealAF,0)</f>
        <v>0</v>
      </c>
      <c r="N275" s="48">
        <f>IF(9=Fin,N$269*V_RealCT+N$274*V_RealAF,0)</f>
        <v>0</v>
      </c>
      <c r="O275" s="48">
        <f>IF(10=Fin,O$269*V_RealCT+O$274*V_RealAF,0)</f>
        <v>0</v>
      </c>
      <c r="P275" s="48">
        <f>IF(11=Fin,P$269*V_RealCT+P$274*V_RealAF,0)</f>
        <v>0</v>
      </c>
      <c r="Q275" s="48">
        <f>IF(12=Fin,Q$269*V_RealCT+Q$274*V_RealAF,0)</f>
        <v>0</v>
      </c>
      <c r="R275" s="48">
        <f>IF(13=Fin,R$269*V_RealCT+R$274*V_RealAF,0)</f>
        <v>0</v>
      </c>
      <c r="S275" s="48">
        <f>IF(14=Fin,S$269*V_RealCT+S$274*V_RealAF,0)</f>
        <v>0</v>
      </c>
      <c r="T275" s="48">
        <f>IF(15=Fin,T$269*V_RealCT+T$274*V_RealAF,0)</f>
        <v>0</v>
      </c>
      <c r="U275" s="48">
        <f>IF(16=Fin,U$269*V_RealCT+U$274*V_RealAF,0)</f>
        <v>0</v>
      </c>
      <c r="V275" s="48">
        <f>IF(17=Fin,V$269*V_RealCT+V$274*V_RealAF,0)</f>
        <v>0</v>
      </c>
      <c r="W275" s="48">
        <f>IF(18=Fin,W$269*V_RealCT+W$274*V_RealAF,0)</f>
        <v>0</v>
      </c>
      <c r="X275" s="48">
        <f>IF(19=Fin,X$269*V_RealCT+X$274*V_RealAF,0)</f>
        <v>0</v>
      </c>
      <c r="Y275" s="48">
        <f>IF(20=Fin,Y$269*V_RealCT+Y$274*V_RealAF,0)</f>
        <v>0</v>
      </c>
      <c r="Z275" s="48">
        <f>IF(21=Fin,Z$269*V_RealCT+Z$274*V_RealAF,0)</f>
        <v>0</v>
      </c>
      <c r="AA275" s="48">
        <f>IF(22=Fin,AA$269*V_RealCT+AA$274*V_RealAF,0)</f>
        <v>0</v>
      </c>
      <c r="AB275" s="48">
        <f>IF(23=Fin,AB$269*V_RealCT+AB$274*V_RealAF,0)</f>
        <v>0</v>
      </c>
      <c r="AC275" s="48">
        <f>IF(24=Fin,AC$269*V_RealCT+AC$274*V_RealAF,0)</f>
        <v>0</v>
      </c>
      <c r="AD275" s="48">
        <f>IF(25=Fin,AD$269*V_RealCT+AD$274*V_RealAF,0)</f>
        <v>0</v>
      </c>
      <c r="AE275" s="48">
        <f>IF(26=Fin,AE$269*V_RealCT+AE$274*V_RealAF,0)</f>
        <v>0</v>
      </c>
      <c r="AF275" s="48">
        <f>IF(27=Fin,AF$269*V_RealCT+AF$274*V_RealAF,0)</f>
        <v>0</v>
      </c>
      <c r="AG275" s="48">
        <f>IF(28=Fin,AG$269*V_RealCT+AG$274*V_RealAF,0)</f>
        <v>0</v>
      </c>
      <c r="AH275" s="48">
        <f>IF(29=Fin,AH$269*V_RealCT+AH$274*V_RealAF,0)</f>
        <v>0</v>
      </c>
      <c r="AI275" s="48">
        <f>IF(30=Fin,AI$269*V_RealCT+AI$274*V_RealAF,0)</f>
        <v>0</v>
      </c>
      <c r="AJ275" s="48">
        <f>IF(31=Fin,AJ$269*V_RealCT+AJ$274*V_RealAF,0)</f>
        <v>0</v>
      </c>
      <c r="AK275" s="48">
        <f>IF(32=Fin,AK$269*V_RealCT+AK$274*V_RealAF,0)</f>
        <v>0</v>
      </c>
      <c r="AL275" s="48">
        <f>IF(33=Fin,AL$269*V_RealCT+AL$274*V_RealAF,0)</f>
        <v>0</v>
      </c>
      <c r="AM275" s="48">
        <f>IF(34=Fin,AM$269*V_RealCT+AM$274*V_RealAF,0)</f>
        <v>0</v>
      </c>
      <c r="AN275" s="48">
        <f>IF(35=Fin,AN$269*V_RealCT+AN$274*V_RealAF,0)</f>
        <v>0</v>
      </c>
      <c r="AO275" s="48">
        <f>IF(36=Fin,AO$269*V_RealCT+AO$274*V_RealAF,0)</f>
        <v>0</v>
      </c>
      <c r="AP275" s="48">
        <f>IF(37=Fin,AP$269*V_RealCT+AP$274*V_RealAF,0)</f>
        <v>0</v>
      </c>
      <c r="AQ275" s="48">
        <f>IF(38=Fin,AQ$269*V_RealCT+AQ$274*V_RealAF,0)</f>
        <v>0</v>
      </c>
      <c r="AR275" s="48">
        <f>IF(39=Fin,AR$269*V_RealCT+AR$274*V_RealAF,0)</f>
        <v>0</v>
      </c>
      <c r="AS275" s="48">
        <f>IF(40=Fin,AS$269*V_RealCT+AS$274*V_RealAF,0)</f>
        <v>0</v>
      </c>
      <c r="AT275" s="48">
        <f>IF(41=Fin,AT$269*V_RealCT+AT$274*V_RealAF,0)</f>
        <v>0</v>
      </c>
      <c r="AU275" s="48">
        <f>IF(42=Fin,AU$269*V_RealCT+AU$274*V_RealAF,0)</f>
        <v>0</v>
      </c>
      <c r="AV275" s="48">
        <f>IF(43=Fin,AV$269*V_RealCT+AV$274*V_RealAF,0)</f>
        <v>0</v>
      </c>
      <c r="AW275" s="48">
        <f>IF(44=Fin,AW$269*V_RealCT+AW$274*V_RealAF,0)</f>
        <v>0</v>
      </c>
      <c r="AX275" s="48">
        <f>IF(45=Fin,AX$269*V_RealCT+AX$274*V_RealAF,0)</f>
        <v>0</v>
      </c>
      <c r="AY275" s="48">
        <f>IF(46=Fin,AY$269*V_RealCT+AY$274*V_RealAF,0)</f>
        <v>0</v>
      </c>
      <c r="AZ275" s="48">
        <f>IF(47=Fin,AZ$269*V_RealCT+AZ$274*V_RealAF,0)</f>
        <v>0</v>
      </c>
      <c r="BA275" s="48">
        <f>IF(48=Fin,BA$269*V_RealCT+BA$274*V_RealAF,0)</f>
        <v>0</v>
      </c>
      <c r="BB275" s="48">
        <f>IF(49=Fin,BB$269*V_RealCT+BB$274*V_RealAF,0)</f>
        <v>0</v>
      </c>
      <c r="BC275" s="48">
        <f>IF(50=Fin,BC$269*V_RealCT+BC$274*V_RealAF,0)</f>
        <v>0</v>
      </c>
      <c r="BD275" s="48">
        <f>IF(51=Fin,BD$269*V_RealCT+BD$274*V_RealAF,0)</f>
        <v>0</v>
      </c>
      <c r="BE275" s="48">
        <f>IF(52=Fin,BE$269*V_RealCT+BE$274*V_RealAF,0)</f>
        <v>0</v>
      </c>
      <c r="BF275" s="48">
        <f>IF(53=Fin,BF$269*V_RealCT+BF$274*V_RealAF,0)</f>
        <v>0</v>
      </c>
      <c r="BG275" s="48">
        <f>IF(54=Fin,BG$269*V_RealCT+BG$274*V_RealAF,0)</f>
        <v>0</v>
      </c>
      <c r="BH275" s="48">
        <f>IF(55=Fin,BH$269*V_RealCT+BH$274*V_RealAF,0)</f>
        <v>0</v>
      </c>
      <c r="BI275" s="48">
        <f>IF(56=Fin,BI$269*V_RealCT+BI$274*V_RealAF,0)</f>
        <v>0</v>
      </c>
      <c r="BJ275" s="48">
        <f>IF(57=Fin,BJ$269*V_RealCT+BJ$274*V_RealAF,0)</f>
        <v>0</v>
      </c>
      <c r="BK275" s="48">
        <f>IF(58=Fin,BK$269*V_RealCT+BK$274*V_RealAF,0)</f>
        <v>0</v>
      </c>
      <c r="BL275" s="48">
        <f>IF(59=Fin,BL$269*V_RealCT+BL$274*V_RealAF,0)</f>
        <v>0</v>
      </c>
      <c r="BM275" s="48">
        <f>IF(60=Fin,BM$269*V_RealCT+BM$274*V_RealAF,0)</f>
        <v>0</v>
      </c>
      <c r="BN275" s="48">
        <f>IF(61=Fin,BN$269*V_RealCT+BN$274*V_RealAF,0)</f>
        <v>0</v>
      </c>
      <c r="BO275" s="48">
        <f>IF(62=Fin,BO$269*V_RealCT+BO$274*V_RealAF,0)</f>
        <v>0</v>
      </c>
      <c r="BP275" s="48">
        <f>IF(63=Fin,BP$269*V_RealCT+BP$274*V_RealAF,0)</f>
        <v>0</v>
      </c>
      <c r="BQ275" s="48">
        <f>IF(64=Fin,BQ$269*V_RealCT+BQ$274*V_RealAF,0)</f>
        <v>0</v>
      </c>
      <c r="BR275" s="48">
        <f>IF(65=Fin,BR$269*V_RealCT+BR$274*V_RealAF,0)</f>
        <v>0</v>
      </c>
      <c r="BS275" s="48">
        <f>IF(66=Fin,BS$269*V_RealCT+BS$274*V_RealAF,0)</f>
        <v>0</v>
      </c>
      <c r="BT275" s="48">
        <f>IF(67=Fin,BT$269*V_RealCT+BT$274*V_RealAF,0)</f>
        <v>0</v>
      </c>
      <c r="BU275" s="48">
        <f>IF(68=Fin,BU$269*V_RealCT+BU$274*V_RealAF,0)</f>
        <v>0</v>
      </c>
      <c r="BV275" s="48">
        <f>IF(69=Fin,BV$269*V_RealCT+BV$274*V_RealAF,0)</f>
        <v>0</v>
      </c>
      <c r="BW275" s="48">
        <f>IF(70=Fin,BW$269*V_RealCT+BW$274*V_RealAF,0)</f>
        <v>0</v>
      </c>
      <c r="BX275" s="48">
        <f>IF(71=Fin,BX$269*V_RealCT+BX$274*V_RealAF,0)</f>
        <v>0</v>
      </c>
      <c r="BY275" s="48">
        <f>IF(72=Fin,BY$269*V_RealCT+BY$274*V_RealAF,0)</f>
        <v>0</v>
      </c>
      <c r="BZ275" s="48">
        <f>IF(73=Fin,BZ$269*V_RealCT+BZ$274*V_RealAF,0)</f>
        <v>0</v>
      </c>
      <c r="CA275" s="48">
        <f>IF(74=Fin,CA$269*V_RealCT+CA$274*V_RealAF,0)</f>
        <v>0</v>
      </c>
      <c r="CB275" s="48">
        <f>IF(75=Fin,CB$269*V_RealCT+CB$274*V_RealAF,0)</f>
        <v>0</v>
      </c>
      <c r="CC275" s="48">
        <f>IF(76=Fin,CC$269*V_RealCT+CC$274*V_RealAF,0)</f>
        <v>0</v>
      </c>
      <c r="CD275" s="48">
        <f>IF(77=Fin,CD$269*V_RealCT+CD$274*V_RealAF,0)</f>
        <v>0</v>
      </c>
      <c r="CE275" s="48">
        <f>IF(78=Fin,CE$269*V_RealCT+CE$274*V_RealAF,0)</f>
        <v>0</v>
      </c>
      <c r="CF275" s="48">
        <f>IF(79=Fin,CF$269*V_RealCT+CF$274*V_RealAF,0)</f>
        <v>0</v>
      </c>
      <c r="CG275" s="48">
        <f>IF(80=Fin,CG$269*V_RealCT+CG$274*V_RealAF,0)</f>
        <v>0</v>
      </c>
      <c r="CH275" s="48">
        <f>IF(81=Fin,CH$269*V_RealCT+CH$274*V_RealAF,0)</f>
        <v>0</v>
      </c>
      <c r="CI275" s="48">
        <f>IF(82=Fin,CI$269*V_RealCT+CI$274*V_RealAF,0)</f>
        <v>0</v>
      </c>
      <c r="CJ275" s="48">
        <f>IF(83=Fin,CJ$269*V_RealCT+CJ$274*V_RealAF,0)</f>
        <v>0</v>
      </c>
      <c r="CK275" s="48">
        <f>IF(84=Fin,CK$269*V_RealCT+CK$274*V_RealAF,0)</f>
        <v>0</v>
      </c>
      <c r="CL275" s="48">
        <f>IF(85=Fin,CL$269*V_RealCT+CL$274*V_RealAF,0)</f>
        <v>0</v>
      </c>
      <c r="CM275" s="48">
        <f>IF(86=Fin,CM$269*V_RealCT+CM$274*V_RealAF,0)</f>
        <v>0</v>
      </c>
      <c r="CN275" s="48">
        <f>IF(87=Fin,CN$269*V_RealCT+CN$274*V_RealAF,0)</f>
        <v>0</v>
      </c>
      <c r="CO275" s="48">
        <f>IF(88=Fin,CO$269*V_RealCT+CO$274*V_RealAF,0)</f>
        <v>0</v>
      </c>
      <c r="CP275" s="48">
        <f>IF(89=Fin,CP$269*V_RealCT+CP$274*V_RealAF,0)</f>
        <v>0</v>
      </c>
      <c r="CQ275" s="48">
        <f>IF(90=Fin,CQ$269*V_RealCT+CQ$274*V_RealAF,0)</f>
        <v>0</v>
      </c>
      <c r="CR275" s="48">
        <f>IF(91=Fin,CR$269*V_RealCT+CR$274*V_RealAF,0)</f>
        <v>0</v>
      </c>
      <c r="CS275" s="48">
        <f>IF(92=Fin,CS$269*V_RealCT+CS$274*V_RealAF,0)</f>
        <v>0</v>
      </c>
      <c r="CT275" s="48">
        <f>IF(93=Fin,CT$269*V_RealCT+CT$274*V_RealAF,0)</f>
        <v>0</v>
      </c>
      <c r="CU275" s="48">
        <f>IF(94=Fin,CU$269*V_RealCT+CU$274*V_RealAF,0)</f>
        <v>0</v>
      </c>
      <c r="CV275" s="48">
        <f>IF(95=Fin,CV$269*V_RealCT+CV$274*V_RealAF,0)</f>
        <v>0</v>
      </c>
      <c r="CW275" s="48">
        <f>IF(96=Fin,CW$269*V_RealCT+CW$274*V_RealAF,0)</f>
        <v>0</v>
      </c>
      <c r="CX275" s="48">
        <f>IF(97=Fin,CX$269*V_RealCT+CX$274*V_RealAF,0)</f>
        <v>0</v>
      </c>
      <c r="CY275" s="48">
        <f>IF(98=Fin,CY$269*V_RealCT+CY$274*V_RealAF,0)</f>
        <v>0</v>
      </c>
      <c r="CZ275" s="48">
        <f>IF(99=Fin,CZ$269*V_RealCT+CZ$274*V_RealAF,0)</f>
        <v>0</v>
      </c>
      <c r="DA275" s="48">
        <f>IF(100=Fin,DA$269*V_RealCT+DA$274*V_RealAF,0)</f>
        <v>0</v>
      </c>
      <c r="DB275" s="48">
        <f>IF(101=Fin,DB$269*V_RealCT+DB$274*V_RealAF,0)</f>
        <v>0</v>
      </c>
      <c r="DC275" s="48">
        <f>IF(102=Fin,DC$269*V_RealCT+DC$274*V_RealAF,0)</f>
        <v>0</v>
      </c>
      <c r="DD275" s="48">
        <f>IF(103=Fin,DD$269*V_RealCT+DD$274*V_RealAF,0)</f>
        <v>0</v>
      </c>
      <c r="DE275" s="48">
        <f>IF(104=Fin,DE$269*V_RealCT+DE$274*V_RealAF,0)</f>
        <v>0</v>
      </c>
      <c r="DF275" s="48">
        <f>IF(105=Fin,DF$269*V_RealCT+DF$274*V_RealAF,0)</f>
        <v>0</v>
      </c>
      <c r="DG275" s="48">
        <f>IF(106=Fin,DG$269*V_RealCT+DG$274*V_RealAF,0)</f>
        <v>0</v>
      </c>
      <c r="DH275" s="48">
        <f>IF(107=Fin,DH$269*V_RealCT+DH$274*V_RealAF,0)</f>
        <v>0</v>
      </c>
      <c r="DI275" s="48">
        <f>IF(108=Fin,DI$269*V_RealCT+DI$274*V_RealAF,0)</f>
        <v>0</v>
      </c>
      <c r="DJ275" s="48">
        <f>IF(109=Fin,DJ$269*V_RealCT+DJ$274*V_RealAF,0)</f>
        <v>0</v>
      </c>
      <c r="DK275" s="48">
        <f>IF(110=Fin,DK$269*V_RealCT+DK$274*V_RealAF,0)</f>
        <v>0</v>
      </c>
      <c r="DL275" s="48">
        <f>IF(111=Fin,DL$269*V_RealCT+DL$274*V_RealAF,0)</f>
        <v>0</v>
      </c>
      <c r="DM275" s="48">
        <f>IF(112=Fin,DM$269*V_RealCT+DM$274*V_RealAF,0)</f>
        <v>0</v>
      </c>
      <c r="DN275" s="48">
        <f>IF(113=Fin,DN$269*V_RealCT+DN$274*V_RealAF,0)</f>
        <v>0</v>
      </c>
      <c r="DO275" s="48">
        <f>IF(114=Fin,DO$269*V_RealCT+DO$274*V_RealAF,0)</f>
        <v>0</v>
      </c>
      <c r="DP275" s="48">
        <f>IF(115=Fin,DP$269*V_RealCT+DP$274*V_RealAF,0)</f>
        <v>0</v>
      </c>
      <c r="DQ275" s="48">
        <f>IF(116=Fin,DQ$269*V_RealCT+DQ$274*V_RealAF,0)</f>
        <v>0</v>
      </c>
      <c r="DR275" s="48">
        <f>IF(117=Fin,DR$269*V_RealCT+DR$274*V_RealAF,0)</f>
        <v>0</v>
      </c>
      <c r="DS275" s="48">
        <f>IF(118=Fin,DS$269*V_RealCT+DS$274*V_RealAF,0)</f>
        <v>0</v>
      </c>
      <c r="DT275" s="48">
        <f>IF(119=Fin,DT$269*V_RealCT+DT$274*V_RealAF,0)</f>
        <v>0</v>
      </c>
      <c r="DU275" s="48">
        <f>IF(120=Fin,DU$269*V_RealCT+DU$274*V_RealAF,0)</f>
        <v>4509762.5173222804</v>
      </c>
      <c r="DV275" s="48">
        <f>IF(121=Fin,DV$269*V_RealCT+DV$274*V_RealAF,0)</f>
        <v>0</v>
      </c>
      <c r="DW275" s="48">
        <f>IF(122=Fin,DW$269*V_RealCT+DW$274*V_RealAF,0)</f>
        <v>0</v>
      </c>
      <c r="DX275" s="48">
        <f>IF(123=Fin,DX$269*V_RealCT+DX$274*V_RealAF,0)</f>
        <v>0</v>
      </c>
      <c r="DY275" s="48">
        <f>IF(124=Fin,DY$269*V_RealCT+DY$274*V_RealAF,0)</f>
        <v>0</v>
      </c>
      <c r="DZ275" s="48">
        <f>IF(125=Fin,DZ$269*V_RealCT+DZ$274*V_RealAF,0)</f>
        <v>0</v>
      </c>
      <c r="EA275" s="48">
        <f>IF(126=Fin,EA$269*V_RealCT+EA$274*V_RealAF,0)</f>
        <v>0</v>
      </c>
      <c r="EB275" s="48">
        <f>IF(127=Fin,EB$269*V_RealCT+EB$274*V_RealAF,0)</f>
        <v>0</v>
      </c>
      <c r="EC275" s="48">
        <f>IF(128=Fin,EC$269*V_RealCT+EC$274*V_RealAF,0)</f>
        <v>0</v>
      </c>
      <c r="ED275" s="48">
        <f>IF(129=Fin,ED$269*V_RealCT+ED$274*V_RealAF,0)</f>
        <v>0</v>
      </c>
      <c r="EE275" s="48">
        <f>IF(130=Fin,EE$269*V_RealCT+EE$274*V_RealAF,0)</f>
        <v>0</v>
      </c>
      <c r="EF275" s="48">
        <f>IF(131=Fin,EF$269*V_RealCT+EF$274*V_RealAF,0)</f>
        <v>0</v>
      </c>
      <c r="EG275" s="48">
        <f>IF(132=Fin,EG$269*V_RealCT+EG$274*V_RealAF,0)</f>
        <v>0</v>
      </c>
      <c r="EH275" s="48">
        <f>IF(133=Fin,EH$269*V_RealCT+EH$274*V_RealAF,0)</f>
        <v>0</v>
      </c>
      <c r="EI275" s="48">
        <f>IF(134=Fin,EI$269*V_RealCT+EI$274*V_RealAF,0)</f>
        <v>0</v>
      </c>
      <c r="EJ275" s="48">
        <f>IF(135=Fin,EJ$269*V_RealCT+EJ$274*V_RealAF,0)</f>
        <v>0</v>
      </c>
      <c r="EK275" s="48">
        <f>IF(136=Fin,EK$269*V_RealCT+EK$274*V_RealAF,0)</f>
        <v>0</v>
      </c>
      <c r="EL275" s="48">
        <f>IF(137=Fin,EL$269*V_RealCT+EL$274*V_RealAF,0)</f>
        <v>0</v>
      </c>
      <c r="EM275" s="48">
        <f>IF(138=Fin,EM$269*V_RealCT+EM$274*V_RealAF,0)</f>
        <v>0</v>
      </c>
      <c r="EN275" s="48">
        <f>IF(139=Fin,EN$269*V_RealCT+EN$274*V_RealAF,0)</f>
        <v>0</v>
      </c>
      <c r="EO275" s="48">
        <f>IF(140=Fin,EO$269*V_RealCT+EO$274*V_RealAF,0)</f>
        <v>0</v>
      </c>
      <c r="EP275" s="48">
        <f>IF(141=Fin,EP$269*V_RealCT+EP$274*V_RealAF,0)</f>
        <v>0</v>
      </c>
      <c r="EQ275" s="48">
        <f>IF(142=Fin,EQ$269*V_RealCT+EQ$274*V_RealAF,0)</f>
        <v>0</v>
      </c>
      <c r="ER275" s="48">
        <f>IF(143=Fin,ER$269*V_RealCT+ER$274*V_RealAF,0)</f>
        <v>0</v>
      </c>
      <c r="ES275" s="48">
        <f>IF(144=Fin,ES$269*V_RealCT+ES$274*V_RealAF,0)</f>
        <v>0</v>
      </c>
    </row>
    <row r="276" spans="1:149" x14ac:dyDescent="0.3">
      <c r="A276" s="14" t="s">
        <v>1327</v>
      </c>
      <c r="B276" s="68" t="s">
        <v>1138</v>
      </c>
      <c r="C276" s="18" t="s">
        <v>439</v>
      </c>
      <c r="E276" s="54">
        <f>SUM(F276:ES276)</f>
        <v>15564459.926261026</v>
      </c>
      <c r="F276" s="22">
        <f t="shared" ref="F276:AK276" si="693">F$272-F$273+F$275</f>
        <v>-3000610.4768834403</v>
      </c>
      <c r="G276" s="22">
        <f t="shared" si="693"/>
        <v>42497.500475589746</v>
      </c>
      <c r="H276" s="22">
        <f t="shared" si="693"/>
        <v>42497.500475589746</v>
      </c>
      <c r="I276" s="22">
        <f t="shared" si="693"/>
        <v>42497.500475589746</v>
      </c>
      <c r="J276" s="22">
        <f t="shared" si="693"/>
        <v>42497.500475589746</v>
      </c>
      <c r="K276" s="22">
        <f t="shared" si="693"/>
        <v>42497.500475589746</v>
      </c>
      <c r="L276" s="22">
        <f t="shared" si="693"/>
        <v>42497.500475589746</v>
      </c>
      <c r="M276" s="22">
        <f t="shared" si="693"/>
        <v>42497.500475589746</v>
      </c>
      <c r="N276" s="22">
        <f t="shared" si="693"/>
        <v>42497.500475589746</v>
      </c>
      <c r="O276" s="22">
        <f t="shared" si="693"/>
        <v>42497.500475589746</v>
      </c>
      <c r="P276" s="22">
        <f t="shared" si="693"/>
        <v>42497.500475589746</v>
      </c>
      <c r="Q276" s="22">
        <f t="shared" si="693"/>
        <v>42497.500475589746</v>
      </c>
      <c r="R276" s="22">
        <f t="shared" si="693"/>
        <v>-674649.04140167939</v>
      </c>
      <c r="S276" s="22">
        <f t="shared" si="693"/>
        <v>80496.402993964788</v>
      </c>
      <c r="T276" s="22">
        <f t="shared" si="693"/>
        <v>80496.402993964788</v>
      </c>
      <c r="U276" s="22">
        <f t="shared" si="693"/>
        <v>80496.402993964788</v>
      </c>
      <c r="V276" s="22">
        <f t="shared" si="693"/>
        <v>80496.402993964788</v>
      </c>
      <c r="W276" s="22">
        <f t="shared" si="693"/>
        <v>80496.402993964788</v>
      </c>
      <c r="X276" s="22">
        <f t="shared" si="693"/>
        <v>80496.402993964788</v>
      </c>
      <c r="Y276" s="22">
        <f t="shared" si="693"/>
        <v>80496.402993964788</v>
      </c>
      <c r="Z276" s="22">
        <f t="shared" si="693"/>
        <v>80496.402993964788</v>
      </c>
      <c r="AA276" s="22">
        <f t="shared" si="693"/>
        <v>80496.402993964788</v>
      </c>
      <c r="AB276" s="22">
        <f t="shared" si="693"/>
        <v>80496.402993964788</v>
      </c>
      <c r="AC276" s="22">
        <f t="shared" si="693"/>
        <v>80496.402993964788</v>
      </c>
      <c r="AD276" s="22">
        <f t="shared" si="693"/>
        <v>-550241.89976729837</v>
      </c>
      <c r="AE276" s="22">
        <f t="shared" si="693"/>
        <v>117085.03086512479</v>
      </c>
      <c r="AF276" s="22">
        <f t="shared" si="693"/>
        <v>117085.03086512479</v>
      </c>
      <c r="AG276" s="22">
        <f t="shared" si="693"/>
        <v>117085.03086512479</v>
      </c>
      <c r="AH276" s="22">
        <f t="shared" si="693"/>
        <v>117085.03086512479</v>
      </c>
      <c r="AI276" s="22">
        <f t="shared" si="693"/>
        <v>117085.03086512479</v>
      </c>
      <c r="AJ276" s="22">
        <f t="shared" si="693"/>
        <v>117085.03086512479</v>
      </c>
      <c r="AK276" s="22">
        <f t="shared" si="693"/>
        <v>117085.03086512479</v>
      </c>
      <c r="AL276" s="22">
        <f t="shared" ref="AL276:BQ276" si="694">AL$272-AL$273+AL$275</f>
        <v>117085.03086512479</v>
      </c>
      <c r="AM276" s="22">
        <f t="shared" si="694"/>
        <v>117085.03086512479</v>
      </c>
      <c r="AN276" s="22">
        <f t="shared" si="694"/>
        <v>117085.03086512479</v>
      </c>
      <c r="AO276" s="22">
        <f t="shared" si="694"/>
        <v>117085.03086512479</v>
      </c>
      <c r="AP276" s="22">
        <f t="shared" si="694"/>
        <v>-408915.49005345418</v>
      </c>
      <c r="AQ276" s="22">
        <f t="shared" si="694"/>
        <v>149893.57987985833</v>
      </c>
      <c r="AR276" s="22">
        <f t="shared" si="694"/>
        <v>149893.57987985833</v>
      </c>
      <c r="AS276" s="22">
        <f t="shared" si="694"/>
        <v>149893.57987985833</v>
      </c>
      <c r="AT276" s="22">
        <f t="shared" si="694"/>
        <v>149893.57987985833</v>
      </c>
      <c r="AU276" s="22">
        <f t="shared" si="694"/>
        <v>149893.57987985833</v>
      </c>
      <c r="AV276" s="22">
        <f t="shared" si="694"/>
        <v>149893.57987985833</v>
      </c>
      <c r="AW276" s="22">
        <f t="shared" si="694"/>
        <v>149893.57987985833</v>
      </c>
      <c r="AX276" s="22">
        <f t="shared" si="694"/>
        <v>149893.57987985833</v>
      </c>
      <c r="AY276" s="22">
        <f t="shared" si="694"/>
        <v>149893.57987985833</v>
      </c>
      <c r="AZ276" s="22">
        <f t="shared" si="694"/>
        <v>149893.57987985833</v>
      </c>
      <c r="BA276" s="22">
        <f t="shared" si="694"/>
        <v>149893.57987985833</v>
      </c>
      <c r="BB276" s="22">
        <f t="shared" si="694"/>
        <v>113103.61717051393</v>
      </c>
      <c r="BC276" s="22">
        <f t="shared" si="694"/>
        <v>151213.1648763738</v>
      </c>
      <c r="BD276" s="22">
        <f t="shared" si="694"/>
        <v>151213.1648763738</v>
      </c>
      <c r="BE276" s="22">
        <f t="shared" si="694"/>
        <v>151213.1648763738</v>
      </c>
      <c r="BF276" s="22">
        <f t="shared" si="694"/>
        <v>151213.1648763738</v>
      </c>
      <c r="BG276" s="22">
        <f t="shared" si="694"/>
        <v>151213.1648763738</v>
      </c>
      <c r="BH276" s="22">
        <f t="shared" si="694"/>
        <v>151213.1648763738</v>
      </c>
      <c r="BI276" s="22">
        <f t="shared" si="694"/>
        <v>151213.1648763738</v>
      </c>
      <c r="BJ276" s="22">
        <f t="shared" si="694"/>
        <v>151213.1648763738</v>
      </c>
      <c r="BK276" s="22">
        <f t="shared" si="694"/>
        <v>151213.1648763738</v>
      </c>
      <c r="BL276" s="22">
        <f t="shared" si="694"/>
        <v>151213.1648763738</v>
      </c>
      <c r="BM276" s="22">
        <f t="shared" si="694"/>
        <v>151213.1648763738</v>
      </c>
      <c r="BN276" s="22">
        <f t="shared" si="694"/>
        <v>117575.58532922962</v>
      </c>
      <c r="BO276" s="22">
        <f t="shared" si="694"/>
        <v>155300.44179782612</v>
      </c>
      <c r="BP276" s="22">
        <f t="shared" si="694"/>
        <v>155300.44179782612</v>
      </c>
      <c r="BQ276" s="22">
        <f t="shared" si="694"/>
        <v>155300.44179782612</v>
      </c>
      <c r="BR276" s="22">
        <f t="shared" ref="BR276:CW276" si="695">BR$272-BR$273+BR$275</f>
        <v>155300.44179782612</v>
      </c>
      <c r="BS276" s="22">
        <f t="shared" si="695"/>
        <v>155300.44179782612</v>
      </c>
      <c r="BT276" s="22">
        <f t="shared" si="695"/>
        <v>155300.44179782612</v>
      </c>
      <c r="BU276" s="22">
        <f t="shared" si="695"/>
        <v>155300.44179782612</v>
      </c>
      <c r="BV276" s="22">
        <f t="shared" si="695"/>
        <v>155300.44179782612</v>
      </c>
      <c r="BW276" s="22">
        <f t="shared" si="695"/>
        <v>155300.44179782612</v>
      </c>
      <c r="BX276" s="22">
        <f t="shared" si="695"/>
        <v>155300.44179782612</v>
      </c>
      <c r="BY276" s="22">
        <f t="shared" si="695"/>
        <v>155300.44179782612</v>
      </c>
      <c r="BZ276" s="22">
        <f t="shared" si="695"/>
        <v>121326.1292646185</v>
      </c>
      <c r="CA276" s="22">
        <f t="shared" si="695"/>
        <v>159416.02248939988</v>
      </c>
      <c r="CB276" s="22">
        <f t="shared" si="695"/>
        <v>159416.02248939988</v>
      </c>
      <c r="CC276" s="22">
        <f t="shared" si="695"/>
        <v>159416.02248939988</v>
      </c>
      <c r="CD276" s="22">
        <f t="shared" si="695"/>
        <v>159416.02248939988</v>
      </c>
      <c r="CE276" s="22">
        <f t="shared" si="695"/>
        <v>159416.02248939988</v>
      </c>
      <c r="CF276" s="22">
        <f t="shared" si="695"/>
        <v>159416.02248939988</v>
      </c>
      <c r="CG276" s="22">
        <f t="shared" si="695"/>
        <v>159416.02248939988</v>
      </c>
      <c r="CH276" s="22">
        <f t="shared" si="695"/>
        <v>159416.02248939988</v>
      </c>
      <c r="CI276" s="22">
        <f t="shared" si="695"/>
        <v>159416.02248939988</v>
      </c>
      <c r="CJ276" s="22">
        <f t="shared" si="695"/>
        <v>159416.02248939988</v>
      </c>
      <c r="CK276" s="22">
        <f t="shared" si="695"/>
        <v>159416.02248939988</v>
      </c>
      <c r="CL276" s="22">
        <f t="shared" si="695"/>
        <v>125101.6008517693</v>
      </c>
      <c r="CM276" s="22">
        <f t="shared" si="695"/>
        <v>163559.81854628745</v>
      </c>
      <c r="CN276" s="22">
        <f t="shared" si="695"/>
        <v>163559.81854628745</v>
      </c>
      <c r="CO276" s="22">
        <f t="shared" si="695"/>
        <v>163559.81854628745</v>
      </c>
      <c r="CP276" s="22">
        <f t="shared" si="695"/>
        <v>163559.81854628745</v>
      </c>
      <c r="CQ276" s="22">
        <f t="shared" si="695"/>
        <v>163559.81854628745</v>
      </c>
      <c r="CR276" s="22">
        <f t="shared" si="695"/>
        <v>163559.81854628745</v>
      </c>
      <c r="CS276" s="22">
        <f t="shared" si="695"/>
        <v>163559.81854628745</v>
      </c>
      <c r="CT276" s="22">
        <f t="shared" si="695"/>
        <v>163559.81854628745</v>
      </c>
      <c r="CU276" s="22">
        <f t="shared" si="695"/>
        <v>163559.81854628745</v>
      </c>
      <c r="CV276" s="22">
        <f t="shared" si="695"/>
        <v>163559.81854628745</v>
      </c>
      <c r="CW276" s="22">
        <f t="shared" si="695"/>
        <v>163559.81854628745</v>
      </c>
      <c r="CX276" s="22">
        <f t="shared" ref="CX276:EC276" si="696">CX$272-CX$273+CX$275</f>
        <v>128901.87769957155</v>
      </c>
      <c r="CY276" s="22">
        <f t="shared" si="696"/>
        <v>167731.72964890755</v>
      </c>
      <c r="CZ276" s="22">
        <f t="shared" si="696"/>
        <v>167731.72964890755</v>
      </c>
      <c r="DA276" s="22">
        <f t="shared" si="696"/>
        <v>167731.72964890755</v>
      </c>
      <c r="DB276" s="22">
        <f t="shared" si="696"/>
        <v>167731.72964890755</v>
      </c>
      <c r="DC276" s="22">
        <f t="shared" si="696"/>
        <v>167731.72964890755</v>
      </c>
      <c r="DD276" s="22">
        <f t="shared" si="696"/>
        <v>167731.72964890755</v>
      </c>
      <c r="DE276" s="22">
        <f t="shared" si="696"/>
        <v>167731.72964890755</v>
      </c>
      <c r="DF276" s="22">
        <f t="shared" si="696"/>
        <v>167731.72964890755</v>
      </c>
      <c r="DG276" s="22">
        <f t="shared" si="696"/>
        <v>167731.72964890755</v>
      </c>
      <c r="DH276" s="22">
        <f t="shared" si="696"/>
        <v>167731.72964890755</v>
      </c>
      <c r="DI276" s="22">
        <f t="shared" si="696"/>
        <v>167731.72964890755</v>
      </c>
      <c r="DJ276" s="22">
        <f t="shared" si="696"/>
        <v>132726.82515630833</v>
      </c>
      <c r="DK276" s="22">
        <f t="shared" si="696"/>
        <v>171931.6431150861</v>
      </c>
      <c r="DL276" s="22">
        <f t="shared" si="696"/>
        <v>171931.6431150861</v>
      </c>
      <c r="DM276" s="22">
        <f t="shared" si="696"/>
        <v>171931.6431150861</v>
      </c>
      <c r="DN276" s="22">
        <f t="shared" si="696"/>
        <v>171931.6431150861</v>
      </c>
      <c r="DO276" s="22">
        <f t="shared" si="696"/>
        <v>171931.6431150861</v>
      </c>
      <c r="DP276" s="22">
        <f t="shared" si="696"/>
        <v>171931.6431150861</v>
      </c>
      <c r="DQ276" s="22">
        <f t="shared" si="696"/>
        <v>171931.6431150861</v>
      </c>
      <c r="DR276" s="22">
        <f t="shared" si="696"/>
        <v>171931.6431150861</v>
      </c>
      <c r="DS276" s="22">
        <f t="shared" si="696"/>
        <v>171931.6431150861</v>
      </c>
      <c r="DT276" s="22">
        <f t="shared" si="696"/>
        <v>171931.6431150861</v>
      </c>
      <c r="DU276" s="22">
        <f t="shared" si="696"/>
        <v>4681694.1604373669</v>
      </c>
      <c r="DV276" s="22">
        <f t="shared" si="696"/>
        <v>0</v>
      </c>
      <c r="DW276" s="22">
        <f t="shared" si="696"/>
        <v>0</v>
      </c>
      <c r="DX276" s="22">
        <f t="shared" si="696"/>
        <v>0</v>
      </c>
      <c r="DY276" s="22">
        <f t="shared" si="696"/>
        <v>0</v>
      </c>
      <c r="DZ276" s="22">
        <f t="shared" si="696"/>
        <v>0</v>
      </c>
      <c r="EA276" s="22">
        <f t="shared" si="696"/>
        <v>0</v>
      </c>
      <c r="EB276" s="22">
        <f t="shared" si="696"/>
        <v>0</v>
      </c>
      <c r="EC276" s="22">
        <f t="shared" si="696"/>
        <v>0</v>
      </c>
      <c r="ED276" s="22">
        <f t="shared" ref="ED276:ES276" si="697">ED$272-ED$273+ED$275</f>
        <v>0</v>
      </c>
      <c r="EE276" s="22">
        <f t="shared" si="697"/>
        <v>0</v>
      </c>
      <c r="EF276" s="22">
        <f t="shared" si="697"/>
        <v>0</v>
      </c>
      <c r="EG276" s="22">
        <f t="shared" si="697"/>
        <v>0</v>
      </c>
      <c r="EH276" s="22">
        <f t="shared" si="697"/>
        <v>0</v>
      </c>
      <c r="EI276" s="22">
        <f t="shared" si="697"/>
        <v>0</v>
      </c>
      <c r="EJ276" s="22">
        <f t="shared" si="697"/>
        <v>0</v>
      </c>
      <c r="EK276" s="22">
        <f t="shared" si="697"/>
        <v>0</v>
      </c>
      <c r="EL276" s="22">
        <f t="shared" si="697"/>
        <v>0</v>
      </c>
      <c r="EM276" s="22">
        <f t="shared" si="697"/>
        <v>0</v>
      </c>
      <c r="EN276" s="22">
        <f t="shared" si="697"/>
        <v>0</v>
      </c>
      <c r="EO276" s="22">
        <f t="shared" si="697"/>
        <v>0</v>
      </c>
      <c r="EP276" s="22">
        <f t="shared" si="697"/>
        <v>0</v>
      </c>
      <c r="EQ276" s="22">
        <f t="shared" si="697"/>
        <v>0</v>
      </c>
      <c r="ER276" s="22">
        <f t="shared" si="697"/>
        <v>0</v>
      </c>
      <c r="ES276" s="22">
        <f t="shared" si="697"/>
        <v>0</v>
      </c>
    </row>
    <row r="277" spans="1:149" x14ac:dyDescent="0.3">
      <c r="A277" s="14" t="s">
        <v>1328</v>
      </c>
      <c r="B277" s="18" t="s">
        <v>1140</v>
      </c>
      <c r="C277" s="18" t="s">
        <v>439</v>
      </c>
      <c r="E277" s="54">
        <f>MIN(F277:ES277)</f>
        <v>-3207787.0130536333</v>
      </c>
      <c r="F277" s="48">
        <f>0+F$272-F$273</f>
        <v>-3000610.4768834403</v>
      </c>
      <c r="G277" s="48">
        <f t="shared" ref="G277:AL277" si="698">F$277+G$272-G$273</f>
        <v>-2958112.9764078506</v>
      </c>
      <c r="H277" s="48">
        <f t="shared" si="698"/>
        <v>-2915615.475932261</v>
      </c>
      <c r="I277" s="48">
        <f t="shared" si="698"/>
        <v>-2873117.9754566713</v>
      </c>
      <c r="J277" s="48">
        <f t="shared" si="698"/>
        <v>-2830620.4749810817</v>
      </c>
      <c r="K277" s="48">
        <f t="shared" si="698"/>
        <v>-2788122.974505492</v>
      </c>
      <c r="L277" s="48">
        <f t="shared" si="698"/>
        <v>-2745625.4740299024</v>
      </c>
      <c r="M277" s="48">
        <f t="shared" si="698"/>
        <v>-2703127.9735543127</v>
      </c>
      <c r="N277" s="48">
        <f t="shared" si="698"/>
        <v>-2660630.4730787231</v>
      </c>
      <c r="O277" s="48">
        <f t="shared" si="698"/>
        <v>-2618132.9726031334</v>
      </c>
      <c r="P277" s="48">
        <f t="shared" si="698"/>
        <v>-2575635.4721275438</v>
      </c>
      <c r="Q277" s="48">
        <f t="shared" si="698"/>
        <v>-2533137.9716519541</v>
      </c>
      <c r="R277" s="48">
        <f t="shared" si="698"/>
        <v>-3207787.0130536333</v>
      </c>
      <c r="S277" s="48">
        <f t="shared" si="698"/>
        <v>-3127290.6100596683</v>
      </c>
      <c r="T277" s="48">
        <f t="shared" si="698"/>
        <v>-3046794.2070657033</v>
      </c>
      <c r="U277" s="48">
        <f t="shared" si="698"/>
        <v>-2966297.8040717384</v>
      </c>
      <c r="V277" s="48">
        <f t="shared" si="698"/>
        <v>-2885801.4010777734</v>
      </c>
      <c r="W277" s="48">
        <f t="shared" si="698"/>
        <v>-2805304.9980838085</v>
      </c>
      <c r="X277" s="48">
        <f t="shared" si="698"/>
        <v>-2724808.5950898435</v>
      </c>
      <c r="Y277" s="48">
        <f t="shared" si="698"/>
        <v>-2644312.1920958785</v>
      </c>
      <c r="Z277" s="48">
        <f t="shared" si="698"/>
        <v>-2563815.7891019136</v>
      </c>
      <c r="AA277" s="48">
        <f t="shared" si="698"/>
        <v>-2483319.3861079486</v>
      </c>
      <c r="AB277" s="48">
        <f t="shared" si="698"/>
        <v>-2402822.9831139836</v>
      </c>
      <c r="AC277" s="48">
        <f t="shared" si="698"/>
        <v>-2322326.5801200187</v>
      </c>
      <c r="AD277" s="48">
        <f t="shared" si="698"/>
        <v>-2872568.4798873169</v>
      </c>
      <c r="AE277" s="48">
        <f t="shared" si="698"/>
        <v>-2755483.449022192</v>
      </c>
      <c r="AF277" s="48">
        <f t="shared" si="698"/>
        <v>-2638398.4181570671</v>
      </c>
      <c r="AG277" s="48">
        <f t="shared" si="698"/>
        <v>-2521313.3872919423</v>
      </c>
      <c r="AH277" s="48">
        <f t="shared" si="698"/>
        <v>-2404228.3564268174</v>
      </c>
      <c r="AI277" s="48">
        <f t="shared" si="698"/>
        <v>-2287143.3255616925</v>
      </c>
      <c r="AJ277" s="48">
        <f t="shared" si="698"/>
        <v>-2170058.2946965676</v>
      </c>
      <c r="AK277" s="48">
        <f t="shared" si="698"/>
        <v>-2052973.2638314427</v>
      </c>
      <c r="AL277" s="48">
        <f t="shared" si="698"/>
        <v>-1935888.2329663178</v>
      </c>
      <c r="AM277" s="48">
        <f t="shared" ref="AM277:BR277" si="699">AL$277+AM$272-AM$273</f>
        <v>-1818803.2021011929</v>
      </c>
      <c r="AN277" s="48">
        <f t="shared" si="699"/>
        <v>-1701718.171236068</v>
      </c>
      <c r="AO277" s="48">
        <f t="shared" si="699"/>
        <v>-1584633.1403709431</v>
      </c>
      <c r="AP277" s="48">
        <f t="shared" si="699"/>
        <v>-1993548.6304243973</v>
      </c>
      <c r="AQ277" s="48">
        <f t="shared" si="699"/>
        <v>-1843655.050544539</v>
      </c>
      <c r="AR277" s="48">
        <f t="shared" si="699"/>
        <v>-1693761.4706646807</v>
      </c>
      <c r="AS277" s="48">
        <f t="shared" si="699"/>
        <v>-1543867.8907848224</v>
      </c>
      <c r="AT277" s="48">
        <f t="shared" si="699"/>
        <v>-1393974.3109049641</v>
      </c>
      <c r="AU277" s="48">
        <f t="shared" si="699"/>
        <v>-1244080.7310251058</v>
      </c>
      <c r="AV277" s="48">
        <f t="shared" si="699"/>
        <v>-1094187.1511452475</v>
      </c>
      <c r="AW277" s="48">
        <f t="shared" si="699"/>
        <v>-944293.57126538921</v>
      </c>
      <c r="AX277" s="48">
        <f t="shared" si="699"/>
        <v>-794399.99138553091</v>
      </c>
      <c r="AY277" s="48">
        <f t="shared" si="699"/>
        <v>-644506.41150567262</v>
      </c>
      <c r="AZ277" s="48">
        <f t="shared" si="699"/>
        <v>-494612.83162581432</v>
      </c>
      <c r="BA277" s="48">
        <f t="shared" si="699"/>
        <v>-344719.25174595602</v>
      </c>
      <c r="BB277" s="48">
        <f t="shared" si="699"/>
        <v>-231615.63457544209</v>
      </c>
      <c r="BC277" s="48">
        <f t="shared" si="699"/>
        <v>-80402.469699068286</v>
      </c>
      <c r="BD277" s="48">
        <f t="shared" si="699"/>
        <v>70810.695177305519</v>
      </c>
      <c r="BE277" s="48">
        <f t="shared" si="699"/>
        <v>222023.86005367932</v>
      </c>
      <c r="BF277" s="48">
        <f t="shared" si="699"/>
        <v>373237.02493005316</v>
      </c>
      <c r="BG277" s="48">
        <f t="shared" si="699"/>
        <v>524450.18980642699</v>
      </c>
      <c r="BH277" s="48">
        <f t="shared" si="699"/>
        <v>675663.35468280083</v>
      </c>
      <c r="BI277" s="48">
        <f t="shared" si="699"/>
        <v>826876.51955917466</v>
      </c>
      <c r="BJ277" s="48">
        <f t="shared" si="699"/>
        <v>978089.68443554849</v>
      </c>
      <c r="BK277" s="48">
        <f t="shared" si="699"/>
        <v>1129302.8493119222</v>
      </c>
      <c r="BL277" s="48">
        <f t="shared" si="699"/>
        <v>1280516.0141882959</v>
      </c>
      <c r="BM277" s="48">
        <f t="shared" si="699"/>
        <v>1431729.1790646696</v>
      </c>
      <c r="BN277" s="48">
        <f t="shared" si="699"/>
        <v>1549304.7643938994</v>
      </c>
      <c r="BO277" s="48">
        <f t="shared" si="699"/>
        <v>1704605.2061917256</v>
      </c>
      <c r="BP277" s="48">
        <f t="shared" si="699"/>
        <v>1859905.6479895518</v>
      </c>
      <c r="BQ277" s="48">
        <f t="shared" si="699"/>
        <v>2015206.089787378</v>
      </c>
      <c r="BR277" s="48">
        <f t="shared" si="699"/>
        <v>2170506.5315852039</v>
      </c>
      <c r="BS277" s="48">
        <f t="shared" ref="BS277:CX277" si="700">BR$277+BS$272-BS$273</f>
        <v>2325806.9733830299</v>
      </c>
      <c r="BT277" s="48">
        <f t="shared" si="700"/>
        <v>2481107.4151808559</v>
      </c>
      <c r="BU277" s="48">
        <f t="shared" si="700"/>
        <v>2636407.8569786819</v>
      </c>
      <c r="BV277" s="48">
        <f t="shared" si="700"/>
        <v>2791708.2987765078</v>
      </c>
      <c r="BW277" s="48">
        <f t="shared" si="700"/>
        <v>2947008.7405743338</v>
      </c>
      <c r="BX277" s="48">
        <f t="shared" si="700"/>
        <v>3102309.1823721598</v>
      </c>
      <c r="BY277" s="48">
        <f t="shared" si="700"/>
        <v>3257609.6241699858</v>
      </c>
      <c r="BZ277" s="48">
        <f t="shared" si="700"/>
        <v>3378935.753434604</v>
      </c>
      <c r="CA277" s="48">
        <f t="shared" si="700"/>
        <v>3538351.7759240037</v>
      </c>
      <c r="CB277" s="48">
        <f t="shared" si="700"/>
        <v>3697767.7984134033</v>
      </c>
      <c r="CC277" s="48">
        <f t="shared" si="700"/>
        <v>3857183.820902803</v>
      </c>
      <c r="CD277" s="48">
        <f t="shared" si="700"/>
        <v>4016599.8433922026</v>
      </c>
      <c r="CE277" s="48">
        <f t="shared" si="700"/>
        <v>4176015.8658816023</v>
      </c>
      <c r="CF277" s="48">
        <f t="shared" si="700"/>
        <v>4335431.8883710019</v>
      </c>
      <c r="CG277" s="48">
        <f t="shared" si="700"/>
        <v>4494847.9108604016</v>
      </c>
      <c r="CH277" s="48">
        <f t="shared" si="700"/>
        <v>4654263.9333498012</v>
      </c>
      <c r="CI277" s="48">
        <f t="shared" si="700"/>
        <v>4813679.9558392009</v>
      </c>
      <c r="CJ277" s="48">
        <f t="shared" si="700"/>
        <v>4973095.9783286005</v>
      </c>
      <c r="CK277" s="48">
        <f t="shared" si="700"/>
        <v>5132512.0008180002</v>
      </c>
      <c r="CL277" s="48">
        <f t="shared" si="700"/>
        <v>5257613.6016697697</v>
      </c>
      <c r="CM277" s="48">
        <f t="shared" si="700"/>
        <v>5421173.4202160574</v>
      </c>
      <c r="CN277" s="48">
        <f t="shared" si="700"/>
        <v>5584733.2387623452</v>
      </c>
      <c r="CO277" s="48">
        <f t="shared" si="700"/>
        <v>5748293.0573086329</v>
      </c>
      <c r="CP277" s="48">
        <f t="shared" si="700"/>
        <v>5911852.8758549206</v>
      </c>
      <c r="CQ277" s="48">
        <f t="shared" si="700"/>
        <v>6075412.6944012083</v>
      </c>
      <c r="CR277" s="48">
        <f t="shared" si="700"/>
        <v>6238972.512947496</v>
      </c>
      <c r="CS277" s="48">
        <f t="shared" si="700"/>
        <v>6402532.3314937837</v>
      </c>
      <c r="CT277" s="48">
        <f t="shared" si="700"/>
        <v>6566092.1500400715</v>
      </c>
      <c r="CU277" s="48">
        <f t="shared" si="700"/>
        <v>6729651.9685863592</v>
      </c>
      <c r="CV277" s="48">
        <f t="shared" si="700"/>
        <v>6893211.7871326469</v>
      </c>
      <c r="CW277" s="48">
        <f t="shared" si="700"/>
        <v>7056771.6056789346</v>
      </c>
      <c r="CX277" s="48">
        <f t="shared" si="700"/>
        <v>7185673.4833785063</v>
      </c>
      <c r="CY277" s="48">
        <f t="shared" ref="CY277:ED277" si="701">CX$277+CY$272-CY$273</f>
        <v>7353405.2130274139</v>
      </c>
      <c r="CZ277" s="48">
        <f t="shared" si="701"/>
        <v>7521136.9426763216</v>
      </c>
      <c r="DA277" s="48">
        <f t="shared" si="701"/>
        <v>7688868.6723252293</v>
      </c>
      <c r="DB277" s="48">
        <f t="shared" si="701"/>
        <v>7856600.4019741369</v>
      </c>
      <c r="DC277" s="48">
        <f t="shared" si="701"/>
        <v>8024332.1316230446</v>
      </c>
      <c r="DD277" s="48">
        <f t="shared" si="701"/>
        <v>8192063.8612719523</v>
      </c>
      <c r="DE277" s="48">
        <f t="shared" si="701"/>
        <v>8359795.5909208599</v>
      </c>
      <c r="DF277" s="48">
        <f t="shared" si="701"/>
        <v>8527527.3205697667</v>
      </c>
      <c r="DG277" s="48">
        <f t="shared" si="701"/>
        <v>8695259.0502186734</v>
      </c>
      <c r="DH277" s="48">
        <f t="shared" si="701"/>
        <v>8862990.7798675802</v>
      </c>
      <c r="DI277" s="48">
        <f t="shared" si="701"/>
        <v>9030722.5095164869</v>
      </c>
      <c r="DJ277" s="48">
        <f t="shared" si="701"/>
        <v>9163449.3346727956</v>
      </c>
      <c r="DK277" s="48">
        <f t="shared" si="701"/>
        <v>9335380.9777878821</v>
      </c>
      <c r="DL277" s="48">
        <f t="shared" si="701"/>
        <v>9507312.6209029686</v>
      </c>
      <c r="DM277" s="48">
        <f t="shared" si="701"/>
        <v>9679244.2640180551</v>
      </c>
      <c r="DN277" s="48">
        <f t="shared" si="701"/>
        <v>9851175.9071331415</v>
      </c>
      <c r="DO277" s="48">
        <f t="shared" si="701"/>
        <v>10023107.550248228</v>
      </c>
      <c r="DP277" s="48">
        <f t="shared" si="701"/>
        <v>10195039.193363314</v>
      </c>
      <c r="DQ277" s="48">
        <f t="shared" si="701"/>
        <v>10366970.836478401</v>
      </c>
      <c r="DR277" s="48">
        <f t="shared" si="701"/>
        <v>10538902.479593487</v>
      </c>
      <c r="DS277" s="48">
        <f t="shared" si="701"/>
        <v>10710834.122708574</v>
      </c>
      <c r="DT277" s="48">
        <f t="shared" si="701"/>
        <v>10882765.76582366</v>
      </c>
      <c r="DU277" s="48">
        <f t="shared" si="701"/>
        <v>11054697.408938747</v>
      </c>
      <c r="DV277" s="48">
        <f t="shared" si="701"/>
        <v>11054697.408938747</v>
      </c>
      <c r="DW277" s="48">
        <f t="shared" si="701"/>
        <v>11054697.408938747</v>
      </c>
      <c r="DX277" s="48">
        <f t="shared" si="701"/>
        <v>11054697.408938747</v>
      </c>
      <c r="DY277" s="48">
        <f t="shared" si="701"/>
        <v>11054697.408938747</v>
      </c>
      <c r="DZ277" s="48">
        <f t="shared" si="701"/>
        <v>11054697.408938747</v>
      </c>
      <c r="EA277" s="48">
        <f t="shared" si="701"/>
        <v>11054697.408938747</v>
      </c>
      <c r="EB277" s="48">
        <f t="shared" si="701"/>
        <v>11054697.408938747</v>
      </c>
      <c r="EC277" s="48">
        <f t="shared" si="701"/>
        <v>11054697.408938747</v>
      </c>
      <c r="ED277" s="48">
        <f t="shared" si="701"/>
        <v>11054697.408938747</v>
      </c>
      <c r="EE277" s="48">
        <f t="shared" ref="EE277:ES277" si="702">ED$277+EE$272-EE$273</f>
        <v>11054697.408938747</v>
      </c>
      <c r="EF277" s="48">
        <f t="shared" si="702"/>
        <v>11054697.408938747</v>
      </c>
      <c r="EG277" s="48">
        <f t="shared" si="702"/>
        <v>11054697.408938747</v>
      </c>
      <c r="EH277" s="48">
        <f t="shared" si="702"/>
        <v>11054697.408938747</v>
      </c>
      <c r="EI277" s="48">
        <f t="shared" si="702"/>
        <v>11054697.408938747</v>
      </c>
      <c r="EJ277" s="48">
        <f t="shared" si="702"/>
        <v>11054697.408938747</v>
      </c>
      <c r="EK277" s="48">
        <f t="shared" si="702"/>
        <v>11054697.408938747</v>
      </c>
      <c r="EL277" s="48">
        <f t="shared" si="702"/>
        <v>11054697.408938747</v>
      </c>
      <c r="EM277" s="48">
        <f t="shared" si="702"/>
        <v>11054697.408938747</v>
      </c>
      <c r="EN277" s="48">
        <f t="shared" si="702"/>
        <v>11054697.408938747</v>
      </c>
      <c r="EO277" s="48">
        <f t="shared" si="702"/>
        <v>11054697.408938747</v>
      </c>
      <c r="EP277" s="48">
        <f t="shared" si="702"/>
        <v>11054697.408938747</v>
      </c>
      <c r="EQ277" s="48">
        <f t="shared" si="702"/>
        <v>11054697.408938747</v>
      </c>
      <c r="ER277" s="48">
        <f t="shared" si="702"/>
        <v>11054697.408938747</v>
      </c>
      <c r="ES277" s="48">
        <f t="shared" si="702"/>
        <v>11054697.408938747</v>
      </c>
    </row>
    <row r="278" spans="1:149" x14ac:dyDescent="0.3">
      <c r="A278" s="16"/>
      <c r="B278" s="15" t="s">
        <v>1141</v>
      </c>
      <c r="C278" s="16"/>
      <c r="D278" s="16"/>
      <c r="E278" s="16"/>
    </row>
    <row r="279" spans="1:149" x14ac:dyDescent="0.3">
      <c r="A279" s="14" t="s">
        <v>1329</v>
      </c>
      <c r="B279" s="18" t="s">
        <v>1143</v>
      </c>
      <c r="C279" s="18" t="s">
        <v>439</v>
      </c>
      <c r="E279" s="54">
        <f>SUM(F279:ES279)</f>
        <v>2791587</v>
      </c>
      <c r="F279" s="48">
        <f>IF((1-N(V_L1_Mes)+1)=1,N(V_L1_Monto),0)*F$9</f>
        <v>2791587</v>
      </c>
      <c r="G279" s="48">
        <f>IF((2-N(V_L1_Mes)+1)=1,N(V_L1_Monto),0)*G$9</f>
        <v>0</v>
      </c>
      <c r="H279" s="48">
        <f>IF((3-N(V_L1_Mes)+1)=1,N(V_L1_Monto),0)*H$9</f>
        <v>0</v>
      </c>
      <c r="I279" s="48">
        <f>IF((4-N(V_L1_Mes)+1)=1,N(V_L1_Monto),0)*I$9</f>
        <v>0</v>
      </c>
      <c r="J279" s="48">
        <f>IF((5-N(V_L1_Mes)+1)=1,N(V_L1_Monto),0)*J$9</f>
        <v>0</v>
      </c>
      <c r="K279" s="48">
        <f>IF((6-N(V_L1_Mes)+1)=1,N(V_L1_Monto),0)*K$9</f>
        <v>0</v>
      </c>
      <c r="L279" s="48">
        <f>IF((7-N(V_L1_Mes)+1)=1,N(V_L1_Monto),0)*L$9</f>
        <v>0</v>
      </c>
      <c r="M279" s="48">
        <f>IF((8-N(V_L1_Mes)+1)=1,N(V_L1_Monto),0)*M$9</f>
        <v>0</v>
      </c>
      <c r="N279" s="48">
        <f>IF((9-N(V_L1_Mes)+1)=1,N(V_L1_Monto),0)*N$9</f>
        <v>0</v>
      </c>
      <c r="O279" s="48">
        <f>IF((10-N(V_L1_Mes)+1)=1,N(V_L1_Monto),0)*O$9</f>
        <v>0</v>
      </c>
      <c r="P279" s="48">
        <f>IF((11-N(V_L1_Mes)+1)=1,N(V_L1_Monto),0)*P$9</f>
        <v>0</v>
      </c>
      <c r="Q279" s="48">
        <f>IF((12-N(V_L1_Mes)+1)=1,N(V_L1_Monto),0)*Q$9</f>
        <v>0</v>
      </c>
      <c r="R279" s="48">
        <f>IF((13-N(V_L1_Mes)+1)=1,N(V_L1_Monto),0)*R$9</f>
        <v>0</v>
      </c>
      <c r="S279" s="48">
        <f>IF((14-N(V_L1_Mes)+1)=1,N(V_L1_Monto),0)*S$9</f>
        <v>0</v>
      </c>
      <c r="T279" s="48">
        <f>IF((15-N(V_L1_Mes)+1)=1,N(V_L1_Monto),0)*T$9</f>
        <v>0</v>
      </c>
      <c r="U279" s="48">
        <f>IF((16-N(V_L1_Mes)+1)=1,N(V_L1_Monto),0)*U$9</f>
        <v>0</v>
      </c>
      <c r="V279" s="48">
        <f>IF((17-N(V_L1_Mes)+1)=1,N(V_L1_Monto),0)*V$9</f>
        <v>0</v>
      </c>
      <c r="W279" s="48">
        <f>IF((18-N(V_L1_Mes)+1)=1,N(V_L1_Monto),0)*W$9</f>
        <v>0</v>
      </c>
      <c r="X279" s="48">
        <f>IF((19-N(V_L1_Mes)+1)=1,N(V_L1_Monto),0)*X$9</f>
        <v>0</v>
      </c>
      <c r="Y279" s="48">
        <f>IF((20-N(V_L1_Mes)+1)=1,N(V_L1_Monto),0)*Y$9</f>
        <v>0</v>
      </c>
      <c r="Z279" s="48">
        <f>IF((21-N(V_L1_Mes)+1)=1,N(V_L1_Monto),0)*Z$9</f>
        <v>0</v>
      </c>
      <c r="AA279" s="48">
        <f>IF((22-N(V_L1_Mes)+1)=1,N(V_L1_Monto),0)*AA$9</f>
        <v>0</v>
      </c>
      <c r="AB279" s="48">
        <f>IF((23-N(V_L1_Mes)+1)=1,N(V_L1_Monto),0)*AB$9</f>
        <v>0</v>
      </c>
      <c r="AC279" s="48">
        <f>IF((24-N(V_L1_Mes)+1)=1,N(V_L1_Monto),0)*AC$9</f>
        <v>0</v>
      </c>
      <c r="AD279" s="48">
        <f>IF((25-N(V_L1_Mes)+1)=1,N(V_L1_Monto),0)*AD$9</f>
        <v>0</v>
      </c>
      <c r="AE279" s="48">
        <f>IF((26-N(V_L1_Mes)+1)=1,N(V_L1_Monto),0)*AE$9</f>
        <v>0</v>
      </c>
      <c r="AF279" s="48">
        <f>IF((27-N(V_L1_Mes)+1)=1,N(V_L1_Monto),0)*AF$9</f>
        <v>0</v>
      </c>
      <c r="AG279" s="48">
        <f>IF((28-N(V_L1_Mes)+1)=1,N(V_L1_Monto),0)*AG$9</f>
        <v>0</v>
      </c>
      <c r="AH279" s="48">
        <f>IF((29-N(V_L1_Mes)+1)=1,N(V_L1_Monto),0)*AH$9</f>
        <v>0</v>
      </c>
      <c r="AI279" s="48">
        <f>IF((30-N(V_L1_Mes)+1)=1,N(V_L1_Monto),0)*AI$9</f>
        <v>0</v>
      </c>
      <c r="AJ279" s="48">
        <f>IF((31-N(V_L1_Mes)+1)=1,N(V_L1_Monto),0)*AJ$9</f>
        <v>0</v>
      </c>
      <c r="AK279" s="48">
        <f>IF((32-N(V_L1_Mes)+1)=1,N(V_L1_Monto),0)*AK$9</f>
        <v>0</v>
      </c>
      <c r="AL279" s="48">
        <f>IF((33-N(V_L1_Mes)+1)=1,N(V_L1_Monto),0)*AL$9</f>
        <v>0</v>
      </c>
      <c r="AM279" s="48">
        <f>IF((34-N(V_L1_Mes)+1)=1,N(V_L1_Monto),0)*AM$9</f>
        <v>0</v>
      </c>
      <c r="AN279" s="48">
        <f>IF((35-N(V_L1_Mes)+1)=1,N(V_L1_Monto),0)*AN$9</f>
        <v>0</v>
      </c>
      <c r="AO279" s="48">
        <f>IF((36-N(V_L1_Mes)+1)=1,N(V_L1_Monto),0)*AO$9</f>
        <v>0</v>
      </c>
      <c r="AP279" s="48">
        <f>IF((37-N(V_L1_Mes)+1)=1,N(V_L1_Monto),0)*AP$9</f>
        <v>0</v>
      </c>
      <c r="AQ279" s="48">
        <f>IF((38-N(V_L1_Mes)+1)=1,N(V_L1_Monto),0)*AQ$9</f>
        <v>0</v>
      </c>
      <c r="AR279" s="48">
        <f>IF((39-N(V_L1_Mes)+1)=1,N(V_L1_Monto),0)*AR$9</f>
        <v>0</v>
      </c>
      <c r="AS279" s="48">
        <f>IF((40-N(V_L1_Mes)+1)=1,N(V_L1_Monto),0)*AS$9</f>
        <v>0</v>
      </c>
      <c r="AT279" s="48">
        <f>IF((41-N(V_L1_Mes)+1)=1,N(V_L1_Monto),0)*AT$9</f>
        <v>0</v>
      </c>
      <c r="AU279" s="48">
        <f>IF((42-N(V_L1_Mes)+1)=1,N(V_L1_Monto),0)*AU$9</f>
        <v>0</v>
      </c>
      <c r="AV279" s="48">
        <f>IF((43-N(V_L1_Mes)+1)=1,N(V_L1_Monto),0)*AV$9</f>
        <v>0</v>
      </c>
      <c r="AW279" s="48">
        <f>IF((44-N(V_L1_Mes)+1)=1,N(V_L1_Monto),0)*AW$9</f>
        <v>0</v>
      </c>
      <c r="AX279" s="48">
        <f>IF((45-N(V_L1_Mes)+1)=1,N(V_L1_Monto),0)*AX$9</f>
        <v>0</v>
      </c>
      <c r="AY279" s="48">
        <f>IF((46-N(V_L1_Mes)+1)=1,N(V_L1_Monto),0)*AY$9</f>
        <v>0</v>
      </c>
      <c r="AZ279" s="48">
        <f>IF((47-N(V_L1_Mes)+1)=1,N(V_L1_Monto),0)*AZ$9</f>
        <v>0</v>
      </c>
      <c r="BA279" s="48">
        <f>IF((48-N(V_L1_Mes)+1)=1,N(V_L1_Monto),0)*BA$9</f>
        <v>0</v>
      </c>
      <c r="BB279" s="48">
        <f>IF((49-N(V_L1_Mes)+1)=1,N(V_L1_Monto),0)*BB$9</f>
        <v>0</v>
      </c>
      <c r="BC279" s="48">
        <f>IF((50-N(V_L1_Mes)+1)=1,N(V_L1_Monto),0)*BC$9</f>
        <v>0</v>
      </c>
      <c r="BD279" s="48">
        <f>IF((51-N(V_L1_Mes)+1)=1,N(V_L1_Monto),0)*BD$9</f>
        <v>0</v>
      </c>
      <c r="BE279" s="48">
        <f>IF((52-N(V_L1_Mes)+1)=1,N(V_L1_Monto),0)*BE$9</f>
        <v>0</v>
      </c>
      <c r="BF279" s="48">
        <f>IF((53-N(V_L1_Mes)+1)=1,N(V_L1_Monto),0)*BF$9</f>
        <v>0</v>
      </c>
      <c r="BG279" s="48">
        <f>IF((54-N(V_L1_Mes)+1)=1,N(V_L1_Monto),0)*BG$9</f>
        <v>0</v>
      </c>
      <c r="BH279" s="48">
        <f>IF((55-N(V_L1_Mes)+1)=1,N(V_L1_Monto),0)*BH$9</f>
        <v>0</v>
      </c>
      <c r="BI279" s="48">
        <f>IF((56-N(V_L1_Mes)+1)=1,N(V_L1_Monto),0)*BI$9</f>
        <v>0</v>
      </c>
      <c r="BJ279" s="48">
        <f>IF((57-N(V_L1_Mes)+1)=1,N(V_L1_Monto),0)*BJ$9</f>
        <v>0</v>
      </c>
      <c r="BK279" s="48">
        <f>IF((58-N(V_L1_Mes)+1)=1,N(V_L1_Monto),0)*BK$9</f>
        <v>0</v>
      </c>
      <c r="BL279" s="48">
        <f>IF((59-N(V_L1_Mes)+1)=1,N(V_L1_Monto),0)*BL$9</f>
        <v>0</v>
      </c>
      <c r="BM279" s="48">
        <f>IF((60-N(V_L1_Mes)+1)=1,N(V_L1_Monto),0)*BM$9</f>
        <v>0</v>
      </c>
      <c r="BN279" s="48">
        <f>IF((61-N(V_L1_Mes)+1)=1,N(V_L1_Monto),0)*BN$9</f>
        <v>0</v>
      </c>
      <c r="BO279" s="48">
        <f>IF((62-N(V_L1_Mes)+1)=1,N(V_L1_Monto),0)*BO$9</f>
        <v>0</v>
      </c>
      <c r="BP279" s="48">
        <f>IF((63-N(V_L1_Mes)+1)=1,N(V_L1_Monto),0)*BP$9</f>
        <v>0</v>
      </c>
      <c r="BQ279" s="48">
        <f>IF((64-N(V_L1_Mes)+1)=1,N(V_L1_Monto),0)*BQ$9</f>
        <v>0</v>
      </c>
      <c r="BR279" s="48">
        <f>IF((65-N(V_L1_Mes)+1)=1,N(V_L1_Monto),0)*BR$9</f>
        <v>0</v>
      </c>
      <c r="BS279" s="48">
        <f>IF((66-N(V_L1_Mes)+1)=1,N(V_L1_Monto),0)*BS$9</f>
        <v>0</v>
      </c>
      <c r="BT279" s="48">
        <f>IF((67-N(V_L1_Mes)+1)=1,N(V_L1_Monto),0)*BT$9</f>
        <v>0</v>
      </c>
      <c r="BU279" s="48">
        <f>IF((68-N(V_L1_Mes)+1)=1,N(V_L1_Monto),0)*BU$9</f>
        <v>0</v>
      </c>
      <c r="BV279" s="48">
        <f>IF((69-N(V_L1_Mes)+1)=1,N(V_L1_Monto),0)*BV$9</f>
        <v>0</v>
      </c>
      <c r="BW279" s="48">
        <f>IF((70-N(V_L1_Mes)+1)=1,N(V_L1_Monto),0)*BW$9</f>
        <v>0</v>
      </c>
      <c r="BX279" s="48">
        <f>IF((71-N(V_L1_Mes)+1)=1,N(V_L1_Monto),0)*BX$9</f>
        <v>0</v>
      </c>
      <c r="BY279" s="48">
        <f>IF((72-N(V_L1_Mes)+1)=1,N(V_L1_Monto),0)*BY$9</f>
        <v>0</v>
      </c>
      <c r="BZ279" s="48">
        <f>IF((73-N(V_L1_Mes)+1)=1,N(V_L1_Monto),0)*BZ$9</f>
        <v>0</v>
      </c>
      <c r="CA279" s="48">
        <f>IF((74-N(V_L1_Mes)+1)=1,N(V_L1_Monto),0)*CA$9</f>
        <v>0</v>
      </c>
      <c r="CB279" s="48">
        <f>IF((75-N(V_L1_Mes)+1)=1,N(V_L1_Monto),0)*CB$9</f>
        <v>0</v>
      </c>
      <c r="CC279" s="48">
        <f>IF((76-N(V_L1_Mes)+1)=1,N(V_L1_Monto),0)*CC$9</f>
        <v>0</v>
      </c>
      <c r="CD279" s="48">
        <f>IF((77-N(V_L1_Mes)+1)=1,N(V_L1_Monto),0)*CD$9</f>
        <v>0</v>
      </c>
      <c r="CE279" s="48">
        <f>IF((78-N(V_L1_Mes)+1)=1,N(V_L1_Monto),0)*CE$9</f>
        <v>0</v>
      </c>
      <c r="CF279" s="48">
        <f>IF((79-N(V_L1_Mes)+1)=1,N(V_L1_Monto),0)*CF$9</f>
        <v>0</v>
      </c>
      <c r="CG279" s="48">
        <f>IF((80-N(V_L1_Mes)+1)=1,N(V_L1_Monto),0)*CG$9</f>
        <v>0</v>
      </c>
      <c r="CH279" s="48">
        <f>IF((81-N(V_L1_Mes)+1)=1,N(V_L1_Monto),0)*CH$9</f>
        <v>0</v>
      </c>
      <c r="CI279" s="48">
        <f>IF((82-N(V_L1_Mes)+1)=1,N(V_L1_Monto),0)*CI$9</f>
        <v>0</v>
      </c>
      <c r="CJ279" s="48">
        <f>IF((83-N(V_L1_Mes)+1)=1,N(V_L1_Monto),0)*CJ$9</f>
        <v>0</v>
      </c>
      <c r="CK279" s="48">
        <f>IF((84-N(V_L1_Mes)+1)=1,N(V_L1_Monto),0)*CK$9</f>
        <v>0</v>
      </c>
      <c r="CL279" s="48">
        <f>IF((85-N(V_L1_Mes)+1)=1,N(V_L1_Monto),0)*CL$9</f>
        <v>0</v>
      </c>
      <c r="CM279" s="48">
        <f>IF((86-N(V_L1_Mes)+1)=1,N(V_L1_Monto),0)*CM$9</f>
        <v>0</v>
      </c>
      <c r="CN279" s="48">
        <f>IF((87-N(V_L1_Mes)+1)=1,N(V_L1_Monto),0)*CN$9</f>
        <v>0</v>
      </c>
      <c r="CO279" s="48">
        <f>IF((88-N(V_L1_Mes)+1)=1,N(V_L1_Monto),0)*CO$9</f>
        <v>0</v>
      </c>
      <c r="CP279" s="48">
        <f>IF((89-N(V_L1_Mes)+1)=1,N(V_L1_Monto),0)*CP$9</f>
        <v>0</v>
      </c>
      <c r="CQ279" s="48">
        <f>IF((90-N(V_L1_Mes)+1)=1,N(V_L1_Monto),0)*CQ$9</f>
        <v>0</v>
      </c>
      <c r="CR279" s="48">
        <f>IF((91-N(V_L1_Mes)+1)=1,N(V_L1_Monto),0)*CR$9</f>
        <v>0</v>
      </c>
      <c r="CS279" s="48">
        <f>IF((92-N(V_L1_Mes)+1)=1,N(V_L1_Monto),0)*CS$9</f>
        <v>0</v>
      </c>
      <c r="CT279" s="48">
        <f>IF((93-N(V_L1_Mes)+1)=1,N(V_L1_Monto),0)*CT$9</f>
        <v>0</v>
      </c>
      <c r="CU279" s="48">
        <f>IF((94-N(V_L1_Mes)+1)=1,N(V_L1_Monto),0)*CU$9</f>
        <v>0</v>
      </c>
      <c r="CV279" s="48">
        <f>IF((95-N(V_L1_Mes)+1)=1,N(V_L1_Monto),0)*CV$9</f>
        <v>0</v>
      </c>
      <c r="CW279" s="48">
        <f>IF((96-N(V_L1_Mes)+1)=1,N(V_L1_Monto),0)*CW$9</f>
        <v>0</v>
      </c>
      <c r="CX279" s="48">
        <f>IF((97-N(V_L1_Mes)+1)=1,N(V_L1_Monto),0)*CX$9</f>
        <v>0</v>
      </c>
      <c r="CY279" s="48">
        <f>IF((98-N(V_L1_Mes)+1)=1,N(V_L1_Monto),0)*CY$9</f>
        <v>0</v>
      </c>
      <c r="CZ279" s="48">
        <f>IF((99-N(V_L1_Mes)+1)=1,N(V_L1_Monto),0)*CZ$9</f>
        <v>0</v>
      </c>
      <c r="DA279" s="48">
        <f>IF((100-N(V_L1_Mes)+1)=1,N(V_L1_Monto),0)*DA$9</f>
        <v>0</v>
      </c>
      <c r="DB279" s="48">
        <f>IF((101-N(V_L1_Mes)+1)=1,N(V_L1_Monto),0)*DB$9</f>
        <v>0</v>
      </c>
      <c r="DC279" s="48">
        <f>IF((102-N(V_L1_Mes)+1)=1,N(V_L1_Monto),0)*DC$9</f>
        <v>0</v>
      </c>
      <c r="DD279" s="48">
        <f>IF((103-N(V_L1_Mes)+1)=1,N(V_L1_Monto),0)*DD$9</f>
        <v>0</v>
      </c>
      <c r="DE279" s="48">
        <f>IF((104-N(V_L1_Mes)+1)=1,N(V_L1_Monto),0)*DE$9</f>
        <v>0</v>
      </c>
      <c r="DF279" s="48">
        <f>IF((105-N(V_L1_Mes)+1)=1,N(V_L1_Monto),0)*DF$9</f>
        <v>0</v>
      </c>
      <c r="DG279" s="48">
        <f>IF((106-N(V_L1_Mes)+1)=1,N(V_L1_Monto),0)*DG$9</f>
        <v>0</v>
      </c>
      <c r="DH279" s="48">
        <f>IF((107-N(V_L1_Mes)+1)=1,N(V_L1_Monto),0)*DH$9</f>
        <v>0</v>
      </c>
      <c r="DI279" s="48">
        <f>IF((108-N(V_L1_Mes)+1)=1,N(V_L1_Monto),0)*DI$9</f>
        <v>0</v>
      </c>
      <c r="DJ279" s="48">
        <f>IF((109-N(V_L1_Mes)+1)=1,N(V_L1_Monto),0)*DJ$9</f>
        <v>0</v>
      </c>
      <c r="DK279" s="48">
        <f>IF((110-N(V_L1_Mes)+1)=1,N(V_L1_Monto),0)*DK$9</f>
        <v>0</v>
      </c>
      <c r="DL279" s="48">
        <f>IF((111-N(V_L1_Mes)+1)=1,N(V_L1_Monto),0)*DL$9</f>
        <v>0</v>
      </c>
      <c r="DM279" s="48">
        <f>IF((112-N(V_L1_Mes)+1)=1,N(V_L1_Monto),0)*DM$9</f>
        <v>0</v>
      </c>
      <c r="DN279" s="48">
        <f>IF((113-N(V_L1_Mes)+1)=1,N(V_L1_Monto),0)*DN$9</f>
        <v>0</v>
      </c>
      <c r="DO279" s="48">
        <f>IF((114-N(V_L1_Mes)+1)=1,N(V_L1_Monto),0)*DO$9</f>
        <v>0</v>
      </c>
      <c r="DP279" s="48">
        <f>IF((115-N(V_L1_Mes)+1)=1,N(V_L1_Monto),0)*DP$9</f>
        <v>0</v>
      </c>
      <c r="DQ279" s="48">
        <f>IF((116-N(V_L1_Mes)+1)=1,N(V_L1_Monto),0)*DQ$9</f>
        <v>0</v>
      </c>
      <c r="DR279" s="48">
        <f>IF((117-N(V_L1_Mes)+1)=1,N(V_L1_Monto),0)*DR$9</f>
        <v>0</v>
      </c>
      <c r="DS279" s="48">
        <f>IF((118-N(V_L1_Mes)+1)=1,N(V_L1_Monto),0)*DS$9</f>
        <v>0</v>
      </c>
      <c r="DT279" s="48">
        <f>IF((119-N(V_L1_Mes)+1)=1,N(V_L1_Monto),0)*DT$9</f>
        <v>0</v>
      </c>
      <c r="DU279" s="48">
        <f>IF((120-N(V_L1_Mes)+1)=1,N(V_L1_Monto),0)*DU$9</f>
        <v>0</v>
      </c>
      <c r="DV279" s="48">
        <f>IF((121-N(V_L1_Mes)+1)=1,N(V_L1_Monto),0)*DV$9</f>
        <v>0</v>
      </c>
      <c r="DW279" s="48">
        <f>IF((122-N(V_L1_Mes)+1)=1,N(V_L1_Monto),0)*DW$9</f>
        <v>0</v>
      </c>
      <c r="DX279" s="48">
        <f>IF((123-N(V_L1_Mes)+1)=1,N(V_L1_Monto),0)*DX$9</f>
        <v>0</v>
      </c>
      <c r="DY279" s="48">
        <f>IF((124-N(V_L1_Mes)+1)=1,N(V_L1_Monto),0)*DY$9</f>
        <v>0</v>
      </c>
      <c r="DZ279" s="48">
        <f>IF((125-N(V_L1_Mes)+1)=1,N(V_L1_Monto),0)*DZ$9</f>
        <v>0</v>
      </c>
      <c r="EA279" s="48">
        <f>IF((126-N(V_L1_Mes)+1)=1,N(V_L1_Monto),0)*EA$9</f>
        <v>0</v>
      </c>
      <c r="EB279" s="48">
        <f>IF((127-N(V_L1_Mes)+1)=1,N(V_L1_Monto),0)*EB$9</f>
        <v>0</v>
      </c>
      <c r="EC279" s="48">
        <f>IF((128-N(V_L1_Mes)+1)=1,N(V_L1_Monto),0)*EC$9</f>
        <v>0</v>
      </c>
      <c r="ED279" s="48">
        <f>IF((129-N(V_L1_Mes)+1)=1,N(V_L1_Monto),0)*ED$9</f>
        <v>0</v>
      </c>
      <c r="EE279" s="48">
        <f>IF((130-N(V_L1_Mes)+1)=1,N(V_L1_Monto),0)*EE$9</f>
        <v>0</v>
      </c>
      <c r="EF279" s="48">
        <f>IF((131-N(V_L1_Mes)+1)=1,N(V_L1_Monto),0)*EF$9</f>
        <v>0</v>
      </c>
      <c r="EG279" s="48">
        <f>IF((132-N(V_L1_Mes)+1)=1,N(V_L1_Monto),0)*EG$9</f>
        <v>0</v>
      </c>
      <c r="EH279" s="48">
        <f>IF((133-N(V_L1_Mes)+1)=1,N(V_L1_Monto),0)*EH$9</f>
        <v>0</v>
      </c>
      <c r="EI279" s="48">
        <f>IF((134-N(V_L1_Mes)+1)=1,N(V_L1_Monto),0)*EI$9</f>
        <v>0</v>
      </c>
      <c r="EJ279" s="48">
        <f>IF((135-N(V_L1_Mes)+1)=1,N(V_L1_Monto),0)*EJ$9</f>
        <v>0</v>
      </c>
      <c r="EK279" s="48">
        <f>IF((136-N(V_L1_Mes)+1)=1,N(V_L1_Monto),0)*EK$9</f>
        <v>0</v>
      </c>
      <c r="EL279" s="48">
        <f>IF((137-N(V_L1_Mes)+1)=1,N(V_L1_Monto),0)*EL$9</f>
        <v>0</v>
      </c>
      <c r="EM279" s="48">
        <f>IF((138-N(V_L1_Mes)+1)=1,N(V_L1_Monto),0)*EM$9</f>
        <v>0</v>
      </c>
      <c r="EN279" s="48">
        <f>IF((139-N(V_L1_Mes)+1)=1,N(V_L1_Monto),0)*EN$9</f>
        <v>0</v>
      </c>
      <c r="EO279" s="48">
        <f>IF((140-N(V_L1_Mes)+1)=1,N(V_L1_Monto),0)*EO$9</f>
        <v>0</v>
      </c>
      <c r="EP279" s="48">
        <f>IF((141-N(V_L1_Mes)+1)=1,N(V_L1_Monto),0)*EP$9</f>
        <v>0</v>
      </c>
      <c r="EQ279" s="48">
        <f>IF((142-N(V_L1_Mes)+1)=1,N(V_L1_Monto),0)*EQ$9</f>
        <v>0</v>
      </c>
      <c r="ER279" s="48">
        <f>IF((143-N(V_L1_Mes)+1)=1,N(V_L1_Monto),0)*ER$9</f>
        <v>0</v>
      </c>
      <c r="ES279" s="48">
        <f>IF((144-N(V_L1_Mes)+1)=1,N(V_L1_Monto),0)*ES$9</f>
        <v>0</v>
      </c>
    </row>
    <row r="280" spans="1:149" x14ac:dyDescent="0.3">
      <c r="A280" s="14" t="s">
        <v>1330</v>
      </c>
      <c r="B280" s="18" t="s">
        <v>1145</v>
      </c>
      <c r="C280" s="18" t="s">
        <v>439</v>
      </c>
      <c r="E280" s="54">
        <f>SUM(F280:ES280)</f>
        <v>739285.57111313939</v>
      </c>
      <c r="F280" s="48">
        <f>IF((1-N(V_L1_Mes)+1)&gt;=1,IF((1-N(V_L1_Mes)+1)=1,N(V_L1_Monto),0)*N(V_L1_Tasa)/12,0)*F$9</f>
        <v>20936.9025</v>
      </c>
      <c r="G280" s="48">
        <f>IF((2-N(V_L1_Mes)+1)&gt;=1,IF((2-N(V_L1_Mes)+1)=1,N(V_L1_Monto),F$282)*N(V_L1_Tasa)/12,0)*G$9</f>
        <v>20936.9025</v>
      </c>
      <c r="H280" s="48">
        <f>IF((3-N(V_L1_Mes)+1)&gt;=1,IF((3-N(V_L1_Mes)+1)=1,N(V_L1_Monto),G$282)*N(V_L1_Tasa)/12,0)*H$9</f>
        <v>20936.9025</v>
      </c>
      <c r="I280" s="48">
        <f>IF((4-N(V_L1_Mes)+1)&gt;=1,IF((4-N(V_L1_Mes)+1)=1,N(V_L1_Monto),H$282)*N(V_L1_Tasa)/12,0)*I$9</f>
        <v>20936.9025</v>
      </c>
      <c r="J280" s="48">
        <f>IF((5-N(V_L1_Mes)+1)&gt;=1,IF((5-N(V_L1_Mes)+1)=1,N(V_L1_Monto),I$282)*N(V_L1_Tasa)/12,0)*J$9</f>
        <v>20936.9025</v>
      </c>
      <c r="K280" s="48">
        <f>IF((6-N(V_L1_Mes)+1)&gt;=1,IF((6-N(V_L1_Mes)+1)=1,N(V_L1_Monto),J$282)*N(V_L1_Tasa)/12,0)*K$9</f>
        <v>20936.9025</v>
      </c>
      <c r="L280" s="48">
        <f>IF((7-N(V_L1_Mes)+1)&gt;=1,IF((7-N(V_L1_Mes)+1)=1,N(V_L1_Monto),K$282)*N(V_L1_Tasa)/12,0)*L$9</f>
        <v>20936.9025</v>
      </c>
      <c r="M280" s="48">
        <f>IF((8-N(V_L1_Mes)+1)&gt;=1,IF((8-N(V_L1_Mes)+1)=1,N(V_L1_Monto),L$282)*N(V_L1_Tasa)/12,0)*M$9</f>
        <v>20620.977719289844</v>
      </c>
      <c r="N280" s="48">
        <f>IF((9-N(V_L1_Mes)+1)&gt;=1,IF((9-N(V_L1_Mes)+1)=1,N(V_L1_Monto),M$282)*N(V_L1_Tasa)/12,0)*N$9</f>
        <v>20302.683502724361</v>
      </c>
      <c r="O280" s="48">
        <f>IF((10-N(V_L1_Mes)+1)&gt;=1,IF((10-N(V_L1_Mes)+1)=1,N(V_L1_Monto),N$282)*N(V_L1_Tasa)/12,0)*O$9</f>
        <v>19982.002079534632</v>
      </c>
      <c r="P280" s="48">
        <f>IF((11-N(V_L1_Mes)+1)&gt;=1,IF((11-N(V_L1_Mes)+1)=1,N(V_L1_Monto),O$282)*N(V_L1_Tasa)/12,0)*P$9</f>
        <v>19658.915545670985</v>
      </c>
      <c r="Q280" s="48">
        <f>IF((12-N(V_L1_Mes)+1)&gt;=1,IF((12-N(V_L1_Mes)+1)=1,N(V_L1_Monto),P$282)*N(V_L1_Tasa)/12,0)*Q$9</f>
        <v>19333.40586280336</v>
      </c>
      <c r="R280" s="48">
        <f>IF((13-N(V_L1_Mes)+1)&gt;=1,IF((13-N(V_L1_Mes)+1)=1,N(V_L1_Monto),Q$282)*N(V_L1_Tasa)/12,0)*R$9</f>
        <v>19005.454857314227</v>
      </c>
      <c r="S280" s="48">
        <f>IF((14-N(V_L1_Mes)+1)&gt;=1,IF((14-N(V_L1_Mes)+1)=1,N(V_L1_Monto),R$282)*N(V_L1_Tasa)/12,0)*S$9</f>
        <v>18675.044219283929</v>
      </c>
      <c r="T280" s="48">
        <f>IF((15-N(V_L1_Mes)+1)&gt;=1,IF((15-N(V_L1_Mes)+1)=1,N(V_L1_Monto),S$282)*N(V_L1_Tasa)/12,0)*T$9</f>
        <v>18342.155501468398</v>
      </c>
      <c r="U280" s="48">
        <f>IF((16-N(V_L1_Mes)+1)&gt;=1,IF((16-N(V_L1_Mes)+1)=1,N(V_L1_Monto),T$282)*N(V_L1_Tasa)/12,0)*U$9</f>
        <v>18006.770118269251</v>
      </c>
      <c r="V280" s="48">
        <f>IF((17-N(V_L1_Mes)+1)&gt;=1,IF((17-N(V_L1_Mes)+1)=1,N(V_L1_Monto),U$282)*N(V_L1_Tasa)/12,0)*V$9</f>
        <v>17668.869344696115</v>
      </c>
      <c r="W280" s="48">
        <f>IF((18-N(V_L1_Mes)+1)&gt;=1,IF((18-N(V_L1_Mes)+1)=1,N(V_L1_Monto),V$282)*N(V_L1_Tasa)/12,0)*W$9</f>
        <v>17328.434315321178</v>
      </c>
      <c r="X280" s="48">
        <f>IF((19-N(V_L1_Mes)+1)&gt;=1,IF((19-N(V_L1_Mes)+1)=1,N(V_L1_Monto),W$282)*N(V_L1_Tasa)/12,0)*X$9</f>
        <v>16985.446023225933</v>
      </c>
      <c r="Y280" s="48">
        <f>IF((20-N(V_L1_Mes)+1)&gt;=1,IF((20-N(V_L1_Mes)+1)=1,N(V_L1_Monto),X$282)*N(V_L1_Tasa)/12,0)*Y$9</f>
        <v>16639.885318939971</v>
      </c>
      <c r="Z280" s="48">
        <f>IF((21-N(V_L1_Mes)+1)&gt;=1,IF((21-N(V_L1_Mes)+1)=1,N(V_L1_Monto),Y$282)*N(V_L1_Tasa)/12,0)*Z$9</f>
        <v>16291.73290937186</v>
      </c>
      <c r="AA280" s="48">
        <f>IF((22-N(V_L1_Mes)+1)&gt;=1,IF((22-N(V_L1_Mes)+1)=1,N(V_L1_Monto),Z$282)*N(V_L1_Tasa)/12,0)*AA$9</f>
        <v>15940.969356731992</v>
      </c>
      <c r="AB280" s="48">
        <f>IF((23-N(V_L1_Mes)+1)&gt;=1,IF((23-N(V_L1_Mes)+1)=1,N(V_L1_Monto),AA$282)*N(V_L1_Tasa)/12,0)*AB$9</f>
        <v>15587.575077447325</v>
      </c>
      <c r="AC280" s="48">
        <f>IF((24-N(V_L1_Mes)+1)&gt;=1,IF((24-N(V_L1_Mes)+1)=1,N(V_L1_Monto),AB$282)*N(V_L1_Tasa)/12,0)*AC$9</f>
        <v>15231.530341068021</v>
      </c>
      <c r="AD280" s="48">
        <f>IF((25-N(V_L1_Mes)+1)&gt;=1,IF((25-N(V_L1_Mes)+1)=1,N(V_L1_Monto),AC$282)*N(V_L1_Tasa)/12,0)*AD$9</f>
        <v>14872.815269165871</v>
      </c>
      <c r="AE280" s="48">
        <f>IF((26-N(V_L1_Mes)+1)&gt;=1,IF((26-N(V_L1_Mes)+1)=1,N(V_L1_Monto),AD$282)*N(V_L1_Tasa)/12,0)*AE$9</f>
        <v>14511.409834224456</v>
      </c>
      <c r="AF280" s="48">
        <f>IF((27-N(V_L1_Mes)+1)&gt;=1,IF((27-N(V_L1_Mes)+1)=1,N(V_L1_Monto),AE$282)*N(V_L1_Tasa)/12,0)*AF$9</f>
        <v>14147.293858520979</v>
      </c>
      <c r="AG280" s="48">
        <f>IF((28-N(V_L1_Mes)+1)&gt;=1,IF((28-N(V_L1_Mes)+1)=1,N(V_L1_Monto),AF$282)*N(V_L1_Tasa)/12,0)*AG$9</f>
        <v>13780.44701299973</v>
      </c>
      <c r="AH280" s="48">
        <f>IF((29-N(V_L1_Mes)+1)&gt;=1,IF((29-N(V_L1_Mes)+1)=1,N(V_L1_Monto),AG$282)*N(V_L1_Tasa)/12,0)*AH$9</f>
        <v>13410.84881613707</v>
      </c>
      <c r="AI280" s="48">
        <f>IF((30-N(V_L1_Mes)+1)&gt;=1,IF((30-N(V_L1_Mes)+1)=1,N(V_L1_Monto),AH$282)*N(V_L1_Tasa)/12,0)*AI$9</f>
        <v>13038.47863279794</v>
      </c>
      <c r="AJ280" s="48">
        <f>IF((31-N(V_L1_Mes)+1)&gt;=1,IF((31-N(V_L1_Mes)+1)=1,N(V_L1_Monto),AI$282)*N(V_L1_Tasa)/12,0)*AJ$9</f>
        <v>12663.315673083765</v>
      </c>
      <c r="AK280" s="48">
        <f>IF((32-N(V_L1_Mes)+1)&gt;=1,IF((32-N(V_L1_Mes)+1)=1,N(V_L1_Monto),AJ$282)*N(V_L1_Tasa)/12,0)*AK$9</f>
        <v>12285.338991171737</v>
      </c>
      <c r="AL280" s="48">
        <f>IF((33-N(V_L1_Mes)+1)&gt;=1,IF((33-N(V_L1_Mes)+1)=1,N(V_L1_Monto),AK$282)*N(V_L1_Tasa)/12,0)*AL$9</f>
        <v>11904.527484145367</v>
      </c>
      <c r="AM280" s="48">
        <f>IF((34-N(V_L1_Mes)+1)&gt;=1,IF((34-N(V_L1_Mes)+1)=1,N(V_L1_Monto),AL$282)*N(V_L1_Tasa)/12,0)*AM$9</f>
        <v>11520.859890816299</v>
      </c>
      <c r="AN280" s="48">
        <f>IF((35-N(V_L1_Mes)+1)&gt;=1,IF((35-N(V_L1_Mes)+1)=1,N(V_L1_Monto),AM$282)*N(V_L1_Tasa)/12,0)*AN$9</f>
        <v>11134.314790537263</v>
      </c>
      <c r="AO280" s="48">
        <f>IF((36-N(V_L1_Mes)+1)&gt;=1,IF((36-N(V_L1_Mes)+1)=1,N(V_L1_Monto),AN$282)*N(V_L1_Tasa)/12,0)*AO$9</f>
        <v>10744.870602006135</v>
      </c>
      <c r="AP280" s="48">
        <f>IF((37-N(V_L1_Mes)+1)&gt;=1,IF((37-N(V_L1_Mes)+1)=1,N(V_L1_Monto),AO$282)*N(V_L1_Tasa)/12,0)*AP$9</f>
        <v>10352.505582061023</v>
      </c>
      <c r="AQ280" s="48">
        <f>IF((38-N(V_L1_Mes)+1)&gt;=1,IF((38-N(V_L1_Mes)+1)=1,N(V_L1_Monto),AP$282)*N(V_L1_Tasa)/12,0)*AQ$9</f>
        <v>9957.1978244663223</v>
      </c>
      <c r="AR280" s="48">
        <f>IF((39-N(V_L1_Mes)+1)&gt;=1,IF((39-N(V_L1_Mes)+1)=1,N(V_L1_Monto),AQ$282)*N(V_L1_Tasa)/12,0)*AR$9</f>
        <v>9558.9252586896619</v>
      </c>
      <c r="AS280" s="48">
        <f>IF((40-N(V_L1_Mes)+1)&gt;=1,IF((40-N(V_L1_Mes)+1)=1,N(V_L1_Monto),AR$282)*N(V_L1_Tasa)/12,0)*AS$9</f>
        <v>9157.6656486696756</v>
      </c>
      <c r="AT280" s="48">
        <f>IF((41-N(V_L1_Mes)+1)&gt;=1,IF((41-N(V_L1_Mes)+1)=1,N(V_L1_Monto),AS$282)*N(V_L1_Tasa)/12,0)*AT$9</f>
        <v>8753.3965915745412</v>
      </c>
      <c r="AU280" s="48">
        <f>IF((42-N(V_L1_Mes)+1)&gt;=1,IF((42-N(V_L1_Mes)+1)=1,N(V_L1_Monto),AT$282)*N(V_L1_Tasa)/12,0)*AU$9</f>
        <v>8346.0955165511914</v>
      </c>
      <c r="AV280" s="48">
        <f>IF((43-N(V_L1_Mes)+1)&gt;=1,IF((43-N(V_L1_Mes)+1)=1,N(V_L1_Monto),AU$282)*N(V_L1_Tasa)/12,0)*AV$9</f>
        <v>7935.7396834651663</v>
      </c>
      <c r="AW280" s="48">
        <f>IF((44-N(V_L1_Mes)+1)&gt;=1,IF((44-N(V_L1_Mes)+1)=1,N(V_L1_Monto),AV$282)*N(V_L1_Tasa)/12,0)*AW$9</f>
        <v>7522.3061816309973</v>
      </c>
      <c r="AX280" s="48">
        <f>IF((45-N(V_L1_Mes)+1)&gt;=1,IF((45-N(V_L1_Mes)+1)=1,N(V_L1_Monto),AW$282)*N(V_L1_Tasa)/12,0)*AX$9</f>
        <v>7105.7719285330713</v>
      </c>
      <c r="AY280" s="48">
        <f>IF((46-N(V_L1_Mes)+1)&gt;=1,IF((46-N(V_L1_Mes)+1)=1,N(V_L1_Monto),AX$282)*N(V_L1_Tasa)/12,0)*AY$9</f>
        <v>6686.113668536912</v>
      </c>
      <c r="AZ280" s="48">
        <f>IF((47-N(V_L1_Mes)+1)&gt;=1,IF((47-N(V_L1_Mes)+1)=1,N(V_L1_Monto),AY$282)*N(V_L1_Tasa)/12,0)*AZ$9</f>
        <v>6263.3079715907807</v>
      </c>
      <c r="BA280" s="48">
        <f>IF((48-N(V_L1_Mes)+1)&gt;=1,IF((48-N(V_L1_Mes)+1)=1,N(V_L1_Monto),AZ$282)*N(V_L1_Tasa)/12,0)*BA$9</f>
        <v>5837.3312319175529</v>
      </c>
      <c r="BB280" s="48">
        <f>IF((49-N(V_L1_Mes)+1)&gt;=1,IF((49-N(V_L1_Mes)+1)=1,N(V_L1_Monto),BA$282)*N(V_L1_Tasa)/12,0)*BB$9</f>
        <v>5408.1596666967771</v>
      </c>
      <c r="BC280" s="48">
        <f>IF((50-N(V_L1_Mes)+1)&gt;=1,IF((50-N(V_L1_Mes)+1)=1,N(V_L1_Monto),BB$282)*N(V_L1_Tasa)/12,0)*BC$9</f>
        <v>4975.7693147368436</v>
      </c>
      <c r="BD280" s="48">
        <f>IF((51-N(V_L1_Mes)+1)&gt;=1,IF((51-N(V_L1_Mes)+1)=1,N(V_L1_Monto),BC$282)*N(V_L1_Tasa)/12,0)*BD$9</f>
        <v>4540.1360351372123</v>
      </c>
      <c r="BE280" s="48">
        <f>IF((52-N(V_L1_Mes)+1)&gt;=1,IF((52-N(V_L1_Mes)+1)=1,N(V_L1_Monto),BD$282)*N(V_L1_Tasa)/12,0)*BE$9</f>
        <v>4101.2355059405827</v>
      </c>
      <c r="BF280" s="48">
        <f>IF((53-N(V_L1_Mes)+1)&gt;=1,IF((53-N(V_L1_Mes)+1)=1,N(V_L1_Monto),BE$282)*N(V_L1_Tasa)/12,0)*BF$9</f>
        <v>3659.0432227749793</v>
      </c>
      <c r="BG280" s="48">
        <f>IF((54-N(V_L1_Mes)+1)&gt;=1,IF((54-N(V_L1_Mes)+1)=1,N(V_L1_Monto),BF$282)*N(V_L1_Tasa)/12,0)*BG$9</f>
        <v>3213.5344974856339</v>
      </c>
      <c r="BH280" s="48">
        <f>IF((55-N(V_L1_Mes)+1)&gt;=1,IF((55-N(V_L1_Mes)+1)=1,N(V_L1_Monto),BG$282)*N(V_L1_Tasa)/12,0)*BH$9</f>
        <v>2764.6844567566181</v>
      </c>
      <c r="BI280" s="48">
        <f>IF((56-N(V_L1_Mes)+1)&gt;=1,IF((56-N(V_L1_Mes)+1)=1,N(V_L1_Monto),BH$282)*N(V_L1_Tasa)/12,0)*BI$9</f>
        <v>2312.4680407221344</v>
      </c>
      <c r="BJ280" s="48">
        <f>IF((57-N(V_L1_Mes)+1)&gt;=1,IF((57-N(V_L1_Mes)+1)=1,N(V_L1_Monto),BI$282)*N(V_L1_Tasa)/12,0)*BJ$9</f>
        <v>1856.8600015673921</v>
      </c>
      <c r="BK280" s="48">
        <f>IF((58-N(V_L1_Mes)+1)&gt;=1,IF((58-N(V_L1_Mes)+1)=1,N(V_L1_Monto),BJ$282)*N(V_L1_Tasa)/12,0)*BK$9</f>
        <v>1397.8349021189895</v>
      </c>
      <c r="BL280" s="48">
        <f>IF((59-N(V_L1_Mes)+1)&gt;=1,IF((59-N(V_L1_Mes)+1)=1,N(V_L1_Monto),BK$282)*N(V_L1_Tasa)/12,0)*BL$9</f>
        <v>935.3671144247237</v>
      </c>
      <c r="BM280" s="48">
        <f>IF((60-N(V_L1_Mes)+1)&gt;=1,IF((60-N(V_L1_Mes)+1)=1,N(V_L1_Monto),BL$282)*N(V_L1_Tasa)/12,0)*BM$9</f>
        <v>469.43081832275089</v>
      </c>
      <c r="BN280" s="48">
        <f>IF((61-N(V_L1_Mes)+1)&gt;=1,IF((61-N(V_L1_Mes)+1)=1,N(V_L1_Monto),BM$282)*N(V_L1_Tasa)/12,0)*BN$9</f>
        <v>0</v>
      </c>
      <c r="BO280" s="48">
        <f>IF((62-N(V_L1_Mes)+1)&gt;=1,IF((62-N(V_L1_Mes)+1)=1,N(V_L1_Monto),BN$282)*N(V_L1_Tasa)/12,0)*BO$9</f>
        <v>0</v>
      </c>
      <c r="BP280" s="48">
        <f>IF((63-N(V_L1_Mes)+1)&gt;=1,IF((63-N(V_L1_Mes)+1)=1,N(V_L1_Monto),BO$282)*N(V_L1_Tasa)/12,0)*BP$9</f>
        <v>0</v>
      </c>
      <c r="BQ280" s="48">
        <f>IF((64-N(V_L1_Mes)+1)&gt;=1,IF((64-N(V_L1_Mes)+1)=1,N(V_L1_Monto),BP$282)*N(V_L1_Tasa)/12,0)*BQ$9</f>
        <v>0</v>
      </c>
      <c r="BR280" s="48">
        <f>IF((65-N(V_L1_Mes)+1)&gt;=1,IF((65-N(V_L1_Mes)+1)=1,N(V_L1_Monto),BQ$282)*N(V_L1_Tasa)/12,0)*BR$9</f>
        <v>0</v>
      </c>
      <c r="BS280" s="48">
        <f>IF((66-N(V_L1_Mes)+1)&gt;=1,IF((66-N(V_L1_Mes)+1)=1,N(V_L1_Monto),BR$282)*N(V_L1_Tasa)/12,0)*BS$9</f>
        <v>0</v>
      </c>
      <c r="BT280" s="48">
        <f>IF((67-N(V_L1_Mes)+1)&gt;=1,IF((67-N(V_L1_Mes)+1)=1,N(V_L1_Monto),BS$282)*N(V_L1_Tasa)/12,0)*BT$9</f>
        <v>0</v>
      </c>
      <c r="BU280" s="48">
        <f>IF((68-N(V_L1_Mes)+1)&gt;=1,IF((68-N(V_L1_Mes)+1)=1,N(V_L1_Monto),BT$282)*N(V_L1_Tasa)/12,0)*BU$9</f>
        <v>0</v>
      </c>
      <c r="BV280" s="48">
        <f>IF((69-N(V_L1_Mes)+1)&gt;=1,IF((69-N(V_L1_Mes)+1)=1,N(V_L1_Monto),BU$282)*N(V_L1_Tasa)/12,0)*BV$9</f>
        <v>0</v>
      </c>
      <c r="BW280" s="48">
        <f>IF((70-N(V_L1_Mes)+1)&gt;=1,IF((70-N(V_L1_Mes)+1)=1,N(V_L1_Monto),BV$282)*N(V_L1_Tasa)/12,0)*BW$9</f>
        <v>0</v>
      </c>
      <c r="BX280" s="48">
        <f>IF((71-N(V_L1_Mes)+1)&gt;=1,IF((71-N(V_L1_Mes)+1)=1,N(V_L1_Monto),BW$282)*N(V_L1_Tasa)/12,0)*BX$9</f>
        <v>0</v>
      </c>
      <c r="BY280" s="48">
        <f>IF((72-N(V_L1_Mes)+1)&gt;=1,IF((72-N(V_L1_Mes)+1)=1,N(V_L1_Monto),BX$282)*N(V_L1_Tasa)/12,0)*BY$9</f>
        <v>0</v>
      </c>
      <c r="BZ280" s="48">
        <f>IF((73-N(V_L1_Mes)+1)&gt;=1,IF((73-N(V_L1_Mes)+1)=1,N(V_L1_Monto),BY$282)*N(V_L1_Tasa)/12,0)*BZ$9</f>
        <v>0</v>
      </c>
      <c r="CA280" s="48">
        <f>IF((74-N(V_L1_Mes)+1)&gt;=1,IF((74-N(V_L1_Mes)+1)=1,N(V_L1_Monto),BZ$282)*N(V_L1_Tasa)/12,0)*CA$9</f>
        <v>0</v>
      </c>
      <c r="CB280" s="48">
        <f>IF((75-N(V_L1_Mes)+1)&gt;=1,IF((75-N(V_L1_Mes)+1)=1,N(V_L1_Monto),CA$282)*N(V_L1_Tasa)/12,0)*CB$9</f>
        <v>0</v>
      </c>
      <c r="CC280" s="48">
        <f>IF((76-N(V_L1_Mes)+1)&gt;=1,IF((76-N(V_L1_Mes)+1)=1,N(V_L1_Monto),CB$282)*N(V_L1_Tasa)/12,0)*CC$9</f>
        <v>0</v>
      </c>
      <c r="CD280" s="48">
        <f>IF((77-N(V_L1_Mes)+1)&gt;=1,IF((77-N(V_L1_Mes)+1)=1,N(V_L1_Monto),CC$282)*N(V_L1_Tasa)/12,0)*CD$9</f>
        <v>0</v>
      </c>
      <c r="CE280" s="48">
        <f>IF((78-N(V_L1_Mes)+1)&gt;=1,IF((78-N(V_L1_Mes)+1)=1,N(V_L1_Monto),CD$282)*N(V_L1_Tasa)/12,0)*CE$9</f>
        <v>0</v>
      </c>
      <c r="CF280" s="48">
        <f>IF((79-N(V_L1_Mes)+1)&gt;=1,IF((79-N(V_L1_Mes)+1)=1,N(V_L1_Monto),CE$282)*N(V_L1_Tasa)/12,0)*CF$9</f>
        <v>0</v>
      </c>
      <c r="CG280" s="48">
        <f>IF((80-N(V_L1_Mes)+1)&gt;=1,IF((80-N(V_L1_Mes)+1)=1,N(V_L1_Monto),CF$282)*N(V_L1_Tasa)/12,0)*CG$9</f>
        <v>0</v>
      </c>
      <c r="CH280" s="48">
        <f>IF((81-N(V_L1_Mes)+1)&gt;=1,IF((81-N(V_L1_Mes)+1)=1,N(V_L1_Monto),CG$282)*N(V_L1_Tasa)/12,0)*CH$9</f>
        <v>0</v>
      </c>
      <c r="CI280" s="48">
        <f>IF((82-N(V_L1_Mes)+1)&gt;=1,IF((82-N(V_L1_Mes)+1)=1,N(V_L1_Monto),CH$282)*N(V_L1_Tasa)/12,0)*CI$9</f>
        <v>0</v>
      </c>
      <c r="CJ280" s="48">
        <f>IF((83-N(V_L1_Mes)+1)&gt;=1,IF((83-N(V_L1_Mes)+1)=1,N(V_L1_Monto),CI$282)*N(V_L1_Tasa)/12,0)*CJ$9</f>
        <v>0</v>
      </c>
      <c r="CK280" s="48">
        <f>IF((84-N(V_L1_Mes)+1)&gt;=1,IF((84-N(V_L1_Mes)+1)=1,N(V_L1_Monto),CJ$282)*N(V_L1_Tasa)/12,0)*CK$9</f>
        <v>0</v>
      </c>
      <c r="CL280" s="48">
        <f>IF((85-N(V_L1_Mes)+1)&gt;=1,IF((85-N(V_L1_Mes)+1)=1,N(V_L1_Monto),CK$282)*N(V_L1_Tasa)/12,0)*CL$9</f>
        <v>0</v>
      </c>
      <c r="CM280" s="48">
        <f>IF((86-N(V_L1_Mes)+1)&gt;=1,IF((86-N(V_L1_Mes)+1)=1,N(V_L1_Monto),CL$282)*N(V_L1_Tasa)/12,0)*CM$9</f>
        <v>0</v>
      </c>
      <c r="CN280" s="48">
        <f>IF((87-N(V_L1_Mes)+1)&gt;=1,IF((87-N(V_L1_Mes)+1)=1,N(V_L1_Monto),CM$282)*N(V_L1_Tasa)/12,0)*CN$9</f>
        <v>0</v>
      </c>
      <c r="CO280" s="48">
        <f>IF((88-N(V_L1_Mes)+1)&gt;=1,IF((88-N(V_L1_Mes)+1)=1,N(V_L1_Monto),CN$282)*N(V_L1_Tasa)/12,0)*CO$9</f>
        <v>0</v>
      </c>
      <c r="CP280" s="48">
        <f>IF((89-N(V_L1_Mes)+1)&gt;=1,IF((89-N(V_L1_Mes)+1)=1,N(V_L1_Monto),CO$282)*N(V_L1_Tasa)/12,0)*CP$9</f>
        <v>0</v>
      </c>
      <c r="CQ280" s="48">
        <f>IF((90-N(V_L1_Mes)+1)&gt;=1,IF((90-N(V_L1_Mes)+1)=1,N(V_L1_Monto),CP$282)*N(V_L1_Tasa)/12,0)*CQ$9</f>
        <v>0</v>
      </c>
      <c r="CR280" s="48">
        <f>IF((91-N(V_L1_Mes)+1)&gt;=1,IF((91-N(V_L1_Mes)+1)=1,N(V_L1_Monto),CQ$282)*N(V_L1_Tasa)/12,0)*CR$9</f>
        <v>0</v>
      </c>
      <c r="CS280" s="48">
        <f>IF((92-N(V_L1_Mes)+1)&gt;=1,IF((92-N(V_L1_Mes)+1)=1,N(V_L1_Monto),CR$282)*N(V_L1_Tasa)/12,0)*CS$9</f>
        <v>0</v>
      </c>
      <c r="CT280" s="48">
        <f>IF((93-N(V_L1_Mes)+1)&gt;=1,IF((93-N(V_L1_Mes)+1)=1,N(V_L1_Monto),CS$282)*N(V_L1_Tasa)/12,0)*CT$9</f>
        <v>0</v>
      </c>
      <c r="CU280" s="48">
        <f>IF((94-N(V_L1_Mes)+1)&gt;=1,IF((94-N(V_L1_Mes)+1)=1,N(V_L1_Monto),CT$282)*N(V_L1_Tasa)/12,0)*CU$9</f>
        <v>0</v>
      </c>
      <c r="CV280" s="48">
        <f>IF((95-N(V_L1_Mes)+1)&gt;=1,IF((95-N(V_L1_Mes)+1)=1,N(V_L1_Monto),CU$282)*N(V_L1_Tasa)/12,0)*CV$9</f>
        <v>0</v>
      </c>
      <c r="CW280" s="48">
        <f>IF((96-N(V_L1_Mes)+1)&gt;=1,IF((96-N(V_L1_Mes)+1)=1,N(V_L1_Monto),CV$282)*N(V_L1_Tasa)/12,0)*CW$9</f>
        <v>0</v>
      </c>
      <c r="CX280" s="48">
        <f>IF((97-N(V_L1_Mes)+1)&gt;=1,IF((97-N(V_L1_Mes)+1)=1,N(V_L1_Monto),CW$282)*N(V_L1_Tasa)/12,0)*CX$9</f>
        <v>0</v>
      </c>
      <c r="CY280" s="48">
        <f>IF((98-N(V_L1_Mes)+1)&gt;=1,IF((98-N(V_L1_Mes)+1)=1,N(V_L1_Monto),CX$282)*N(V_L1_Tasa)/12,0)*CY$9</f>
        <v>0</v>
      </c>
      <c r="CZ280" s="48">
        <f>IF((99-N(V_L1_Mes)+1)&gt;=1,IF((99-N(V_L1_Mes)+1)=1,N(V_L1_Monto),CY$282)*N(V_L1_Tasa)/12,0)*CZ$9</f>
        <v>0</v>
      </c>
      <c r="DA280" s="48">
        <f>IF((100-N(V_L1_Mes)+1)&gt;=1,IF((100-N(V_L1_Mes)+1)=1,N(V_L1_Monto),CZ$282)*N(V_L1_Tasa)/12,0)*DA$9</f>
        <v>0</v>
      </c>
      <c r="DB280" s="48">
        <f>IF((101-N(V_L1_Mes)+1)&gt;=1,IF((101-N(V_L1_Mes)+1)=1,N(V_L1_Monto),DA$282)*N(V_L1_Tasa)/12,0)*DB$9</f>
        <v>0</v>
      </c>
      <c r="DC280" s="48">
        <f>IF((102-N(V_L1_Mes)+1)&gt;=1,IF((102-N(V_L1_Mes)+1)=1,N(V_L1_Monto),DB$282)*N(V_L1_Tasa)/12,0)*DC$9</f>
        <v>0</v>
      </c>
      <c r="DD280" s="48">
        <f>IF((103-N(V_L1_Mes)+1)&gt;=1,IF((103-N(V_L1_Mes)+1)=1,N(V_L1_Monto),DC$282)*N(V_L1_Tasa)/12,0)*DD$9</f>
        <v>0</v>
      </c>
      <c r="DE280" s="48">
        <f>IF((104-N(V_L1_Mes)+1)&gt;=1,IF((104-N(V_L1_Mes)+1)=1,N(V_L1_Monto),DD$282)*N(V_L1_Tasa)/12,0)*DE$9</f>
        <v>0</v>
      </c>
      <c r="DF280" s="48">
        <f>IF((105-N(V_L1_Mes)+1)&gt;=1,IF((105-N(V_L1_Mes)+1)=1,N(V_L1_Monto),DE$282)*N(V_L1_Tasa)/12,0)*DF$9</f>
        <v>0</v>
      </c>
      <c r="DG280" s="48">
        <f>IF((106-N(V_L1_Mes)+1)&gt;=1,IF((106-N(V_L1_Mes)+1)=1,N(V_L1_Monto),DF$282)*N(V_L1_Tasa)/12,0)*DG$9</f>
        <v>0</v>
      </c>
      <c r="DH280" s="48">
        <f>IF((107-N(V_L1_Mes)+1)&gt;=1,IF((107-N(V_L1_Mes)+1)=1,N(V_L1_Monto),DG$282)*N(V_L1_Tasa)/12,0)*DH$9</f>
        <v>0</v>
      </c>
      <c r="DI280" s="48">
        <f>IF((108-N(V_L1_Mes)+1)&gt;=1,IF((108-N(V_L1_Mes)+1)=1,N(V_L1_Monto),DH$282)*N(V_L1_Tasa)/12,0)*DI$9</f>
        <v>0</v>
      </c>
      <c r="DJ280" s="48">
        <f>IF((109-N(V_L1_Mes)+1)&gt;=1,IF((109-N(V_L1_Mes)+1)=1,N(V_L1_Monto),DI$282)*N(V_L1_Tasa)/12,0)*DJ$9</f>
        <v>0</v>
      </c>
      <c r="DK280" s="48">
        <f>IF((110-N(V_L1_Mes)+1)&gt;=1,IF((110-N(V_L1_Mes)+1)=1,N(V_L1_Monto),DJ$282)*N(V_L1_Tasa)/12,0)*DK$9</f>
        <v>0</v>
      </c>
      <c r="DL280" s="48">
        <f>IF((111-N(V_L1_Mes)+1)&gt;=1,IF((111-N(V_L1_Mes)+1)=1,N(V_L1_Monto),DK$282)*N(V_L1_Tasa)/12,0)*DL$9</f>
        <v>0</v>
      </c>
      <c r="DM280" s="48">
        <f>IF((112-N(V_L1_Mes)+1)&gt;=1,IF((112-N(V_L1_Mes)+1)=1,N(V_L1_Monto),DL$282)*N(V_L1_Tasa)/12,0)*DM$9</f>
        <v>0</v>
      </c>
      <c r="DN280" s="48">
        <f>IF((113-N(V_L1_Mes)+1)&gt;=1,IF((113-N(V_L1_Mes)+1)=1,N(V_L1_Monto),DM$282)*N(V_L1_Tasa)/12,0)*DN$9</f>
        <v>0</v>
      </c>
      <c r="DO280" s="48">
        <f>IF((114-N(V_L1_Mes)+1)&gt;=1,IF((114-N(V_L1_Mes)+1)=1,N(V_L1_Monto),DN$282)*N(V_L1_Tasa)/12,0)*DO$9</f>
        <v>0</v>
      </c>
      <c r="DP280" s="48">
        <f>IF((115-N(V_L1_Mes)+1)&gt;=1,IF((115-N(V_L1_Mes)+1)=1,N(V_L1_Monto),DO$282)*N(V_L1_Tasa)/12,0)*DP$9</f>
        <v>0</v>
      </c>
      <c r="DQ280" s="48">
        <f>IF((116-N(V_L1_Mes)+1)&gt;=1,IF((116-N(V_L1_Mes)+1)=1,N(V_L1_Monto),DP$282)*N(V_L1_Tasa)/12,0)*DQ$9</f>
        <v>0</v>
      </c>
      <c r="DR280" s="48">
        <f>IF((117-N(V_L1_Mes)+1)&gt;=1,IF((117-N(V_L1_Mes)+1)=1,N(V_L1_Monto),DQ$282)*N(V_L1_Tasa)/12,0)*DR$9</f>
        <v>0</v>
      </c>
      <c r="DS280" s="48">
        <f>IF((118-N(V_L1_Mes)+1)&gt;=1,IF((118-N(V_L1_Mes)+1)=1,N(V_L1_Monto),DR$282)*N(V_L1_Tasa)/12,0)*DS$9</f>
        <v>0</v>
      </c>
      <c r="DT280" s="48">
        <f>IF((119-N(V_L1_Mes)+1)&gt;=1,IF((119-N(V_L1_Mes)+1)=1,N(V_L1_Monto),DS$282)*N(V_L1_Tasa)/12,0)*DT$9</f>
        <v>0</v>
      </c>
      <c r="DU280" s="48">
        <f>IF((120-N(V_L1_Mes)+1)&gt;=1,IF((120-N(V_L1_Mes)+1)=1,N(V_L1_Monto),DT$282)*N(V_L1_Tasa)/12,0)*DU$9</f>
        <v>0</v>
      </c>
      <c r="DV280" s="48">
        <f>IF((121-N(V_L1_Mes)+1)&gt;=1,IF((121-N(V_L1_Mes)+1)=1,N(V_L1_Monto),DU$282)*N(V_L1_Tasa)/12,0)*DV$9</f>
        <v>0</v>
      </c>
      <c r="DW280" s="48">
        <f>IF((122-N(V_L1_Mes)+1)&gt;=1,IF((122-N(V_L1_Mes)+1)=1,N(V_L1_Monto),DV$282)*N(V_L1_Tasa)/12,0)*DW$9</f>
        <v>0</v>
      </c>
      <c r="DX280" s="48">
        <f>IF((123-N(V_L1_Mes)+1)&gt;=1,IF((123-N(V_L1_Mes)+1)=1,N(V_L1_Monto),DW$282)*N(V_L1_Tasa)/12,0)*DX$9</f>
        <v>0</v>
      </c>
      <c r="DY280" s="48">
        <f>IF((124-N(V_L1_Mes)+1)&gt;=1,IF((124-N(V_L1_Mes)+1)=1,N(V_L1_Monto),DX$282)*N(V_L1_Tasa)/12,0)*DY$9</f>
        <v>0</v>
      </c>
      <c r="DZ280" s="48">
        <f>IF((125-N(V_L1_Mes)+1)&gt;=1,IF((125-N(V_L1_Mes)+1)=1,N(V_L1_Monto),DY$282)*N(V_L1_Tasa)/12,0)*DZ$9</f>
        <v>0</v>
      </c>
      <c r="EA280" s="48">
        <f>IF((126-N(V_L1_Mes)+1)&gt;=1,IF((126-N(V_L1_Mes)+1)=1,N(V_L1_Monto),DZ$282)*N(V_L1_Tasa)/12,0)*EA$9</f>
        <v>0</v>
      </c>
      <c r="EB280" s="48">
        <f>IF((127-N(V_L1_Mes)+1)&gt;=1,IF((127-N(V_L1_Mes)+1)=1,N(V_L1_Monto),EA$282)*N(V_L1_Tasa)/12,0)*EB$9</f>
        <v>0</v>
      </c>
      <c r="EC280" s="48">
        <f>IF((128-N(V_L1_Mes)+1)&gt;=1,IF((128-N(V_L1_Mes)+1)=1,N(V_L1_Monto),EB$282)*N(V_L1_Tasa)/12,0)*EC$9</f>
        <v>0</v>
      </c>
      <c r="ED280" s="48">
        <f>IF((129-N(V_L1_Mes)+1)&gt;=1,IF((129-N(V_L1_Mes)+1)=1,N(V_L1_Monto),EC$282)*N(V_L1_Tasa)/12,0)*ED$9</f>
        <v>0</v>
      </c>
      <c r="EE280" s="48">
        <f>IF((130-N(V_L1_Mes)+1)&gt;=1,IF((130-N(V_L1_Mes)+1)=1,N(V_L1_Monto),ED$282)*N(V_L1_Tasa)/12,0)*EE$9</f>
        <v>0</v>
      </c>
      <c r="EF280" s="48">
        <f>IF((131-N(V_L1_Mes)+1)&gt;=1,IF((131-N(V_L1_Mes)+1)=1,N(V_L1_Monto),EE$282)*N(V_L1_Tasa)/12,0)*EF$9</f>
        <v>0</v>
      </c>
      <c r="EG280" s="48">
        <f>IF((132-N(V_L1_Mes)+1)&gt;=1,IF((132-N(V_L1_Mes)+1)=1,N(V_L1_Monto),EF$282)*N(V_L1_Tasa)/12,0)*EG$9</f>
        <v>0</v>
      </c>
      <c r="EH280" s="48">
        <f>IF((133-N(V_L1_Mes)+1)&gt;=1,IF((133-N(V_L1_Mes)+1)=1,N(V_L1_Monto),EG$282)*N(V_L1_Tasa)/12,0)*EH$9</f>
        <v>0</v>
      </c>
      <c r="EI280" s="48">
        <f>IF((134-N(V_L1_Mes)+1)&gt;=1,IF((134-N(V_L1_Mes)+1)=1,N(V_L1_Monto),EH$282)*N(V_L1_Tasa)/12,0)*EI$9</f>
        <v>0</v>
      </c>
      <c r="EJ280" s="48">
        <f>IF((135-N(V_L1_Mes)+1)&gt;=1,IF((135-N(V_L1_Mes)+1)=1,N(V_L1_Monto),EI$282)*N(V_L1_Tasa)/12,0)*EJ$9</f>
        <v>0</v>
      </c>
      <c r="EK280" s="48">
        <f>IF((136-N(V_L1_Mes)+1)&gt;=1,IF((136-N(V_L1_Mes)+1)=1,N(V_L1_Monto),EJ$282)*N(V_L1_Tasa)/12,0)*EK$9</f>
        <v>0</v>
      </c>
      <c r="EL280" s="48">
        <f>IF((137-N(V_L1_Mes)+1)&gt;=1,IF((137-N(V_L1_Mes)+1)=1,N(V_L1_Monto),EK$282)*N(V_L1_Tasa)/12,0)*EL$9</f>
        <v>0</v>
      </c>
      <c r="EM280" s="48">
        <f>IF((138-N(V_L1_Mes)+1)&gt;=1,IF((138-N(V_L1_Mes)+1)=1,N(V_L1_Monto),EL$282)*N(V_L1_Tasa)/12,0)*EM$9</f>
        <v>0</v>
      </c>
      <c r="EN280" s="48">
        <f>IF((139-N(V_L1_Mes)+1)&gt;=1,IF((139-N(V_L1_Mes)+1)=1,N(V_L1_Monto),EM$282)*N(V_L1_Tasa)/12,0)*EN$9</f>
        <v>0</v>
      </c>
      <c r="EO280" s="48">
        <f>IF((140-N(V_L1_Mes)+1)&gt;=1,IF((140-N(V_L1_Mes)+1)=1,N(V_L1_Monto),EN$282)*N(V_L1_Tasa)/12,0)*EO$9</f>
        <v>0</v>
      </c>
      <c r="EP280" s="48">
        <f>IF((141-N(V_L1_Mes)+1)&gt;=1,IF((141-N(V_L1_Mes)+1)=1,N(V_L1_Monto),EO$282)*N(V_L1_Tasa)/12,0)*EP$9</f>
        <v>0</v>
      </c>
      <c r="EQ280" s="48">
        <f>IF((142-N(V_L1_Mes)+1)&gt;=1,IF((142-N(V_L1_Mes)+1)=1,N(V_L1_Monto),EP$282)*N(V_L1_Tasa)/12,0)*EQ$9</f>
        <v>0</v>
      </c>
      <c r="ER280" s="48">
        <f>IF((143-N(V_L1_Mes)+1)&gt;=1,IF((143-N(V_L1_Mes)+1)=1,N(V_L1_Monto),EQ$282)*N(V_L1_Tasa)/12,0)*ER$9</f>
        <v>0</v>
      </c>
      <c r="ES280" s="48">
        <f>IF((144-N(V_L1_Mes)+1)&gt;=1,IF((144-N(V_L1_Mes)+1)=1,N(V_L1_Monto),ER$282)*N(V_L1_Tasa)/12,0)*ES$9</f>
        <v>0</v>
      </c>
    </row>
    <row r="281" spans="1:149" x14ac:dyDescent="0.3">
      <c r="A281" s="14" t="s">
        <v>1331</v>
      </c>
      <c r="B281" s="18" t="s">
        <v>1147</v>
      </c>
      <c r="C281" s="18" t="s">
        <v>439</v>
      </c>
      <c r="E281" s="54">
        <f>SUM(F281:ES281)</f>
        <v>2791587.0000000005</v>
      </c>
      <c r="F281" s="48">
        <f>IF(AND((1-N(V_L1_Mes)+1)&gt;N(V_L1_Gracia),(1-N(V_L1_Mes)+1)&lt;=N(V_L1_Gracia)+N(V_L1_Cuotas),N(V_L1_Cuotas)&gt;0),IF((1-N(V_L1_Mes)+1)=N(V_L1_Gracia)+N(V_L1_Cuotas),IF((1-N(V_L1_Mes)+1)=1,N(V_L1_Monto),0),PMT(N(V_L1_Tasa)/12,N(V_L1_Cuotas),-N(V_L1_Monto))-F$280),0)*F$9</f>
        <v>0</v>
      </c>
      <c r="G281" s="48">
        <f>IF(AND((2-N(V_L1_Mes)+1)&gt;N(V_L1_Gracia),(2-N(V_L1_Mes)+1)&lt;=N(V_L1_Gracia)+N(V_L1_Cuotas),N(V_L1_Cuotas)&gt;0),IF((2-N(V_L1_Mes)+1)=N(V_L1_Gracia)+N(V_L1_Cuotas),IF((2-N(V_L1_Mes)+1)=1,N(V_L1_Monto),F$282),PMT(N(V_L1_Tasa)/12,N(V_L1_Cuotas),-N(V_L1_Monto))-G$280),0)*G$9</f>
        <v>0</v>
      </c>
      <c r="H281" s="48">
        <f>IF(AND((3-N(V_L1_Mes)+1)&gt;N(V_L1_Gracia),(3-N(V_L1_Mes)+1)&lt;=N(V_L1_Gracia)+N(V_L1_Cuotas),N(V_L1_Cuotas)&gt;0),IF((3-N(V_L1_Mes)+1)=N(V_L1_Gracia)+N(V_L1_Cuotas),IF((3-N(V_L1_Mes)+1)=1,N(V_L1_Monto),G$282),PMT(N(V_L1_Tasa)/12,N(V_L1_Cuotas),-N(V_L1_Monto))-H$280),0)*H$9</f>
        <v>0</v>
      </c>
      <c r="I281" s="48">
        <f>IF(AND((4-N(V_L1_Mes)+1)&gt;N(V_L1_Gracia),(4-N(V_L1_Mes)+1)&lt;=N(V_L1_Gracia)+N(V_L1_Cuotas),N(V_L1_Cuotas)&gt;0),IF((4-N(V_L1_Mes)+1)=N(V_L1_Gracia)+N(V_L1_Cuotas),IF((4-N(V_L1_Mes)+1)=1,N(V_L1_Monto),H$282),PMT(N(V_L1_Tasa)/12,N(V_L1_Cuotas),-N(V_L1_Monto))-I$280),0)*I$9</f>
        <v>0</v>
      </c>
      <c r="J281" s="48">
        <f>IF(AND((5-N(V_L1_Mes)+1)&gt;N(V_L1_Gracia),(5-N(V_L1_Mes)+1)&lt;=N(V_L1_Gracia)+N(V_L1_Cuotas),N(V_L1_Cuotas)&gt;0),IF((5-N(V_L1_Mes)+1)=N(V_L1_Gracia)+N(V_L1_Cuotas),IF((5-N(V_L1_Mes)+1)=1,N(V_L1_Monto),I$282),PMT(N(V_L1_Tasa)/12,N(V_L1_Cuotas),-N(V_L1_Monto))-J$280),0)*J$9</f>
        <v>0</v>
      </c>
      <c r="K281" s="48">
        <f>IF(AND((6-N(V_L1_Mes)+1)&gt;N(V_L1_Gracia),(6-N(V_L1_Mes)+1)&lt;=N(V_L1_Gracia)+N(V_L1_Cuotas),N(V_L1_Cuotas)&gt;0),IF((6-N(V_L1_Mes)+1)=N(V_L1_Gracia)+N(V_L1_Cuotas),IF((6-N(V_L1_Mes)+1)=1,N(V_L1_Monto),J$282),PMT(N(V_L1_Tasa)/12,N(V_L1_Cuotas),-N(V_L1_Monto))-K$280),0)*K$9</f>
        <v>0</v>
      </c>
      <c r="L281" s="48">
        <f>IF(AND((7-N(V_L1_Mes)+1)&gt;N(V_L1_Gracia),(7-N(V_L1_Mes)+1)&lt;=N(V_L1_Gracia)+N(V_L1_Cuotas),N(V_L1_Cuotas)&gt;0),IF((7-N(V_L1_Mes)+1)=N(V_L1_Gracia)+N(V_L1_Cuotas),IF((7-N(V_L1_Mes)+1)=1,N(V_L1_Monto),K$282),PMT(N(V_L1_Tasa)/12,N(V_L1_Cuotas),-N(V_L1_Monto))-L$280),0)*L$9</f>
        <v>42123.304094687759</v>
      </c>
      <c r="M281" s="48">
        <f>IF(AND((8-N(V_L1_Mes)+1)&gt;N(V_L1_Gracia),(8-N(V_L1_Mes)+1)&lt;=N(V_L1_Gracia)+N(V_L1_Cuotas),N(V_L1_Cuotas)&gt;0),IF((8-N(V_L1_Mes)+1)=N(V_L1_Gracia)+N(V_L1_Cuotas),IF((8-N(V_L1_Mes)+1)=1,N(V_L1_Monto),L$282),PMT(N(V_L1_Tasa)/12,N(V_L1_Cuotas),-N(V_L1_Monto))-M$280),0)*M$9</f>
        <v>42439.228875397908</v>
      </c>
      <c r="N281" s="48">
        <f>IF(AND((9-N(V_L1_Mes)+1)&gt;N(V_L1_Gracia),(9-N(V_L1_Mes)+1)&lt;=N(V_L1_Gracia)+N(V_L1_Cuotas),N(V_L1_Cuotas)&gt;0),IF((9-N(V_L1_Mes)+1)=N(V_L1_Gracia)+N(V_L1_Cuotas),IF((9-N(V_L1_Mes)+1)=1,N(V_L1_Monto),M$282),PMT(N(V_L1_Tasa)/12,N(V_L1_Cuotas),-N(V_L1_Monto))-N$280),0)*N$9</f>
        <v>42757.52309196339</v>
      </c>
      <c r="O281" s="48">
        <f>IF(AND((10-N(V_L1_Mes)+1)&gt;N(V_L1_Gracia),(10-N(V_L1_Mes)+1)&lt;=N(V_L1_Gracia)+N(V_L1_Cuotas),N(V_L1_Cuotas)&gt;0),IF((10-N(V_L1_Mes)+1)=N(V_L1_Gracia)+N(V_L1_Cuotas),IF((10-N(V_L1_Mes)+1)=1,N(V_L1_Monto),N$282),PMT(N(V_L1_Tasa)/12,N(V_L1_Cuotas),-N(V_L1_Monto))-O$280),0)*O$9</f>
        <v>43078.20451515312</v>
      </c>
      <c r="P281" s="48">
        <f>IF(AND((11-N(V_L1_Mes)+1)&gt;N(V_L1_Gracia),(11-N(V_L1_Mes)+1)&lt;=N(V_L1_Gracia)+N(V_L1_Cuotas),N(V_L1_Cuotas)&gt;0),IF((11-N(V_L1_Mes)+1)=N(V_L1_Gracia)+N(V_L1_Cuotas),IF((11-N(V_L1_Mes)+1)=1,N(V_L1_Monto),O$282),PMT(N(V_L1_Tasa)/12,N(V_L1_Cuotas),-N(V_L1_Monto))-P$280),0)*P$9</f>
        <v>43401.291049016771</v>
      </c>
      <c r="Q281" s="48">
        <f>IF(AND((12-N(V_L1_Mes)+1)&gt;N(V_L1_Gracia),(12-N(V_L1_Mes)+1)&lt;=N(V_L1_Gracia)+N(V_L1_Cuotas),N(V_L1_Cuotas)&gt;0),IF((12-N(V_L1_Mes)+1)=N(V_L1_Gracia)+N(V_L1_Cuotas),IF((12-N(V_L1_Mes)+1)=1,N(V_L1_Monto),P$282),PMT(N(V_L1_Tasa)/12,N(V_L1_Cuotas),-N(V_L1_Monto))-Q$280),0)*Q$9</f>
        <v>43726.800731884396</v>
      </c>
      <c r="R281" s="48">
        <f>IF(AND((13-N(V_L1_Mes)+1)&gt;N(V_L1_Gracia),(13-N(V_L1_Mes)+1)&lt;=N(V_L1_Gracia)+N(V_L1_Cuotas),N(V_L1_Cuotas)&gt;0),IF((13-N(V_L1_Mes)+1)=N(V_L1_Gracia)+N(V_L1_Cuotas),IF((13-N(V_L1_Mes)+1)=1,N(V_L1_Monto),Q$282),PMT(N(V_L1_Tasa)/12,N(V_L1_Cuotas),-N(V_L1_Monto))-R$280),0)*R$9</f>
        <v>44054.751737373532</v>
      </c>
      <c r="S281" s="48">
        <f>IF(AND((14-N(V_L1_Mes)+1)&gt;N(V_L1_Gracia),(14-N(V_L1_Mes)+1)&lt;=N(V_L1_Gracia)+N(V_L1_Cuotas),N(V_L1_Cuotas)&gt;0),IF((14-N(V_L1_Mes)+1)=N(V_L1_Gracia)+N(V_L1_Cuotas),IF((14-N(V_L1_Mes)+1)=1,N(V_L1_Monto),R$282),PMT(N(V_L1_Tasa)/12,N(V_L1_Cuotas),-N(V_L1_Monto))-S$280),0)*S$9</f>
        <v>44385.16237540383</v>
      </c>
      <c r="T281" s="48">
        <f>IF(AND((15-N(V_L1_Mes)+1)&gt;N(V_L1_Gracia),(15-N(V_L1_Mes)+1)&lt;=N(V_L1_Gracia)+N(V_L1_Cuotas),N(V_L1_Cuotas)&gt;0),IF((15-N(V_L1_Mes)+1)=N(V_L1_Gracia)+N(V_L1_Cuotas),IF((15-N(V_L1_Mes)+1)=1,N(V_L1_Monto),S$282),PMT(N(V_L1_Tasa)/12,N(V_L1_Cuotas),-N(V_L1_Monto))-T$280),0)*T$9</f>
        <v>44718.051093219357</v>
      </c>
      <c r="U281" s="48">
        <f>IF(AND((16-N(V_L1_Mes)+1)&gt;N(V_L1_Gracia),(16-N(V_L1_Mes)+1)&lt;=N(V_L1_Gracia)+N(V_L1_Cuotas),N(V_L1_Cuotas)&gt;0),IF((16-N(V_L1_Mes)+1)=N(V_L1_Gracia)+N(V_L1_Cuotas),IF((16-N(V_L1_Mes)+1)=1,N(V_L1_Monto),T$282),PMT(N(V_L1_Tasa)/12,N(V_L1_Cuotas),-N(V_L1_Monto))-U$280),0)*U$9</f>
        <v>45053.436476418501</v>
      </c>
      <c r="V281" s="48">
        <f>IF(AND((17-N(V_L1_Mes)+1)&gt;N(V_L1_Gracia),(17-N(V_L1_Mes)+1)&lt;=N(V_L1_Gracia)+N(V_L1_Cuotas),N(V_L1_Cuotas)&gt;0),IF((17-N(V_L1_Mes)+1)=N(V_L1_Gracia)+N(V_L1_Cuotas),IF((17-N(V_L1_Mes)+1)=1,N(V_L1_Monto),U$282),PMT(N(V_L1_Tasa)/12,N(V_L1_Cuotas),-N(V_L1_Monto))-V$280),0)*V$9</f>
        <v>45391.337249991644</v>
      </c>
      <c r="W281" s="48">
        <f>IF(AND((18-N(V_L1_Mes)+1)&gt;N(V_L1_Gracia),(18-N(V_L1_Mes)+1)&lt;=N(V_L1_Gracia)+N(V_L1_Cuotas),N(V_L1_Cuotas)&gt;0),IF((18-N(V_L1_Mes)+1)=N(V_L1_Gracia)+N(V_L1_Cuotas),IF((18-N(V_L1_Mes)+1)=1,N(V_L1_Monto),V$282),PMT(N(V_L1_Tasa)/12,N(V_L1_Cuotas),-N(V_L1_Monto))-W$280),0)*W$9</f>
        <v>45731.772279366574</v>
      </c>
      <c r="X281" s="48">
        <f>IF(AND((19-N(V_L1_Mes)+1)&gt;N(V_L1_Gracia),(19-N(V_L1_Mes)+1)&lt;=N(V_L1_Gracia)+N(V_L1_Cuotas),N(V_L1_Cuotas)&gt;0),IF((19-N(V_L1_Mes)+1)=N(V_L1_Gracia)+N(V_L1_Cuotas),IF((19-N(V_L1_Mes)+1)=1,N(V_L1_Monto),W$282),PMT(N(V_L1_Tasa)/12,N(V_L1_Cuotas),-N(V_L1_Monto))-X$280),0)*X$9</f>
        <v>46074.760571461826</v>
      </c>
      <c r="Y281" s="48">
        <f>IF(AND((20-N(V_L1_Mes)+1)&gt;N(V_L1_Gracia),(20-N(V_L1_Mes)+1)&lt;=N(V_L1_Gracia)+N(V_L1_Cuotas),N(V_L1_Cuotas)&gt;0),IF((20-N(V_L1_Mes)+1)=N(V_L1_Gracia)+N(V_L1_Cuotas),IF((20-N(V_L1_Mes)+1)=1,N(V_L1_Monto),X$282),PMT(N(V_L1_Tasa)/12,N(V_L1_Cuotas),-N(V_L1_Monto))-Y$280),0)*Y$9</f>
        <v>46420.321275747789</v>
      </c>
      <c r="Z281" s="48">
        <f>IF(AND((21-N(V_L1_Mes)+1)&gt;N(V_L1_Gracia),(21-N(V_L1_Mes)+1)&lt;=N(V_L1_Gracia)+N(V_L1_Cuotas),N(V_L1_Cuotas)&gt;0),IF((21-N(V_L1_Mes)+1)=N(V_L1_Gracia)+N(V_L1_Cuotas),IF((21-N(V_L1_Mes)+1)=1,N(V_L1_Monto),Y$282),PMT(N(V_L1_Tasa)/12,N(V_L1_Cuotas),-N(V_L1_Monto))-Z$280),0)*Z$9</f>
        <v>46768.473685315897</v>
      </c>
      <c r="AA281" s="48">
        <f>IF(AND((22-N(V_L1_Mes)+1)&gt;N(V_L1_Gracia),(22-N(V_L1_Mes)+1)&lt;=N(V_L1_Gracia)+N(V_L1_Cuotas),N(V_L1_Cuotas)&gt;0),IF((22-N(V_L1_Mes)+1)=N(V_L1_Gracia)+N(V_L1_Cuotas),IF((22-N(V_L1_Mes)+1)=1,N(V_L1_Monto),Z$282),PMT(N(V_L1_Tasa)/12,N(V_L1_Cuotas),-N(V_L1_Monto))-AA$280),0)*AA$9</f>
        <v>47119.237237955764</v>
      </c>
      <c r="AB281" s="48">
        <f>IF(AND((23-N(V_L1_Mes)+1)&gt;N(V_L1_Gracia),(23-N(V_L1_Mes)+1)&lt;=N(V_L1_Gracia)+N(V_L1_Cuotas),N(V_L1_Cuotas)&gt;0),IF((23-N(V_L1_Mes)+1)=N(V_L1_Gracia)+N(V_L1_Cuotas),IF((23-N(V_L1_Mes)+1)=1,N(V_L1_Monto),AA$282),PMT(N(V_L1_Tasa)/12,N(V_L1_Cuotas),-N(V_L1_Monto))-AB$280),0)*AB$9</f>
        <v>47472.631517240428</v>
      </c>
      <c r="AC281" s="48">
        <f>IF(AND((24-N(V_L1_Mes)+1)&gt;N(V_L1_Gracia),(24-N(V_L1_Mes)+1)&lt;=N(V_L1_Gracia)+N(V_L1_Cuotas),N(V_L1_Cuotas)&gt;0),IF((24-N(V_L1_Mes)+1)=N(V_L1_Gracia)+N(V_L1_Cuotas),IF((24-N(V_L1_Mes)+1)=1,N(V_L1_Monto),AB$282),PMT(N(V_L1_Tasa)/12,N(V_L1_Cuotas),-N(V_L1_Monto))-AC$280),0)*AC$9</f>
        <v>47828.676253619735</v>
      </c>
      <c r="AD281" s="48">
        <f>IF(AND((25-N(V_L1_Mes)+1)&gt;N(V_L1_Gracia),(25-N(V_L1_Mes)+1)&lt;=N(V_L1_Gracia)+N(V_L1_Cuotas),N(V_L1_Cuotas)&gt;0),IF((25-N(V_L1_Mes)+1)=N(V_L1_Gracia)+N(V_L1_Cuotas),IF((25-N(V_L1_Mes)+1)=1,N(V_L1_Monto),AC$282),PMT(N(V_L1_Tasa)/12,N(V_L1_Cuotas),-N(V_L1_Monto))-AD$280),0)*AD$9</f>
        <v>48187.391325521887</v>
      </c>
      <c r="AE281" s="48">
        <f>IF(AND((26-N(V_L1_Mes)+1)&gt;N(V_L1_Gracia),(26-N(V_L1_Mes)+1)&lt;=N(V_L1_Gracia)+N(V_L1_Cuotas),N(V_L1_Cuotas)&gt;0),IF((26-N(V_L1_Mes)+1)=N(V_L1_Gracia)+N(V_L1_Cuotas),IF((26-N(V_L1_Mes)+1)=1,N(V_L1_Monto),AD$282),PMT(N(V_L1_Tasa)/12,N(V_L1_Cuotas),-N(V_L1_Monto))-AE$280),0)*AE$9</f>
        <v>48548.796760463301</v>
      </c>
      <c r="AF281" s="48">
        <f>IF(AND((27-N(V_L1_Mes)+1)&gt;N(V_L1_Gracia),(27-N(V_L1_Mes)+1)&lt;=N(V_L1_Gracia)+N(V_L1_Cuotas),N(V_L1_Cuotas)&gt;0),IF((27-N(V_L1_Mes)+1)=N(V_L1_Gracia)+N(V_L1_Cuotas),IF((27-N(V_L1_Mes)+1)=1,N(V_L1_Monto),AE$282),PMT(N(V_L1_Tasa)/12,N(V_L1_Cuotas),-N(V_L1_Monto))-AF$280),0)*AF$9</f>
        <v>48912.912736166778</v>
      </c>
      <c r="AG281" s="48">
        <f>IF(AND((28-N(V_L1_Mes)+1)&gt;N(V_L1_Gracia),(28-N(V_L1_Mes)+1)&lt;=N(V_L1_Gracia)+N(V_L1_Cuotas),N(V_L1_Cuotas)&gt;0),IF((28-N(V_L1_Mes)+1)=N(V_L1_Gracia)+N(V_L1_Cuotas),IF((28-N(V_L1_Mes)+1)=1,N(V_L1_Monto),AF$282),PMT(N(V_L1_Tasa)/12,N(V_L1_Cuotas),-N(V_L1_Monto))-AG$280),0)*AG$9</f>
        <v>49279.759581688028</v>
      </c>
      <c r="AH281" s="48">
        <f>IF(AND((29-N(V_L1_Mes)+1)&gt;N(V_L1_Gracia),(29-N(V_L1_Mes)+1)&lt;=N(V_L1_Gracia)+N(V_L1_Cuotas),N(V_L1_Cuotas)&gt;0),IF((29-N(V_L1_Mes)+1)=N(V_L1_Gracia)+N(V_L1_Cuotas),IF((29-N(V_L1_Mes)+1)=1,N(V_L1_Monto),AG$282),PMT(N(V_L1_Tasa)/12,N(V_L1_Cuotas),-N(V_L1_Monto))-AH$280),0)*AH$9</f>
        <v>49649.357778550686</v>
      </c>
      <c r="AI281" s="48">
        <f>IF(AND((30-N(V_L1_Mes)+1)&gt;N(V_L1_Gracia),(30-N(V_L1_Mes)+1)&lt;=N(V_L1_Gracia)+N(V_L1_Cuotas),N(V_L1_Cuotas)&gt;0),IF((30-N(V_L1_Mes)+1)=N(V_L1_Gracia)+N(V_L1_Cuotas),IF((30-N(V_L1_Mes)+1)=1,N(V_L1_Monto),AH$282),PMT(N(V_L1_Tasa)/12,N(V_L1_Cuotas),-N(V_L1_Monto))-AI$280),0)*AI$9</f>
        <v>50021.727961889817</v>
      </c>
      <c r="AJ281" s="48">
        <f>IF(AND((31-N(V_L1_Mes)+1)&gt;N(V_L1_Gracia),(31-N(V_L1_Mes)+1)&lt;=N(V_L1_Gracia)+N(V_L1_Cuotas),N(V_L1_Cuotas)&gt;0),IF((31-N(V_L1_Mes)+1)=N(V_L1_Gracia)+N(V_L1_Cuotas),IF((31-N(V_L1_Mes)+1)=1,N(V_L1_Monto),AI$282),PMT(N(V_L1_Tasa)/12,N(V_L1_Cuotas),-N(V_L1_Monto))-AJ$280),0)*AJ$9</f>
        <v>50396.89092160399</v>
      </c>
      <c r="AK281" s="48">
        <f>IF(AND((32-N(V_L1_Mes)+1)&gt;N(V_L1_Gracia),(32-N(V_L1_Mes)+1)&lt;=N(V_L1_Gracia)+N(V_L1_Cuotas),N(V_L1_Cuotas)&gt;0),IF((32-N(V_L1_Mes)+1)=N(V_L1_Gracia)+N(V_L1_Cuotas),IF((32-N(V_L1_Mes)+1)=1,N(V_L1_Monto),AJ$282),PMT(N(V_L1_Tasa)/12,N(V_L1_Cuotas),-N(V_L1_Monto))-AK$280),0)*AK$9</f>
        <v>50774.867603516017</v>
      </c>
      <c r="AL281" s="48">
        <f>IF(AND((33-N(V_L1_Mes)+1)&gt;N(V_L1_Gracia),(33-N(V_L1_Mes)+1)&lt;=N(V_L1_Gracia)+N(V_L1_Cuotas),N(V_L1_Cuotas)&gt;0),IF((33-N(V_L1_Mes)+1)=N(V_L1_Gracia)+N(V_L1_Cuotas),IF((33-N(V_L1_Mes)+1)=1,N(V_L1_Monto),AK$282),PMT(N(V_L1_Tasa)/12,N(V_L1_Cuotas),-N(V_L1_Monto))-AL$280),0)*AL$9</f>
        <v>51155.679110542391</v>
      </c>
      <c r="AM281" s="48">
        <f>IF(AND((34-N(V_L1_Mes)+1)&gt;N(V_L1_Gracia),(34-N(V_L1_Mes)+1)&lt;=N(V_L1_Gracia)+N(V_L1_Cuotas),N(V_L1_Cuotas)&gt;0),IF((34-N(V_L1_Mes)+1)=N(V_L1_Gracia)+N(V_L1_Cuotas),IF((34-N(V_L1_Mes)+1)=1,N(V_L1_Monto),AL$282),PMT(N(V_L1_Tasa)/12,N(V_L1_Cuotas),-N(V_L1_Monto))-AM$280),0)*AM$9</f>
        <v>51539.346703871459</v>
      </c>
      <c r="AN281" s="48">
        <f>IF(AND((35-N(V_L1_Mes)+1)&gt;N(V_L1_Gracia),(35-N(V_L1_Mes)+1)&lt;=N(V_L1_Gracia)+N(V_L1_Cuotas),N(V_L1_Cuotas)&gt;0),IF((35-N(V_L1_Mes)+1)=N(V_L1_Gracia)+N(V_L1_Cuotas),IF((35-N(V_L1_Mes)+1)=1,N(V_L1_Monto),AM$282),PMT(N(V_L1_Tasa)/12,N(V_L1_Cuotas),-N(V_L1_Monto))-AN$280),0)*AN$9</f>
        <v>51925.891804150495</v>
      </c>
      <c r="AO281" s="48">
        <f>IF(AND((36-N(V_L1_Mes)+1)&gt;N(V_L1_Gracia),(36-N(V_L1_Mes)+1)&lt;=N(V_L1_Gracia)+N(V_L1_Cuotas),N(V_L1_Cuotas)&gt;0),IF((36-N(V_L1_Mes)+1)=N(V_L1_Gracia)+N(V_L1_Cuotas),IF((36-N(V_L1_Mes)+1)=1,N(V_L1_Monto),AN$282),PMT(N(V_L1_Tasa)/12,N(V_L1_Cuotas),-N(V_L1_Monto))-AO$280),0)*AO$9</f>
        <v>52315.335992681619</v>
      </c>
      <c r="AP281" s="48">
        <f>IF(AND((37-N(V_L1_Mes)+1)&gt;N(V_L1_Gracia),(37-N(V_L1_Mes)+1)&lt;=N(V_L1_Gracia)+N(V_L1_Cuotas),N(V_L1_Cuotas)&gt;0),IF((37-N(V_L1_Mes)+1)=N(V_L1_Gracia)+N(V_L1_Cuotas),IF((37-N(V_L1_Mes)+1)=1,N(V_L1_Monto),AO$282),PMT(N(V_L1_Tasa)/12,N(V_L1_Cuotas),-N(V_L1_Monto))-AP$280),0)*AP$9</f>
        <v>52707.701012626734</v>
      </c>
      <c r="AQ281" s="48">
        <f>IF(AND((38-N(V_L1_Mes)+1)&gt;N(V_L1_Gracia),(38-N(V_L1_Mes)+1)&lt;=N(V_L1_Gracia)+N(V_L1_Cuotas),N(V_L1_Cuotas)&gt;0),IF((38-N(V_L1_Mes)+1)=N(V_L1_Gracia)+N(V_L1_Cuotas),IF((38-N(V_L1_Mes)+1)=1,N(V_L1_Monto),AP$282),PMT(N(V_L1_Tasa)/12,N(V_L1_Cuotas),-N(V_L1_Monto))-AQ$280),0)*AQ$9</f>
        <v>53103.008770221437</v>
      </c>
      <c r="AR281" s="48">
        <f>IF(AND((39-N(V_L1_Mes)+1)&gt;N(V_L1_Gracia),(39-N(V_L1_Mes)+1)&lt;=N(V_L1_Gracia)+N(V_L1_Cuotas),N(V_L1_Cuotas)&gt;0),IF((39-N(V_L1_Mes)+1)=N(V_L1_Gracia)+N(V_L1_Cuotas),IF((39-N(V_L1_Mes)+1)=1,N(V_L1_Monto),AQ$282),PMT(N(V_L1_Tasa)/12,N(V_L1_Cuotas),-N(V_L1_Monto))-AR$280),0)*AR$9</f>
        <v>53501.281335998094</v>
      </c>
      <c r="AS281" s="48">
        <f>IF(AND((40-N(V_L1_Mes)+1)&gt;N(V_L1_Gracia),(40-N(V_L1_Mes)+1)&lt;=N(V_L1_Gracia)+N(V_L1_Cuotas),N(V_L1_Cuotas)&gt;0),IF((40-N(V_L1_Mes)+1)=N(V_L1_Gracia)+N(V_L1_Cuotas),IF((40-N(V_L1_Mes)+1)=1,N(V_L1_Monto),AR$282),PMT(N(V_L1_Tasa)/12,N(V_L1_Cuotas),-N(V_L1_Monto))-AS$280),0)*AS$9</f>
        <v>53902.540946018082</v>
      </c>
      <c r="AT281" s="48">
        <f>IF(AND((41-N(V_L1_Mes)+1)&gt;N(V_L1_Gracia),(41-N(V_L1_Mes)+1)&lt;=N(V_L1_Gracia)+N(V_L1_Cuotas),N(V_L1_Cuotas)&gt;0),IF((41-N(V_L1_Mes)+1)=N(V_L1_Gracia)+N(V_L1_Cuotas),IF((41-N(V_L1_Mes)+1)=1,N(V_L1_Monto),AS$282),PMT(N(V_L1_Tasa)/12,N(V_L1_Cuotas),-N(V_L1_Monto))-AT$280),0)*AT$9</f>
        <v>54306.810003113213</v>
      </c>
      <c r="AU281" s="48">
        <f>IF(AND((42-N(V_L1_Mes)+1)&gt;N(V_L1_Gracia),(42-N(V_L1_Mes)+1)&lt;=N(V_L1_Gracia)+N(V_L1_Cuotas),N(V_L1_Cuotas)&gt;0),IF((42-N(V_L1_Mes)+1)=N(V_L1_Gracia)+N(V_L1_Cuotas),IF((42-N(V_L1_Mes)+1)=1,N(V_L1_Monto),AT$282),PMT(N(V_L1_Tasa)/12,N(V_L1_Cuotas),-N(V_L1_Monto))-AU$280),0)*AU$9</f>
        <v>54714.111078136564</v>
      </c>
      <c r="AV281" s="48">
        <f>IF(AND((43-N(V_L1_Mes)+1)&gt;N(V_L1_Gracia),(43-N(V_L1_Mes)+1)&lt;=N(V_L1_Gracia)+N(V_L1_Cuotas),N(V_L1_Cuotas)&gt;0),IF((43-N(V_L1_Mes)+1)=N(V_L1_Gracia)+N(V_L1_Cuotas),IF((43-N(V_L1_Mes)+1)=1,N(V_L1_Monto),AU$282),PMT(N(V_L1_Tasa)/12,N(V_L1_Cuotas),-N(V_L1_Monto))-AV$280),0)*AV$9</f>
        <v>55124.466911222589</v>
      </c>
      <c r="AW281" s="48">
        <f>IF(AND((44-N(V_L1_Mes)+1)&gt;N(V_L1_Gracia),(44-N(V_L1_Mes)+1)&lt;=N(V_L1_Gracia)+N(V_L1_Cuotas),N(V_L1_Cuotas)&gt;0),IF((44-N(V_L1_Mes)+1)=N(V_L1_Gracia)+N(V_L1_Cuotas),IF((44-N(V_L1_Mes)+1)=1,N(V_L1_Monto),AV$282),PMT(N(V_L1_Tasa)/12,N(V_L1_Cuotas),-N(V_L1_Monto))-AW$280),0)*AW$9</f>
        <v>55537.900413056755</v>
      </c>
      <c r="AX281" s="48">
        <f>IF(AND((45-N(V_L1_Mes)+1)&gt;N(V_L1_Gracia),(45-N(V_L1_Mes)+1)&lt;=N(V_L1_Gracia)+N(V_L1_Cuotas),N(V_L1_Cuotas)&gt;0),IF((45-N(V_L1_Mes)+1)=N(V_L1_Gracia)+N(V_L1_Cuotas),IF((45-N(V_L1_Mes)+1)=1,N(V_L1_Monto),AW$282),PMT(N(V_L1_Tasa)/12,N(V_L1_Cuotas),-N(V_L1_Monto))-AX$280),0)*AX$9</f>
        <v>55954.434666154688</v>
      </c>
      <c r="AY281" s="48">
        <f>IF(AND((46-N(V_L1_Mes)+1)&gt;N(V_L1_Gracia),(46-N(V_L1_Mes)+1)&lt;=N(V_L1_Gracia)+N(V_L1_Cuotas),N(V_L1_Cuotas)&gt;0),IF((46-N(V_L1_Mes)+1)=N(V_L1_Gracia)+N(V_L1_Cuotas),IF((46-N(V_L1_Mes)+1)=1,N(V_L1_Monto),AX$282),PMT(N(V_L1_Tasa)/12,N(V_L1_Cuotas),-N(V_L1_Monto))-AY$280),0)*AY$9</f>
        <v>56374.092926150843</v>
      </c>
      <c r="AZ281" s="48">
        <f>IF(AND((47-N(V_L1_Mes)+1)&gt;N(V_L1_Gracia),(47-N(V_L1_Mes)+1)&lt;=N(V_L1_Gracia)+N(V_L1_Cuotas),N(V_L1_Cuotas)&gt;0),IF((47-N(V_L1_Mes)+1)=N(V_L1_Gracia)+N(V_L1_Cuotas),IF((47-N(V_L1_Mes)+1)=1,N(V_L1_Monto),AY$282),PMT(N(V_L1_Tasa)/12,N(V_L1_Cuotas),-N(V_L1_Monto))-AZ$280),0)*AZ$9</f>
        <v>56796.898623096975</v>
      </c>
      <c r="BA281" s="48">
        <f>IF(AND((48-N(V_L1_Mes)+1)&gt;N(V_L1_Gracia),(48-N(V_L1_Mes)+1)&lt;=N(V_L1_Gracia)+N(V_L1_Cuotas),N(V_L1_Cuotas)&gt;0),IF((48-N(V_L1_Mes)+1)=N(V_L1_Gracia)+N(V_L1_Cuotas),IF((48-N(V_L1_Mes)+1)=1,N(V_L1_Monto),AZ$282),PMT(N(V_L1_Tasa)/12,N(V_L1_Cuotas),-N(V_L1_Monto))-BA$280),0)*BA$9</f>
        <v>57222.875362770203</v>
      </c>
      <c r="BB281" s="48">
        <f>IF(AND((49-N(V_L1_Mes)+1)&gt;N(V_L1_Gracia),(49-N(V_L1_Mes)+1)&lt;=N(V_L1_Gracia)+N(V_L1_Cuotas),N(V_L1_Cuotas)&gt;0),IF((49-N(V_L1_Mes)+1)=N(V_L1_Gracia)+N(V_L1_Cuotas),IF((49-N(V_L1_Mes)+1)=1,N(V_L1_Monto),BA$282),PMT(N(V_L1_Tasa)/12,N(V_L1_Cuotas),-N(V_L1_Monto))-BB$280),0)*BB$9</f>
        <v>57652.046927990981</v>
      </c>
      <c r="BC281" s="48">
        <f>IF(AND((50-N(V_L1_Mes)+1)&gt;N(V_L1_Gracia),(50-N(V_L1_Mes)+1)&lt;=N(V_L1_Gracia)+N(V_L1_Cuotas),N(V_L1_Cuotas)&gt;0),IF((50-N(V_L1_Mes)+1)=N(V_L1_Gracia)+N(V_L1_Cuotas),IF((50-N(V_L1_Mes)+1)=1,N(V_L1_Monto),BB$282),PMT(N(V_L1_Tasa)/12,N(V_L1_Cuotas),-N(V_L1_Monto))-BC$280),0)*BC$9</f>
        <v>58084.437279950915</v>
      </c>
      <c r="BD281" s="48">
        <f>IF(AND((51-N(V_L1_Mes)+1)&gt;N(V_L1_Gracia),(51-N(V_L1_Mes)+1)&lt;=N(V_L1_Gracia)+N(V_L1_Cuotas),N(V_L1_Cuotas)&gt;0),IF((51-N(V_L1_Mes)+1)=N(V_L1_Gracia)+N(V_L1_Cuotas),IF((51-N(V_L1_Mes)+1)=1,N(V_L1_Monto),BC$282),PMT(N(V_L1_Tasa)/12,N(V_L1_Cuotas),-N(V_L1_Monto))-BD$280),0)*BD$9</f>
        <v>58520.070559550542</v>
      </c>
      <c r="BE281" s="48">
        <f>IF(AND((52-N(V_L1_Mes)+1)&gt;N(V_L1_Gracia),(52-N(V_L1_Mes)+1)&lt;=N(V_L1_Gracia)+N(V_L1_Cuotas),N(V_L1_Cuotas)&gt;0),IF((52-N(V_L1_Mes)+1)=N(V_L1_Gracia)+N(V_L1_Cuotas),IF((52-N(V_L1_Mes)+1)=1,N(V_L1_Monto),BD$282),PMT(N(V_L1_Tasa)/12,N(V_L1_Cuotas),-N(V_L1_Monto))-BE$280),0)*BE$9</f>
        <v>58958.971088747174</v>
      </c>
      <c r="BF281" s="48">
        <f>IF(AND((53-N(V_L1_Mes)+1)&gt;N(V_L1_Gracia),(53-N(V_L1_Mes)+1)&lt;=N(V_L1_Gracia)+N(V_L1_Cuotas),N(V_L1_Cuotas)&gt;0),IF((53-N(V_L1_Mes)+1)=N(V_L1_Gracia)+N(V_L1_Cuotas),IF((53-N(V_L1_Mes)+1)=1,N(V_L1_Monto),BE$282),PMT(N(V_L1_Tasa)/12,N(V_L1_Cuotas),-N(V_L1_Monto))-BF$280),0)*BF$9</f>
        <v>59401.163371912779</v>
      </c>
      <c r="BG281" s="48">
        <f>IF(AND((54-N(V_L1_Mes)+1)&gt;N(V_L1_Gracia),(54-N(V_L1_Mes)+1)&lt;=N(V_L1_Gracia)+N(V_L1_Cuotas),N(V_L1_Cuotas)&gt;0),IF((54-N(V_L1_Mes)+1)=N(V_L1_Gracia)+N(V_L1_Cuotas),IF((54-N(V_L1_Mes)+1)=1,N(V_L1_Monto),BF$282),PMT(N(V_L1_Tasa)/12,N(V_L1_Cuotas),-N(V_L1_Monto))-BG$280),0)*BG$9</f>
        <v>59846.672097202121</v>
      </c>
      <c r="BH281" s="48">
        <f>IF(AND((55-N(V_L1_Mes)+1)&gt;N(V_L1_Gracia),(55-N(V_L1_Mes)+1)&lt;=N(V_L1_Gracia)+N(V_L1_Cuotas),N(V_L1_Cuotas)&gt;0),IF((55-N(V_L1_Mes)+1)=N(V_L1_Gracia)+N(V_L1_Cuotas),IF((55-N(V_L1_Mes)+1)=1,N(V_L1_Monto),BG$282),PMT(N(V_L1_Tasa)/12,N(V_L1_Cuotas),-N(V_L1_Monto))-BH$280),0)*BH$9</f>
        <v>60295.522137931141</v>
      </c>
      <c r="BI281" s="48">
        <f>IF(AND((56-N(V_L1_Mes)+1)&gt;N(V_L1_Gracia),(56-N(V_L1_Mes)+1)&lt;=N(V_L1_Gracia)+N(V_L1_Cuotas),N(V_L1_Cuotas)&gt;0),IF((56-N(V_L1_Mes)+1)=N(V_L1_Gracia)+N(V_L1_Cuotas),IF((56-N(V_L1_Mes)+1)=1,N(V_L1_Monto),BH$282),PMT(N(V_L1_Tasa)/12,N(V_L1_Cuotas),-N(V_L1_Monto))-BI$280),0)*BI$9</f>
        <v>60747.738553965624</v>
      </c>
      <c r="BJ281" s="48">
        <f>IF(AND((57-N(V_L1_Mes)+1)&gt;N(V_L1_Gracia),(57-N(V_L1_Mes)+1)&lt;=N(V_L1_Gracia)+N(V_L1_Cuotas),N(V_L1_Cuotas)&gt;0),IF((57-N(V_L1_Mes)+1)=N(V_L1_Gracia)+N(V_L1_Cuotas),IF((57-N(V_L1_Mes)+1)=1,N(V_L1_Monto),BI$282),PMT(N(V_L1_Tasa)/12,N(V_L1_Cuotas),-N(V_L1_Monto))-BJ$280),0)*BJ$9</f>
        <v>61203.346593120361</v>
      </c>
      <c r="BK281" s="48">
        <f>IF(AND((58-N(V_L1_Mes)+1)&gt;N(V_L1_Gracia),(58-N(V_L1_Mes)+1)&lt;=N(V_L1_Gracia)+N(V_L1_Cuotas),N(V_L1_Cuotas)&gt;0),IF((58-N(V_L1_Mes)+1)=N(V_L1_Gracia)+N(V_L1_Cuotas),IF((58-N(V_L1_Mes)+1)=1,N(V_L1_Monto),BJ$282),PMT(N(V_L1_Tasa)/12,N(V_L1_Cuotas),-N(V_L1_Monto))-BK$280),0)*BK$9</f>
        <v>61662.37169256877</v>
      </c>
      <c r="BL281" s="48">
        <f>IF(AND((59-N(V_L1_Mes)+1)&gt;N(V_L1_Gracia),(59-N(V_L1_Mes)+1)&lt;=N(V_L1_Gracia)+N(V_L1_Cuotas),N(V_L1_Cuotas)&gt;0),IF((59-N(V_L1_Mes)+1)=N(V_L1_Gracia)+N(V_L1_Cuotas),IF((59-N(V_L1_Mes)+1)=1,N(V_L1_Monto),BK$282),PMT(N(V_L1_Tasa)/12,N(V_L1_Cuotas),-N(V_L1_Monto))-BL$280),0)*BL$9</f>
        <v>62124.839480263036</v>
      </c>
      <c r="BM281" s="48">
        <f>IF(AND((60-N(V_L1_Mes)+1)&gt;N(V_L1_Gracia),(60-N(V_L1_Mes)+1)&lt;=N(V_L1_Gracia)+N(V_L1_Cuotas),N(V_L1_Cuotas)&gt;0),IF((60-N(V_L1_Mes)+1)=N(V_L1_Gracia)+N(V_L1_Cuotas),IF((60-N(V_L1_Mes)+1)=1,N(V_L1_Monto),BL$282),PMT(N(V_L1_Tasa)/12,N(V_L1_Cuotas),-N(V_L1_Monto))-BM$280),0)*BM$9</f>
        <v>62590.775776366791</v>
      </c>
      <c r="BN281" s="48">
        <f>IF(AND((61-N(V_L1_Mes)+1)&gt;N(V_L1_Gracia),(61-N(V_L1_Mes)+1)&lt;=N(V_L1_Gracia)+N(V_L1_Cuotas),N(V_L1_Cuotas)&gt;0),IF((61-N(V_L1_Mes)+1)=N(V_L1_Gracia)+N(V_L1_Cuotas),IF((61-N(V_L1_Mes)+1)=1,N(V_L1_Monto),BM$282),PMT(N(V_L1_Tasa)/12,N(V_L1_Cuotas),-N(V_L1_Monto))-BN$280),0)*BN$9</f>
        <v>0</v>
      </c>
      <c r="BO281" s="48">
        <f>IF(AND((62-N(V_L1_Mes)+1)&gt;N(V_L1_Gracia),(62-N(V_L1_Mes)+1)&lt;=N(V_L1_Gracia)+N(V_L1_Cuotas),N(V_L1_Cuotas)&gt;0),IF((62-N(V_L1_Mes)+1)=N(V_L1_Gracia)+N(V_L1_Cuotas),IF((62-N(V_L1_Mes)+1)=1,N(V_L1_Monto),BN$282),PMT(N(V_L1_Tasa)/12,N(V_L1_Cuotas),-N(V_L1_Monto))-BO$280),0)*BO$9</f>
        <v>0</v>
      </c>
      <c r="BP281" s="48">
        <f>IF(AND((63-N(V_L1_Mes)+1)&gt;N(V_L1_Gracia),(63-N(V_L1_Mes)+1)&lt;=N(V_L1_Gracia)+N(V_L1_Cuotas),N(V_L1_Cuotas)&gt;0),IF((63-N(V_L1_Mes)+1)=N(V_L1_Gracia)+N(V_L1_Cuotas),IF((63-N(V_L1_Mes)+1)=1,N(V_L1_Monto),BO$282),PMT(N(V_L1_Tasa)/12,N(V_L1_Cuotas),-N(V_L1_Monto))-BP$280),0)*BP$9</f>
        <v>0</v>
      </c>
      <c r="BQ281" s="48">
        <f>IF(AND((64-N(V_L1_Mes)+1)&gt;N(V_L1_Gracia),(64-N(V_L1_Mes)+1)&lt;=N(V_L1_Gracia)+N(V_L1_Cuotas),N(V_L1_Cuotas)&gt;0),IF((64-N(V_L1_Mes)+1)=N(V_L1_Gracia)+N(V_L1_Cuotas),IF((64-N(V_L1_Mes)+1)=1,N(V_L1_Monto),BP$282),PMT(N(V_L1_Tasa)/12,N(V_L1_Cuotas),-N(V_L1_Monto))-BQ$280),0)*BQ$9</f>
        <v>0</v>
      </c>
      <c r="BR281" s="48">
        <f>IF(AND((65-N(V_L1_Mes)+1)&gt;N(V_L1_Gracia),(65-N(V_L1_Mes)+1)&lt;=N(V_L1_Gracia)+N(V_L1_Cuotas),N(V_L1_Cuotas)&gt;0),IF((65-N(V_L1_Mes)+1)=N(V_L1_Gracia)+N(V_L1_Cuotas),IF((65-N(V_L1_Mes)+1)=1,N(V_L1_Monto),BQ$282),PMT(N(V_L1_Tasa)/12,N(V_L1_Cuotas),-N(V_L1_Monto))-BR$280),0)*BR$9</f>
        <v>0</v>
      </c>
      <c r="BS281" s="48">
        <f>IF(AND((66-N(V_L1_Mes)+1)&gt;N(V_L1_Gracia),(66-N(V_L1_Mes)+1)&lt;=N(V_L1_Gracia)+N(V_L1_Cuotas),N(V_L1_Cuotas)&gt;0),IF((66-N(V_L1_Mes)+1)=N(V_L1_Gracia)+N(V_L1_Cuotas),IF((66-N(V_L1_Mes)+1)=1,N(V_L1_Monto),BR$282),PMT(N(V_L1_Tasa)/12,N(V_L1_Cuotas),-N(V_L1_Monto))-BS$280),0)*BS$9</f>
        <v>0</v>
      </c>
      <c r="BT281" s="48">
        <f>IF(AND((67-N(V_L1_Mes)+1)&gt;N(V_L1_Gracia),(67-N(V_L1_Mes)+1)&lt;=N(V_L1_Gracia)+N(V_L1_Cuotas),N(V_L1_Cuotas)&gt;0),IF((67-N(V_L1_Mes)+1)=N(V_L1_Gracia)+N(V_L1_Cuotas),IF((67-N(V_L1_Mes)+1)=1,N(V_L1_Monto),BS$282),PMT(N(V_L1_Tasa)/12,N(V_L1_Cuotas),-N(V_L1_Monto))-BT$280),0)*BT$9</f>
        <v>0</v>
      </c>
      <c r="BU281" s="48">
        <f>IF(AND((68-N(V_L1_Mes)+1)&gt;N(V_L1_Gracia),(68-N(V_L1_Mes)+1)&lt;=N(V_L1_Gracia)+N(V_L1_Cuotas),N(V_L1_Cuotas)&gt;0),IF((68-N(V_L1_Mes)+1)=N(V_L1_Gracia)+N(V_L1_Cuotas),IF((68-N(V_L1_Mes)+1)=1,N(V_L1_Monto),BT$282),PMT(N(V_L1_Tasa)/12,N(V_L1_Cuotas),-N(V_L1_Monto))-BU$280),0)*BU$9</f>
        <v>0</v>
      </c>
      <c r="BV281" s="48">
        <f>IF(AND((69-N(V_L1_Mes)+1)&gt;N(V_L1_Gracia),(69-N(V_L1_Mes)+1)&lt;=N(V_L1_Gracia)+N(V_L1_Cuotas),N(V_L1_Cuotas)&gt;0),IF((69-N(V_L1_Mes)+1)=N(V_L1_Gracia)+N(V_L1_Cuotas),IF((69-N(V_L1_Mes)+1)=1,N(V_L1_Monto),BU$282),PMT(N(V_L1_Tasa)/12,N(V_L1_Cuotas),-N(V_L1_Monto))-BV$280),0)*BV$9</f>
        <v>0</v>
      </c>
      <c r="BW281" s="48">
        <f>IF(AND((70-N(V_L1_Mes)+1)&gt;N(V_L1_Gracia),(70-N(V_L1_Mes)+1)&lt;=N(V_L1_Gracia)+N(V_L1_Cuotas),N(V_L1_Cuotas)&gt;0),IF((70-N(V_L1_Mes)+1)=N(V_L1_Gracia)+N(V_L1_Cuotas),IF((70-N(V_L1_Mes)+1)=1,N(V_L1_Monto),BV$282),PMT(N(V_L1_Tasa)/12,N(V_L1_Cuotas),-N(V_L1_Monto))-BW$280),0)*BW$9</f>
        <v>0</v>
      </c>
      <c r="BX281" s="48">
        <f>IF(AND((71-N(V_L1_Mes)+1)&gt;N(V_L1_Gracia),(71-N(V_L1_Mes)+1)&lt;=N(V_L1_Gracia)+N(V_L1_Cuotas),N(V_L1_Cuotas)&gt;0),IF((71-N(V_L1_Mes)+1)=N(V_L1_Gracia)+N(V_L1_Cuotas),IF((71-N(V_L1_Mes)+1)=1,N(V_L1_Monto),BW$282),PMT(N(V_L1_Tasa)/12,N(V_L1_Cuotas),-N(V_L1_Monto))-BX$280),0)*BX$9</f>
        <v>0</v>
      </c>
      <c r="BY281" s="48">
        <f>IF(AND((72-N(V_L1_Mes)+1)&gt;N(V_L1_Gracia),(72-N(V_L1_Mes)+1)&lt;=N(V_L1_Gracia)+N(V_L1_Cuotas),N(V_L1_Cuotas)&gt;0),IF((72-N(V_L1_Mes)+1)=N(V_L1_Gracia)+N(V_L1_Cuotas),IF((72-N(V_L1_Mes)+1)=1,N(V_L1_Monto),BX$282),PMT(N(V_L1_Tasa)/12,N(V_L1_Cuotas),-N(V_L1_Monto))-BY$280),0)*BY$9</f>
        <v>0</v>
      </c>
      <c r="BZ281" s="48">
        <f>IF(AND((73-N(V_L1_Mes)+1)&gt;N(V_L1_Gracia),(73-N(V_L1_Mes)+1)&lt;=N(V_L1_Gracia)+N(V_L1_Cuotas),N(V_L1_Cuotas)&gt;0),IF((73-N(V_L1_Mes)+1)=N(V_L1_Gracia)+N(V_L1_Cuotas),IF((73-N(V_L1_Mes)+1)=1,N(V_L1_Monto),BY$282),PMT(N(V_L1_Tasa)/12,N(V_L1_Cuotas),-N(V_L1_Monto))-BZ$280),0)*BZ$9</f>
        <v>0</v>
      </c>
      <c r="CA281" s="48">
        <f>IF(AND((74-N(V_L1_Mes)+1)&gt;N(V_L1_Gracia),(74-N(V_L1_Mes)+1)&lt;=N(V_L1_Gracia)+N(V_L1_Cuotas),N(V_L1_Cuotas)&gt;0),IF((74-N(V_L1_Mes)+1)=N(V_L1_Gracia)+N(V_L1_Cuotas),IF((74-N(V_L1_Mes)+1)=1,N(V_L1_Monto),BZ$282),PMT(N(V_L1_Tasa)/12,N(V_L1_Cuotas),-N(V_L1_Monto))-CA$280),0)*CA$9</f>
        <v>0</v>
      </c>
      <c r="CB281" s="48">
        <f>IF(AND((75-N(V_L1_Mes)+1)&gt;N(V_L1_Gracia),(75-N(V_L1_Mes)+1)&lt;=N(V_L1_Gracia)+N(V_L1_Cuotas),N(V_L1_Cuotas)&gt;0),IF((75-N(V_L1_Mes)+1)=N(V_L1_Gracia)+N(V_L1_Cuotas),IF((75-N(V_L1_Mes)+1)=1,N(V_L1_Monto),CA$282),PMT(N(V_L1_Tasa)/12,N(V_L1_Cuotas),-N(V_L1_Monto))-CB$280),0)*CB$9</f>
        <v>0</v>
      </c>
      <c r="CC281" s="48">
        <f>IF(AND((76-N(V_L1_Mes)+1)&gt;N(V_L1_Gracia),(76-N(V_L1_Mes)+1)&lt;=N(V_L1_Gracia)+N(V_L1_Cuotas),N(V_L1_Cuotas)&gt;0),IF((76-N(V_L1_Mes)+1)=N(V_L1_Gracia)+N(V_L1_Cuotas),IF((76-N(V_L1_Mes)+1)=1,N(V_L1_Monto),CB$282),PMT(N(V_L1_Tasa)/12,N(V_L1_Cuotas),-N(V_L1_Monto))-CC$280),0)*CC$9</f>
        <v>0</v>
      </c>
      <c r="CD281" s="48">
        <f>IF(AND((77-N(V_L1_Mes)+1)&gt;N(V_L1_Gracia),(77-N(V_L1_Mes)+1)&lt;=N(V_L1_Gracia)+N(V_L1_Cuotas),N(V_L1_Cuotas)&gt;0),IF((77-N(V_L1_Mes)+1)=N(V_L1_Gracia)+N(V_L1_Cuotas),IF((77-N(V_L1_Mes)+1)=1,N(V_L1_Monto),CC$282),PMT(N(V_L1_Tasa)/12,N(V_L1_Cuotas),-N(V_L1_Monto))-CD$280),0)*CD$9</f>
        <v>0</v>
      </c>
      <c r="CE281" s="48">
        <f>IF(AND((78-N(V_L1_Mes)+1)&gt;N(V_L1_Gracia),(78-N(V_L1_Mes)+1)&lt;=N(V_L1_Gracia)+N(V_L1_Cuotas),N(V_L1_Cuotas)&gt;0),IF((78-N(V_L1_Mes)+1)=N(V_L1_Gracia)+N(V_L1_Cuotas),IF((78-N(V_L1_Mes)+1)=1,N(V_L1_Monto),CD$282),PMT(N(V_L1_Tasa)/12,N(V_L1_Cuotas),-N(V_L1_Monto))-CE$280),0)*CE$9</f>
        <v>0</v>
      </c>
      <c r="CF281" s="48">
        <f>IF(AND((79-N(V_L1_Mes)+1)&gt;N(V_L1_Gracia),(79-N(V_L1_Mes)+1)&lt;=N(V_L1_Gracia)+N(V_L1_Cuotas),N(V_L1_Cuotas)&gt;0),IF((79-N(V_L1_Mes)+1)=N(V_L1_Gracia)+N(V_L1_Cuotas),IF((79-N(V_L1_Mes)+1)=1,N(V_L1_Monto),CE$282),PMT(N(V_L1_Tasa)/12,N(V_L1_Cuotas),-N(V_L1_Monto))-CF$280),0)*CF$9</f>
        <v>0</v>
      </c>
      <c r="CG281" s="48">
        <f>IF(AND((80-N(V_L1_Mes)+1)&gt;N(V_L1_Gracia),(80-N(V_L1_Mes)+1)&lt;=N(V_L1_Gracia)+N(V_L1_Cuotas),N(V_L1_Cuotas)&gt;0),IF((80-N(V_L1_Mes)+1)=N(V_L1_Gracia)+N(V_L1_Cuotas),IF((80-N(V_L1_Mes)+1)=1,N(V_L1_Monto),CF$282),PMT(N(V_L1_Tasa)/12,N(V_L1_Cuotas),-N(V_L1_Monto))-CG$280),0)*CG$9</f>
        <v>0</v>
      </c>
      <c r="CH281" s="48">
        <f>IF(AND((81-N(V_L1_Mes)+1)&gt;N(V_L1_Gracia),(81-N(V_L1_Mes)+1)&lt;=N(V_L1_Gracia)+N(V_L1_Cuotas),N(V_L1_Cuotas)&gt;0),IF((81-N(V_L1_Mes)+1)=N(V_L1_Gracia)+N(V_L1_Cuotas),IF((81-N(V_L1_Mes)+1)=1,N(V_L1_Monto),CG$282),PMT(N(V_L1_Tasa)/12,N(V_L1_Cuotas),-N(V_L1_Monto))-CH$280),0)*CH$9</f>
        <v>0</v>
      </c>
      <c r="CI281" s="48">
        <f>IF(AND((82-N(V_L1_Mes)+1)&gt;N(V_L1_Gracia),(82-N(V_L1_Mes)+1)&lt;=N(V_L1_Gracia)+N(V_L1_Cuotas),N(V_L1_Cuotas)&gt;0),IF((82-N(V_L1_Mes)+1)=N(V_L1_Gracia)+N(V_L1_Cuotas),IF((82-N(V_L1_Mes)+1)=1,N(V_L1_Monto),CH$282),PMT(N(V_L1_Tasa)/12,N(V_L1_Cuotas),-N(V_L1_Monto))-CI$280),0)*CI$9</f>
        <v>0</v>
      </c>
      <c r="CJ281" s="48">
        <f>IF(AND((83-N(V_L1_Mes)+1)&gt;N(V_L1_Gracia),(83-N(V_L1_Mes)+1)&lt;=N(V_L1_Gracia)+N(V_L1_Cuotas),N(V_L1_Cuotas)&gt;0),IF((83-N(V_L1_Mes)+1)=N(V_L1_Gracia)+N(V_L1_Cuotas),IF((83-N(V_L1_Mes)+1)=1,N(V_L1_Monto),CI$282),PMT(N(V_L1_Tasa)/12,N(V_L1_Cuotas),-N(V_L1_Monto))-CJ$280),0)*CJ$9</f>
        <v>0</v>
      </c>
      <c r="CK281" s="48">
        <f>IF(AND((84-N(V_L1_Mes)+1)&gt;N(V_L1_Gracia),(84-N(V_L1_Mes)+1)&lt;=N(V_L1_Gracia)+N(V_L1_Cuotas),N(V_L1_Cuotas)&gt;0),IF((84-N(V_L1_Mes)+1)=N(V_L1_Gracia)+N(V_L1_Cuotas),IF((84-N(V_L1_Mes)+1)=1,N(V_L1_Monto),CJ$282),PMT(N(V_L1_Tasa)/12,N(V_L1_Cuotas),-N(V_L1_Monto))-CK$280),0)*CK$9</f>
        <v>0</v>
      </c>
      <c r="CL281" s="48">
        <f>IF(AND((85-N(V_L1_Mes)+1)&gt;N(V_L1_Gracia),(85-N(V_L1_Mes)+1)&lt;=N(V_L1_Gracia)+N(V_L1_Cuotas),N(V_L1_Cuotas)&gt;0),IF((85-N(V_L1_Mes)+1)=N(V_L1_Gracia)+N(V_L1_Cuotas),IF((85-N(V_L1_Mes)+1)=1,N(V_L1_Monto),CK$282),PMT(N(V_L1_Tasa)/12,N(V_L1_Cuotas),-N(V_L1_Monto))-CL$280),0)*CL$9</f>
        <v>0</v>
      </c>
      <c r="CM281" s="48">
        <f>IF(AND((86-N(V_L1_Mes)+1)&gt;N(V_L1_Gracia),(86-N(V_L1_Mes)+1)&lt;=N(V_L1_Gracia)+N(V_L1_Cuotas),N(V_L1_Cuotas)&gt;0),IF((86-N(V_L1_Mes)+1)=N(V_L1_Gracia)+N(V_L1_Cuotas),IF((86-N(V_L1_Mes)+1)=1,N(V_L1_Monto),CL$282),PMT(N(V_L1_Tasa)/12,N(V_L1_Cuotas),-N(V_L1_Monto))-CM$280),0)*CM$9</f>
        <v>0</v>
      </c>
      <c r="CN281" s="48">
        <f>IF(AND((87-N(V_L1_Mes)+1)&gt;N(V_L1_Gracia),(87-N(V_L1_Mes)+1)&lt;=N(V_L1_Gracia)+N(V_L1_Cuotas),N(V_L1_Cuotas)&gt;0),IF((87-N(V_L1_Mes)+1)=N(V_L1_Gracia)+N(V_L1_Cuotas),IF((87-N(V_L1_Mes)+1)=1,N(V_L1_Monto),CM$282),PMT(N(V_L1_Tasa)/12,N(V_L1_Cuotas),-N(V_L1_Monto))-CN$280),0)*CN$9</f>
        <v>0</v>
      </c>
      <c r="CO281" s="48">
        <f>IF(AND((88-N(V_L1_Mes)+1)&gt;N(V_L1_Gracia),(88-N(V_L1_Mes)+1)&lt;=N(V_L1_Gracia)+N(V_L1_Cuotas),N(V_L1_Cuotas)&gt;0),IF((88-N(V_L1_Mes)+1)=N(V_L1_Gracia)+N(V_L1_Cuotas),IF((88-N(V_L1_Mes)+1)=1,N(V_L1_Monto),CN$282),PMT(N(V_L1_Tasa)/12,N(V_L1_Cuotas),-N(V_L1_Monto))-CO$280),0)*CO$9</f>
        <v>0</v>
      </c>
      <c r="CP281" s="48">
        <f>IF(AND((89-N(V_L1_Mes)+1)&gt;N(V_L1_Gracia),(89-N(V_L1_Mes)+1)&lt;=N(V_L1_Gracia)+N(V_L1_Cuotas),N(V_L1_Cuotas)&gt;0),IF((89-N(V_L1_Mes)+1)=N(V_L1_Gracia)+N(V_L1_Cuotas),IF((89-N(V_L1_Mes)+1)=1,N(V_L1_Monto),CO$282),PMT(N(V_L1_Tasa)/12,N(V_L1_Cuotas),-N(V_L1_Monto))-CP$280),0)*CP$9</f>
        <v>0</v>
      </c>
      <c r="CQ281" s="48">
        <f>IF(AND((90-N(V_L1_Mes)+1)&gt;N(V_L1_Gracia),(90-N(V_L1_Mes)+1)&lt;=N(V_L1_Gracia)+N(V_L1_Cuotas),N(V_L1_Cuotas)&gt;0),IF((90-N(V_L1_Mes)+1)=N(V_L1_Gracia)+N(V_L1_Cuotas),IF((90-N(V_L1_Mes)+1)=1,N(V_L1_Monto),CP$282),PMT(N(V_L1_Tasa)/12,N(V_L1_Cuotas),-N(V_L1_Monto))-CQ$280),0)*CQ$9</f>
        <v>0</v>
      </c>
      <c r="CR281" s="48">
        <f>IF(AND((91-N(V_L1_Mes)+1)&gt;N(V_L1_Gracia),(91-N(V_L1_Mes)+1)&lt;=N(V_L1_Gracia)+N(V_L1_Cuotas),N(V_L1_Cuotas)&gt;0),IF((91-N(V_L1_Mes)+1)=N(V_L1_Gracia)+N(V_L1_Cuotas),IF((91-N(V_L1_Mes)+1)=1,N(V_L1_Monto),CQ$282),PMT(N(V_L1_Tasa)/12,N(V_L1_Cuotas),-N(V_L1_Monto))-CR$280),0)*CR$9</f>
        <v>0</v>
      </c>
      <c r="CS281" s="48">
        <f>IF(AND((92-N(V_L1_Mes)+1)&gt;N(V_L1_Gracia),(92-N(V_L1_Mes)+1)&lt;=N(V_L1_Gracia)+N(V_L1_Cuotas),N(V_L1_Cuotas)&gt;0),IF((92-N(V_L1_Mes)+1)=N(V_L1_Gracia)+N(V_L1_Cuotas),IF((92-N(V_L1_Mes)+1)=1,N(V_L1_Monto),CR$282),PMT(N(V_L1_Tasa)/12,N(V_L1_Cuotas),-N(V_L1_Monto))-CS$280),0)*CS$9</f>
        <v>0</v>
      </c>
      <c r="CT281" s="48">
        <f>IF(AND((93-N(V_L1_Mes)+1)&gt;N(V_L1_Gracia),(93-N(V_L1_Mes)+1)&lt;=N(V_L1_Gracia)+N(V_L1_Cuotas),N(V_L1_Cuotas)&gt;0),IF((93-N(V_L1_Mes)+1)=N(V_L1_Gracia)+N(V_L1_Cuotas),IF((93-N(V_L1_Mes)+1)=1,N(V_L1_Monto),CS$282),PMT(N(V_L1_Tasa)/12,N(V_L1_Cuotas),-N(V_L1_Monto))-CT$280),0)*CT$9</f>
        <v>0</v>
      </c>
      <c r="CU281" s="48">
        <f>IF(AND((94-N(V_L1_Mes)+1)&gt;N(V_L1_Gracia),(94-N(V_L1_Mes)+1)&lt;=N(V_L1_Gracia)+N(V_L1_Cuotas),N(V_L1_Cuotas)&gt;0),IF((94-N(V_L1_Mes)+1)=N(V_L1_Gracia)+N(V_L1_Cuotas),IF((94-N(V_L1_Mes)+1)=1,N(V_L1_Monto),CT$282),PMT(N(V_L1_Tasa)/12,N(V_L1_Cuotas),-N(V_L1_Monto))-CU$280),0)*CU$9</f>
        <v>0</v>
      </c>
      <c r="CV281" s="48">
        <f>IF(AND((95-N(V_L1_Mes)+1)&gt;N(V_L1_Gracia),(95-N(V_L1_Mes)+1)&lt;=N(V_L1_Gracia)+N(V_L1_Cuotas),N(V_L1_Cuotas)&gt;0),IF((95-N(V_L1_Mes)+1)=N(V_L1_Gracia)+N(V_L1_Cuotas),IF((95-N(V_L1_Mes)+1)=1,N(V_L1_Monto),CU$282),PMT(N(V_L1_Tasa)/12,N(V_L1_Cuotas),-N(V_L1_Monto))-CV$280),0)*CV$9</f>
        <v>0</v>
      </c>
      <c r="CW281" s="48">
        <f>IF(AND((96-N(V_L1_Mes)+1)&gt;N(V_L1_Gracia),(96-N(V_L1_Mes)+1)&lt;=N(V_L1_Gracia)+N(V_L1_Cuotas),N(V_L1_Cuotas)&gt;0),IF((96-N(V_L1_Mes)+1)=N(V_L1_Gracia)+N(V_L1_Cuotas),IF((96-N(V_L1_Mes)+1)=1,N(V_L1_Monto),CV$282),PMT(N(V_L1_Tasa)/12,N(V_L1_Cuotas),-N(V_L1_Monto))-CW$280),0)*CW$9</f>
        <v>0</v>
      </c>
      <c r="CX281" s="48">
        <f>IF(AND((97-N(V_L1_Mes)+1)&gt;N(V_L1_Gracia),(97-N(V_L1_Mes)+1)&lt;=N(V_L1_Gracia)+N(V_L1_Cuotas),N(V_L1_Cuotas)&gt;0),IF((97-N(V_L1_Mes)+1)=N(V_L1_Gracia)+N(V_L1_Cuotas),IF((97-N(V_L1_Mes)+1)=1,N(V_L1_Monto),CW$282),PMT(N(V_L1_Tasa)/12,N(V_L1_Cuotas),-N(V_L1_Monto))-CX$280),0)*CX$9</f>
        <v>0</v>
      </c>
      <c r="CY281" s="48">
        <f>IF(AND((98-N(V_L1_Mes)+1)&gt;N(V_L1_Gracia),(98-N(V_L1_Mes)+1)&lt;=N(V_L1_Gracia)+N(V_L1_Cuotas),N(V_L1_Cuotas)&gt;0),IF((98-N(V_L1_Mes)+1)=N(V_L1_Gracia)+N(V_L1_Cuotas),IF((98-N(V_L1_Mes)+1)=1,N(V_L1_Monto),CX$282),PMT(N(V_L1_Tasa)/12,N(V_L1_Cuotas),-N(V_L1_Monto))-CY$280),0)*CY$9</f>
        <v>0</v>
      </c>
      <c r="CZ281" s="48">
        <f>IF(AND((99-N(V_L1_Mes)+1)&gt;N(V_L1_Gracia),(99-N(V_L1_Mes)+1)&lt;=N(V_L1_Gracia)+N(V_L1_Cuotas),N(V_L1_Cuotas)&gt;0),IF((99-N(V_L1_Mes)+1)=N(V_L1_Gracia)+N(V_L1_Cuotas),IF((99-N(V_L1_Mes)+1)=1,N(V_L1_Monto),CY$282),PMT(N(V_L1_Tasa)/12,N(V_L1_Cuotas),-N(V_L1_Monto))-CZ$280),0)*CZ$9</f>
        <v>0</v>
      </c>
      <c r="DA281" s="48">
        <f>IF(AND((100-N(V_L1_Mes)+1)&gt;N(V_L1_Gracia),(100-N(V_L1_Mes)+1)&lt;=N(V_L1_Gracia)+N(V_L1_Cuotas),N(V_L1_Cuotas)&gt;0),IF((100-N(V_L1_Mes)+1)=N(V_L1_Gracia)+N(V_L1_Cuotas),IF((100-N(V_L1_Mes)+1)=1,N(V_L1_Monto),CZ$282),PMT(N(V_L1_Tasa)/12,N(V_L1_Cuotas),-N(V_L1_Monto))-DA$280),0)*DA$9</f>
        <v>0</v>
      </c>
      <c r="DB281" s="48">
        <f>IF(AND((101-N(V_L1_Mes)+1)&gt;N(V_L1_Gracia),(101-N(V_L1_Mes)+1)&lt;=N(V_L1_Gracia)+N(V_L1_Cuotas),N(V_L1_Cuotas)&gt;0),IF((101-N(V_L1_Mes)+1)=N(V_L1_Gracia)+N(V_L1_Cuotas),IF((101-N(V_L1_Mes)+1)=1,N(V_L1_Monto),DA$282),PMT(N(V_L1_Tasa)/12,N(V_L1_Cuotas),-N(V_L1_Monto))-DB$280),0)*DB$9</f>
        <v>0</v>
      </c>
      <c r="DC281" s="48">
        <f>IF(AND((102-N(V_L1_Mes)+1)&gt;N(V_L1_Gracia),(102-N(V_L1_Mes)+1)&lt;=N(V_L1_Gracia)+N(V_L1_Cuotas),N(V_L1_Cuotas)&gt;0),IF((102-N(V_L1_Mes)+1)=N(V_L1_Gracia)+N(V_L1_Cuotas),IF((102-N(V_L1_Mes)+1)=1,N(V_L1_Monto),DB$282),PMT(N(V_L1_Tasa)/12,N(V_L1_Cuotas),-N(V_L1_Monto))-DC$280),0)*DC$9</f>
        <v>0</v>
      </c>
      <c r="DD281" s="48">
        <f>IF(AND((103-N(V_L1_Mes)+1)&gt;N(V_L1_Gracia),(103-N(V_L1_Mes)+1)&lt;=N(V_L1_Gracia)+N(V_L1_Cuotas),N(V_L1_Cuotas)&gt;0),IF((103-N(V_L1_Mes)+1)=N(V_L1_Gracia)+N(V_L1_Cuotas),IF((103-N(V_L1_Mes)+1)=1,N(V_L1_Monto),DC$282),PMT(N(V_L1_Tasa)/12,N(V_L1_Cuotas),-N(V_L1_Monto))-DD$280),0)*DD$9</f>
        <v>0</v>
      </c>
      <c r="DE281" s="48">
        <f>IF(AND((104-N(V_L1_Mes)+1)&gt;N(V_L1_Gracia),(104-N(V_L1_Mes)+1)&lt;=N(V_L1_Gracia)+N(V_L1_Cuotas),N(V_L1_Cuotas)&gt;0),IF((104-N(V_L1_Mes)+1)=N(V_L1_Gracia)+N(V_L1_Cuotas),IF((104-N(V_L1_Mes)+1)=1,N(V_L1_Monto),DD$282),PMT(N(V_L1_Tasa)/12,N(V_L1_Cuotas),-N(V_L1_Monto))-DE$280),0)*DE$9</f>
        <v>0</v>
      </c>
      <c r="DF281" s="48">
        <f>IF(AND((105-N(V_L1_Mes)+1)&gt;N(V_L1_Gracia),(105-N(V_L1_Mes)+1)&lt;=N(V_L1_Gracia)+N(V_L1_Cuotas),N(V_L1_Cuotas)&gt;0),IF((105-N(V_L1_Mes)+1)=N(V_L1_Gracia)+N(V_L1_Cuotas),IF((105-N(V_L1_Mes)+1)=1,N(V_L1_Monto),DE$282),PMT(N(V_L1_Tasa)/12,N(V_L1_Cuotas),-N(V_L1_Monto))-DF$280),0)*DF$9</f>
        <v>0</v>
      </c>
      <c r="DG281" s="48">
        <f>IF(AND((106-N(V_L1_Mes)+1)&gt;N(V_L1_Gracia),(106-N(V_L1_Mes)+1)&lt;=N(V_L1_Gracia)+N(V_L1_Cuotas),N(V_L1_Cuotas)&gt;0),IF((106-N(V_L1_Mes)+1)=N(V_L1_Gracia)+N(V_L1_Cuotas),IF((106-N(V_L1_Mes)+1)=1,N(V_L1_Monto),DF$282),PMT(N(V_L1_Tasa)/12,N(V_L1_Cuotas),-N(V_L1_Monto))-DG$280),0)*DG$9</f>
        <v>0</v>
      </c>
      <c r="DH281" s="48">
        <f>IF(AND((107-N(V_L1_Mes)+1)&gt;N(V_L1_Gracia),(107-N(V_L1_Mes)+1)&lt;=N(V_L1_Gracia)+N(V_L1_Cuotas),N(V_L1_Cuotas)&gt;0),IF((107-N(V_L1_Mes)+1)=N(V_L1_Gracia)+N(V_L1_Cuotas),IF((107-N(V_L1_Mes)+1)=1,N(V_L1_Monto),DG$282),PMT(N(V_L1_Tasa)/12,N(V_L1_Cuotas),-N(V_L1_Monto))-DH$280),0)*DH$9</f>
        <v>0</v>
      </c>
      <c r="DI281" s="48">
        <f>IF(AND((108-N(V_L1_Mes)+1)&gt;N(V_L1_Gracia),(108-N(V_L1_Mes)+1)&lt;=N(V_L1_Gracia)+N(V_L1_Cuotas),N(V_L1_Cuotas)&gt;0),IF((108-N(V_L1_Mes)+1)=N(V_L1_Gracia)+N(V_L1_Cuotas),IF((108-N(V_L1_Mes)+1)=1,N(V_L1_Monto),DH$282),PMT(N(V_L1_Tasa)/12,N(V_L1_Cuotas),-N(V_L1_Monto))-DI$280),0)*DI$9</f>
        <v>0</v>
      </c>
      <c r="DJ281" s="48">
        <f>IF(AND((109-N(V_L1_Mes)+1)&gt;N(V_L1_Gracia),(109-N(V_L1_Mes)+1)&lt;=N(V_L1_Gracia)+N(V_L1_Cuotas),N(V_L1_Cuotas)&gt;0),IF((109-N(V_L1_Mes)+1)=N(V_L1_Gracia)+N(V_L1_Cuotas),IF((109-N(V_L1_Mes)+1)=1,N(V_L1_Monto),DI$282),PMT(N(V_L1_Tasa)/12,N(V_L1_Cuotas),-N(V_L1_Monto))-DJ$280),0)*DJ$9</f>
        <v>0</v>
      </c>
      <c r="DK281" s="48">
        <f>IF(AND((110-N(V_L1_Mes)+1)&gt;N(V_L1_Gracia),(110-N(V_L1_Mes)+1)&lt;=N(V_L1_Gracia)+N(V_L1_Cuotas),N(V_L1_Cuotas)&gt;0),IF((110-N(V_L1_Mes)+1)=N(V_L1_Gracia)+N(V_L1_Cuotas),IF((110-N(V_L1_Mes)+1)=1,N(V_L1_Monto),DJ$282),PMT(N(V_L1_Tasa)/12,N(V_L1_Cuotas),-N(V_L1_Monto))-DK$280),0)*DK$9</f>
        <v>0</v>
      </c>
      <c r="DL281" s="48">
        <f>IF(AND((111-N(V_L1_Mes)+1)&gt;N(V_L1_Gracia),(111-N(V_L1_Mes)+1)&lt;=N(V_L1_Gracia)+N(V_L1_Cuotas),N(V_L1_Cuotas)&gt;0),IF((111-N(V_L1_Mes)+1)=N(V_L1_Gracia)+N(V_L1_Cuotas),IF((111-N(V_L1_Mes)+1)=1,N(V_L1_Monto),DK$282),PMT(N(V_L1_Tasa)/12,N(V_L1_Cuotas),-N(V_L1_Monto))-DL$280),0)*DL$9</f>
        <v>0</v>
      </c>
      <c r="DM281" s="48">
        <f>IF(AND((112-N(V_L1_Mes)+1)&gt;N(V_L1_Gracia),(112-N(V_L1_Mes)+1)&lt;=N(V_L1_Gracia)+N(V_L1_Cuotas),N(V_L1_Cuotas)&gt;0),IF((112-N(V_L1_Mes)+1)=N(V_L1_Gracia)+N(V_L1_Cuotas),IF((112-N(V_L1_Mes)+1)=1,N(V_L1_Monto),DL$282),PMT(N(V_L1_Tasa)/12,N(V_L1_Cuotas),-N(V_L1_Monto))-DM$280),0)*DM$9</f>
        <v>0</v>
      </c>
      <c r="DN281" s="48">
        <f>IF(AND((113-N(V_L1_Mes)+1)&gt;N(V_L1_Gracia),(113-N(V_L1_Mes)+1)&lt;=N(V_L1_Gracia)+N(V_L1_Cuotas),N(V_L1_Cuotas)&gt;0),IF((113-N(V_L1_Mes)+1)=N(V_L1_Gracia)+N(V_L1_Cuotas),IF((113-N(V_L1_Mes)+1)=1,N(V_L1_Monto),DM$282),PMT(N(V_L1_Tasa)/12,N(V_L1_Cuotas),-N(V_L1_Monto))-DN$280),0)*DN$9</f>
        <v>0</v>
      </c>
      <c r="DO281" s="48">
        <f>IF(AND((114-N(V_L1_Mes)+1)&gt;N(V_L1_Gracia),(114-N(V_L1_Mes)+1)&lt;=N(V_L1_Gracia)+N(V_L1_Cuotas),N(V_L1_Cuotas)&gt;0),IF((114-N(V_L1_Mes)+1)=N(V_L1_Gracia)+N(V_L1_Cuotas),IF((114-N(V_L1_Mes)+1)=1,N(V_L1_Monto),DN$282),PMT(N(V_L1_Tasa)/12,N(V_L1_Cuotas),-N(V_L1_Monto))-DO$280),0)*DO$9</f>
        <v>0</v>
      </c>
      <c r="DP281" s="48">
        <f>IF(AND((115-N(V_L1_Mes)+1)&gt;N(V_L1_Gracia),(115-N(V_L1_Mes)+1)&lt;=N(V_L1_Gracia)+N(V_L1_Cuotas),N(V_L1_Cuotas)&gt;0),IF((115-N(V_L1_Mes)+1)=N(V_L1_Gracia)+N(V_L1_Cuotas),IF((115-N(V_L1_Mes)+1)=1,N(V_L1_Monto),DO$282),PMT(N(V_L1_Tasa)/12,N(V_L1_Cuotas),-N(V_L1_Monto))-DP$280),0)*DP$9</f>
        <v>0</v>
      </c>
      <c r="DQ281" s="48">
        <f>IF(AND((116-N(V_L1_Mes)+1)&gt;N(V_L1_Gracia),(116-N(V_L1_Mes)+1)&lt;=N(V_L1_Gracia)+N(V_L1_Cuotas),N(V_L1_Cuotas)&gt;0),IF((116-N(V_L1_Mes)+1)=N(V_L1_Gracia)+N(V_L1_Cuotas),IF((116-N(V_L1_Mes)+1)=1,N(V_L1_Monto),DP$282),PMT(N(V_L1_Tasa)/12,N(V_L1_Cuotas),-N(V_L1_Monto))-DQ$280),0)*DQ$9</f>
        <v>0</v>
      </c>
      <c r="DR281" s="48">
        <f>IF(AND((117-N(V_L1_Mes)+1)&gt;N(V_L1_Gracia),(117-N(V_L1_Mes)+1)&lt;=N(V_L1_Gracia)+N(V_L1_Cuotas),N(V_L1_Cuotas)&gt;0),IF((117-N(V_L1_Mes)+1)=N(V_L1_Gracia)+N(V_L1_Cuotas),IF((117-N(V_L1_Mes)+1)=1,N(V_L1_Monto),DQ$282),PMT(N(V_L1_Tasa)/12,N(V_L1_Cuotas),-N(V_L1_Monto))-DR$280),0)*DR$9</f>
        <v>0</v>
      </c>
      <c r="DS281" s="48">
        <f>IF(AND((118-N(V_L1_Mes)+1)&gt;N(V_L1_Gracia),(118-N(V_L1_Mes)+1)&lt;=N(V_L1_Gracia)+N(V_L1_Cuotas),N(V_L1_Cuotas)&gt;0),IF((118-N(V_L1_Mes)+1)=N(V_L1_Gracia)+N(V_L1_Cuotas),IF((118-N(V_L1_Mes)+1)=1,N(V_L1_Monto),DR$282),PMT(N(V_L1_Tasa)/12,N(V_L1_Cuotas),-N(V_L1_Monto))-DS$280),0)*DS$9</f>
        <v>0</v>
      </c>
      <c r="DT281" s="48">
        <f>IF(AND((119-N(V_L1_Mes)+1)&gt;N(V_L1_Gracia),(119-N(V_L1_Mes)+1)&lt;=N(V_L1_Gracia)+N(V_L1_Cuotas),N(V_L1_Cuotas)&gt;0),IF((119-N(V_L1_Mes)+1)=N(V_L1_Gracia)+N(V_L1_Cuotas),IF((119-N(V_L1_Mes)+1)=1,N(V_L1_Monto),DS$282),PMT(N(V_L1_Tasa)/12,N(V_L1_Cuotas),-N(V_L1_Monto))-DT$280),0)*DT$9</f>
        <v>0</v>
      </c>
      <c r="DU281" s="48">
        <f>IF(AND((120-N(V_L1_Mes)+1)&gt;N(V_L1_Gracia),(120-N(V_L1_Mes)+1)&lt;=N(V_L1_Gracia)+N(V_L1_Cuotas),N(V_L1_Cuotas)&gt;0),IF((120-N(V_L1_Mes)+1)=N(V_L1_Gracia)+N(V_L1_Cuotas),IF((120-N(V_L1_Mes)+1)=1,N(V_L1_Monto),DT$282),PMT(N(V_L1_Tasa)/12,N(V_L1_Cuotas),-N(V_L1_Monto))-DU$280),0)*DU$9</f>
        <v>0</v>
      </c>
      <c r="DV281" s="48">
        <f>IF(AND((121-N(V_L1_Mes)+1)&gt;N(V_L1_Gracia),(121-N(V_L1_Mes)+1)&lt;=N(V_L1_Gracia)+N(V_L1_Cuotas),N(V_L1_Cuotas)&gt;0),IF((121-N(V_L1_Mes)+1)=N(V_L1_Gracia)+N(V_L1_Cuotas),IF((121-N(V_L1_Mes)+1)=1,N(V_L1_Monto),DU$282),PMT(N(V_L1_Tasa)/12,N(V_L1_Cuotas),-N(V_L1_Monto))-DV$280),0)*DV$9</f>
        <v>0</v>
      </c>
      <c r="DW281" s="48">
        <f>IF(AND((122-N(V_L1_Mes)+1)&gt;N(V_L1_Gracia),(122-N(V_L1_Mes)+1)&lt;=N(V_L1_Gracia)+N(V_L1_Cuotas),N(V_L1_Cuotas)&gt;0),IF((122-N(V_L1_Mes)+1)=N(V_L1_Gracia)+N(V_L1_Cuotas),IF((122-N(V_L1_Mes)+1)=1,N(V_L1_Monto),DV$282),PMT(N(V_L1_Tasa)/12,N(V_L1_Cuotas),-N(V_L1_Monto))-DW$280),0)*DW$9</f>
        <v>0</v>
      </c>
      <c r="DX281" s="48">
        <f>IF(AND((123-N(V_L1_Mes)+1)&gt;N(V_L1_Gracia),(123-N(V_L1_Mes)+1)&lt;=N(V_L1_Gracia)+N(V_L1_Cuotas),N(V_L1_Cuotas)&gt;0),IF((123-N(V_L1_Mes)+1)=N(V_L1_Gracia)+N(V_L1_Cuotas),IF((123-N(V_L1_Mes)+1)=1,N(V_L1_Monto),DW$282),PMT(N(V_L1_Tasa)/12,N(V_L1_Cuotas),-N(V_L1_Monto))-DX$280),0)*DX$9</f>
        <v>0</v>
      </c>
      <c r="DY281" s="48">
        <f>IF(AND((124-N(V_L1_Mes)+1)&gt;N(V_L1_Gracia),(124-N(V_L1_Mes)+1)&lt;=N(V_L1_Gracia)+N(V_L1_Cuotas),N(V_L1_Cuotas)&gt;0),IF((124-N(V_L1_Mes)+1)=N(V_L1_Gracia)+N(V_L1_Cuotas),IF((124-N(V_L1_Mes)+1)=1,N(V_L1_Monto),DX$282),PMT(N(V_L1_Tasa)/12,N(V_L1_Cuotas),-N(V_L1_Monto))-DY$280),0)*DY$9</f>
        <v>0</v>
      </c>
      <c r="DZ281" s="48">
        <f>IF(AND((125-N(V_L1_Mes)+1)&gt;N(V_L1_Gracia),(125-N(V_L1_Mes)+1)&lt;=N(V_L1_Gracia)+N(V_L1_Cuotas),N(V_L1_Cuotas)&gt;0),IF((125-N(V_L1_Mes)+1)=N(V_L1_Gracia)+N(V_L1_Cuotas),IF((125-N(V_L1_Mes)+1)=1,N(V_L1_Monto),DY$282),PMT(N(V_L1_Tasa)/12,N(V_L1_Cuotas),-N(V_L1_Monto))-DZ$280),0)*DZ$9</f>
        <v>0</v>
      </c>
      <c r="EA281" s="48">
        <f>IF(AND((126-N(V_L1_Mes)+1)&gt;N(V_L1_Gracia),(126-N(V_L1_Mes)+1)&lt;=N(V_L1_Gracia)+N(V_L1_Cuotas),N(V_L1_Cuotas)&gt;0),IF((126-N(V_L1_Mes)+1)=N(V_L1_Gracia)+N(V_L1_Cuotas),IF((126-N(V_L1_Mes)+1)=1,N(V_L1_Monto),DZ$282),PMT(N(V_L1_Tasa)/12,N(V_L1_Cuotas),-N(V_L1_Monto))-EA$280),0)*EA$9</f>
        <v>0</v>
      </c>
      <c r="EB281" s="48">
        <f>IF(AND((127-N(V_L1_Mes)+1)&gt;N(V_L1_Gracia),(127-N(V_L1_Mes)+1)&lt;=N(V_L1_Gracia)+N(V_L1_Cuotas),N(V_L1_Cuotas)&gt;0),IF((127-N(V_L1_Mes)+1)=N(V_L1_Gracia)+N(V_L1_Cuotas),IF((127-N(V_L1_Mes)+1)=1,N(V_L1_Monto),EA$282),PMT(N(V_L1_Tasa)/12,N(V_L1_Cuotas),-N(V_L1_Monto))-EB$280),0)*EB$9</f>
        <v>0</v>
      </c>
      <c r="EC281" s="48">
        <f>IF(AND((128-N(V_L1_Mes)+1)&gt;N(V_L1_Gracia),(128-N(V_L1_Mes)+1)&lt;=N(V_L1_Gracia)+N(V_L1_Cuotas),N(V_L1_Cuotas)&gt;0),IF((128-N(V_L1_Mes)+1)=N(V_L1_Gracia)+N(V_L1_Cuotas),IF((128-N(V_L1_Mes)+1)=1,N(V_L1_Monto),EB$282),PMT(N(V_L1_Tasa)/12,N(V_L1_Cuotas),-N(V_L1_Monto))-EC$280),0)*EC$9</f>
        <v>0</v>
      </c>
      <c r="ED281" s="48">
        <f>IF(AND((129-N(V_L1_Mes)+1)&gt;N(V_L1_Gracia),(129-N(V_L1_Mes)+1)&lt;=N(V_L1_Gracia)+N(V_L1_Cuotas),N(V_L1_Cuotas)&gt;0),IF((129-N(V_L1_Mes)+1)=N(V_L1_Gracia)+N(V_L1_Cuotas),IF((129-N(V_L1_Mes)+1)=1,N(V_L1_Monto),EC$282),PMT(N(V_L1_Tasa)/12,N(V_L1_Cuotas),-N(V_L1_Monto))-ED$280),0)*ED$9</f>
        <v>0</v>
      </c>
      <c r="EE281" s="48">
        <f>IF(AND((130-N(V_L1_Mes)+1)&gt;N(V_L1_Gracia),(130-N(V_L1_Mes)+1)&lt;=N(V_L1_Gracia)+N(V_L1_Cuotas),N(V_L1_Cuotas)&gt;0),IF((130-N(V_L1_Mes)+1)=N(V_L1_Gracia)+N(V_L1_Cuotas),IF((130-N(V_L1_Mes)+1)=1,N(V_L1_Monto),ED$282),PMT(N(V_L1_Tasa)/12,N(V_L1_Cuotas),-N(V_L1_Monto))-EE$280),0)*EE$9</f>
        <v>0</v>
      </c>
      <c r="EF281" s="48">
        <f>IF(AND((131-N(V_L1_Mes)+1)&gt;N(V_L1_Gracia),(131-N(V_L1_Mes)+1)&lt;=N(V_L1_Gracia)+N(V_L1_Cuotas),N(V_L1_Cuotas)&gt;0),IF((131-N(V_L1_Mes)+1)=N(V_L1_Gracia)+N(V_L1_Cuotas),IF((131-N(V_L1_Mes)+1)=1,N(V_L1_Monto),EE$282),PMT(N(V_L1_Tasa)/12,N(V_L1_Cuotas),-N(V_L1_Monto))-EF$280),0)*EF$9</f>
        <v>0</v>
      </c>
      <c r="EG281" s="48">
        <f>IF(AND((132-N(V_L1_Mes)+1)&gt;N(V_L1_Gracia),(132-N(V_L1_Mes)+1)&lt;=N(V_L1_Gracia)+N(V_L1_Cuotas),N(V_L1_Cuotas)&gt;0),IF((132-N(V_L1_Mes)+1)=N(V_L1_Gracia)+N(V_L1_Cuotas),IF((132-N(V_L1_Mes)+1)=1,N(V_L1_Monto),EF$282),PMT(N(V_L1_Tasa)/12,N(V_L1_Cuotas),-N(V_L1_Monto))-EG$280),0)*EG$9</f>
        <v>0</v>
      </c>
      <c r="EH281" s="48">
        <f>IF(AND((133-N(V_L1_Mes)+1)&gt;N(V_L1_Gracia),(133-N(V_L1_Mes)+1)&lt;=N(V_L1_Gracia)+N(V_L1_Cuotas),N(V_L1_Cuotas)&gt;0),IF((133-N(V_L1_Mes)+1)=N(V_L1_Gracia)+N(V_L1_Cuotas),IF((133-N(V_L1_Mes)+1)=1,N(V_L1_Monto),EG$282),PMT(N(V_L1_Tasa)/12,N(V_L1_Cuotas),-N(V_L1_Monto))-EH$280),0)*EH$9</f>
        <v>0</v>
      </c>
      <c r="EI281" s="48">
        <f>IF(AND((134-N(V_L1_Mes)+1)&gt;N(V_L1_Gracia),(134-N(V_L1_Mes)+1)&lt;=N(V_L1_Gracia)+N(V_L1_Cuotas),N(V_L1_Cuotas)&gt;0),IF((134-N(V_L1_Mes)+1)=N(V_L1_Gracia)+N(V_L1_Cuotas),IF((134-N(V_L1_Mes)+1)=1,N(V_L1_Monto),EH$282),PMT(N(V_L1_Tasa)/12,N(V_L1_Cuotas),-N(V_L1_Monto))-EI$280),0)*EI$9</f>
        <v>0</v>
      </c>
      <c r="EJ281" s="48">
        <f>IF(AND((135-N(V_L1_Mes)+1)&gt;N(V_L1_Gracia),(135-N(V_L1_Mes)+1)&lt;=N(V_L1_Gracia)+N(V_L1_Cuotas),N(V_L1_Cuotas)&gt;0),IF((135-N(V_L1_Mes)+1)=N(V_L1_Gracia)+N(V_L1_Cuotas),IF((135-N(V_L1_Mes)+1)=1,N(V_L1_Monto),EI$282),PMT(N(V_L1_Tasa)/12,N(V_L1_Cuotas),-N(V_L1_Monto))-EJ$280),0)*EJ$9</f>
        <v>0</v>
      </c>
      <c r="EK281" s="48">
        <f>IF(AND((136-N(V_L1_Mes)+1)&gt;N(V_L1_Gracia),(136-N(V_L1_Mes)+1)&lt;=N(V_L1_Gracia)+N(V_L1_Cuotas),N(V_L1_Cuotas)&gt;0),IF((136-N(V_L1_Mes)+1)=N(V_L1_Gracia)+N(V_L1_Cuotas),IF((136-N(V_L1_Mes)+1)=1,N(V_L1_Monto),EJ$282),PMT(N(V_L1_Tasa)/12,N(V_L1_Cuotas),-N(V_L1_Monto))-EK$280),0)*EK$9</f>
        <v>0</v>
      </c>
      <c r="EL281" s="48">
        <f>IF(AND((137-N(V_L1_Mes)+1)&gt;N(V_L1_Gracia),(137-N(V_L1_Mes)+1)&lt;=N(V_L1_Gracia)+N(V_L1_Cuotas),N(V_L1_Cuotas)&gt;0),IF((137-N(V_L1_Mes)+1)=N(V_L1_Gracia)+N(V_L1_Cuotas),IF((137-N(V_L1_Mes)+1)=1,N(V_L1_Monto),EK$282),PMT(N(V_L1_Tasa)/12,N(V_L1_Cuotas),-N(V_L1_Monto))-EL$280),0)*EL$9</f>
        <v>0</v>
      </c>
      <c r="EM281" s="48">
        <f>IF(AND((138-N(V_L1_Mes)+1)&gt;N(V_L1_Gracia),(138-N(V_L1_Mes)+1)&lt;=N(V_L1_Gracia)+N(V_L1_Cuotas),N(V_L1_Cuotas)&gt;0),IF((138-N(V_L1_Mes)+1)=N(V_L1_Gracia)+N(V_L1_Cuotas),IF((138-N(V_L1_Mes)+1)=1,N(V_L1_Monto),EL$282),PMT(N(V_L1_Tasa)/12,N(V_L1_Cuotas),-N(V_L1_Monto))-EM$280),0)*EM$9</f>
        <v>0</v>
      </c>
      <c r="EN281" s="48">
        <f>IF(AND((139-N(V_L1_Mes)+1)&gt;N(V_L1_Gracia),(139-N(V_L1_Mes)+1)&lt;=N(V_L1_Gracia)+N(V_L1_Cuotas),N(V_L1_Cuotas)&gt;0),IF((139-N(V_L1_Mes)+1)=N(V_L1_Gracia)+N(V_L1_Cuotas),IF((139-N(V_L1_Mes)+1)=1,N(V_L1_Monto),EM$282),PMT(N(V_L1_Tasa)/12,N(V_L1_Cuotas),-N(V_L1_Monto))-EN$280),0)*EN$9</f>
        <v>0</v>
      </c>
      <c r="EO281" s="48">
        <f>IF(AND((140-N(V_L1_Mes)+1)&gt;N(V_L1_Gracia),(140-N(V_L1_Mes)+1)&lt;=N(V_L1_Gracia)+N(V_L1_Cuotas),N(V_L1_Cuotas)&gt;0),IF((140-N(V_L1_Mes)+1)=N(V_L1_Gracia)+N(V_L1_Cuotas),IF((140-N(V_L1_Mes)+1)=1,N(V_L1_Monto),EN$282),PMT(N(V_L1_Tasa)/12,N(V_L1_Cuotas),-N(V_L1_Monto))-EO$280),0)*EO$9</f>
        <v>0</v>
      </c>
      <c r="EP281" s="48">
        <f>IF(AND((141-N(V_L1_Mes)+1)&gt;N(V_L1_Gracia),(141-N(V_L1_Mes)+1)&lt;=N(V_L1_Gracia)+N(V_L1_Cuotas),N(V_L1_Cuotas)&gt;0),IF((141-N(V_L1_Mes)+1)=N(V_L1_Gracia)+N(V_L1_Cuotas),IF((141-N(V_L1_Mes)+1)=1,N(V_L1_Monto),EO$282),PMT(N(V_L1_Tasa)/12,N(V_L1_Cuotas),-N(V_L1_Monto))-EP$280),0)*EP$9</f>
        <v>0</v>
      </c>
      <c r="EQ281" s="48">
        <f>IF(AND((142-N(V_L1_Mes)+1)&gt;N(V_L1_Gracia),(142-N(V_L1_Mes)+1)&lt;=N(V_L1_Gracia)+N(V_L1_Cuotas),N(V_L1_Cuotas)&gt;0),IF((142-N(V_L1_Mes)+1)=N(V_L1_Gracia)+N(V_L1_Cuotas),IF((142-N(V_L1_Mes)+1)=1,N(V_L1_Monto),EP$282),PMT(N(V_L1_Tasa)/12,N(V_L1_Cuotas),-N(V_L1_Monto))-EQ$280),0)*EQ$9</f>
        <v>0</v>
      </c>
      <c r="ER281" s="48">
        <f>IF(AND((143-N(V_L1_Mes)+1)&gt;N(V_L1_Gracia),(143-N(V_L1_Mes)+1)&lt;=N(V_L1_Gracia)+N(V_L1_Cuotas),N(V_L1_Cuotas)&gt;0),IF((143-N(V_L1_Mes)+1)=N(V_L1_Gracia)+N(V_L1_Cuotas),IF((143-N(V_L1_Mes)+1)=1,N(V_L1_Monto),EQ$282),PMT(N(V_L1_Tasa)/12,N(V_L1_Cuotas),-N(V_L1_Monto))-ER$280),0)*ER$9</f>
        <v>0</v>
      </c>
      <c r="ES281" s="48">
        <f>IF(AND((144-N(V_L1_Mes)+1)&gt;N(V_L1_Gracia),(144-N(V_L1_Mes)+1)&lt;=N(V_L1_Gracia)+N(V_L1_Cuotas),N(V_L1_Cuotas)&gt;0),IF((144-N(V_L1_Mes)+1)=N(V_L1_Gracia)+N(V_L1_Cuotas),IF((144-N(V_L1_Mes)+1)=1,N(V_L1_Monto),ER$282),PMT(N(V_L1_Tasa)/12,N(V_L1_Cuotas),-N(V_L1_Monto))-ES$280),0)*ES$9</f>
        <v>0</v>
      </c>
    </row>
    <row r="282" spans="1:149" x14ac:dyDescent="0.3">
      <c r="A282" s="14" t="s">
        <v>1332</v>
      </c>
      <c r="B282" s="18" t="s">
        <v>1149</v>
      </c>
      <c r="C282" s="18" t="s">
        <v>439</v>
      </c>
      <c r="E282" s="54">
        <f>INDEX(F282:ES282,1,MIN(144,Fin))</f>
        <v>0</v>
      </c>
      <c r="F282" s="48">
        <f>IF((1-N(V_L1_Mes)+1)&lt;1,0,IF((1-N(V_L1_Mes)+1)=1,N(V_L1_Monto),0)-F$281)</f>
        <v>2791587</v>
      </c>
      <c r="G282" s="48">
        <f>IF((2-N(V_L1_Mes)+1)&lt;1,0,IF((2-N(V_L1_Mes)+1)=1,N(V_L1_Monto),F$282)-G$281)</f>
        <v>2791587</v>
      </c>
      <c r="H282" s="48">
        <f>IF((3-N(V_L1_Mes)+1)&lt;1,0,IF((3-N(V_L1_Mes)+1)=1,N(V_L1_Monto),G$282)-H$281)</f>
        <v>2791587</v>
      </c>
      <c r="I282" s="48">
        <f>IF((4-N(V_L1_Mes)+1)&lt;1,0,IF((4-N(V_L1_Mes)+1)=1,N(V_L1_Monto),H$282)-I$281)</f>
        <v>2791587</v>
      </c>
      <c r="J282" s="48">
        <f>IF((5-N(V_L1_Mes)+1)&lt;1,0,IF((5-N(V_L1_Mes)+1)=1,N(V_L1_Monto),I$282)-J$281)</f>
        <v>2791587</v>
      </c>
      <c r="K282" s="48">
        <f>IF((6-N(V_L1_Mes)+1)&lt;1,0,IF((6-N(V_L1_Mes)+1)=1,N(V_L1_Monto),J$282)-K$281)</f>
        <v>2791587</v>
      </c>
      <c r="L282" s="48">
        <f>IF((7-N(V_L1_Mes)+1)&lt;1,0,IF((7-N(V_L1_Mes)+1)=1,N(V_L1_Monto),K$282)-L$281)</f>
        <v>2749463.6959053124</v>
      </c>
      <c r="M282" s="48">
        <f>IF((8-N(V_L1_Mes)+1)&lt;1,0,IF((8-N(V_L1_Mes)+1)=1,N(V_L1_Monto),L$282)-M$281)</f>
        <v>2707024.4670299147</v>
      </c>
      <c r="N282" s="48">
        <f>IF((9-N(V_L1_Mes)+1)&lt;1,0,IF((9-N(V_L1_Mes)+1)=1,N(V_L1_Monto),M$282)-N$281)</f>
        <v>2664266.9439379512</v>
      </c>
      <c r="O282" s="48">
        <f>IF((10-N(V_L1_Mes)+1)&lt;1,0,IF((10-N(V_L1_Mes)+1)=1,N(V_L1_Monto),N$282)-O$281)</f>
        <v>2621188.7394227982</v>
      </c>
      <c r="P282" s="48">
        <f>IF((11-N(V_L1_Mes)+1)&lt;1,0,IF((11-N(V_L1_Mes)+1)=1,N(V_L1_Monto),O$282)-P$281)</f>
        <v>2577787.4483737815</v>
      </c>
      <c r="Q282" s="48">
        <f>IF((12-N(V_L1_Mes)+1)&lt;1,0,IF((12-N(V_L1_Mes)+1)=1,N(V_L1_Monto),P$282)-Q$281)</f>
        <v>2534060.6476418972</v>
      </c>
      <c r="R282" s="48">
        <f>IF((13-N(V_L1_Mes)+1)&lt;1,0,IF((13-N(V_L1_Mes)+1)=1,N(V_L1_Monto),Q$282)-R$281)</f>
        <v>2490005.8959045238</v>
      </c>
      <c r="S282" s="48">
        <f>IF((14-N(V_L1_Mes)+1)&lt;1,0,IF((14-N(V_L1_Mes)+1)=1,N(V_L1_Monto),R$282)-S$281)</f>
        <v>2445620.7335291198</v>
      </c>
      <c r="T282" s="48">
        <f>IF((15-N(V_L1_Mes)+1)&lt;1,0,IF((15-N(V_L1_Mes)+1)=1,N(V_L1_Monto),S$282)-T$281)</f>
        <v>2400902.6824359004</v>
      </c>
      <c r="U282" s="48">
        <f>IF((16-N(V_L1_Mes)+1)&lt;1,0,IF((16-N(V_L1_Mes)+1)=1,N(V_L1_Monto),T$282)-U$281)</f>
        <v>2355849.2459594822</v>
      </c>
      <c r="V282" s="48">
        <f>IF((17-N(V_L1_Mes)+1)&lt;1,0,IF((17-N(V_L1_Mes)+1)=1,N(V_L1_Monto),U$282)-V$281)</f>
        <v>2310457.9087094907</v>
      </c>
      <c r="W282" s="48">
        <f>IF((18-N(V_L1_Mes)+1)&lt;1,0,IF((18-N(V_L1_Mes)+1)=1,N(V_L1_Monto),V$282)-W$281)</f>
        <v>2264726.1364301243</v>
      </c>
      <c r="X282" s="48">
        <f>IF((19-N(V_L1_Mes)+1)&lt;1,0,IF((19-N(V_L1_Mes)+1)=1,N(V_L1_Monto),W$282)-X$281)</f>
        <v>2218651.3758586626</v>
      </c>
      <c r="Y282" s="48">
        <f>IF((20-N(V_L1_Mes)+1)&lt;1,0,IF((20-N(V_L1_Mes)+1)=1,N(V_L1_Monto),X$282)-Y$281)</f>
        <v>2172231.0545829148</v>
      </c>
      <c r="Z282" s="48">
        <f>IF((21-N(V_L1_Mes)+1)&lt;1,0,IF((21-N(V_L1_Mes)+1)=1,N(V_L1_Monto),Y$282)-Z$281)</f>
        <v>2125462.580897599</v>
      </c>
      <c r="AA282" s="48">
        <f>IF((22-N(V_L1_Mes)+1)&lt;1,0,IF((22-N(V_L1_Mes)+1)=1,N(V_L1_Monto),Z$282)-AA$281)</f>
        <v>2078343.3436596433</v>
      </c>
      <c r="AB282" s="48">
        <f>IF((23-N(V_L1_Mes)+1)&lt;1,0,IF((23-N(V_L1_Mes)+1)=1,N(V_L1_Monto),AA$282)-AB$281)</f>
        <v>2030870.7121424028</v>
      </c>
      <c r="AC282" s="48">
        <f>IF((24-N(V_L1_Mes)+1)&lt;1,0,IF((24-N(V_L1_Mes)+1)=1,N(V_L1_Monto),AB$282)-AC$281)</f>
        <v>1983042.0358887829</v>
      </c>
      <c r="AD282" s="48">
        <f>IF((25-N(V_L1_Mes)+1)&lt;1,0,IF((25-N(V_L1_Mes)+1)=1,N(V_L1_Monto),AC$282)-AD$281)</f>
        <v>1934854.644563261</v>
      </c>
      <c r="AE282" s="48">
        <f>IF((26-N(V_L1_Mes)+1)&lt;1,0,IF((26-N(V_L1_Mes)+1)=1,N(V_L1_Monto),AD$282)-AE$281)</f>
        <v>1886305.8478027976</v>
      </c>
      <c r="AF282" s="48">
        <f>IF((27-N(V_L1_Mes)+1)&lt;1,0,IF((27-N(V_L1_Mes)+1)=1,N(V_L1_Monto),AE$282)-AF$281)</f>
        <v>1837392.9350666308</v>
      </c>
      <c r="AG282" s="48">
        <f>IF((28-N(V_L1_Mes)+1)&lt;1,0,IF((28-N(V_L1_Mes)+1)=1,N(V_L1_Monto),AF$282)-AG$281)</f>
        <v>1788113.1754849427</v>
      </c>
      <c r="AH282" s="48">
        <f>IF((29-N(V_L1_Mes)+1)&lt;1,0,IF((29-N(V_L1_Mes)+1)=1,N(V_L1_Monto),AG$282)-AH$281)</f>
        <v>1738463.8177063921</v>
      </c>
      <c r="AI282" s="48">
        <f>IF((30-N(V_L1_Mes)+1)&lt;1,0,IF((30-N(V_L1_Mes)+1)=1,N(V_L1_Monto),AH$282)-AI$281)</f>
        <v>1688442.0897445022</v>
      </c>
      <c r="AJ282" s="48">
        <f>IF((31-N(V_L1_Mes)+1)&lt;1,0,IF((31-N(V_L1_Mes)+1)=1,N(V_L1_Monto),AI$282)-AJ$281)</f>
        <v>1638045.1988228983</v>
      </c>
      <c r="AK282" s="48">
        <f>IF((32-N(V_L1_Mes)+1)&lt;1,0,IF((32-N(V_L1_Mes)+1)=1,N(V_L1_Monto),AJ$282)-AK$281)</f>
        <v>1587270.3312193824</v>
      </c>
      <c r="AL282" s="48">
        <f>IF((33-N(V_L1_Mes)+1)&lt;1,0,IF((33-N(V_L1_Mes)+1)=1,N(V_L1_Monto),AK$282)-AL$281)</f>
        <v>1536114.6521088399</v>
      </c>
      <c r="AM282" s="48">
        <f>IF((34-N(V_L1_Mes)+1)&lt;1,0,IF((34-N(V_L1_Mes)+1)=1,N(V_L1_Monto),AL$282)-AM$281)</f>
        <v>1484575.3054049686</v>
      </c>
      <c r="AN282" s="48">
        <f>IF((35-N(V_L1_Mes)+1)&lt;1,0,IF((35-N(V_L1_Mes)+1)=1,N(V_L1_Monto),AM$282)-AN$281)</f>
        <v>1432649.413600818</v>
      </c>
      <c r="AO282" s="48">
        <f>IF((36-N(V_L1_Mes)+1)&lt;1,0,IF((36-N(V_L1_Mes)+1)=1,N(V_L1_Monto),AN$282)-AO$281)</f>
        <v>1380334.0776081365</v>
      </c>
      <c r="AP282" s="48">
        <f>IF((37-N(V_L1_Mes)+1)&lt;1,0,IF((37-N(V_L1_Mes)+1)=1,N(V_L1_Monto),AO$282)-AP$281)</f>
        <v>1327626.3765955097</v>
      </c>
      <c r="AQ282" s="48">
        <f>IF((38-N(V_L1_Mes)+1)&lt;1,0,IF((38-N(V_L1_Mes)+1)=1,N(V_L1_Monto),AP$282)-AQ$281)</f>
        <v>1274523.3678252883</v>
      </c>
      <c r="AR282" s="48">
        <f>IF((39-N(V_L1_Mes)+1)&lt;1,0,IF((39-N(V_L1_Mes)+1)=1,N(V_L1_Monto),AQ$282)-AR$281)</f>
        <v>1221022.0864892902</v>
      </c>
      <c r="AS282" s="48">
        <f>IF((40-N(V_L1_Mes)+1)&lt;1,0,IF((40-N(V_L1_Mes)+1)=1,N(V_L1_Monto),AR$282)-AS$281)</f>
        <v>1167119.545543272</v>
      </c>
      <c r="AT282" s="48">
        <f>IF((41-N(V_L1_Mes)+1)&lt;1,0,IF((41-N(V_L1_Mes)+1)=1,N(V_L1_Monto),AS$282)-AT$281)</f>
        <v>1112812.7355401588</v>
      </c>
      <c r="AU282" s="48">
        <f>IF((42-N(V_L1_Mes)+1)&lt;1,0,IF((42-N(V_L1_Mes)+1)=1,N(V_L1_Monto),AT$282)-AU$281)</f>
        <v>1058098.6244620222</v>
      </c>
      <c r="AV282" s="48">
        <f>IF((43-N(V_L1_Mes)+1)&lt;1,0,IF((43-N(V_L1_Mes)+1)=1,N(V_L1_Monto),AU$282)-AV$281)</f>
        <v>1002974.1575507997</v>
      </c>
      <c r="AW282" s="48">
        <f>IF((44-N(V_L1_Mes)+1)&lt;1,0,IF((44-N(V_L1_Mes)+1)=1,N(V_L1_Monto),AV$282)-AW$281)</f>
        <v>947436.25713774294</v>
      </c>
      <c r="AX282" s="48">
        <f>IF((45-N(V_L1_Mes)+1)&lt;1,0,IF((45-N(V_L1_Mes)+1)=1,N(V_L1_Monto),AW$282)-AX$281)</f>
        <v>891481.82247158827</v>
      </c>
      <c r="AY282" s="48">
        <f>IF((46-N(V_L1_Mes)+1)&lt;1,0,IF((46-N(V_L1_Mes)+1)=1,N(V_L1_Monto),AX$282)-AY$281)</f>
        <v>835107.72954543738</v>
      </c>
      <c r="AZ282" s="48">
        <f>IF((47-N(V_L1_Mes)+1)&lt;1,0,IF((47-N(V_L1_Mes)+1)=1,N(V_L1_Monto),AY$282)-AZ$281)</f>
        <v>778310.83092234039</v>
      </c>
      <c r="BA282" s="48">
        <f>IF((48-N(V_L1_Mes)+1)&lt;1,0,IF((48-N(V_L1_Mes)+1)=1,N(V_L1_Monto),AZ$282)-BA$281)</f>
        <v>721087.95555957023</v>
      </c>
      <c r="BB282" s="48">
        <f>IF((49-N(V_L1_Mes)+1)&lt;1,0,IF((49-N(V_L1_Mes)+1)=1,N(V_L1_Monto),BA$282)-BB$281)</f>
        <v>663435.90863157925</v>
      </c>
      <c r="BC282" s="48">
        <f>IF((50-N(V_L1_Mes)+1)&lt;1,0,IF((50-N(V_L1_Mes)+1)=1,N(V_L1_Monto),BB$282)-BC$281)</f>
        <v>605351.47135162831</v>
      </c>
      <c r="BD282" s="48">
        <f>IF((51-N(V_L1_Mes)+1)&lt;1,0,IF((51-N(V_L1_Mes)+1)=1,N(V_L1_Monto),BC$282)-BD$281)</f>
        <v>546831.40079207777</v>
      </c>
      <c r="BE282" s="48">
        <f>IF((52-N(V_L1_Mes)+1)&lt;1,0,IF((52-N(V_L1_Mes)+1)=1,N(V_L1_Monto),BD$282)-BE$281)</f>
        <v>487872.42970333062</v>
      </c>
      <c r="BF282" s="48">
        <f>IF((53-N(V_L1_Mes)+1)&lt;1,0,IF((53-N(V_L1_Mes)+1)=1,N(V_L1_Monto),BE$282)-BF$281)</f>
        <v>428471.26633141784</v>
      </c>
      <c r="BG282" s="48">
        <f>IF((54-N(V_L1_Mes)+1)&lt;1,0,IF((54-N(V_L1_Mes)+1)=1,N(V_L1_Monto),BF$282)-BG$281)</f>
        <v>368624.59423421574</v>
      </c>
      <c r="BH282" s="48">
        <f>IF((55-N(V_L1_Mes)+1)&lt;1,0,IF((55-N(V_L1_Mes)+1)=1,N(V_L1_Monto),BG$282)-BH$281)</f>
        <v>308329.0720962846</v>
      </c>
      <c r="BI282" s="48">
        <f>IF((56-N(V_L1_Mes)+1)&lt;1,0,IF((56-N(V_L1_Mes)+1)=1,N(V_L1_Monto),BH$282)-BI$281)</f>
        <v>247581.33354231896</v>
      </c>
      <c r="BJ282" s="48">
        <f>IF((57-N(V_L1_Mes)+1)&lt;1,0,IF((57-N(V_L1_Mes)+1)=1,N(V_L1_Monto),BI$282)-BJ$281)</f>
        <v>186377.98694919859</v>
      </c>
      <c r="BK282" s="48">
        <f>IF((58-N(V_L1_Mes)+1)&lt;1,0,IF((58-N(V_L1_Mes)+1)=1,N(V_L1_Monto),BJ$282)-BK$281)</f>
        <v>124715.61525662983</v>
      </c>
      <c r="BL282" s="48">
        <f>IF((59-N(V_L1_Mes)+1)&lt;1,0,IF((59-N(V_L1_Mes)+1)=1,N(V_L1_Monto),BK$282)-BL$281)</f>
        <v>62590.775776366791</v>
      </c>
      <c r="BM282" s="48">
        <f>IF((60-N(V_L1_Mes)+1)&lt;1,0,IF((60-N(V_L1_Mes)+1)=1,N(V_L1_Monto),BL$282)-BM$281)</f>
        <v>0</v>
      </c>
      <c r="BN282" s="48">
        <f>IF((61-N(V_L1_Mes)+1)&lt;1,0,IF((61-N(V_L1_Mes)+1)=1,N(V_L1_Monto),BM$282)-BN$281)</f>
        <v>0</v>
      </c>
      <c r="BO282" s="48">
        <f>IF((62-N(V_L1_Mes)+1)&lt;1,0,IF((62-N(V_L1_Mes)+1)=1,N(V_L1_Monto),BN$282)-BO$281)</f>
        <v>0</v>
      </c>
      <c r="BP282" s="48">
        <f>IF((63-N(V_L1_Mes)+1)&lt;1,0,IF((63-N(V_L1_Mes)+1)=1,N(V_L1_Monto),BO$282)-BP$281)</f>
        <v>0</v>
      </c>
      <c r="BQ282" s="48">
        <f>IF((64-N(V_L1_Mes)+1)&lt;1,0,IF((64-N(V_L1_Mes)+1)=1,N(V_L1_Monto),BP$282)-BQ$281)</f>
        <v>0</v>
      </c>
      <c r="BR282" s="48">
        <f>IF((65-N(V_L1_Mes)+1)&lt;1,0,IF((65-N(V_L1_Mes)+1)=1,N(V_L1_Monto),BQ$282)-BR$281)</f>
        <v>0</v>
      </c>
      <c r="BS282" s="48">
        <f>IF((66-N(V_L1_Mes)+1)&lt;1,0,IF((66-N(V_L1_Mes)+1)=1,N(V_L1_Monto),BR$282)-BS$281)</f>
        <v>0</v>
      </c>
      <c r="BT282" s="48">
        <f>IF((67-N(V_L1_Mes)+1)&lt;1,0,IF((67-N(V_L1_Mes)+1)=1,N(V_L1_Monto),BS$282)-BT$281)</f>
        <v>0</v>
      </c>
      <c r="BU282" s="48">
        <f>IF((68-N(V_L1_Mes)+1)&lt;1,0,IF((68-N(V_L1_Mes)+1)=1,N(V_L1_Monto),BT$282)-BU$281)</f>
        <v>0</v>
      </c>
      <c r="BV282" s="48">
        <f>IF((69-N(V_L1_Mes)+1)&lt;1,0,IF((69-N(V_L1_Mes)+1)=1,N(V_L1_Monto),BU$282)-BV$281)</f>
        <v>0</v>
      </c>
      <c r="BW282" s="48">
        <f>IF((70-N(V_L1_Mes)+1)&lt;1,0,IF((70-N(V_L1_Mes)+1)=1,N(V_L1_Monto),BV$282)-BW$281)</f>
        <v>0</v>
      </c>
      <c r="BX282" s="48">
        <f>IF((71-N(V_L1_Mes)+1)&lt;1,0,IF((71-N(V_L1_Mes)+1)=1,N(V_L1_Monto),BW$282)-BX$281)</f>
        <v>0</v>
      </c>
      <c r="BY282" s="48">
        <f>IF((72-N(V_L1_Mes)+1)&lt;1,0,IF((72-N(V_L1_Mes)+1)=1,N(V_L1_Monto),BX$282)-BY$281)</f>
        <v>0</v>
      </c>
      <c r="BZ282" s="48">
        <f>IF((73-N(V_L1_Mes)+1)&lt;1,0,IF((73-N(V_L1_Mes)+1)=1,N(V_L1_Monto),BY$282)-BZ$281)</f>
        <v>0</v>
      </c>
      <c r="CA282" s="48">
        <f>IF((74-N(V_L1_Mes)+1)&lt;1,0,IF((74-N(V_L1_Mes)+1)=1,N(V_L1_Monto),BZ$282)-CA$281)</f>
        <v>0</v>
      </c>
      <c r="CB282" s="48">
        <f>IF((75-N(V_L1_Mes)+1)&lt;1,0,IF((75-N(V_L1_Mes)+1)=1,N(V_L1_Monto),CA$282)-CB$281)</f>
        <v>0</v>
      </c>
      <c r="CC282" s="48">
        <f>IF((76-N(V_L1_Mes)+1)&lt;1,0,IF((76-N(V_L1_Mes)+1)=1,N(V_L1_Monto),CB$282)-CC$281)</f>
        <v>0</v>
      </c>
      <c r="CD282" s="48">
        <f>IF((77-N(V_L1_Mes)+1)&lt;1,0,IF((77-N(V_L1_Mes)+1)=1,N(V_L1_Monto),CC$282)-CD$281)</f>
        <v>0</v>
      </c>
      <c r="CE282" s="48">
        <f>IF((78-N(V_L1_Mes)+1)&lt;1,0,IF((78-N(V_L1_Mes)+1)=1,N(V_L1_Monto),CD$282)-CE$281)</f>
        <v>0</v>
      </c>
      <c r="CF282" s="48">
        <f>IF((79-N(V_L1_Mes)+1)&lt;1,0,IF((79-N(V_L1_Mes)+1)=1,N(V_L1_Monto),CE$282)-CF$281)</f>
        <v>0</v>
      </c>
      <c r="CG282" s="48">
        <f>IF((80-N(V_L1_Mes)+1)&lt;1,0,IF((80-N(V_L1_Mes)+1)=1,N(V_L1_Monto),CF$282)-CG$281)</f>
        <v>0</v>
      </c>
      <c r="CH282" s="48">
        <f>IF((81-N(V_L1_Mes)+1)&lt;1,0,IF((81-N(V_L1_Mes)+1)=1,N(V_L1_Monto),CG$282)-CH$281)</f>
        <v>0</v>
      </c>
      <c r="CI282" s="48">
        <f>IF((82-N(V_L1_Mes)+1)&lt;1,0,IF((82-N(V_L1_Mes)+1)=1,N(V_L1_Monto),CH$282)-CI$281)</f>
        <v>0</v>
      </c>
      <c r="CJ282" s="48">
        <f>IF((83-N(V_L1_Mes)+1)&lt;1,0,IF((83-N(V_L1_Mes)+1)=1,N(V_L1_Monto),CI$282)-CJ$281)</f>
        <v>0</v>
      </c>
      <c r="CK282" s="48">
        <f>IF((84-N(V_L1_Mes)+1)&lt;1,0,IF((84-N(V_L1_Mes)+1)=1,N(V_L1_Monto),CJ$282)-CK$281)</f>
        <v>0</v>
      </c>
      <c r="CL282" s="48">
        <f>IF((85-N(V_L1_Mes)+1)&lt;1,0,IF((85-N(V_L1_Mes)+1)=1,N(V_L1_Monto),CK$282)-CL$281)</f>
        <v>0</v>
      </c>
      <c r="CM282" s="48">
        <f>IF((86-N(V_L1_Mes)+1)&lt;1,0,IF((86-N(V_L1_Mes)+1)=1,N(V_L1_Monto),CL$282)-CM$281)</f>
        <v>0</v>
      </c>
      <c r="CN282" s="48">
        <f>IF((87-N(V_L1_Mes)+1)&lt;1,0,IF((87-N(V_L1_Mes)+1)=1,N(V_L1_Monto),CM$282)-CN$281)</f>
        <v>0</v>
      </c>
      <c r="CO282" s="48">
        <f>IF((88-N(V_L1_Mes)+1)&lt;1,0,IF((88-N(V_L1_Mes)+1)=1,N(V_L1_Monto),CN$282)-CO$281)</f>
        <v>0</v>
      </c>
      <c r="CP282" s="48">
        <f>IF((89-N(V_L1_Mes)+1)&lt;1,0,IF((89-N(V_L1_Mes)+1)=1,N(V_L1_Monto),CO$282)-CP$281)</f>
        <v>0</v>
      </c>
      <c r="CQ282" s="48">
        <f>IF((90-N(V_L1_Mes)+1)&lt;1,0,IF((90-N(V_L1_Mes)+1)=1,N(V_L1_Monto),CP$282)-CQ$281)</f>
        <v>0</v>
      </c>
      <c r="CR282" s="48">
        <f>IF((91-N(V_L1_Mes)+1)&lt;1,0,IF((91-N(V_L1_Mes)+1)=1,N(V_L1_Monto),CQ$282)-CR$281)</f>
        <v>0</v>
      </c>
      <c r="CS282" s="48">
        <f>IF((92-N(V_L1_Mes)+1)&lt;1,0,IF((92-N(V_L1_Mes)+1)=1,N(V_L1_Monto),CR$282)-CS$281)</f>
        <v>0</v>
      </c>
      <c r="CT282" s="48">
        <f>IF((93-N(V_L1_Mes)+1)&lt;1,0,IF((93-N(V_L1_Mes)+1)=1,N(V_L1_Monto),CS$282)-CT$281)</f>
        <v>0</v>
      </c>
      <c r="CU282" s="48">
        <f>IF((94-N(V_L1_Mes)+1)&lt;1,0,IF((94-N(V_L1_Mes)+1)=1,N(V_L1_Monto),CT$282)-CU$281)</f>
        <v>0</v>
      </c>
      <c r="CV282" s="48">
        <f>IF((95-N(V_L1_Mes)+1)&lt;1,0,IF((95-N(V_L1_Mes)+1)=1,N(V_L1_Monto),CU$282)-CV$281)</f>
        <v>0</v>
      </c>
      <c r="CW282" s="48">
        <f>IF((96-N(V_L1_Mes)+1)&lt;1,0,IF((96-N(V_L1_Mes)+1)=1,N(V_L1_Monto),CV$282)-CW$281)</f>
        <v>0</v>
      </c>
      <c r="CX282" s="48">
        <f>IF((97-N(V_L1_Mes)+1)&lt;1,0,IF((97-N(V_L1_Mes)+1)=1,N(V_L1_Monto),CW$282)-CX$281)</f>
        <v>0</v>
      </c>
      <c r="CY282" s="48">
        <f>IF((98-N(V_L1_Mes)+1)&lt;1,0,IF((98-N(V_L1_Mes)+1)=1,N(V_L1_Monto),CX$282)-CY$281)</f>
        <v>0</v>
      </c>
      <c r="CZ282" s="48">
        <f>IF((99-N(V_L1_Mes)+1)&lt;1,0,IF((99-N(V_L1_Mes)+1)=1,N(V_L1_Monto),CY$282)-CZ$281)</f>
        <v>0</v>
      </c>
      <c r="DA282" s="48">
        <f>IF((100-N(V_L1_Mes)+1)&lt;1,0,IF((100-N(V_L1_Mes)+1)=1,N(V_L1_Monto),CZ$282)-DA$281)</f>
        <v>0</v>
      </c>
      <c r="DB282" s="48">
        <f>IF((101-N(V_L1_Mes)+1)&lt;1,0,IF((101-N(V_L1_Mes)+1)=1,N(V_L1_Monto),DA$282)-DB$281)</f>
        <v>0</v>
      </c>
      <c r="DC282" s="48">
        <f>IF((102-N(V_L1_Mes)+1)&lt;1,0,IF((102-N(V_L1_Mes)+1)=1,N(V_L1_Monto),DB$282)-DC$281)</f>
        <v>0</v>
      </c>
      <c r="DD282" s="48">
        <f>IF((103-N(V_L1_Mes)+1)&lt;1,0,IF((103-N(V_L1_Mes)+1)=1,N(V_L1_Monto),DC$282)-DD$281)</f>
        <v>0</v>
      </c>
      <c r="DE282" s="48">
        <f>IF((104-N(V_L1_Mes)+1)&lt;1,0,IF((104-N(V_L1_Mes)+1)=1,N(V_L1_Monto),DD$282)-DE$281)</f>
        <v>0</v>
      </c>
      <c r="DF282" s="48">
        <f>IF((105-N(V_L1_Mes)+1)&lt;1,0,IF((105-N(V_L1_Mes)+1)=1,N(V_L1_Monto),DE$282)-DF$281)</f>
        <v>0</v>
      </c>
      <c r="DG282" s="48">
        <f>IF((106-N(V_L1_Mes)+1)&lt;1,0,IF((106-N(V_L1_Mes)+1)=1,N(V_L1_Monto),DF$282)-DG$281)</f>
        <v>0</v>
      </c>
      <c r="DH282" s="48">
        <f>IF((107-N(V_L1_Mes)+1)&lt;1,0,IF((107-N(V_L1_Mes)+1)=1,N(V_L1_Monto),DG$282)-DH$281)</f>
        <v>0</v>
      </c>
      <c r="DI282" s="48">
        <f>IF((108-N(V_L1_Mes)+1)&lt;1,0,IF((108-N(V_L1_Mes)+1)=1,N(V_L1_Monto),DH$282)-DI$281)</f>
        <v>0</v>
      </c>
      <c r="DJ282" s="48">
        <f>IF((109-N(V_L1_Mes)+1)&lt;1,0,IF((109-N(V_L1_Mes)+1)=1,N(V_L1_Monto),DI$282)-DJ$281)</f>
        <v>0</v>
      </c>
      <c r="DK282" s="48">
        <f>IF((110-N(V_L1_Mes)+1)&lt;1,0,IF((110-N(V_L1_Mes)+1)=1,N(V_L1_Monto),DJ$282)-DK$281)</f>
        <v>0</v>
      </c>
      <c r="DL282" s="48">
        <f>IF((111-N(V_L1_Mes)+1)&lt;1,0,IF((111-N(V_L1_Mes)+1)=1,N(V_L1_Monto),DK$282)-DL$281)</f>
        <v>0</v>
      </c>
      <c r="DM282" s="48">
        <f>IF((112-N(V_L1_Mes)+1)&lt;1,0,IF((112-N(V_L1_Mes)+1)=1,N(V_L1_Monto),DL$282)-DM$281)</f>
        <v>0</v>
      </c>
      <c r="DN282" s="48">
        <f>IF((113-N(V_L1_Mes)+1)&lt;1,0,IF((113-N(V_L1_Mes)+1)=1,N(V_L1_Monto),DM$282)-DN$281)</f>
        <v>0</v>
      </c>
      <c r="DO282" s="48">
        <f>IF((114-N(V_L1_Mes)+1)&lt;1,0,IF((114-N(V_L1_Mes)+1)=1,N(V_L1_Monto),DN$282)-DO$281)</f>
        <v>0</v>
      </c>
      <c r="DP282" s="48">
        <f>IF((115-N(V_L1_Mes)+1)&lt;1,0,IF((115-N(V_L1_Mes)+1)=1,N(V_L1_Monto),DO$282)-DP$281)</f>
        <v>0</v>
      </c>
      <c r="DQ282" s="48">
        <f>IF((116-N(V_L1_Mes)+1)&lt;1,0,IF((116-N(V_L1_Mes)+1)=1,N(V_L1_Monto),DP$282)-DQ$281)</f>
        <v>0</v>
      </c>
      <c r="DR282" s="48">
        <f>IF((117-N(V_L1_Mes)+1)&lt;1,0,IF((117-N(V_L1_Mes)+1)=1,N(V_L1_Monto),DQ$282)-DR$281)</f>
        <v>0</v>
      </c>
      <c r="DS282" s="48">
        <f>IF((118-N(V_L1_Mes)+1)&lt;1,0,IF((118-N(V_L1_Mes)+1)=1,N(V_L1_Monto),DR$282)-DS$281)</f>
        <v>0</v>
      </c>
      <c r="DT282" s="48">
        <f>IF((119-N(V_L1_Mes)+1)&lt;1,0,IF((119-N(V_L1_Mes)+1)=1,N(V_L1_Monto),DS$282)-DT$281)</f>
        <v>0</v>
      </c>
      <c r="DU282" s="48">
        <f>IF((120-N(V_L1_Mes)+1)&lt;1,0,IF((120-N(V_L1_Mes)+1)=1,N(V_L1_Monto),DT$282)-DU$281)</f>
        <v>0</v>
      </c>
      <c r="DV282" s="48">
        <f>IF((121-N(V_L1_Mes)+1)&lt;1,0,IF((121-N(V_L1_Mes)+1)=1,N(V_L1_Monto),DU$282)-DV$281)</f>
        <v>0</v>
      </c>
      <c r="DW282" s="48">
        <f>IF((122-N(V_L1_Mes)+1)&lt;1,0,IF((122-N(V_L1_Mes)+1)=1,N(V_L1_Monto),DV$282)-DW$281)</f>
        <v>0</v>
      </c>
      <c r="DX282" s="48">
        <f>IF((123-N(V_L1_Mes)+1)&lt;1,0,IF((123-N(V_L1_Mes)+1)=1,N(V_L1_Monto),DW$282)-DX$281)</f>
        <v>0</v>
      </c>
      <c r="DY282" s="48">
        <f>IF((124-N(V_L1_Mes)+1)&lt;1,0,IF((124-N(V_L1_Mes)+1)=1,N(V_L1_Monto),DX$282)-DY$281)</f>
        <v>0</v>
      </c>
      <c r="DZ282" s="48">
        <f>IF((125-N(V_L1_Mes)+1)&lt;1,0,IF((125-N(V_L1_Mes)+1)=1,N(V_L1_Monto),DY$282)-DZ$281)</f>
        <v>0</v>
      </c>
      <c r="EA282" s="48">
        <f>IF((126-N(V_L1_Mes)+1)&lt;1,0,IF((126-N(V_L1_Mes)+1)=1,N(V_L1_Monto),DZ$282)-EA$281)</f>
        <v>0</v>
      </c>
      <c r="EB282" s="48">
        <f>IF((127-N(V_L1_Mes)+1)&lt;1,0,IF((127-N(V_L1_Mes)+1)=1,N(V_L1_Monto),EA$282)-EB$281)</f>
        <v>0</v>
      </c>
      <c r="EC282" s="48">
        <f>IF((128-N(V_L1_Mes)+1)&lt;1,0,IF((128-N(V_L1_Mes)+1)=1,N(V_L1_Monto),EB$282)-EC$281)</f>
        <v>0</v>
      </c>
      <c r="ED282" s="48">
        <f>IF((129-N(V_L1_Mes)+1)&lt;1,0,IF((129-N(V_L1_Mes)+1)=1,N(V_L1_Monto),EC$282)-ED$281)</f>
        <v>0</v>
      </c>
      <c r="EE282" s="48">
        <f>IF((130-N(V_L1_Mes)+1)&lt;1,0,IF((130-N(V_L1_Mes)+1)=1,N(V_L1_Monto),ED$282)-EE$281)</f>
        <v>0</v>
      </c>
      <c r="EF282" s="48">
        <f>IF((131-N(V_L1_Mes)+1)&lt;1,0,IF((131-N(V_L1_Mes)+1)=1,N(V_L1_Monto),EE$282)-EF$281)</f>
        <v>0</v>
      </c>
      <c r="EG282" s="48">
        <f>IF((132-N(V_L1_Mes)+1)&lt;1,0,IF((132-N(V_L1_Mes)+1)=1,N(V_L1_Monto),EF$282)-EG$281)</f>
        <v>0</v>
      </c>
      <c r="EH282" s="48">
        <f>IF((133-N(V_L1_Mes)+1)&lt;1,0,IF((133-N(V_L1_Mes)+1)=1,N(V_L1_Monto),EG$282)-EH$281)</f>
        <v>0</v>
      </c>
      <c r="EI282" s="48">
        <f>IF((134-N(V_L1_Mes)+1)&lt;1,0,IF((134-N(V_L1_Mes)+1)=1,N(V_L1_Monto),EH$282)-EI$281)</f>
        <v>0</v>
      </c>
      <c r="EJ282" s="48">
        <f>IF((135-N(V_L1_Mes)+1)&lt;1,0,IF((135-N(V_L1_Mes)+1)=1,N(V_L1_Monto),EI$282)-EJ$281)</f>
        <v>0</v>
      </c>
      <c r="EK282" s="48">
        <f>IF((136-N(V_L1_Mes)+1)&lt;1,0,IF((136-N(V_L1_Mes)+1)=1,N(V_L1_Monto),EJ$282)-EK$281)</f>
        <v>0</v>
      </c>
      <c r="EL282" s="48">
        <f>IF((137-N(V_L1_Mes)+1)&lt;1,0,IF((137-N(V_L1_Mes)+1)=1,N(V_L1_Monto),EK$282)-EL$281)</f>
        <v>0</v>
      </c>
      <c r="EM282" s="48">
        <f>IF((138-N(V_L1_Mes)+1)&lt;1,0,IF((138-N(V_L1_Mes)+1)=1,N(V_L1_Monto),EL$282)-EM$281)</f>
        <v>0</v>
      </c>
      <c r="EN282" s="48">
        <f>IF((139-N(V_L1_Mes)+1)&lt;1,0,IF((139-N(V_L1_Mes)+1)=1,N(V_L1_Monto),EM$282)-EN$281)</f>
        <v>0</v>
      </c>
      <c r="EO282" s="48">
        <f>IF((140-N(V_L1_Mes)+1)&lt;1,0,IF((140-N(V_L1_Mes)+1)=1,N(V_L1_Monto),EN$282)-EO$281)</f>
        <v>0</v>
      </c>
      <c r="EP282" s="48">
        <f>IF((141-N(V_L1_Mes)+1)&lt;1,0,IF((141-N(V_L1_Mes)+1)=1,N(V_L1_Monto),EO$282)-EP$281)</f>
        <v>0</v>
      </c>
      <c r="EQ282" s="48">
        <f>IF((142-N(V_L1_Mes)+1)&lt;1,0,IF((142-N(V_L1_Mes)+1)=1,N(V_L1_Monto),EP$282)-EQ$281)</f>
        <v>0</v>
      </c>
      <c r="ER282" s="48">
        <f>IF((143-N(V_L1_Mes)+1)&lt;1,0,IF((143-N(V_L1_Mes)+1)=1,N(V_L1_Monto),EQ$282)-ER$281)</f>
        <v>0</v>
      </c>
      <c r="ES282" s="48">
        <f>IF((144-N(V_L1_Mes)+1)&lt;1,0,IF((144-N(V_L1_Mes)+1)=1,N(V_L1_Monto),ER$282)-ES$281)</f>
        <v>0</v>
      </c>
    </row>
    <row r="283" spans="1:149" x14ac:dyDescent="0.3">
      <c r="A283" s="14" t="s">
        <v>1333</v>
      </c>
      <c r="B283" s="18" t="s">
        <v>1151</v>
      </c>
      <c r="C283" s="18" t="s">
        <v>439</v>
      </c>
      <c r="E283" s="54">
        <f>SUM(F283:ES283)</f>
        <v>0</v>
      </c>
      <c r="F283" s="48">
        <f>IF((1-N(V_L2_Mes)+1)=1,N(V_L2_Monto),0)*F$9</f>
        <v>0</v>
      </c>
      <c r="G283" s="48">
        <f>IF((2-N(V_L2_Mes)+1)=1,N(V_L2_Monto),0)*G$9</f>
        <v>0</v>
      </c>
      <c r="H283" s="48">
        <f>IF((3-N(V_L2_Mes)+1)=1,N(V_L2_Monto),0)*H$9</f>
        <v>0</v>
      </c>
      <c r="I283" s="48">
        <f>IF((4-N(V_L2_Mes)+1)=1,N(V_L2_Monto),0)*I$9</f>
        <v>0</v>
      </c>
      <c r="J283" s="48">
        <f>IF((5-N(V_L2_Mes)+1)=1,N(V_L2_Monto),0)*J$9</f>
        <v>0</v>
      </c>
      <c r="K283" s="48">
        <f>IF((6-N(V_L2_Mes)+1)=1,N(V_L2_Monto),0)*K$9</f>
        <v>0</v>
      </c>
      <c r="L283" s="48">
        <f>IF((7-N(V_L2_Mes)+1)=1,N(V_L2_Monto),0)*L$9</f>
        <v>0</v>
      </c>
      <c r="M283" s="48">
        <f>IF((8-N(V_L2_Mes)+1)=1,N(V_L2_Monto),0)*M$9</f>
        <v>0</v>
      </c>
      <c r="N283" s="48">
        <f>IF((9-N(V_L2_Mes)+1)=1,N(V_L2_Monto),0)*N$9</f>
        <v>0</v>
      </c>
      <c r="O283" s="48">
        <f>IF((10-N(V_L2_Mes)+1)=1,N(V_L2_Monto),0)*O$9</f>
        <v>0</v>
      </c>
      <c r="P283" s="48">
        <f>IF((11-N(V_L2_Mes)+1)=1,N(V_L2_Monto),0)*P$9</f>
        <v>0</v>
      </c>
      <c r="Q283" s="48">
        <f>IF((12-N(V_L2_Mes)+1)=1,N(V_L2_Monto),0)*Q$9</f>
        <v>0</v>
      </c>
      <c r="R283" s="48">
        <f>IF((13-N(V_L2_Mes)+1)=1,N(V_L2_Monto),0)*R$9</f>
        <v>0</v>
      </c>
      <c r="S283" s="48">
        <f>IF((14-N(V_L2_Mes)+1)=1,N(V_L2_Monto),0)*S$9</f>
        <v>0</v>
      </c>
      <c r="T283" s="48">
        <f>IF((15-N(V_L2_Mes)+1)=1,N(V_L2_Monto),0)*T$9</f>
        <v>0</v>
      </c>
      <c r="U283" s="48">
        <f>IF((16-N(V_L2_Mes)+1)=1,N(V_L2_Monto),0)*U$9</f>
        <v>0</v>
      </c>
      <c r="V283" s="48">
        <f>IF((17-N(V_L2_Mes)+1)=1,N(V_L2_Monto),0)*V$9</f>
        <v>0</v>
      </c>
      <c r="W283" s="48">
        <f>IF((18-N(V_L2_Mes)+1)=1,N(V_L2_Monto),0)*W$9</f>
        <v>0</v>
      </c>
      <c r="X283" s="48">
        <f>IF((19-N(V_L2_Mes)+1)=1,N(V_L2_Monto),0)*X$9</f>
        <v>0</v>
      </c>
      <c r="Y283" s="48">
        <f>IF((20-N(V_L2_Mes)+1)=1,N(V_L2_Monto),0)*Y$9</f>
        <v>0</v>
      </c>
      <c r="Z283" s="48">
        <f>IF((21-N(V_L2_Mes)+1)=1,N(V_L2_Monto),0)*Z$9</f>
        <v>0</v>
      </c>
      <c r="AA283" s="48">
        <f>IF((22-N(V_L2_Mes)+1)=1,N(V_L2_Monto),0)*AA$9</f>
        <v>0</v>
      </c>
      <c r="AB283" s="48">
        <f>IF((23-N(V_L2_Mes)+1)=1,N(V_L2_Monto),0)*AB$9</f>
        <v>0</v>
      </c>
      <c r="AC283" s="48">
        <f>IF((24-N(V_L2_Mes)+1)=1,N(V_L2_Monto),0)*AC$9</f>
        <v>0</v>
      </c>
      <c r="AD283" s="48">
        <f>IF((25-N(V_L2_Mes)+1)=1,N(V_L2_Monto),0)*AD$9</f>
        <v>0</v>
      </c>
      <c r="AE283" s="48">
        <f>IF((26-N(V_L2_Mes)+1)=1,N(V_L2_Monto),0)*AE$9</f>
        <v>0</v>
      </c>
      <c r="AF283" s="48">
        <f>IF((27-N(V_L2_Mes)+1)=1,N(V_L2_Monto),0)*AF$9</f>
        <v>0</v>
      </c>
      <c r="AG283" s="48">
        <f>IF((28-N(V_L2_Mes)+1)=1,N(V_L2_Monto),0)*AG$9</f>
        <v>0</v>
      </c>
      <c r="AH283" s="48">
        <f>IF((29-N(V_L2_Mes)+1)=1,N(V_L2_Monto),0)*AH$9</f>
        <v>0</v>
      </c>
      <c r="AI283" s="48">
        <f>IF((30-N(V_L2_Mes)+1)=1,N(V_L2_Monto),0)*AI$9</f>
        <v>0</v>
      </c>
      <c r="AJ283" s="48">
        <f>IF((31-N(V_L2_Mes)+1)=1,N(V_L2_Monto),0)*AJ$9</f>
        <v>0</v>
      </c>
      <c r="AK283" s="48">
        <f>IF((32-N(V_L2_Mes)+1)=1,N(V_L2_Monto),0)*AK$9</f>
        <v>0</v>
      </c>
      <c r="AL283" s="48">
        <f>IF((33-N(V_L2_Mes)+1)=1,N(V_L2_Monto),0)*AL$9</f>
        <v>0</v>
      </c>
      <c r="AM283" s="48">
        <f>IF((34-N(V_L2_Mes)+1)=1,N(V_L2_Monto),0)*AM$9</f>
        <v>0</v>
      </c>
      <c r="AN283" s="48">
        <f>IF((35-N(V_L2_Mes)+1)=1,N(V_L2_Monto),0)*AN$9</f>
        <v>0</v>
      </c>
      <c r="AO283" s="48">
        <f>IF((36-N(V_L2_Mes)+1)=1,N(V_L2_Monto),0)*AO$9</f>
        <v>0</v>
      </c>
      <c r="AP283" s="48">
        <f>IF((37-N(V_L2_Mes)+1)=1,N(V_L2_Monto),0)*AP$9</f>
        <v>0</v>
      </c>
      <c r="AQ283" s="48">
        <f>IF((38-N(V_L2_Mes)+1)=1,N(V_L2_Monto),0)*AQ$9</f>
        <v>0</v>
      </c>
      <c r="AR283" s="48">
        <f>IF((39-N(V_L2_Mes)+1)=1,N(V_L2_Monto),0)*AR$9</f>
        <v>0</v>
      </c>
      <c r="AS283" s="48">
        <f>IF((40-N(V_L2_Mes)+1)=1,N(V_L2_Monto),0)*AS$9</f>
        <v>0</v>
      </c>
      <c r="AT283" s="48">
        <f>IF((41-N(V_L2_Mes)+1)=1,N(V_L2_Monto),0)*AT$9</f>
        <v>0</v>
      </c>
      <c r="AU283" s="48">
        <f>IF((42-N(V_L2_Mes)+1)=1,N(V_L2_Monto),0)*AU$9</f>
        <v>0</v>
      </c>
      <c r="AV283" s="48">
        <f>IF((43-N(V_L2_Mes)+1)=1,N(V_L2_Monto),0)*AV$9</f>
        <v>0</v>
      </c>
      <c r="AW283" s="48">
        <f>IF((44-N(V_L2_Mes)+1)=1,N(V_L2_Monto),0)*AW$9</f>
        <v>0</v>
      </c>
      <c r="AX283" s="48">
        <f>IF((45-N(V_L2_Mes)+1)=1,N(V_L2_Monto),0)*AX$9</f>
        <v>0</v>
      </c>
      <c r="AY283" s="48">
        <f>IF((46-N(V_L2_Mes)+1)=1,N(V_L2_Monto),0)*AY$9</f>
        <v>0</v>
      </c>
      <c r="AZ283" s="48">
        <f>IF((47-N(V_L2_Mes)+1)=1,N(V_L2_Monto),0)*AZ$9</f>
        <v>0</v>
      </c>
      <c r="BA283" s="48">
        <f>IF((48-N(V_L2_Mes)+1)=1,N(V_L2_Monto),0)*BA$9</f>
        <v>0</v>
      </c>
      <c r="BB283" s="48">
        <f>IF((49-N(V_L2_Mes)+1)=1,N(V_L2_Monto),0)*BB$9</f>
        <v>0</v>
      </c>
      <c r="BC283" s="48">
        <f>IF((50-N(V_L2_Mes)+1)=1,N(V_L2_Monto),0)*BC$9</f>
        <v>0</v>
      </c>
      <c r="BD283" s="48">
        <f>IF((51-N(V_L2_Mes)+1)=1,N(V_L2_Monto),0)*BD$9</f>
        <v>0</v>
      </c>
      <c r="BE283" s="48">
        <f>IF((52-N(V_L2_Mes)+1)=1,N(V_L2_Monto),0)*BE$9</f>
        <v>0</v>
      </c>
      <c r="BF283" s="48">
        <f>IF((53-N(V_L2_Mes)+1)=1,N(V_L2_Monto),0)*BF$9</f>
        <v>0</v>
      </c>
      <c r="BG283" s="48">
        <f>IF((54-N(V_L2_Mes)+1)=1,N(V_L2_Monto),0)*BG$9</f>
        <v>0</v>
      </c>
      <c r="BH283" s="48">
        <f>IF((55-N(V_L2_Mes)+1)=1,N(V_L2_Monto),0)*BH$9</f>
        <v>0</v>
      </c>
      <c r="BI283" s="48">
        <f>IF((56-N(V_L2_Mes)+1)=1,N(V_L2_Monto),0)*BI$9</f>
        <v>0</v>
      </c>
      <c r="BJ283" s="48">
        <f>IF((57-N(V_L2_Mes)+1)=1,N(V_L2_Monto),0)*BJ$9</f>
        <v>0</v>
      </c>
      <c r="BK283" s="48">
        <f>IF((58-N(V_L2_Mes)+1)=1,N(V_L2_Monto),0)*BK$9</f>
        <v>0</v>
      </c>
      <c r="BL283" s="48">
        <f>IF((59-N(V_L2_Mes)+1)=1,N(V_L2_Monto),0)*BL$9</f>
        <v>0</v>
      </c>
      <c r="BM283" s="48">
        <f>IF((60-N(V_L2_Mes)+1)=1,N(V_L2_Monto),0)*BM$9</f>
        <v>0</v>
      </c>
      <c r="BN283" s="48">
        <f>IF((61-N(V_L2_Mes)+1)=1,N(V_L2_Monto),0)*BN$9</f>
        <v>0</v>
      </c>
      <c r="BO283" s="48">
        <f>IF((62-N(V_L2_Mes)+1)=1,N(V_L2_Monto),0)*BO$9</f>
        <v>0</v>
      </c>
      <c r="BP283" s="48">
        <f>IF((63-N(V_L2_Mes)+1)=1,N(V_L2_Monto),0)*BP$9</f>
        <v>0</v>
      </c>
      <c r="BQ283" s="48">
        <f>IF((64-N(V_L2_Mes)+1)=1,N(V_L2_Monto),0)*BQ$9</f>
        <v>0</v>
      </c>
      <c r="BR283" s="48">
        <f>IF((65-N(V_L2_Mes)+1)=1,N(V_L2_Monto),0)*BR$9</f>
        <v>0</v>
      </c>
      <c r="BS283" s="48">
        <f>IF((66-N(V_L2_Mes)+1)=1,N(V_L2_Monto),0)*BS$9</f>
        <v>0</v>
      </c>
      <c r="BT283" s="48">
        <f>IF((67-N(V_L2_Mes)+1)=1,N(V_L2_Monto),0)*BT$9</f>
        <v>0</v>
      </c>
      <c r="BU283" s="48">
        <f>IF((68-N(V_L2_Mes)+1)=1,N(V_L2_Monto),0)*BU$9</f>
        <v>0</v>
      </c>
      <c r="BV283" s="48">
        <f>IF((69-N(V_L2_Mes)+1)=1,N(V_L2_Monto),0)*BV$9</f>
        <v>0</v>
      </c>
      <c r="BW283" s="48">
        <f>IF((70-N(V_L2_Mes)+1)=1,N(V_L2_Monto),0)*BW$9</f>
        <v>0</v>
      </c>
      <c r="BX283" s="48">
        <f>IF((71-N(V_L2_Mes)+1)=1,N(V_L2_Monto),0)*BX$9</f>
        <v>0</v>
      </c>
      <c r="BY283" s="48">
        <f>IF((72-N(V_L2_Mes)+1)=1,N(V_L2_Monto),0)*BY$9</f>
        <v>0</v>
      </c>
      <c r="BZ283" s="48">
        <f>IF((73-N(V_L2_Mes)+1)=1,N(V_L2_Monto),0)*BZ$9</f>
        <v>0</v>
      </c>
      <c r="CA283" s="48">
        <f>IF((74-N(V_L2_Mes)+1)=1,N(V_L2_Monto),0)*CA$9</f>
        <v>0</v>
      </c>
      <c r="CB283" s="48">
        <f>IF((75-N(V_L2_Mes)+1)=1,N(V_L2_Monto),0)*CB$9</f>
        <v>0</v>
      </c>
      <c r="CC283" s="48">
        <f>IF((76-N(V_L2_Mes)+1)=1,N(V_L2_Monto),0)*CC$9</f>
        <v>0</v>
      </c>
      <c r="CD283" s="48">
        <f>IF((77-N(V_L2_Mes)+1)=1,N(V_L2_Monto),0)*CD$9</f>
        <v>0</v>
      </c>
      <c r="CE283" s="48">
        <f>IF((78-N(V_L2_Mes)+1)=1,N(V_L2_Monto),0)*CE$9</f>
        <v>0</v>
      </c>
      <c r="CF283" s="48">
        <f>IF((79-N(V_L2_Mes)+1)=1,N(V_L2_Monto),0)*CF$9</f>
        <v>0</v>
      </c>
      <c r="CG283" s="48">
        <f>IF((80-N(V_L2_Mes)+1)=1,N(V_L2_Monto),0)*CG$9</f>
        <v>0</v>
      </c>
      <c r="CH283" s="48">
        <f>IF((81-N(V_L2_Mes)+1)=1,N(V_L2_Monto),0)*CH$9</f>
        <v>0</v>
      </c>
      <c r="CI283" s="48">
        <f>IF((82-N(V_L2_Mes)+1)=1,N(V_L2_Monto),0)*CI$9</f>
        <v>0</v>
      </c>
      <c r="CJ283" s="48">
        <f>IF((83-N(V_L2_Mes)+1)=1,N(V_L2_Monto),0)*CJ$9</f>
        <v>0</v>
      </c>
      <c r="CK283" s="48">
        <f>IF((84-N(V_L2_Mes)+1)=1,N(V_L2_Monto),0)*CK$9</f>
        <v>0</v>
      </c>
      <c r="CL283" s="48">
        <f>IF((85-N(V_L2_Mes)+1)=1,N(V_L2_Monto),0)*CL$9</f>
        <v>0</v>
      </c>
      <c r="CM283" s="48">
        <f>IF((86-N(V_L2_Mes)+1)=1,N(V_L2_Monto),0)*CM$9</f>
        <v>0</v>
      </c>
      <c r="CN283" s="48">
        <f>IF((87-N(V_L2_Mes)+1)=1,N(V_L2_Monto),0)*CN$9</f>
        <v>0</v>
      </c>
      <c r="CO283" s="48">
        <f>IF((88-N(V_L2_Mes)+1)=1,N(V_L2_Monto),0)*CO$9</f>
        <v>0</v>
      </c>
      <c r="CP283" s="48">
        <f>IF((89-N(V_L2_Mes)+1)=1,N(V_L2_Monto),0)*CP$9</f>
        <v>0</v>
      </c>
      <c r="CQ283" s="48">
        <f>IF((90-N(V_L2_Mes)+1)=1,N(V_L2_Monto),0)*CQ$9</f>
        <v>0</v>
      </c>
      <c r="CR283" s="48">
        <f>IF((91-N(V_L2_Mes)+1)=1,N(V_L2_Monto),0)*CR$9</f>
        <v>0</v>
      </c>
      <c r="CS283" s="48">
        <f>IF((92-N(V_L2_Mes)+1)=1,N(V_L2_Monto),0)*CS$9</f>
        <v>0</v>
      </c>
      <c r="CT283" s="48">
        <f>IF((93-N(V_L2_Mes)+1)=1,N(V_L2_Monto),0)*CT$9</f>
        <v>0</v>
      </c>
      <c r="CU283" s="48">
        <f>IF((94-N(V_L2_Mes)+1)=1,N(V_L2_Monto),0)*CU$9</f>
        <v>0</v>
      </c>
      <c r="CV283" s="48">
        <f>IF((95-N(V_L2_Mes)+1)=1,N(V_L2_Monto),0)*CV$9</f>
        <v>0</v>
      </c>
      <c r="CW283" s="48">
        <f>IF((96-N(V_L2_Mes)+1)=1,N(V_L2_Monto),0)*CW$9</f>
        <v>0</v>
      </c>
      <c r="CX283" s="48">
        <f>IF((97-N(V_L2_Mes)+1)=1,N(V_L2_Monto),0)*CX$9</f>
        <v>0</v>
      </c>
      <c r="CY283" s="48">
        <f>IF((98-N(V_L2_Mes)+1)=1,N(V_L2_Monto),0)*CY$9</f>
        <v>0</v>
      </c>
      <c r="CZ283" s="48">
        <f>IF((99-N(V_L2_Mes)+1)=1,N(V_L2_Monto),0)*CZ$9</f>
        <v>0</v>
      </c>
      <c r="DA283" s="48">
        <f>IF((100-N(V_L2_Mes)+1)=1,N(V_L2_Monto),0)*DA$9</f>
        <v>0</v>
      </c>
      <c r="DB283" s="48">
        <f>IF((101-N(V_L2_Mes)+1)=1,N(V_L2_Monto),0)*DB$9</f>
        <v>0</v>
      </c>
      <c r="DC283" s="48">
        <f>IF((102-N(V_L2_Mes)+1)=1,N(V_L2_Monto),0)*DC$9</f>
        <v>0</v>
      </c>
      <c r="DD283" s="48">
        <f>IF((103-N(V_L2_Mes)+1)=1,N(V_L2_Monto),0)*DD$9</f>
        <v>0</v>
      </c>
      <c r="DE283" s="48">
        <f>IF((104-N(V_L2_Mes)+1)=1,N(V_L2_Monto),0)*DE$9</f>
        <v>0</v>
      </c>
      <c r="DF283" s="48">
        <f>IF((105-N(V_L2_Mes)+1)=1,N(V_L2_Monto),0)*DF$9</f>
        <v>0</v>
      </c>
      <c r="DG283" s="48">
        <f>IF((106-N(V_L2_Mes)+1)=1,N(V_L2_Monto),0)*DG$9</f>
        <v>0</v>
      </c>
      <c r="DH283" s="48">
        <f>IF((107-N(V_L2_Mes)+1)=1,N(V_L2_Monto),0)*DH$9</f>
        <v>0</v>
      </c>
      <c r="DI283" s="48">
        <f>IF((108-N(V_L2_Mes)+1)=1,N(V_L2_Monto),0)*DI$9</f>
        <v>0</v>
      </c>
      <c r="DJ283" s="48">
        <f>IF((109-N(V_L2_Mes)+1)=1,N(V_L2_Monto),0)*DJ$9</f>
        <v>0</v>
      </c>
      <c r="DK283" s="48">
        <f>IF((110-N(V_L2_Mes)+1)=1,N(V_L2_Monto),0)*DK$9</f>
        <v>0</v>
      </c>
      <c r="DL283" s="48">
        <f>IF((111-N(V_L2_Mes)+1)=1,N(V_L2_Monto),0)*DL$9</f>
        <v>0</v>
      </c>
      <c r="DM283" s="48">
        <f>IF((112-N(V_L2_Mes)+1)=1,N(V_L2_Monto),0)*DM$9</f>
        <v>0</v>
      </c>
      <c r="DN283" s="48">
        <f>IF((113-N(V_L2_Mes)+1)=1,N(V_L2_Monto),0)*DN$9</f>
        <v>0</v>
      </c>
      <c r="DO283" s="48">
        <f>IF((114-N(V_L2_Mes)+1)=1,N(V_L2_Monto),0)*DO$9</f>
        <v>0</v>
      </c>
      <c r="DP283" s="48">
        <f>IF((115-N(V_L2_Mes)+1)=1,N(V_L2_Monto),0)*DP$9</f>
        <v>0</v>
      </c>
      <c r="DQ283" s="48">
        <f>IF((116-N(V_L2_Mes)+1)=1,N(V_L2_Monto),0)*DQ$9</f>
        <v>0</v>
      </c>
      <c r="DR283" s="48">
        <f>IF((117-N(V_L2_Mes)+1)=1,N(V_L2_Monto),0)*DR$9</f>
        <v>0</v>
      </c>
      <c r="DS283" s="48">
        <f>IF((118-N(V_L2_Mes)+1)=1,N(V_L2_Monto),0)*DS$9</f>
        <v>0</v>
      </c>
      <c r="DT283" s="48">
        <f>IF((119-N(V_L2_Mes)+1)=1,N(V_L2_Monto),0)*DT$9</f>
        <v>0</v>
      </c>
      <c r="DU283" s="48">
        <f>IF((120-N(V_L2_Mes)+1)=1,N(V_L2_Monto),0)*DU$9</f>
        <v>0</v>
      </c>
      <c r="DV283" s="48">
        <f>IF((121-N(V_L2_Mes)+1)=1,N(V_L2_Monto),0)*DV$9</f>
        <v>0</v>
      </c>
      <c r="DW283" s="48">
        <f>IF((122-N(V_L2_Mes)+1)=1,N(V_L2_Monto),0)*DW$9</f>
        <v>0</v>
      </c>
      <c r="DX283" s="48">
        <f>IF((123-N(V_L2_Mes)+1)=1,N(V_L2_Monto),0)*DX$9</f>
        <v>0</v>
      </c>
      <c r="DY283" s="48">
        <f>IF((124-N(V_L2_Mes)+1)=1,N(V_L2_Monto),0)*DY$9</f>
        <v>0</v>
      </c>
      <c r="DZ283" s="48">
        <f>IF((125-N(V_L2_Mes)+1)=1,N(V_L2_Monto),0)*DZ$9</f>
        <v>0</v>
      </c>
      <c r="EA283" s="48">
        <f>IF((126-N(V_L2_Mes)+1)=1,N(V_L2_Monto),0)*EA$9</f>
        <v>0</v>
      </c>
      <c r="EB283" s="48">
        <f>IF((127-N(V_L2_Mes)+1)=1,N(V_L2_Monto),0)*EB$9</f>
        <v>0</v>
      </c>
      <c r="EC283" s="48">
        <f>IF((128-N(V_L2_Mes)+1)=1,N(V_L2_Monto),0)*EC$9</f>
        <v>0</v>
      </c>
      <c r="ED283" s="48">
        <f>IF((129-N(V_L2_Mes)+1)=1,N(V_L2_Monto),0)*ED$9</f>
        <v>0</v>
      </c>
      <c r="EE283" s="48">
        <f>IF((130-N(V_L2_Mes)+1)=1,N(V_L2_Monto),0)*EE$9</f>
        <v>0</v>
      </c>
      <c r="EF283" s="48">
        <f>IF((131-N(V_L2_Mes)+1)=1,N(V_L2_Monto),0)*EF$9</f>
        <v>0</v>
      </c>
      <c r="EG283" s="48">
        <f>IF((132-N(V_L2_Mes)+1)=1,N(V_L2_Monto),0)*EG$9</f>
        <v>0</v>
      </c>
      <c r="EH283" s="48">
        <f>IF((133-N(V_L2_Mes)+1)=1,N(V_L2_Monto),0)*EH$9</f>
        <v>0</v>
      </c>
      <c r="EI283" s="48">
        <f>IF((134-N(V_L2_Mes)+1)=1,N(V_L2_Monto),0)*EI$9</f>
        <v>0</v>
      </c>
      <c r="EJ283" s="48">
        <f>IF((135-N(V_L2_Mes)+1)=1,N(V_L2_Monto),0)*EJ$9</f>
        <v>0</v>
      </c>
      <c r="EK283" s="48">
        <f>IF((136-N(V_L2_Mes)+1)=1,N(V_L2_Monto),0)*EK$9</f>
        <v>0</v>
      </c>
      <c r="EL283" s="48">
        <f>IF((137-N(V_L2_Mes)+1)=1,N(V_L2_Monto),0)*EL$9</f>
        <v>0</v>
      </c>
      <c r="EM283" s="48">
        <f>IF((138-N(V_L2_Mes)+1)=1,N(V_L2_Monto),0)*EM$9</f>
        <v>0</v>
      </c>
      <c r="EN283" s="48">
        <f>IF((139-N(V_L2_Mes)+1)=1,N(V_L2_Monto),0)*EN$9</f>
        <v>0</v>
      </c>
      <c r="EO283" s="48">
        <f>IF((140-N(V_L2_Mes)+1)=1,N(V_L2_Monto),0)*EO$9</f>
        <v>0</v>
      </c>
      <c r="EP283" s="48">
        <f>IF((141-N(V_L2_Mes)+1)=1,N(V_L2_Monto),0)*EP$9</f>
        <v>0</v>
      </c>
      <c r="EQ283" s="48">
        <f>IF((142-N(V_L2_Mes)+1)=1,N(V_L2_Monto),0)*EQ$9</f>
        <v>0</v>
      </c>
      <c r="ER283" s="48">
        <f>IF((143-N(V_L2_Mes)+1)=1,N(V_L2_Monto),0)*ER$9</f>
        <v>0</v>
      </c>
      <c r="ES283" s="48">
        <f>IF((144-N(V_L2_Mes)+1)=1,N(V_L2_Monto),0)*ES$9</f>
        <v>0</v>
      </c>
    </row>
    <row r="284" spans="1:149" x14ac:dyDescent="0.3">
      <c r="A284" s="14" t="s">
        <v>1334</v>
      </c>
      <c r="B284" s="18" t="s">
        <v>1153</v>
      </c>
      <c r="C284" s="18" t="s">
        <v>439</v>
      </c>
      <c r="E284" s="54">
        <f>SUM(F284:ES284)</f>
        <v>0</v>
      </c>
      <c r="F284" s="48">
        <f>IF((1-N(V_L2_Mes)+1)&gt;=1,IF((1-N(V_L2_Mes)+1)=1,N(V_L2_Monto),0)*N(V_L2_Tasa)/12,0)*F$9</f>
        <v>0</v>
      </c>
      <c r="G284" s="48">
        <f>IF((2-N(V_L2_Mes)+1)&gt;=1,IF((2-N(V_L2_Mes)+1)=1,N(V_L2_Monto),F$286)*N(V_L2_Tasa)/12,0)*G$9</f>
        <v>0</v>
      </c>
      <c r="H284" s="48">
        <f>IF((3-N(V_L2_Mes)+1)&gt;=1,IF((3-N(V_L2_Mes)+1)=1,N(V_L2_Monto),G$286)*N(V_L2_Tasa)/12,0)*H$9</f>
        <v>0</v>
      </c>
      <c r="I284" s="48">
        <f>IF((4-N(V_L2_Mes)+1)&gt;=1,IF((4-N(V_L2_Mes)+1)=1,N(V_L2_Monto),H$286)*N(V_L2_Tasa)/12,0)*I$9</f>
        <v>0</v>
      </c>
      <c r="J284" s="48">
        <f>IF((5-N(V_L2_Mes)+1)&gt;=1,IF((5-N(V_L2_Mes)+1)=1,N(V_L2_Monto),I$286)*N(V_L2_Tasa)/12,0)*J$9</f>
        <v>0</v>
      </c>
      <c r="K284" s="48">
        <f>IF((6-N(V_L2_Mes)+1)&gt;=1,IF((6-N(V_L2_Mes)+1)=1,N(V_L2_Monto),J$286)*N(V_L2_Tasa)/12,0)*K$9</f>
        <v>0</v>
      </c>
      <c r="L284" s="48">
        <f>IF((7-N(V_L2_Mes)+1)&gt;=1,IF((7-N(V_L2_Mes)+1)=1,N(V_L2_Monto),K$286)*N(V_L2_Tasa)/12,0)*L$9</f>
        <v>0</v>
      </c>
      <c r="M284" s="48">
        <f>IF((8-N(V_L2_Mes)+1)&gt;=1,IF((8-N(V_L2_Mes)+1)=1,N(V_L2_Monto),L$286)*N(V_L2_Tasa)/12,0)*M$9</f>
        <v>0</v>
      </c>
      <c r="N284" s="48">
        <f>IF((9-N(V_L2_Mes)+1)&gt;=1,IF((9-N(V_L2_Mes)+1)=1,N(V_L2_Monto),M$286)*N(V_L2_Tasa)/12,0)*N$9</f>
        <v>0</v>
      </c>
      <c r="O284" s="48">
        <f>IF((10-N(V_L2_Mes)+1)&gt;=1,IF((10-N(V_L2_Mes)+1)=1,N(V_L2_Monto),N$286)*N(V_L2_Tasa)/12,0)*O$9</f>
        <v>0</v>
      </c>
      <c r="P284" s="48">
        <f>IF((11-N(V_L2_Mes)+1)&gt;=1,IF((11-N(V_L2_Mes)+1)=1,N(V_L2_Monto),O$286)*N(V_L2_Tasa)/12,0)*P$9</f>
        <v>0</v>
      </c>
      <c r="Q284" s="48">
        <f>IF((12-N(V_L2_Mes)+1)&gt;=1,IF((12-N(V_L2_Mes)+1)=1,N(V_L2_Monto),P$286)*N(V_L2_Tasa)/12,0)*Q$9</f>
        <v>0</v>
      </c>
      <c r="R284" s="48">
        <f>IF((13-N(V_L2_Mes)+1)&gt;=1,IF((13-N(V_L2_Mes)+1)=1,N(V_L2_Monto),Q$286)*N(V_L2_Tasa)/12,0)*R$9</f>
        <v>0</v>
      </c>
      <c r="S284" s="48">
        <f>IF((14-N(V_L2_Mes)+1)&gt;=1,IF((14-N(V_L2_Mes)+1)=1,N(V_L2_Monto),R$286)*N(V_L2_Tasa)/12,0)*S$9</f>
        <v>0</v>
      </c>
      <c r="T284" s="48">
        <f>IF((15-N(V_L2_Mes)+1)&gt;=1,IF((15-N(V_L2_Mes)+1)=1,N(V_L2_Monto),S$286)*N(V_L2_Tasa)/12,0)*T$9</f>
        <v>0</v>
      </c>
      <c r="U284" s="48">
        <f>IF((16-N(V_L2_Mes)+1)&gt;=1,IF((16-N(V_L2_Mes)+1)=1,N(V_L2_Monto),T$286)*N(V_L2_Tasa)/12,0)*U$9</f>
        <v>0</v>
      </c>
      <c r="V284" s="48">
        <f>IF((17-N(V_L2_Mes)+1)&gt;=1,IF((17-N(V_L2_Mes)+1)=1,N(V_L2_Monto),U$286)*N(V_L2_Tasa)/12,0)*V$9</f>
        <v>0</v>
      </c>
      <c r="W284" s="48">
        <f>IF((18-N(V_L2_Mes)+1)&gt;=1,IF((18-N(V_L2_Mes)+1)=1,N(V_L2_Monto),V$286)*N(V_L2_Tasa)/12,0)*W$9</f>
        <v>0</v>
      </c>
      <c r="X284" s="48">
        <f>IF((19-N(V_L2_Mes)+1)&gt;=1,IF((19-N(V_L2_Mes)+1)=1,N(V_L2_Monto),W$286)*N(V_L2_Tasa)/12,0)*X$9</f>
        <v>0</v>
      </c>
      <c r="Y284" s="48">
        <f>IF((20-N(V_L2_Mes)+1)&gt;=1,IF((20-N(V_L2_Mes)+1)=1,N(V_L2_Monto),X$286)*N(V_L2_Tasa)/12,0)*Y$9</f>
        <v>0</v>
      </c>
      <c r="Z284" s="48">
        <f>IF((21-N(V_L2_Mes)+1)&gt;=1,IF((21-N(V_L2_Mes)+1)=1,N(V_L2_Monto),Y$286)*N(V_L2_Tasa)/12,0)*Z$9</f>
        <v>0</v>
      </c>
      <c r="AA284" s="48">
        <f>IF((22-N(V_L2_Mes)+1)&gt;=1,IF((22-N(V_L2_Mes)+1)=1,N(V_L2_Monto),Z$286)*N(V_L2_Tasa)/12,0)*AA$9</f>
        <v>0</v>
      </c>
      <c r="AB284" s="48">
        <f>IF((23-N(V_L2_Mes)+1)&gt;=1,IF((23-N(V_L2_Mes)+1)=1,N(V_L2_Monto),AA$286)*N(V_L2_Tasa)/12,0)*AB$9</f>
        <v>0</v>
      </c>
      <c r="AC284" s="48">
        <f>IF((24-N(V_L2_Mes)+1)&gt;=1,IF((24-N(V_L2_Mes)+1)=1,N(V_L2_Monto),AB$286)*N(V_L2_Tasa)/12,0)*AC$9</f>
        <v>0</v>
      </c>
      <c r="AD284" s="48">
        <f>IF((25-N(V_L2_Mes)+1)&gt;=1,IF((25-N(V_L2_Mes)+1)=1,N(V_L2_Monto),AC$286)*N(V_L2_Tasa)/12,0)*AD$9</f>
        <v>0</v>
      </c>
      <c r="AE284" s="48">
        <f>IF((26-N(V_L2_Mes)+1)&gt;=1,IF((26-N(V_L2_Mes)+1)=1,N(V_L2_Monto),AD$286)*N(V_L2_Tasa)/12,0)*AE$9</f>
        <v>0</v>
      </c>
      <c r="AF284" s="48">
        <f>IF((27-N(V_L2_Mes)+1)&gt;=1,IF((27-N(V_L2_Mes)+1)=1,N(V_L2_Monto),AE$286)*N(V_L2_Tasa)/12,0)*AF$9</f>
        <v>0</v>
      </c>
      <c r="AG284" s="48">
        <f>IF((28-N(V_L2_Mes)+1)&gt;=1,IF((28-N(V_L2_Mes)+1)=1,N(V_L2_Monto),AF$286)*N(V_L2_Tasa)/12,0)*AG$9</f>
        <v>0</v>
      </c>
      <c r="AH284" s="48">
        <f>IF((29-N(V_L2_Mes)+1)&gt;=1,IF((29-N(V_L2_Mes)+1)=1,N(V_L2_Monto),AG$286)*N(V_L2_Tasa)/12,0)*AH$9</f>
        <v>0</v>
      </c>
      <c r="AI284" s="48">
        <f>IF((30-N(V_L2_Mes)+1)&gt;=1,IF((30-N(V_L2_Mes)+1)=1,N(V_L2_Monto),AH$286)*N(V_L2_Tasa)/12,0)*AI$9</f>
        <v>0</v>
      </c>
      <c r="AJ284" s="48">
        <f>IF((31-N(V_L2_Mes)+1)&gt;=1,IF((31-N(V_L2_Mes)+1)=1,N(V_L2_Monto),AI$286)*N(V_L2_Tasa)/12,0)*AJ$9</f>
        <v>0</v>
      </c>
      <c r="AK284" s="48">
        <f>IF((32-N(V_L2_Mes)+1)&gt;=1,IF((32-N(V_L2_Mes)+1)=1,N(V_L2_Monto),AJ$286)*N(V_L2_Tasa)/12,0)*AK$9</f>
        <v>0</v>
      </c>
      <c r="AL284" s="48">
        <f>IF((33-N(V_L2_Mes)+1)&gt;=1,IF((33-N(V_L2_Mes)+1)=1,N(V_L2_Monto),AK$286)*N(V_L2_Tasa)/12,0)*AL$9</f>
        <v>0</v>
      </c>
      <c r="AM284" s="48">
        <f>IF((34-N(V_L2_Mes)+1)&gt;=1,IF((34-N(V_L2_Mes)+1)=1,N(V_L2_Monto),AL$286)*N(V_L2_Tasa)/12,0)*AM$9</f>
        <v>0</v>
      </c>
      <c r="AN284" s="48">
        <f>IF((35-N(V_L2_Mes)+1)&gt;=1,IF((35-N(V_L2_Mes)+1)=1,N(V_L2_Monto),AM$286)*N(V_L2_Tasa)/12,0)*AN$9</f>
        <v>0</v>
      </c>
      <c r="AO284" s="48">
        <f>IF((36-N(V_L2_Mes)+1)&gt;=1,IF((36-N(V_L2_Mes)+1)=1,N(V_L2_Monto),AN$286)*N(V_L2_Tasa)/12,0)*AO$9</f>
        <v>0</v>
      </c>
      <c r="AP284" s="48">
        <f>IF((37-N(V_L2_Mes)+1)&gt;=1,IF((37-N(V_L2_Mes)+1)=1,N(V_L2_Monto),AO$286)*N(V_L2_Tasa)/12,0)*AP$9</f>
        <v>0</v>
      </c>
      <c r="AQ284" s="48">
        <f>IF((38-N(V_L2_Mes)+1)&gt;=1,IF((38-N(V_L2_Mes)+1)=1,N(V_L2_Monto),AP$286)*N(V_L2_Tasa)/12,0)*AQ$9</f>
        <v>0</v>
      </c>
      <c r="AR284" s="48">
        <f>IF((39-N(V_L2_Mes)+1)&gt;=1,IF((39-N(V_L2_Mes)+1)=1,N(V_L2_Monto),AQ$286)*N(V_L2_Tasa)/12,0)*AR$9</f>
        <v>0</v>
      </c>
      <c r="AS284" s="48">
        <f>IF((40-N(V_L2_Mes)+1)&gt;=1,IF((40-N(V_L2_Mes)+1)=1,N(V_L2_Monto),AR$286)*N(V_L2_Tasa)/12,0)*AS$9</f>
        <v>0</v>
      </c>
      <c r="AT284" s="48">
        <f>IF((41-N(V_L2_Mes)+1)&gt;=1,IF((41-N(V_L2_Mes)+1)=1,N(V_L2_Monto),AS$286)*N(V_L2_Tasa)/12,0)*AT$9</f>
        <v>0</v>
      </c>
      <c r="AU284" s="48">
        <f>IF((42-N(V_L2_Mes)+1)&gt;=1,IF((42-N(V_L2_Mes)+1)=1,N(V_L2_Monto),AT$286)*N(V_L2_Tasa)/12,0)*AU$9</f>
        <v>0</v>
      </c>
      <c r="AV284" s="48">
        <f>IF((43-N(V_L2_Mes)+1)&gt;=1,IF((43-N(V_L2_Mes)+1)=1,N(V_L2_Monto),AU$286)*N(V_L2_Tasa)/12,0)*AV$9</f>
        <v>0</v>
      </c>
      <c r="AW284" s="48">
        <f>IF((44-N(V_L2_Mes)+1)&gt;=1,IF((44-N(V_L2_Mes)+1)=1,N(V_L2_Monto),AV$286)*N(V_L2_Tasa)/12,0)*AW$9</f>
        <v>0</v>
      </c>
      <c r="AX284" s="48">
        <f>IF((45-N(V_L2_Mes)+1)&gt;=1,IF((45-N(V_L2_Mes)+1)=1,N(V_L2_Monto),AW$286)*N(V_L2_Tasa)/12,0)*AX$9</f>
        <v>0</v>
      </c>
      <c r="AY284" s="48">
        <f>IF((46-N(V_L2_Mes)+1)&gt;=1,IF((46-N(V_L2_Mes)+1)=1,N(V_L2_Monto),AX$286)*N(V_L2_Tasa)/12,0)*AY$9</f>
        <v>0</v>
      </c>
      <c r="AZ284" s="48">
        <f>IF((47-N(V_L2_Mes)+1)&gt;=1,IF((47-N(V_L2_Mes)+1)=1,N(V_L2_Monto),AY$286)*N(V_L2_Tasa)/12,0)*AZ$9</f>
        <v>0</v>
      </c>
      <c r="BA284" s="48">
        <f>IF((48-N(V_L2_Mes)+1)&gt;=1,IF((48-N(V_L2_Mes)+1)=1,N(V_L2_Monto),AZ$286)*N(V_L2_Tasa)/12,0)*BA$9</f>
        <v>0</v>
      </c>
      <c r="BB284" s="48">
        <f>IF((49-N(V_L2_Mes)+1)&gt;=1,IF((49-N(V_L2_Mes)+1)=1,N(V_L2_Monto),BA$286)*N(V_L2_Tasa)/12,0)*BB$9</f>
        <v>0</v>
      </c>
      <c r="BC284" s="48">
        <f>IF((50-N(V_L2_Mes)+1)&gt;=1,IF((50-N(V_L2_Mes)+1)=1,N(V_L2_Monto),BB$286)*N(V_L2_Tasa)/12,0)*BC$9</f>
        <v>0</v>
      </c>
      <c r="BD284" s="48">
        <f>IF((51-N(V_L2_Mes)+1)&gt;=1,IF((51-N(V_L2_Mes)+1)=1,N(V_L2_Monto),BC$286)*N(V_L2_Tasa)/12,0)*BD$9</f>
        <v>0</v>
      </c>
      <c r="BE284" s="48">
        <f>IF((52-N(V_L2_Mes)+1)&gt;=1,IF((52-N(V_L2_Mes)+1)=1,N(V_L2_Monto),BD$286)*N(V_L2_Tasa)/12,0)*BE$9</f>
        <v>0</v>
      </c>
      <c r="BF284" s="48">
        <f>IF((53-N(V_L2_Mes)+1)&gt;=1,IF((53-N(V_L2_Mes)+1)=1,N(V_L2_Monto),BE$286)*N(V_L2_Tasa)/12,0)*BF$9</f>
        <v>0</v>
      </c>
      <c r="BG284" s="48">
        <f>IF((54-N(V_L2_Mes)+1)&gt;=1,IF((54-N(V_L2_Mes)+1)=1,N(V_L2_Monto),BF$286)*N(V_L2_Tasa)/12,0)*BG$9</f>
        <v>0</v>
      </c>
      <c r="BH284" s="48">
        <f>IF((55-N(V_L2_Mes)+1)&gt;=1,IF((55-N(V_L2_Mes)+1)=1,N(V_L2_Monto),BG$286)*N(V_L2_Tasa)/12,0)*BH$9</f>
        <v>0</v>
      </c>
      <c r="BI284" s="48">
        <f>IF((56-N(V_L2_Mes)+1)&gt;=1,IF((56-N(V_L2_Mes)+1)=1,N(V_L2_Monto),BH$286)*N(V_L2_Tasa)/12,0)*BI$9</f>
        <v>0</v>
      </c>
      <c r="BJ284" s="48">
        <f>IF((57-N(V_L2_Mes)+1)&gt;=1,IF((57-N(V_L2_Mes)+1)=1,N(V_L2_Monto),BI$286)*N(V_L2_Tasa)/12,0)*BJ$9</f>
        <v>0</v>
      </c>
      <c r="BK284" s="48">
        <f>IF((58-N(V_L2_Mes)+1)&gt;=1,IF((58-N(V_L2_Mes)+1)=1,N(V_L2_Monto),BJ$286)*N(V_L2_Tasa)/12,0)*BK$9</f>
        <v>0</v>
      </c>
      <c r="BL284" s="48">
        <f>IF((59-N(V_L2_Mes)+1)&gt;=1,IF((59-N(V_L2_Mes)+1)=1,N(V_L2_Monto),BK$286)*N(V_L2_Tasa)/12,0)*BL$9</f>
        <v>0</v>
      </c>
      <c r="BM284" s="48">
        <f>IF((60-N(V_L2_Mes)+1)&gt;=1,IF((60-N(V_L2_Mes)+1)=1,N(V_L2_Monto),BL$286)*N(V_L2_Tasa)/12,0)*BM$9</f>
        <v>0</v>
      </c>
      <c r="BN284" s="48">
        <f>IF((61-N(V_L2_Mes)+1)&gt;=1,IF((61-N(V_L2_Mes)+1)=1,N(V_L2_Monto),BM$286)*N(V_L2_Tasa)/12,0)*BN$9</f>
        <v>0</v>
      </c>
      <c r="BO284" s="48">
        <f>IF((62-N(V_L2_Mes)+1)&gt;=1,IF((62-N(V_L2_Mes)+1)=1,N(V_L2_Monto),BN$286)*N(V_L2_Tasa)/12,0)*BO$9</f>
        <v>0</v>
      </c>
      <c r="BP284" s="48">
        <f>IF((63-N(V_L2_Mes)+1)&gt;=1,IF((63-N(V_L2_Mes)+1)=1,N(V_L2_Monto),BO$286)*N(V_L2_Tasa)/12,0)*BP$9</f>
        <v>0</v>
      </c>
      <c r="BQ284" s="48">
        <f>IF((64-N(V_L2_Mes)+1)&gt;=1,IF((64-N(V_L2_Mes)+1)=1,N(V_L2_Monto),BP$286)*N(V_L2_Tasa)/12,0)*BQ$9</f>
        <v>0</v>
      </c>
      <c r="BR284" s="48">
        <f>IF((65-N(V_L2_Mes)+1)&gt;=1,IF((65-N(V_L2_Mes)+1)=1,N(V_L2_Monto),BQ$286)*N(V_L2_Tasa)/12,0)*BR$9</f>
        <v>0</v>
      </c>
      <c r="BS284" s="48">
        <f>IF((66-N(V_L2_Mes)+1)&gt;=1,IF((66-N(V_L2_Mes)+1)=1,N(V_L2_Monto),BR$286)*N(V_L2_Tasa)/12,0)*BS$9</f>
        <v>0</v>
      </c>
      <c r="BT284" s="48">
        <f>IF((67-N(V_L2_Mes)+1)&gt;=1,IF((67-N(V_L2_Mes)+1)=1,N(V_L2_Monto),BS$286)*N(V_L2_Tasa)/12,0)*BT$9</f>
        <v>0</v>
      </c>
      <c r="BU284" s="48">
        <f>IF((68-N(V_L2_Mes)+1)&gt;=1,IF((68-N(V_L2_Mes)+1)=1,N(V_L2_Monto),BT$286)*N(V_L2_Tasa)/12,0)*BU$9</f>
        <v>0</v>
      </c>
      <c r="BV284" s="48">
        <f>IF((69-N(V_L2_Mes)+1)&gt;=1,IF((69-N(V_L2_Mes)+1)=1,N(V_L2_Monto),BU$286)*N(V_L2_Tasa)/12,0)*BV$9</f>
        <v>0</v>
      </c>
      <c r="BW284" s="48">
        <f>IF((70-N(V_L2_Mes)+1)&gt;=1,IF((70-N(V_L2_Mes)+1)=1,N(V_L2_Monto),BV$286)*N(V_L2_Tasa)/12,0)*BW$9</f>
        <v>0</v>
      </c>
      <c r="BX284" s="48">
        <f>IF((71-N(V_L2_Mes)+1)&gt;=1,IF((71-N(V_L2_Mes)+1)=1,N(V_L2_Monto),BW$286)*N(V_L2_Tasa)/12,0)*BX$9</f>
        <v>0</v>
      </c>
      <c r="BY284" s="48">
        <f>IF((72-N(V_L2_Mes)+1)&gt;=1,IF((72-N(V_L2_Mes)+1)=1,N(V_L2_Monto),BX$286)*N(V_L2_Tasa)/12,0)*BY$9</f>
        <v>0</v>
      </c>
      <c r="BZ284" s="48">
        <f>IF((73-N(V_L2_Mes)+1)&gt;=1,IF((73-N(V_L2_Mes)+1)=1,N(V_L2_Monto),BY$286)*N(V_L2_Tasa)/12,0)*BZ$9</f>
        <v>0</v>
      </c>
      <c r="CA284" s="48">
        <f>IF((74-N(V_L2_Mes)+1)&gt;=1,IF((74-N(V_L2_Mes)+1)=1,N(V_L2_Monto),BZ$286)*N(V_L2_Tasa)/12,0)*CA$9</f>
        <v>0</v>
      </c>
      <c r="CB284" s="48">
        <f>IF((75-N(V_L2_Mes)+1)&gt;=1,IF((75-N(V_L2_Mes)+1)=1,N(V_L2_Monto),CA$286)*N(V_L2_Tasa)/12,0)*CB$9</f>
        <v>0</v>
      </c>
      <c r="CC284" s="48">
        <f>IF((76-N(V_L2_Mes)+1)&gt;=1,IF((76-N(V_L2_Mes)+1)=1,N(V_L2_Monto),CB$286)*N(V_L2_Tasa)/12,0)*CC$9</f>
        <v>0</v>
      </c>
      <c r="CD284" s="48">
        <f>IF((77-N(V_L2_Mes)+1)&gt;=1,IF((77-N(V_L2_Mes)+1)=1,N(V_L2_Monto),CC$286)*N(V_L2_Tasa)/12,0)*CD$9</f>
        <v>0</v>
      </c>
      <c r="CE284" s="48">
        <f>IF((78-N(V_L2_Mes)+1)&gt;=1,IF((78-N(V_L2_Mes)+1)=1,N(V_L2_Monto),CD$286)*N(V_L2_Tasa)/12,0)*CE$9</f>
        <v>0</v>
      </c>
      <c r="CF284" s="48">
        <f>IF((79-N(V_L2_Mes)+1)&gt;=1,IF((79-N(V_L2_Mes)+1)=1,N(V_L2_Monto),CE$286)*N(V_L2_Tasa)/12,0)*CF$9</f>
        <v>0</v>
      </c>
      <c r="CG284" s="48">
        <f>IF((80-N(V_L2_Mes)+1)&gt;=1,IF((80-N(V_L2_Mes)+1)=1,N(V_L2_Monto),CF$286)*N(V_L2_Tasa)/12,0)*CG$9</f>
        <v>0</v>
      </c>
      <c r="CH284" s="48">
        <f>IF((81-N(V_L2_Mes)+1)&gt;=1,IF((81-N(V_L2_Mes)+1)=1,N(V_L2_Monto),CG$286)*N(V_L2_Tasa)/12,0)*CH$9</f>
        <v>0</v>
      </c>
      <c r="CI284" s="48">
        <f>IF((82-N(V_L2_Mes)+1)&gt;=1,IF((82-N(V_L2_Mes)+1)=1,N(V_L2_Monto),CH$286)*N(V_L2_Tasa)/12,0)*CI$9</f>
        <v>0</v>
      </c>
      <c r="CJ284" s="48">
        <f>IF((83-N(V_L2_Mes)+1)&gt;=1,IF((83-N(V_L2_Mes)+1)=1,N(V_L2_Monto),CI$286)*N(V_L2_Tasa)/12,0)*CJ$9</f>
        <v>0</v>
      </c>
      <c r="CK284" s="48">
        <f>IF((84-N(V_L2_Mes)+1)&gt;=1,IF((84-N(V_L2_Mes)+1)=1,N(V_L2_Monto),CJ$286)*N(V_L2_Tasa)/12,0)*CK$9</f>
        <v>0</v>
      </c>
      <c r="CL284" s="48">
        <f>IF((85-N(V_L2_Mes)+1)&gt;=1,IF((85-N(V_L2_Mes)+1)=1,N(V_L2_Monto),CK$286)*N(V_L2_Tasa)/12,0)*CL$9</f>
        <v>0</v>
      </c>
      <c r="CM284" s="48">
        <f>IF((86-N(V_L2_Mes)+1)&gt;=1,IF((86-N(V_L2_Mes)+1)=1,N(V_L2_Monto),CL$286)*N(V_L2_Tasa)/12,0)*CM$9</f>
        <v>0</v>
      </c>
      <c r="CN284" s="48">
        <f>IF((87-N(V_L2_Mes)+1)&gt;=1,IF((87-N(V_L2_Mes)+1)=1,N(V_L2_Monto),CM$286)*N(V_L2_Tasa)/12,0)*CN$9</f>
        <v>0</v>
      </c>
      <c r="CO284" s="48">
        <f>IF((88-N(V_L2_Mes)+1)&gt;=1,IF((88-N(V_L2_Mes)+1)=1,N(V_L2_Monto),CN$286)*N(V_L2_Tasa)/12,0)*CO$9</f>
        <v>0</v>
      </c>
      <c r="CP284" s="48">
        <f>IF((89-N(V_L2_Mes)+1)&gt;=1,IF((89-N(V_L2_Mes)+1)=1,N(V_L2_Monto),CO$286)*N(V_L2_Tasa)/12,0)*CP$9</f>
        <v>0</v>
      </c>
      <c r="CQ284" s="48">
        <f>IF((90-N(V_L2_Mes)+1)&gt;=1,IF((90-N(V_L2_Mes)+1)=1,N(V_L2_Monto),CP$286)*N(V_L2_Tasa)/12,0)*CQ$9</f>
        <v>0</v>
      </c>
      <c r="CR284" s="48">
        <f>IF((91-N(V_L2_Mes)+1)&gt;=1,IF((91-N(V_L2_Mes)+1)=1,N(V_L2_Monto),CQ$286)*N(V_L2_Tasa)/12,0)*CR$9</f>
        <v>0</v>
      </c>
      <c r="CS284" s="48">
        <f>IF((92-N(V_L2_Mes)+1)&gt;=1,IF((92-N(V_L2_Mes)+1)=1,N(V_L2_Monto),CR$286)*N(V_L2_Tasa)/12,0)*CS$9</f>
        <v>0</v>
      </c>
      <c r="CT284" s="48">
        <f>IF((93-N(V_L2_Mes)+1)&gt;=1,IF((93-N(V_L2_Mes)+1)=1,N(V_L2_Monto),CS$286)*N(V_L2_Tasa)/12,0)*CT$9</f>
        <v>0</v>
      </c>
      <c r="CU284" s="48">
        <f>IF((94-N(V_L2_Mes)+1)&gt;=1,IF((94-N(V_L2_Mes)+1)=1,N(V_L2_Monto),CT$286)*N(V_L2_Tasa)/12,0)*CU$9</f>
        <v>0</v>
      </c>
      <c r="CV284" s="48">
        <f>IF((95-N(V_L2_Mes)+1)&gt;=1,IF((95-N(V_L2_Mes)+1)=1,N(V_L2_Monto),CU$286)*N(V_L2_Tasa)/12,0)*CV$9</f>
        <v>0</v>
      </c>
      <c r="CW284" s="48">
        <f>IF((96-N(V_L2_Mes)+1)&gt;=1,IF((96-N(V_L2_Mes)+1)=1,N(V_L2_Monto),CV$286)*N(V_L2_Tasa)/12,0)*CW$9</f>
        <v>0</v>
      </c>
      <c r="CX284" s="48">
        <f>IF((97-N(V_L2_Mes)+1)&gt;=1,IF((97-N(V_L2_Mes)+1)=1,N(V_L2_Monto),CW$286)*N(V_L2_Tasa)/12,0)*CX$9</f>
        <v>0</v>
      </c>
      <c r="CY284" s="48">
        <f>IF((98-N(V_L2_Mes)+1)&gt;=1,IF((98-N(V_L2_Mes)+1)=1,N(V_L2_Monto),CX$286)*N(V_L2_Tasa)/12,0)*CY$9</f>
        <v>0</v>
      </c>
      <c r="CZ284" s="48">
        <f>IF((99-N(V_L2_Mes)+1)&gt;=1,IF((99-N(V_L2_Mes)+1)=1,N(V_L2_Monto),CY$286)*N(V_L2_Tasa)/12,0)*CZ$9</f>
        <v>0</v>
      </c>
      <c r="DA284" s="48">
        <f>IF((100-N(V_L2_Mes)+1)&gt;=1,IF((100-N(V_L2_Mes)+1)=1,N(V_L2_Monto),CZ$286)*N(V_L2_Tasa)/12,0)*DA$9</f>
        <v>0</v>
      </c>
      <c r="DB284" s="48">
        <f>IF((101-N(V_L2_Mes)+1)&gt;=1,IF((101-N(V_L2_Mes)+1)=1,N(V_L2_Monto),DA$286)*N(V_L2_Tasa)/12,0)*DB$9</f>
        <v>0</v>
      </c>
      <c r="DC284" s="48">
        <f>IF((102-N(V_L2_Mes)+1)&gt;=1,IF((102-N(V_L2_Mes)+1)=1,N(V_L2_Monto),DB$286)*N(V_L2_Tasa)/12,0)*DC$9</f>
        <v>0</v>
      </c>
      <c r="DD284" s="48">
        <f>IF((103-N(V_L2_Mes)+1)&gt;=1,IF((103-N(V_L2_Mes)+1)=1,N(V_L2_Monto),DC$286)*N(V_L2_Tasa)/12,0)*DD$9</f>
        <v>0</v>
      </c>
      <c r="DE284" s="48">
        <f>IF((104-N(V_L2_Mes)+1)&gt;=1,IF((104-N(V_L2_Mes)+1)=1,N(V_L2_Monto),DD$286)*N(V_L2_Tasa)/12,0)*DE$9</f>
        <v>0</v>
      </c>
      <c r="DF284" s="48">
        <f>IF((105-N(V_L2_Mes)+1)&gt;=1,IF((105-N(V_L2_Mes)+1)=1,N(V_L2_Monto),DE$286)*N(V_L2_Tasa)/12,0)*DF$9</f>
        <v>0</v>
      </c>
      <c r="DG284" s="48">
        <f>IF((106-N(V_L2_Mes)+1)&gt;=1,IF((106-N(V_L2_Mes)+1)=1,N(V_L2_Monto),DF$286)*N(V_L2_Tasa)/12,0)*DG$9</f>
        <v>0</v>
      </c>
      <c r="DH284" s="48">
        <f>IF((107-N(V_L2_Mes)+1)&gt;=1,IF((107-N(V_L2_Mes)+1)=1,N(V_L2_Monto),DG$286)*N(V_L2_Tasa)/12,0)*DH$9</f>
        <v>0</v>
      </c>
      <c r="DI284" s="48">
        <f>IF((108-N(V_L2_Mes)+1)&gt;=1,IF((108-N(V_L2_Mes)+1)=1,N(V_L2_Monto),DH$286)*N(V_L2_Tasa)/12,0)*DI$9</f>
        <v>0</v>
      </c>
      <c r="DJ284" s="48">
        <f>IF((109-N(V_L2_Mes)+1)&gt;=1,IF((109-N(V_L2_Mes)+1)=1,N(V_L2_Monto),DI$286)*N(V_L2_Tasa)/12,0)*DJ$9</f>
        <v>0</v>
      </c>
      <c r="DK284" s="48">
        <f>IF((110-N(V_L2_Mes)+1)&gt;=1,IF((110-N(V_L2_Mes)+1)=1,N(V_L2_Monto),DJ$286)*N(V_L2_Tasa)/12,0)*DK$9</f>
        <v>0</v>
      </c>
      <c r="DL284" s="48">
        <f>IF((111-N(V_L2_Mes)+1)&gt;=1,IF((111-N(V_L2_Mes)+1)=1,N(V_L2_Monto),DK$286)*N(V_L2_Tasa)/12,0)*DL$9</f>
        <v>0</v>
      </c>
      <c r="DM284" s="48">
        <f>IF((112-N(V_L2_Mes)+1)&gt;=1,IF((112-N(V_L2_Mes)+1)=1,N(V_L2_Monto),DL$286)*N(V_L2_Tasa)/12,0)*DM$9</f>
        <v>0</v>
      </c>
      <c r="DN284" s="48">
        <f>IF((113-N(V_L2_Mes)+1)&gt;=1,IF((113-N(V_L2_Mes)+1)=1,N(V_L2_Monto),DM$286)*N(V_L2_Tasa)/12,0)*DN$9</f>
        <v>0</v>
      </c>
      <c r="DO284" s="48">
        <f>IF((114-N(V_L2_Mes)+1)&gt;=1,IF((114-N(V_L2_Mes)+1)=1,N(V_L2_Monto),DN$286)*N(V_L2_Tasa)/12,0)*DO$9</f>
        <v>0</v>
      </c>
      <c r="DP284" s="48">
        <f>IF((115-N(V_L2_Mes)+1)&gt;=1,IF((115-N(V_L2_Mes)+1)=1,N(V_L2_Monto),DO$286)*N(V_L2_Tasa)/12,0)*DP$9</f>
        <v>0</v>
      </c>
      <c r="DQ284" s="48">
        <f>IF((116-N(V_L2_Mes)+1)&gt;=1,IF((116-N(V_L2_Mes)+1)=1,N(V_L2_Monto),DP$286)*N(V_L2_Tasa)/12,0)*DQ$9</f>
        <v>0</v>
      </c>
      <c r="DR284" s="48">
        <f>IF((117-N(V_L2_Mes)+1)&gt;=1,IF((117-N(V_L2_Mes)+1)=1,N(V_L2_Monto),DQ$286)*N(V_L2_Tasa)/12,0)*DR$9</f>
        <v>0</v>
      </c>
      <c r="DS284" s="48">
        <f>IF((118-N(V_L2_Mes)+1)&gt;=1,IF((118-N(V_L2_Mes)+1)=1,N(V_L2_Monto),DR$286)*N(V_L2_Tasa)/12,0)*DS$9</f>
        <v>0</v>
      </c>
      <c r="DT284" s="48">
        <f>IF((119-N(V_L2_Mes)+1)&gt;=1,IF((119-N(V_L2_Mes)+1)=1,N(V_L2_Monto),DS$286)*N(V_L2_Tasa)/12,0)*DT$9</f>
        <v>0</v>
      </c>
      <c r="DU284" s="48">
        <f>IF((120-N(V_L2_Mes)+1)&gt;=1,IF((120-N(V_L2_Mes)+1)=1,N(V_L2_Monto),DT$286)*N(V_L2_Tasa)/12,0)*DU$9</f>
        <v>0</v>
      </c>
      <c r="DV284" s="48">
        <f>IF((121-N(V_L2_Mes)+1)&gt;=1,IF((121-N(V_L2_Mes)+1)=1,N(V_L2_Monto),DU$286)*N(V_L2_Tasa)/12,0)*DV$9</f>
        <v>0</v>
      </c>
      <c r="DW284" s="48">
        <f>IF((122-N(V_L2_Mes)+1)&gt;=1,IF((122-N(V_L2_Mes)+1)=1,N(V_L2_Monto),DV$286)*N(V_L2_Tasa)/12,0)*DW$9</f>
        <v>0</v>
      </c>
      <c r="DX284" s="48">
        <f>IF((123-N(V_L2_Mes)+1)&gt;=1,IF((123-N(V_L2_Mes)+1)=1,N(V_L2_Monto),DW$286)*N(V_L2_Tasa)/12,0)*DX$9</f>
        <v>0</v>
      </c>
      <c r="DY284" s="48">
        <f>IF((124-N(V_L2_Mes)+1)&gt;=1,IF((124-N(V_L2_Mes)+1)=1,N(V_L2_Monto),DX$286)*N(V_L2_Tasa)/12,0)*DY$9</f>
        <v>0</v>
      </c>
      <c r="DZ284" s="48">
        <f>IF((125-N(V_L2_Mes)+1)&gt;=1,IF((125-N(V_L2_Mes)+1)=1,N(V_L2_Monto),DY$286)*N(V_L2_Tasa)/12,0)*DZ$9</f>
        <v>0</v>
      </c>
      <c r="EA284" s="48">
        <f>IF((126-N(V_L2_Mes)+1)&gt;=1,IF((126-N(V_L2_Mes)+1)=1,N(V_L2_Monto),DZ$286)*N(V_L2_Tasa)/12,0)*EA$9</f>
        <v>0</v>
      </c>
      <c r="EB284" s="48">
        <f>IF((127-N(V_L2_Mes)+1)&gt;=1,IF((127-N(V_L2_Mes)+1)=1,N(V_L2_Monto),EA$286)*N(V_L2_Tasa)/12,0)*EB$9</f>
        <v>0</v>
      </c>
      <c r="EC284" s="48">
        <f>IF((128-N(V_L2_Mes)+1)&gt;=1,IF((128-N(V_L2_Mes)+1)=1,N(V_L2_Monto),EB$286)*N(V_L2_Tasa)/12,0)*EC$9</f>
        <v>0</v>
      </c>
      <c r="ED284" s="48">
        <f>IF((129-N(V_L2_Mes)+1)&gt;=1,IF((129-N(V_L2_Mes)+1)=1,N(V_L2_Monto),EC$286)*N(V_L2_Tasa)/12,0)*ED$9</f>
        <v>0</v>
      </c>
      <c r="EE284" s="48">
        <f>IF((130-N(V_L2_Mes)+1)&gt;=1,IF((130-N(V_L2_Mes)+1)=1,N(V_L2_Monto),ED$286)*N(V_L2_Tasa)/12,0)*EE$9</f>
        <v>0</v>
      </c>
      <c r="EF284" s="48">
        <f>IF((131-N(V_L2_Mes)+1)&gt;=1,IF((131-N(V_L2_Mes)+1)=1,N(V_L2_Monto),EE$286)*N(V_L2_Tasa)/12,0)*EF$9</f>
        <v>0</v>
      </c>
      <c r="EG284" s="48">
        <f>IF((132-N(V_L2_Mes)+1)&gt;=1,IF((132-N(V_L2_Mes)+1)=1,N(V_L2_Monto),EF$286)*N(V_L2_Tasa)/12,0)*EG$9</f>
        <v>0</v>
      </c>
      <c r="EH284" s="48">
        <f>IF((133-N(V_L2_Mes)+1)&gt;=1,IF((133-N(V_L2_Mes)+1)=1,N(V_L2_Monto),EG$286)*N(V_L2_Tasa)/12,0)*EH$9</f>
        <v>0</v>
      </c>
      <c r="EI284" s="48">
        <f>IF((134-N(V_L2_Mes)+1)&gt;=1,IF((134-N(V_L2_Mes)+1)=1,N(V_L2_Monto),EH$286)*N(V_L2_Tasa)/12,0)*EI$9</f>
        <v>0</v>
      </c>
      <c r="EJ284" s="48">
        <f>IF((135-N(V_L2_Mes)+1)&gt;=1,IF((135-N(V_L2_Mes)+1)=1,N(V_L2_Monto),EI$286)*N(V_L2_Tasa)/12,0)*EJ$9</f>
        <v>0</v>
      </c>
      <c r="EK284" s="48">
        <f>IF((136-N(V_L2_Mes)+1)&gt;=1,IF((136-N(V_L2_Mes)+1)=1,N(V_L2_Monto),EJ$286)*N(V_L2_Tasa)/12,0)*EK$9</f>
        <v>0</v>
      </c>
      <c r="EL284" s="48">
        <f>IF((137-N(V_L2_Mes)+1)&gt;=1,IF((137-N(V_L2_Mes)+1)=1,N(V_L2_Monto),EK$286)*N(V_L2_Tasa)/12,0)*EL$9</f>
        <v>0</v>
      </c>
      <c r="EM284" s="48">
        <f>IF((138-N(V_L2_Mes)+1)&gt;=1,IF((138-N(V_L2_Mes)+1)=1,N(V_L2_Monto),EL$286)*N(V_L2_Tasa)/12,0)*EM$9</f>
        <v>0</v>
      </c>
      <c r="EN284" s="48">
        <f>IF((139-N(V_L2_Mes)+1)&gt;=1,IF((139-N(V_L2_Mes)+1)=1,N(V_L2_Monto),EM$286)*N(V_L2_Tasa)/12,0)*EN$9</f>
        <v>0</v>
      </c>
      <c r="EO284" s="48">
        <f>IF((140-N(V_L2_Mes)+1)&gt;=1,IF((140-N(V_L2_Mes)+1)=1,N(V_L2_Monto),EN$286)*N(V_L2_Tasa)/12,0)*EO$9</f>
        <v>0</v>
      </c>
      <c r="EP284" s="48">
        <f>IF((141-N(V_L2_Mes)+1)&gt;=1,IF((141-N(V_L2_Mes)+1)=1,N(V_L2_Monto),EO$286)*N(V_L2_Tasa)/12,0)*EP$9</f>
        <v>0</v>
      </c>
      <c r="EQ284" s="48">
        <f>IF((142-N(V_L2_Mes)+1)&gt;=1,IF((142-N(V_L2_Mes)+1)=1,N(V_L2_Monto),EP$286)*N(V_L2_Tasa)/12,0)*EQ$9</f>
        <v>0</v>
      </c>
      <c r="ER284" s="48">
        <f>IF((143-N(V_L2_Mes)+1)&gt;=1,IF((143-N(V_L2_Mes)+1)=1,N(V_L2_Monto),EQ$286)*N(V_L2_Tasa)/12,0)*ER$9</f>
        <v>0</v>
      </c>
      <c r="ES284" s="48">
        <f>IF((144-N(V_L2_Mes)+1)&gt;=1,IF((144-N(V_L2_Mes)+1)=1,N(V_L2_Monto),ER$286)*N(V_L2_Tasa)/12,0)*ES$9</f>
        <v>0</v>
      </c>
    </row>
    <row r="285" spans="1:149" x14ac:dyDescent="0.3">
      <c r="A285" s="14" t="s">
        <v>1335</v>
      </c>
      <c r="B285" s="18" t="s">
        <v>1155</v>
      </c>
      <c r="C285" s="18" t="s">
        <v>439</v>
      </c>
      <c r="E285" s="54">
        <f>SUM(F285:ES285)</f>
        <v>0</v>
      </c>
      <c r="F285" s="48">
        <f>IF(AND((1-N(V_L2_Mes)+1)&gt;N(V_L2_Gracia),(1-N(V_L2_Mes)+1)&lt;=N(V_L2_Gracia)+N(V_L2_Cuotas),N(V_L2_Cuotas)&gt;0),IF((1-N(V_L2_Mes)+1)=N(V_L2_Gracia)+N(V_L2_Cuotas),IF((1-N(V_L2_Mes)+1)=1,N(V_L2_Monto),0),PMT(N(V_L2_Tasa)/12,N(V_L2_Cuotas),-N(V_L2_Monto))-F$284),0)*F$9</f>
        <v>0</v>
      </c>
      <c r="G285" s="48">
        <f>IF(AND((2-N(V_L2_Mes)+1)&gt;N(V_L2_Gracia),(2-N(V_L2_Mes)+1)&lt;=N(V_L2_Gracia)+N(V_L2_Cuotas),N(V_L2_Cuotas)&gt;0),IF((2-N(V_L2_Mes)+1)=N(V_L2_Gracia)+N(V_L2_Cuotas),IF((2-N(V_L2_Mes)+1)=1,N(V_L2_Monto),F$286),PMT(N(V_L2_Tasa)/12,N(V_L2_Cuotas),-N(V_L2_Monto))-G$284),0)*G$9</f>
        <v>0</v>
      </c>
      <c r="H285" s="48">
        <f>IF(AND((3-N(V_L2_Mes)+1)&gt;N(V_L2_Gracia),(3-N(V_L2_Mes)+1)&lt;=N(V_L2_Gracia)+N(V_L2_Cuotas),N(V_L2_Cuotas)&gt;0),IF((3-N(V_L2_Mes)+1)=N(V_L2_Gracia)+N(V_L2_Cuotas),IF((3-N(V_L2_Mes)+1)=1,N(V_L2_Monto),G$286),PMT(N(V_L2_Tasa)/12,N(V_L2_Cuotas),-N(V_L2_Monto))-H$284),0)*H$9</f>
        <v>0</v>
      </c>
      <c r="I285" s="48">
        <f>IF(AND((4-N(V_L2_Mes)+1)&gt;N(V_L2_Gracia),(4-N(V_L2_Mes)+1)&lt;=N(V_L2_Gracia)+N(V_L2_Cuotas),N(V_L2_Cuotas)&gt;0),IF((4-N(V_L2_Mes)+1)=N(V_L2_Gracia)+N(V_L2_Cuotas),IF((4-N(V_L2_Mes)+1)=1,N(V_L2_Monto),H$286),PMT(N(V_L2_Tasa)/12,N(V_L2_Cuotas),-N(V_L2_Monto))-I$284),0)*I$9</f>
        <v>0</v>
      </c>
      <c r="J285" s="48">
        <f>IF(AND((5-N(V_L2_Mes)+1)&gt;N(V_L2_Gracia),(5-N(V_L2_Mes)+1)&lt;=N(V_L2_Gracia)+N(V_L2_Cuotas),N(V_L2_Cuotas)&gt;0),IF((5-N(V_L2_Mes)+1)=N(V_L2_Gracia)+N(V_L2_Cuotas),IF((5-N(V_L2_Mes)+1)=1,N(V_L2_Monto),I$286),PMT(N(V_L2_Tasa)/12,N(V_L2_Cuotas),-N(V_L2_Monto))-J$284),0)*J$9</f>
        <v>0</v>
      </c>
      <c r="K285" s="48">
        <f>IF(AND((6-N(V_L2_Mes)+1)&gt;N(V_L2_Gracia),(6-N(V_L2_Mes)+1)&lt;=N(V_L2_Gracia)+N(V_L2_Cuotas),N(V_L2_Cuotas)&gt;0),IF((6-N(V_L2_Mes)+1)=N(V_L2_Gracia)+N(V_L2_Cuotas),IF((6-N(V_L2_Mes)+1)=1,N(V_L2_Monto),J$286),PMT(N(V_L2_Tasa)/12,N(V_L2_Cuotas),-N(V_L2_Monto))-K$284),0)*K$9</f>
        <v>0</v>
      </c>
      <c r="L285" s="48">
        <f>IF(AND((7-N(V_L2_Mes)+1)&gt;N(V_L2_Gracia),(7-N(V_L2_Mes)+1)&lt;=N(V_L2_Gracia)+N(V_L2_Cuotas),N(V_L2_Cuotas)&gt;0),IF((7-N(V_L2_Mes)+1)=N(V_L2_Gracia)+N(V_L2_Cuotas),IF((7-N(V_L2_Mes)+1)=1,N(V_L2_Monto),K$286),PMT(N(V_L2_Tasa)/12,N(V_L2_Cuotas),-N(V_L2_Monto))-L$284),0)*L$9</f>
        <v>0</v>
      </c>
      <c r="M285" s="48">
        <f>IF(AND((8-N(V_L2_Mes)+1)&gt;N(V_L2_Gracia),(8-N(V_L2_Mes)+1)&lt;=N(V_L2_Gracia)+N(V_L2_Cuotas),N(V_L2_Cuotas)&gt;0),IF((8-N(V_L2_Mes)+1)=N(V_L2_Gracia)+N(V_L2_Cuotas),IF((8-N(V_L2_Mes)+1)=1,N(V_L2_Monto),L$286),PMT(N(V_L2_Tasa)/12,N(V_L2_Cuotas),-N(V_L2_Monto))-M$284),0)*M$9</f>
        <v>0</v>
      </c>
      <c r="N285" s="48">
        <f>IF(AND((9-N(V_L2_Mes)+1)&gt;N(V_L2_Gracia),(9-N(V_L2_Mes)+1)&lt;=N(V_L2_Gracia)+N(V_L2_Cuotas),N(V_L2_Cuotas)&gt;0),IF((9-N(V_L2_Mes)+1)=N(V_L2_Gracia)+N(V_L2_Cuotas),IF((9-N(V_L2_Mes)+1)=1,N(V_L2_Monto),M$286),PMT(N(V_L2_Tasa)/12,N(V_L2_Cuotas),-N(V_L2_Monto))-N$284),0)*N$9</f>
        <v>0</v>
      </c>
      <c r="O285" s="48">
        <f>IF(AND((10-N(V_L2_Mes)+1)&gt;N(V_L2_Gracia),(10-N(V_L2_Mes)+1)&lt;=N(V_L2_Gracia)+N(V_L2_Cuotas),N(V_L2_Cuotas)&gt;0),IF((10-N(V_L2_Mes)+1)=N(V_L2_Gracia)+N(V_L2_Cuotas),IF((10-N(V_L2_Mes)+1)=1,N(V_L2_Monto),N$286),PMT(N(V_L2_Tasa)/12,N(V_L2_Cuotas),-N(V_L2_Monto))-O$284),0)*O$9</f>
        <v>0</v>
      </c>
      <c r="P285" s="48">
        <f>IF(AND((11-N(V_L2_Mes)+1)&gt;N(V_L2_Gracia),(11-N(V_L2_Mes)+1)&lt;=N(V_L2_Gracia)+N(V_L2_Cuotas),N(V_L2_Cuotas)&gt;0),IF((11-N(V_L2_Mes)+1)=N(V_L2_Gracia)+N(V_L2_Cuotas),IF((11-N(V_L2_Mes)+1)=1,N(V_L2_Monto),O$286),PMT(N(V_L2_Tasa)/12,N(V_L2_Cuotas),-N(V_L2_Monto))-P$284),0)*P$9</f>
        <v>0</v>
      </c>
      <c r="Q285" s="48">
        <f>IF(AND((12-N(V_L2_Mes)+1)&gt;N(V_L2_Gracia),(12-N(V_L2_Mes)+1)&lt;=N(V_L2_Gracia)+N(V_L2_Cuotas),N(V_L2_Cuotas)&gt;0),IF((12-N(V_L2_Mes)+1)=N(V_L2_Gracia)+N(V_L2_Cuotas),IF((12-N(V_L2_Mes)+1)=1,N(V_L2_Monto),P$286),PMT(N(V_L2_Tasa)/12,N(V_L2_Cuotas),-N(V_L2_Monto))-Q$284),0)*Q$9</f>
        <v>0</v>
      </c>
      <c r="R285" s="48">
        <f>IF(AND((13-N(V_L2_Mes)+1)&gt;N(V_L2_Gracia),(13-N(V_L2_Mes)+1)&lt;=N(V_L2_Gracia)+N(V_L2_Cuotas),N(V_L2_Cuotas)&gt;0),IF((13-N(V_L2_Mes)+1)=N(V_L2_Gracia)+N(V_L2_Cuotas),IF((13-N(V_L2_Mes)+1)=1,N(V_L2_Monto),Q$286),PMT(N(V_L2_Tasa)/12,N(V_L2_Cuotas),-N(V_L2_Monto))-R$284),0)*R$9</f>
        <v>0</v>
      </c>
      <c r="S285" s="48">
        <f>IF(AND((14-N(V_L2_Mes)+1)&gt;N(V_L2_Gracia),(14-N(V_L2_Mes)+1)&lt;=N(V_L2_Gracia)+N(V_L2_Cuotas),N(V_L2_Cuotas)&gt;0),IF((14-N(V_L2_Mes)+1)=N(V_L2_Gracia)+N(V_L2_Cuotas),IF((14-N(V_L2_Mes)+1)=1,N(V_L2_Monto),R$286),PMT(N(V_L2_Tasa)/12,N(V_L2_Cuotas),-N(V_L2_Monto))-S$284),0)*S$9</f>
        <v>0</v>
      </c>
      <c r="T285" s="48">
        <f>IF(AND((15-N(V_L2_Mes)+1)&gt;N(V_L2_Gracia),(15-N(V_L2_Mes)+1)&lt;=N(V_L2_Gracia)+N(V_L2_Cuotas),N(V_L2_Cuotas)&gt;0),IF((15-N(V_L2_Mes)+1)=N(V_L2_Gracia)+N(V_L2_Cuotas),IF((15-N(V_L2_Mes)+1)=1,N(V_L2_Monto),S$286),PMT(N(V_L2_Tasa)/12,N(V_L2_Cuotas),-N(V_L2_Monto))-T$284),0)*T$9</f>
        <v>0</v>
      </c>
      <c r="U285" s="48">
        <f>IF(AND((16-N(V_L2_Mes)+1)&gt;N(V_L2_Gracia),(16-N(V_L2_Mes)+1)&lt;=N(V_L2_Gracia)+N(V_L2_Cuotas),N(V_L2_Cuotas)&gt;0),IF((16-N(V_L2_Mes)+1)=N(V_L2_Gracia)+N(V_L2_Cuotas),IF((16-N(V_L2_Mes)+1)=1,N(V_L2_Monto),T$286),PMT(N(V_L2_Tasa)/12,N(V_L2_Cuotas),-N(V_L2_Monto))-U$284),0)*U$9</f>
        <v>0</v>
      </c>
      <c r="V285" s="48">
        <f>IF(AND((17-N(V_L2_Mes)+1)&gt;N(V_L2_Gracia),(17-N(V_L2_Mes)+1)&lt;=N(V_L2_Gracia)+N(V_L2_Cuotas),N(V_L2_Cuotas)&gt;0),IF((17-N(V_L2_Mes)+1)=N(V_L2_Gracia)+N(V_L2_Cuotas),IF((17-N(V_L2_Mes)+1)=1,N(V_L2_Monto),U$286),PMT(N(V_L2_Tasa)/12,N(V_L2_Cuotas),-N(V_L2_Monto))-V$284),0)*V$9</f>
        <v>0</v>
      </c>
      <c r="W285" s="48">
        <f>IF(AND((18-N(V_L2_Mes)+1)&gt;N(V_L2_Gracia),(18-N(V_L2_Mes)+1)&lt;=N(V_L2_Gracia)+N(V_L2_Cuotas),N(V_L2_Cuotas)&gt;0),IF((18-N(V_L2_Mes)+1)=N(V_L2_Gracia)+N(V_L2_Cuotas),IF((18-N(V_L2_Mes)+1)=1,N(V_L2_Monto),V$286),PMT(N(V_L2_Tasa)/12,N(V_L2_Cuotas),-N(V_L2_Monto))-W$284),0)*W$9</f>
        <v>0</v>
      </c>
      <c r="X285" s="48">
        <f>IF(AND((19-N(V_L2_Mes)+1)&gt;N(V_L2_Gracia),(19-N(V_L2_Mes)+1)&lt;=N(V_L2_Gracia)+N(V_L2_Cuotas),N(V_L2_Cuotas)&gt;0),IF((19-N(V_L2_Mes)+1)=N(V_L2_Gracia)+N(V_L2_Cuotas),IF((19-N(V_L2_Mes)+1)=1,N(V_L2_Monto),W$286),PMT(N(V_L2_Tasa)/12,N(V_L2_Cuotas),-N(V_L2_Monto))-X$284),0)*X$9</f>
        <v>0</v>
      </c>
      <c r="Y285" s="48">
        <f>IF(AND((20-N(V_L2_Mes)+1)&gt;N(V_L2_Gracia),(20-N(V_L2_Mes)+1)&lt;=N(V_L2_Gracia)+N(V_L2_Cuotas),N(V_L2_Cuotas)&gt;0),IF((20-N(V_L2_Mes)+1)=N(V_L2_Gracia)+N(V_L2_Cuotas),IF((20-N(V_L2_Mes)+1)=1,N(V_L2_Monto),X$286),PMT(N(V_L2_Tasa)/12,N(V_L2_Cuotas),-N(V_L2_Monto))-Y$284),0)*Y$9</f>
        <v>0</v>
      </c>
      <c r="Z285" s="48">
        <f>IF(AND((21-N(V_L2_Mes)+1)&gt;N(V_L2_Gracia),(21-N(V_L2_Mes)+1)&lt;=N(V_L2_Gracia)+N(V_L2_Cuotas),N(V_L2_Cuotas)&gt;0),IF((21-N(V_L2_Mes)+1)=N(V_L2_Gracia)+N(V_L2_Cuotas),IF((21-N(V_L2_Mes)+1)=1,N(V_L2_Monto),Y$286),PMT(N(V_L2_Tasa)/12,N(V_L2_Cuotas),-N(V_L2_Monto))-Z$284),0)*Z$9</f>
        <v>0</v>
      </c>
      <c r="AA285" s="48">
        <f>IF(AND((22-N(V_L2_Mes)+1)&gt;N(V_L2_Gracia),(22-N(V_L2_Mes)+1)&lt;=N(V_L2_Gracia)+N(V_L2_Cuotas),N(V_L2_Cuotas)&gt;0),IF((22-N(V_L2_Mes)+1)=N(V_L2_Gracia)+N(V_L2_Cuotas),IF((22-N(V_L2_Mes)+1)=1,N(V_L2_Monto),Z$286),PMT(N(V_L2_Tasa)/12,N(V_L2_Cuotas),-N(V_L2_Monto))-AA$284),0)*AA$9</f>
        <v>0</v>
      </c>
      <c r="AB285" s="48">
        <f>IF(AND((23-N(V_L2_Mes)+1)&gt;N(V_L2_Gracia),(23-N(V_L2_Mes)+1)&lt;=N(V_L2_Gracia)+N(V_L2_Cuotas),N(V_L2_Cuotas)&gt;0),IF((23-N(V_L2_Mes)+1)=N(V_L2_Gracia)+N(V_L2_Cuotas),IF((23-N(V_L2_Mes)+1)=1,N(V_L2_Monto),AA$286),PMT(N(V_L2_Tasa)/12,N(V_L2_Cuotas),-N(V_L2_Monto))-AB$284),0)*AB$9</f>
        <v>0</v>
      </c>
      <c r="AC285" s="48">
        <f>IF(AND((24-N(V_L2_Mes)+1)&gt;N(V_L2_Gracia),(24-N(V_L2_Mes)+1)&lt;=N(V_L2_Gracia)+N(V_L2_Cuotas),N(V_L2_Cuotas)&gt;0),IF((24-N(V_L2_Mes)+1)=N(V_L2_Gracia)+N(V_L2_Cuotas),IF((24-N(V_L2_Mes)+1)=1,N(V_L2_Monto),AB$286),PMT(N(V_L2_Tasa)/12,N(V_L2_Cuotas),-N(V_L2_Monto))-AC$284),0)*AC$9</f>
        <v>0</v>
      </c>
      <c r="AD285" s="48">
        <f>IF(AND((25-N(V_L2_Mes)+1)&gt;N(V_L2_Gracia),(25-N(V_L2_Mes)+1)&lt;=N(V_L2_Gracia)+N(V_L2_Cuotas),N(V_L2_Cuotas)&gt;0),IF((25-N(V_L2_Mes)+1)=N(V_L2_Gracia)+N(V_L2_Cuotas),IF((25-N(V_L2_Mes)+1)=1,N(V_L2_Monto),AC$286),PMT(N(V_L2_Tasa)/12,N(V_L2_Cuotas),-N(V_L2_Monto))-AD$284),0)*AD$9</f>
        <v>0</v>
      </c>
      <c r="AE285" s="48">
        <f>IF(AND((26-N(V_L2_Mes)+1)&gt;N(V_L2_Gracia),(26-N(V_L2_Mes)+1)&lt;=N(V_L2_Gracia)+N(V_L2_Cuotas),N(V_L2_Cuotas)&gt;0),IF((26-N(V_L2_Mes)+1)=N(V_L2_Gracia)+N(V_L2_Cuotas),IF((26-N(V_L2_Mes)+1)=1,N(V_L2_Monto),AD$286),PMT(N(V_L2_Tasa)/12,N(V_L2_Cuotas),-N(V_L2_Monto))-AE$284),0)*AE$9</f>
        <v>0</v>
      </c>
      <c r="AF285" s="48">
        <f>IF(AND((27-N(V_L2_Mes)+1)&gt;N(V_L2_Gracia),(27-N(V_L2_Mes)+1)&lt;=N(V_L2_Gracia)+N(V_L2_Cuotas),N(V_L2_Cuotas)&gt;0),IF((27-N(V_L2_Mes)+1)=N(V_L2_Gracia)+N(V_L2_Cuotas),IF((27-N(V_L2_Mes)+1)=1,N(V_L2_Monto),AE$286),PMT(N(V_L2_Tasa)/12,N(V_L2_Cuotas),-N(V_L2_Monto))-AF$284),0)*AF$9</f>
        <v>0</v>
      </c>
      <c r="AG285" s="48">
        <f>IF(AND((28-N(V_L2_Mes)+1)&gt;N(V_L2_Gracia),(28-N(V_L2_Mes)+1)&lt;=N(V_L2_Gracia)+N(V_L2_Cuotas),N(V_L2_Cuotas)&gt;0),IF((28-N(V_L2_Mes)+1)=N(V_L2_Gracia)+N(V_L2_Cuotas),IF((28-N(V_L2_Mes)+1)=1,N(V_L2_Monto),AF$286),PMT(N(V_L2_Tasa)/12,N(V_L2_Cuotas),-N(V_L2_Monto))-AG$284),0)*AG$9</f>
        <v>0</v>
      </c>
      <c r="AH285" s="48">
        <f>IF(AND((29-N(V_L2_Mes)+1)&gt;N(V_L2_Gracia),(29-N(V_L2_Mes)+1)&lt;=N(V_L2_Gracia)+N(V_L2_Cuotas),N(V_L2_Cuotas)&gt;0),IF((29-N(V_L2_Mes)+1)=N(V_L2_Gracia)+N(V_L2_Cuotas),IF((29-N(V_L2_Mes)+1)=1,N(V_L2_Monto),AG$286),PMT(N(V_L2_Tasa)/12,N(V_L2_Cuotas),-N(V_L2_Monto))-AH$284),0)*AH$9</f>
        <v>0</v>
      </c>
      <c r="AI285" s="48">
        <f>IF(AND((30-N(V_L2_Mes)+1)&gt;N(V_L2_Gracia),(30-N(V_L2_Mes)+1)&lt;=N(V_L2_Gracia)+N(V_L2_Cuotas),N(V_L2_Cuotas)&gt;0),IF((30-N(V_L2_Mes)+1)=N(V_L2_Gracia)+N(V_L2_Cuotas),IF((30-N(V_L2_Mes)+1)=1,N(V_L2_Monto),AH$286),PMT(N(V_L2_Tasa)/12,N(V_L2_Cuotas),-N(V_L2_Monto))-AI$284),0)*AI$9</f>
        <v>0</v>
      </c>
      <c r="AJ285" s="48">
        <f>IF(AND((31-N(V_L2_Mes)+1)&gt;N(V_L2_Gracia),(31-N(V_L2_Mes)+1)&lt;=N(V_L2_Gracia)+N(V_L2_Cuotas),N(V_L2_Cuotas)&gt;0),IF((31-N(V_L2_Mes)+1)=N(V_L2_Gracia)+N(V_L2_Cuotas),IF((31-N(V_L2_Mes)+1)=1,N(V_L2_Monto),AI$286),PMT(N(V_L2_Tasa)/12,N(V_L2_Cuotas),-N(V_L2_Monto))-AJ$284),0)*AJ$9</f>
        <v>0</v>
      </c>
      <c r="AK285" s="48">
        <f>IF(AND((32-N(V_L2_Mes)+1)&gt;N(V_L2_Gracia),(32-N(V_L2_Mes)+1)&lt;=N(V_L2_Gracia)+N(V_L2_Cuotas),N(V_L2_Cuotas)&gt;0),IF((32-N(V_L2_Mes)+1)=N(V_L2_Gracia)+N(V_L2_Cuotas),IF((32-N(V_L2_Mes)+1)=1,N(V_L2_Monto),AJ$286),PMT(N(V_L2_Tasa)/12,N(V_L2_Cuotas),-N(V_L2_Monto))-AK$284),0)*AK$9</f>
        <v>0</v>
      </c>
      <c r="AL285" s="48">
        <f>IF(AND((33-N(V_L2_Mes)+1)&gt;N(V_L2_Gracia),(33-N(V_L2_Mes)+1)&lt;=N(V_L2_Gracia)+N(V_L2_Cuotas),N(V_L2_Cuotas)&gt;0),IF((33-N(V_L2_Mes)+1)=N(V_L2_Gracia)+N(V_L2_Cuotas),IF((33-N(V_L2_Mes)+1)=1,N(V_L2_Monto),AK$286),PMT(N(V_L2_Tasa)/12,N(V_L2_Cuotas),-N(V_L2_Monto))-AL$284),0)*AL$9</f>
        <v>0</v>
      </c>
      <c r="AM285" s="48">
        <f>IF(AND((34-N(V_L2_Mes)+1)&gt;N(V_L2_Gracia),(34-N(V_L2_Mes)+1)&lt;=N(V_L2_Gracia)+N(V_L2_Cuotas),N(V_L2_Cuotas)&gt;0),IF((34-N(V_L2_Mes)+1)=N(V_L2_Gracia)+N(V_L2_Cuotas),IF((34-N(V_L2_Mes)+1)=1,N(V_L2_Monto),AL$286),PMT(N(V_L2_Tasa)/12,N(V_L2_Cuotas),-N(V_L2_Monto))-AM$284),0)*AM$9</f>
        <v>0</v>
      </c>
      <c r="AN285" s="48">
        <f>IF(AND((35-N(V_L2_Mes)+1)&gt;N(V_L2_Gracia),(35-N(V_L2_Mes)+1)&lt;=N(V_L2_Gracia)+N(V_L2_Cuotas),N(V_L2_Cuotas)&gt;0),IF((35-N(V_L2_Mes)+1)=N(V_L2_Gracia)+N(V_L2_Cuotas),IF((35-N(V_L2_Mes)+1)=1,N(V_L2_Monto),AM$286),PMT(N(V_L2_Tasa)/12,N(V_L2_Cuotas),-N(V_L2_Monto))-AN$284),0)*AN$9</f>
        <v>0</v>
      </c>
      <c r="AO285" s="48">
        <f>IF(AND((36-N(V_L2_Mes)+1)&gt;N(V_L2_Gracia),(36-N(V_L2_Mes)+1)&lt;=N(V_L2_Gracia)+N(V_L2_Cuotas),N(V_L2_Cuotas)&gt;0),IF((36-N(V_L2_Mes)+1)=N(V_L2_Gracia)+N(V_L2_Cuotas),IF((36-N(V_L2_Mes)+1)=1,N(V_L2_Monto),AN$286),PMT(N(V_L2_Tasa)/12,N(V_L2_Cuotas),-N(V_L2_Monto))-AO$284),0)*AO$9</f>
        <v>0</v>
      </c>
      <c r="AP285" s="48">
        <f>IF(AND((37-N(V_L2_Mes)+1)&gt;N(V_L2_Gracia),(37-N(V_L2_Mes)+1)&lt;=N(V_L2_Gracia)+N(V_L2_Cuotas),N(V_L2_Cuotas)&gt;0),IF((37-N(V_L2_Mes)+1)=N(V_L2_Gracia)+N(V_L2_Cuotas),IF((37-N(V_L2_Mes)+1)=1,N(V_L2_Monto),AO$286),PMT(N(V_L2_Tasa)/12,N(V_L2_Cuotas),-N(V_L2_Monto))-AP$284),0)*AP$9</f>
        <v>0</v>
      </c>
      <c r="AQ285" s="48">
        <f>IF(AND((38-N(V_L2_Mes)+1)&gt;N(V_L2_Gracia),(38-N(V_L2_Mes)+1)&lt;=N(V_L2_Gracia)+N(V_L2_Cuotas),N(V_L2_Cuotas)&gt;0),IF((38-N(V_L2_Mes)+1)=N(V_L2_Gracia)+N(V_L2_Cuotas),IF((38-N(V_L2_Mes)+1)=1,N(V_L2_Monto),AP$286),PMT(N(V_L2_Tasa)/12,N(V_L2_Cuotas),-N(V_L2_Monto))-AQ$284),0)*AQ$9</f>
        <v>0</v>
      </c>
      <c r="AR285" s="48">
        <f>IF(AND((39-N(V_L2_Mes)+1)&gt;N(V_L2_Gracia),(39-N(V_L2_Mes)+1)&lt;=N(V_L2_Gracia)+N(V_L2_Cuotas),N(V_L2_Cuotas)&gt;0),IF((39-N(V_L2_Mes)+1)=N(V_L2_Gracia)+N(V_L2_Cuotas),IF((39-N(V_L2_Mes)+1)=1,N(V_L2_Monto),AQ$286),PMT(N(V_L2_Tasa)/12,N(V_L2_Cuotas),-N(V_L2_Monto))-AR$284),0)*AR$9</f>
        <v>0</v>
      </c>
      <c r="AS285" s="48">
        <f>IF(AND((40-N(V_L2_Mes)+1)&gt;N(V_L2_Gracia),(40-N(V_L2_Mes)+1)&lt;=N(V_L2_Gracia)+N(V_L2_Cuotas),N(V_L2_Cuotas)&gt;0),IF((40-N(V_L2_Mes)+1)=N(V_L2_Gracia)+N(V_L2_Cuotas),IF((40-N(V_L2_Mes)+1)=1,N(V_L2_Monto),AR$286),PMT(N(V_L2_Tasa)/12,N(V_L2_Cuotas),-N(V_L2_Monto))-AS$284),0)*AS$9</f>
        <v>0</v>
      </c>
      <c r="AT285" s="48">
        <f>IF(AND((41-N(V_L2_Mes)+1)&gt;N(V_L2_Gracia),(41-N(V_L2_Mes)+1)&lt;=N(V_L2_Gracia)+N(V_L2_Cuotas),N(V_L2_Cuotas)&gt;0),IF((41-N(V_L2_Mes)+1)=N(V_L2_Gracia)+N(V_L2_Cuotas),IF((41-N(V_L2_Mes)+1)=1,N(V_L2_Monto),AS$286),PMT(N(V_L2_Tasa)/12,N(V_L2_Cuotas),-N(V_L2_Monto))-AT$284),0)*AT$9</f>
        <v>0</v>
      </c>
      <c r="AU285" s="48">
        <f>IF(AND((42-N(V_L2_Mes)+1)&gt;N(V_L2_Gracia),(42-N(V_L2_Mes)+1)&lt;=N(V_L2_Gracia)+N(V_L2_Cuotas),N(V_L2_Cuotas)&gt;0),IF((42-N(V_L2_Mes)+1)=N(V_L2_Gracia)+N(V_L2_Cuotas),IF((42-N(V_L2_Mes)+1)=1,N(V_L2_Monto),AT$286),PMT(N(V_L2_Tasa)/12,N(V_L2_Cuotas),-N(V_L2_Monto))-AU$284),0)*AU$9</f>
        <v>0</v>
      </c>
      <c r="AV285" s="48">
        <f>IF(AND((43-N(V_L2_Mes)+1)&gt;N(V_L2_Gracia),(43-N(V_L2_Mes)+1)&lt;=N(V_L2_Gracia)+N(V_L2_Cuotas),N(V_L2_Cuotas)&gt;0),IF((43-N(V_L2_Mes)+1)=N(V_L2_Gracia)+N(V_L2_Cuotas),IF((43-N(V_L2_Mes)+1)=1,N(V_L2_Monto),AU$286),PMT(N(V_L2_Tasa)/12,N(V_L2_Cuotas),-N(V_L2_Monto))-AV$284),0)*AV$9</f>
        <v>0</v>
      </c>
      <c r="AW285" s="48">
        <f>IF(AND((44-N(V_L2_Mes)+1)&gt;N(V_L2_Gracia),(44-N(V_L2_Mes)+1)&lt;=N(V_L2_Gracia)+N(V_L2_Cuotas),N(V_L2_Cuotas)&gt;0),IF((44-N(V_L2_Mes)+1)=N(V_L2_Gracia)+N(V_L2_Cuotas),IF((44-N(V_L2_Mes)+1)=1,N(V_L2_Monto),AV$286),PMT(N(V_L2_Tasa)/12,N(V_L2_Cuotas),-N(V_L2_Monto))-AW$284),0)*AW$9</f>
        <v>0</v>
      </c>
      <c r="AX285" s="48">
        <f>IF(AND((45-N(V_L2_Mes)+1)&gt;N(V_L2_Gracia),(45-N(V_L2_Mes)+1)&lt;=N(V_L2_Gracia)+N(V_L2_Cuotas),N(V_L2_Cuotas)&gt;0),IF((45-N(V_L2_Mes)+1)=N(V_L2_Gracia)+N(V_L2_Cuotas),IF((45-N(V_L2_Mes)+1)=1,N(V_L2_Monto),AW$286),PMT(N(V_L2_Tasa)/12,N(V_L2_Cuotas),-N(V_L2_Monto))-AX$284),0)*AX$9</f>
        <v>0</v>
      </c>
      <c r="AY285" s="48">
        <f>IF(AND((46-N(V_L2_Mes)+1)&gt;N(V_L2_Gracia),(46-N(V_L2_Mes)+1)&lt;=N(V_L2_Gracia)+N(V_L2_Cuotas),N(V_L2_Cuotas)&gt;0),IF((46-N(V_L2_Mes)+1)=N(V_L2_Gracia)+N(V_L2_Cuotas),IF((46-N(V_L2_Mes)+1)=1,N(V_L2_Monto),AX$286),PMT(N(V_L2_Tasa)/12,N(V_L2_Cuotas),-N(V_L2_Monto))-AY$284),0)*AY$9</f>
        <v>0</v>
      </c>
      <c r="AZ285" s="48">
        <f>IF(AND((47-N(V_L2_Mes)+1)&gt;N(V_L2_Gracia),(47-N(V_L2_Mes)+1)&lt;=N(V_L2_Gracia)+N(V_L2_Cuotas),N(V_L2_Cuotas)&gt;0),IF((47-N(V_L2_Mes)+1)=N(V_L2_Gracia)+N(V_L2_Cuotas),IF((47-N(V_L2_Mes)+1)=1,N(V_L2_Monto),AY$286),PMT(N(V_L2_Tasa)/12,N(V_L2_Cuotas),-N(V_L2_Monto))-AZ$284),0)*AZ$9</f>
        <v>0</v>
      </c>
      <c r="BA285" s="48">
        <f>IF(AND((48-N(V_L2_Mes)+1)&gt;N(V_L2_Gracia),(48-N(V_L2_Mes)+1)&lt;=N(V_L2_Gracia)+N(V_L2_Cuotas),N(V_L2_Cuotas)&gt;0),IF((48-N(V_L2_Mes)+1)=N(V_L2_Gracia)+N(V_L2_Cuotas),IF((48-N(V_L2_Mes)+1)=1,N(V_L2_Monto),AZ$286),PMT(N(V_L2_Tasa)/12,N(V_L2_Cuotas),-N(V_L2_Monto))-BA$284),0)*BA$9</f>
        <v>0</v>
      </c>
      <c r="BB285" s="48">
        <f>IF(AND((49-N(V_L2_Mes)+1)&gt;N(V_L2_Gracia),(49-N(V_L2_Mes)+1)&lt;=N(V_L2_Gracia)+N(V_L2_Cuotas),N(V_L2_Cuotas)&gt;0),IF((49-N(V_L2_Mes)+1)=N(V_L2_Gracia)+N(V_L2_Cuotas),IF((49-N(V_L2_Mes)+1)=1,N(V_L2_Monto),BA$286),PMT(N(V_L2_Tasa)/12,N(V_L2_Cuotas),-N(V_L2_Monto))-BB$284),0)*BB$9</f>
        <v>0</v>
      </c>
      <c r="BC285" s="48">
        <f>IF(AND((50-N(V_L2_Mes)+1)&gt;N(V_L2_Gracia),(50-N(V_L2_Mes)+1)&lt;=N(V_L2_Gracia)+N(V_L2_Cuotas),N(V_L2_Cuotas)&gt;0),IF((50-N(V_L2_Mes)+1)=N(V_L2_Gracia)+N(V_L2_Cuotas),IF((50-N(V_L2_Mes)+1)=1,N(V_L2_Monto),BB$286),PMT(N(V_L2_Tasa)/12,N(V_L2_Cuotas),-N(V_L2_Monto))-BC$284),0)*BC$9</f>
        <v>0</v>
      </c>
      <c r="BD285" s="48">
        <f>IF(AND((51-N(V_L2_Mes)+1)&gt;N(V_L2_Gracia),(51-N(V_L2_Mes)+1)&lt;=N(V_L2_Gracia)+N(V_L2_Cuotas),N(V_L2_Cuotas)&gt;0),IF((51-N(V_L2_Mes)+1)=N(V_L2_Gracia)+N(V_L2_Cuotas),IF((51-N(V_L2_Mes)+1)=1,N(V_L2_Monto),BC$286),PMT(N(V_L2_Tasa)/12,N(V_L2_Cuotas),-N(V_L2_Monto))-BD$284),0)*BD$9</f>
        <v>0</v>
      </c>
      <c r="BE285" s="48">
        <f>IF(AND((52-N(V_L2_Mes)+1)&gt;N(V_L2_Gracia),(52-N(V_L2_Mes)+1)&lt;=N(V_L2_Gracia)+N(V_L2_Cuotas),N(V_L2_Cuotas)&gt;0),IF((52-N(V_L2_Mes)+1)=N(V_L2_Gracia)+N(V_L2_Cuotas),IF((52-N(V_L2_Mes)+1)=1,N(V_L2_Monto),BD$286),PMT(N(V_L2_Tasa)/12,N(V_L2_Cuotas),-N(V_L2_Monto))-BE$284),0)*BE$9</f>
        <v>0</v>
      </c>
      <c r="BF285" s="48">
        <f>IF(AND((53-N(V_L2_Mes)+1)&gt;N(V_L2_Gracia),(53-N(V_L2_Mes)+1)&lt;=N(V_L2_Gracia)+N(V_L2_Cuotas),N(V_L2_Cuotas)&gt;0),IF((53-N(V_L2_Mes)+1)=N(V_L2_Gracia)+N(V_L2_Cuotas),IF((53-N(V_L2_Mes)+1)=1,N(V_L2_Monto),BE$286),PMT(N(V_L2_Tasa)/12,N(V_L2_Cuotas),-N(V_L2_Monto))-BF$284),0)*BF$9</f>
        <v>0</v>
      </c>
      <c r="BG285" s="48">
        <f>IF(AND((54-N(V_L2_Mes)+1)&gt;N(V_L2_Gracia),(54-N(V_L2_Mes)+1)&lt;=N(V_L2_Gracia)+N(V_L2_Cuotas),N(V_L2_Cuotas)&gt;0),IF((54-N(V_L2_Mes)+1)=N(V_L2_Gracia)+N(V_L2_Cuotas),IF((54-N(V_L2_Mes)+1)=1,N(V_L2_Monto),BF$286),PMT(N(V_L2_Tasa)/12,N(V_L2_Cuotas),-N(V_L2_Monto))-BG$284),0)*BG$9</f>
        <v>0</v>
      </c>
      <c r="BH285" s="48">
        <f>IF(AND((55-N(V_L2_Mes)+1)&gt;N(V_L2_Gracia),(55-N(V_L2_Mes)+1)&lt;=N(V_L2_Gracia)+N(V_L2_Cuotas),N(V_L2_Cuotas)&gt;0),IF((55-N(V_L2_Mes)+1)=N(V_L2_Gracia)+N(V_L2_Cuotas),IF((55-N(V_L2_Mes)+1)=1,N(V_L2_Monto),BG$286),PMT(N(V_L2_Tasa)/12,N(V_L2_Cuotas),-N(V_L2_Monto))-BH$284),0)*BH$9</f>
        <v>0</v>
      </c>
      <c r="BI285" s="48">
        <f>IF(AND((56-N(V_L2_Mes)+1)&gt;N(V_L2_Gracia),(56-N(V_L2_Mes)+1)&lt;=N(V_L2_Gracia)+N(V_L2_Cuotas),N(V_L2_Cuotas)&gt;0),IF((56-N(V_L2_Mes)+1)=N(V_L2_Gracia)+N(V_L2_Cuotas),IF((56-N(V_L2_Mes)+1)=1,N(V_L2_Monto),BH$286),PMT(N(V_L2_Tasa)/12,N(V_L2_Cuotas),-N(V_L2_Monto))-BI$284),0)*BI$9</f>
        <v>0</v>
      </c>
      <c r="BJ285" s="48">
        <f>IF(AND((57-N(V_L2_Mes)+1)&gt;N(V_L2_Gracia),(57-N(V_L2_Mes)+1)&lt;=N(V_L2_Gracia)+N(V_L2_Cuotas),N(V_L2_Cuotas)&gt;0),IF((57-N(V_L2_Mes)+1)=N(V_L2_Gracia)+N(V_L2_Cuotas),IF((57-N(V_L2_Mes)+1)=1,N(V_L2_Monto),BI$286),PMT(N(V_L2_Tasa)/12,N(V_L2_Cuotas),-N(V_L2_Monto))-BJ$284),0)*BJ$9</f>
        <v>0</v>
      </c>
      <c r="BK285" s="48">
        <f>IF(AND((58-N(V_L2_Mes)+1)&gt;N(V_L2_Gracia),(58-N(V_L2_Mes)+1)&lt;=N(V_L2_Gracia)+N(V_L2_Cuotas),N(V_L2_Cuotas)&gt;0),IF((58-N(V_L2_Mes)+1)=N(V_L2_Gracia)+N(V_L2_Cuotas),IF((58-N(V_L2_Mes)+1)=1,N(V_L2_Monto),BJ$286),PMT(N(V_L2_Tasa)/12,N(V_L2_Cuotas),-N(V_L2_Monto))-BK$284),0)*BK$9</f>
        <v>0</v>
      </c>
      <c r="BL285" s="48">
        <f>IF(AND((59-N(V_L2_Mes)+1)&gt;N(V_L2_Gracia),(59-N(V_L2_Mes)+1)&lt;=N(V_L2_Gracia)+N(V_L2_Cuotas),N(V_L2_Cuotas)&gt;0),IF((59-N(V_L2_Mes)+1)=N(V_L2_Gracia)+N(V_L2_Cuotas),IF((59-N(V_L2_Mes)+1)=1,N(V_L2_Monto),BK$286),PMT(N(V_L2_Tasa)/12,N(V_L2_Cuotas),-N(V_L2_Monto))-BL$284),0)*BL$9</f>
        <v>0</v>
      </c>
      <c r="BM285" s="48">
        <f>IF(AND((60-N(V_L2_Mes)+1)&gt;N(V_L2_Gracia),(60-N(V_L2_Mes)+1)&lt;=N(V_L2_Gracia)+N(V_L2_Cuotas),N(V_L2_Cuotas)&gt;0),IF((60-N(V_L2_Mes)+1)=N(V_L2_Gracia)+N(V_L2_Cuotas),IF((60-N(V_L2_Mes)+1)=1,N(V_L2_Monto),BL$286),PMT(N(V_L2_Tasa)/12,N(V_L2_Cuotas),-N(V_L2_Monto))-BM$284),0)*BM$9</f>
        <v>0</v>
      </c>
      <c r="BN285" s="48">
        <f>IF(AND((61-N(V_L2_Mes)+1)&gt;N(V_L2_Gracia),(61-N(V_L2_Mes)+1)&lt;=N(V_L2_Gracia)+N(V_L2_Cuotas),N(V_L2_Cuotas)&gt;0),IF((61-N(V_L2_Mes)+1)=N(V_L2_Gracia)+N(V_L2_Cuotas),IF((61-N(V_L2_Mes)+1)=1,N(V_L2_Monto),BM$286),PMT(N(V_L2_Tasa)/12,N(V_L2_Cuotas),-N(V_L2_Monto))-BN$284),0)*BN$9</f>
        <v>0</v>
      </c>
      <c r="BO285" s="48">
        <f>IF(AND((62-N(V_L2_Mes)+1)&gt;N(V_L2_Gracia),(62-N(V_L2_Mes)+1)&lt;=N(V_L2_Gracia)+N(V_L2_Cuotas),N(V_L2_Cuotas)&gt;0),IF((62-N(V_L2_Mes)+1)=N(V_L2_Gracia)+N(V_L2_Cuotas),IF((62-N(V_L2_Mes)+1)=1,N(V_L2_Monto),BN$286),PMT(N(V_L2_Tasa)/12,N(V_L2_Cuotas),-N(V_L2_Monto))-BO$284),0)*BO$9</f>
        <v>0</v>
      </c>
      <c r="BP285" s="48">
        <f>IF(AND((63-N(V_L2_Mes)+1)&gt;N(V_L2_Gracia),(63-N(V_L2_Mes)+1)&lt;=N(V_L2_Gracia)+N(V_L2_Cuotas),N(V_L2_Cuotas)&gt;0),IF((63-N(V_L2_Mes)+1)=N(V_L2_Gracia)+N(V_L2_Cuotas),IF((63-N(V_L2_Mes)+1)=1,N(V_L2_Monto),BO$286),PMT(N(V_L2_Tasa)/12,N(V_L2_Cuotas),-N(V_L2_Monto))-BP$284),0)*BP$9</f>
        <v>0</v>
      </c>
      <c r="BQ285" s="48">
        <f>IF(AND((64-N(V_L2_Mes)+1)&gt;N(V_L2_Gracia),(64-N(V_L2_Mes)+1)&lt;=N(V_L2_Gracia)+N(V_L2_Cuotas),N(V_L2_Cuotas)&gt;0),IF((64-N(V_L2_Mes)+1)=N(V_L2_Gracia)+N(V_L2_Cuotas),IF((64-N(V_L2_Mes)+1)=1,N(V_L2_Monto),BP$286),PMT(N(V_L2_Tasa)/12,N(V_L2_Cuotas),-N(V_L2_Monto))-BQ$284),0)*BQ$9</f>
        <v>0</v>
      </c>
      <c r="BR285" s="48">
        <f>IF(AND((65-N(V_L2_Mes)+1)&gt;N(V_L2_Gracia),(65-N(V_L2_Mes)+1)&lt;=N(V_L2_Gracia)+N(V_L2_Cuotas),N(V_L2_Cuotas)&gt;0),IF((65-N(V_L2_Mes)+1)=N(V_L2_Gracia)+N(V_L2_Cuotas),IF((65-N(V_L2_Mes)+1)=1,N(V_L2_Monto),BQ$286),PMT(N(V_L2_Tasa)/12,N(V_L2_Cuotas),-N(V_L2_Monto))-BR$284),0)*BR$9</f>
        <v>0</v>
      </c>
      <c r="BS285" s="48">
        <f>IF(AND((66-N(V_L2_Mes)+1)&gt;N(V_L2_Gracia),(66-N(V_L2_Mes)+1)&lt;=N(V_L2_Gracia)+N(V_L2_Cuotas),N(V_L2_Cuotas)&gt;0),IF((66-N(V_L2_Mes)+1)=N(V_L2_Gracia)+N(V_L2_Cuotas),IF((66-N(V_L2_Mes)+1)=1,N(V_L2_Monto),BR$286),PMT(N(V_L2_Tasa)/12,N(V_L2_Cuotas),-N(V_L2_Monto))-BS$284),0)*BS$9</f>
        <v>0</v>
      </c>
      <c r="BT285" s="48">
        <f>IF(AND((67-N(V_L2_Mes)+1)&gt;N(V_L2_Gracia),(67-N(V_L2_Mes)+1)&lt;=N(V_L2_Gracia)+N(V_L2_Cuotas),N(V_L2_Cuotas)&gt;0),IF((67-N(V_L2_Mes)+1)=N(V_L2_Gracia)+N(V_L2_Cuotas),IF((67-N(V_L2_Mes)+1)=1,N(V_L2_Monto),BS$286),PMT(N(V_L2_Tasa)/12,N(V_L2_Cuotas),-N(V_L2_Monto))-BT$284),0)*BT$9</f>
        <v>0</v>
      </c>
      <c r="BU285" s="48">
        <f>IF(AND((68-N(V_L2_Mes)+1)&gt;N(V_L2_Gracia),(68-N(V_L2_Mes)+1)&lt;=N(V_L2_Gracia)+N(V_L2_Cuotas),N(V_L2_Cuotas)&gt;0),IF((68-N(V_L2_Mes)+1)=N(V_L2_Gracia)+N(V_L2_Cuotas),IF((68-N(V_L2_Mes)+1)=1,N(V_L2_Monto),BT$286),PMT(N(V_L2_Tasa)/12,N(V_L2_Cuotas),-N(V_L2_Monto))-BU$284),0)*BU$9</f>
        <v>0</v>
      </c>
      <c r="BV285" s="48">
        <f>IF(AND((69-N(V_L2_Mes)+1)&gt;N(V_L2_Gracia),(69-N(V_L2_Mes)+1)&lt;=N(V_L2_Gracia)+N(V_L2_Cuotas),N(V_L2_Cuotas)&gt;0),IF((69-N(V_L2_Mes)+1)=N(V_L2_Gracia)+N(V_L2_Cuotas),IF((69-N(V_L2_Mes)+1)=1,N(V_L2_Monto),BU$286),PMT(N(V_L2_Tasa)/12,N(V_L2_Cuotas),-N(V_L2_Monto))-BV$284),0)*BV$9</f>
        <v>0</v>
      </c>
      <c r="BW285" s="48">
        <f>IF(AND((70-N(V_L2_Mes)+1)&gt;N(V_L2_Gracia),(70-N(V_L2_Mes)+1)&lt;=N(V_L2_Gracia)+N(V_L2_Cuotas),N(V_L2_Cuotas)&gt;0),IF((70-N(V_L2_Mes)+1)=N(V_L2_Gracia)+N(V_L2_Cuotas),IF((70-N(V_L2_Mes)+1)=1,N(V_L2_Monto),BV$286),PMT(N(V_L2_Tasa)/12,N(V_L2_Cuotas),-N(V_L2_Monto))-BW$284),0)*BW$9</f>
        <v>0</v>
      </c>
      <c r="BX285" s="48">
        <f>IF(AND((71-N(V_L2_Mes)+1)&gt;N(V_L2_Gracia),(71-N(V_L2_Mes)+1)&lt;=N(V_L2_Gracia)+N(V_L2_Cuotas),N(V_L2_Cuotas)&gt;0),IF((71-N(V_L2_Mes)+1)=N(V_L2_Gracia)+N(V_L2_Cuotas),IF((71-N(V_L2_Mes)+1)=1,N(V_L2_Monto),BW$286),PMT(N(V_L2_Tasa)/12,N(V_L2_Cuotas),-N(V_L2_Monto))-BX$284),0)*BX$9</f>
        <v>0</v>
      </c>
      <c r="BY285" s="48">
        <f>IF(AND((72-N(V_L2_Mes)+1)&gt;N(V_L2_Gracia),(72-N(V_L2_Mes)+1)&lt;=N(V_L2_Gracia)+N(V_L2_Cuotas),N(V_L2_Cuotas)&gt;0),IF((72-N(V_L2_Mes)+1)=N(V_L2_Gracia)+N(V_L2_Cuotas),IF((72-N(V_L2_Mes)+1)=1,N(V_L2_Monto),BX$286),PMT(N(V_L2_Tasa)/12,N(V_L2_Cuotas),-N(V_L2_Monto))-BY$284),0)*BY$9</f>
        <v>0</v>
      </c>
      <c r="BZ285" s="48">
        <f>IF(AND((73-N(V_L2_Mes)+1)&gt;N(V_L2_Gracia),(73-N(V_L2_Mes)+1)&lt;=N(V_L2_Gracia)+N(V_L2_Cuotas),N(V_L2_Cuotas)&gt;0),IF((73-N(V_L2_Mes)+1)=N(V_L2_Gracia)+N(V_L2_Cuotas),IF((73-N(V_L2_Mes)+1)=1,N(V_L2_Monto),BY$286),PMT(N(V_L2_Tasa)/12,N(V_L2_Cuotas),-N(V_L2_Monto))-BZ$284),0)*BZ$9</f>
        <v>0</v>
      </c>
      <c r="CA285" s="48">
        <f>IF(AND((74-N(V_L2_Mes)+1)&gt;N(V_L2_Gracia),(74-N(V_L2_Mes)+1)&lt;=N(V_L2_Gracia)+N(V_L2_Cuotas),N(V_L2_Cuotas)&gt;0),IF((74-N(V_L2_Mes)+1)=N(V_L2_Gracia)+N(V_L2_Cuotas),IF((74-N(V_L2_Mes)+1)=1,N(V_L2_Monto),BZ$286),PMT(N(V_L2_Tasa)/12,N(V_L2_Cuotas),-N(V_L2_Monto))-CA$284),0)*CA$9</f>
        <v>0</v>
      </c>
      <c r="CB285" s="48">
        <f>IF(AND((75-N(V_L2_Mes)+1)&gt;N(V_L2_Gracia),(75-N(V_L2_Mes)+1)&lt;=N(V_L2_Gracia)+N(V_L2_Cuotas),N(V_L2_Cuotas)&gt;0),IF((75-N(V_L2_Mes)+1)=N(V_L2_Gracia)+N(V_L2_Cuotas),IF((75-N(V_L2_Mes)+1)=1,N(V_L2_Monto),CA$286),PMT(N(V_L2_Tasa)/12,N(V_L2_Cuotas),-N(V_L2_Monto))-CB$284),0)*CB$9</f>
        <v>0</v>
      </c>
      <c r="CC285" s="48">
        <f>IF(AND((76-N(V_L2_Mes)+1)&gt;N(V_L2_Gracia),(76-N(V_L2_Mes)+1)&lt;=N(V_L2_Gracia)+N(V_L2_Cuotas),N(V_L2_Cuotas)&gt;0),IF((76-N(V_L2_Mes)+1)=N(V_L2_Gracia)+N(V_L2_Cuotas),IF((76-N(V_L2_Mes)+1)=1,N(V_L2_Monto),CB$286),PMT(N(V_L2_Tasa)/12,N(V_L2_Cuotas),-N(V_L2_Monto))-CC$284),0)*CC$9</f>
        <v>0</v>
      </c>
      <c r="CD285" s="48">
        <f>IF(AND((77-N(V_L2_Mes)+1)&gt;N(V_L2_Gracia),(77-N(V_L2_Mes)+1)&lt;=N(V_L2_Gracia)+N(V_L2_Cuotas),N(V_L2_Cuotas)&gt;0),IF((77-N(V_L2_Mes)+1)=N(V_L2_Gracia)+N(V_L2_Cuotas),IF((77-N(V_L2_Mes)+1)=1,N(V_L2_Monto),CC$286),PMT(N(V_L2_Tasa)/12,N(V_L2_Cuotas),-N(V_L2_Monto))-CD$284),0)*CD$9</f>
        <v>0</v>
      </c>
      <c r="CE285" s="48">
        <f>IF(AND((78-N(V_L2_Mes)+1)&gt;N(V_L2_Gracia),(78-N(V_L2_Mes)+1)&lt;=N(V_L2_Gracia)+N(V_L2_Cuotas),N(V_L2_Cuotas)&gt;0),IF((78-N(V_L2_Mes)+1)=N(V_L2_Gracia)+N(V_L2_Cuotas),IF((78-N(V_L2_Mes)+1)=1,N(V_L2_Monto),CD$286),PMT(N(V_L2_Tasa)/12,N(V_L2_Cuotas),-N(V_L2_Monto))-CE$284),0)*CE$9</f>
        <v>0</v>
      </c>
      <c r="CF285" s="48">
        <f>IF(AND((79-N(V_L2_Mes)+1)&gt;N(V_L2_Gracia),(79-N(V_L2_Mes)+1)&lt;=N(V_L2_Gracia)+N(V_L2_Cuotas),N(V_L2_Cuotas)&gt;0),IF((79-N(V_L2_Mes)+1)=N(V_L2_Gracia)+N(V_L2_Cuotas),IF((79-N(V_L2_Mes)+1)=1,N(V_L2_Monto),CE$286),PMT(N(V_L2_Tasa)/12,N(V_L2_Cuotas),-N(V_L2_Monto))-CF$284),0)*CF$9</f>
        <v>0</v>
      </c>
      <c r="CG285" s="48">
        <f>IF(AND((80-N(V_L2_Mes)+1)&gt;N(V_L2_Gracia),(80-N(V_L2_Mes)+1)&lt;=N(V_L2_Gracia)+N(V_L2_Cuotas),N(V_L2_Cuotas)&gt;0),IF((80-N(V_L2_Mes)+1)=N(V_L2_Gracia)+N(V_L2_Cuotas),IF((80-N(V_L2_Mes)+1)=1,N(V_L2_Monto),CF$286),PMT(N(V_L2_Tasa)/12,N(V_L2_Cuotas),-N(V_L2_Monto))-CG$284),0)*CG$9</f>
        <v>0</v>
      </c>
      <c r="CH285" s="48">
        <f>IF(AND((81-N(V_L2_Mes)+1)&gt;N(V_L2_Gracia),(81-N(V_L2_Mes)+1)&lt;=N(V_L2_Gracia)+N(V_L2_Cuotas),N(V_L2_Cuotas)&gt;0),IF((81-N(V_L2_Mes)+1)=N(V_L2_Gracia)+N(V_L2_Cuotas),IF((81-N(V_L2_Mes)+1)=1,N(V_L2_Monto),CG$286),PMT(N(V_L2_Tasa)/12,N(V_L2_Cuotas),-N(V_L2_Monto))-CH$284),0)*CH$9</f>
        <v>0</v>
      </c>
      <c r="CI285" s="48">
        <f>IF(AND((82-N(V_L2_Mes)+1)&gt;N(V_L2_Gracia),(82-N(V_L2_Mes)+1)&lt;=N(V_L2_Gracia)+N(V_L2_Cuotas),N(V_L2_Cuotas)&gt;0),IF((82-N(V_L2_Mes)+1)=N(V_L2_Gracia)+N(V_L2_Cuotas),IF((82-N(V_L2_Mes)+1)=1,N(V_L2_Monto),CH$286),PMT(N(V_L2_Tasa)/12,N(V_L2_Cuotas),-N(V_L2_Monto))-CI$284),0)*CI$9</f>
        <v>0</v>
      </c>
      <c r="CJ285" s="48">
        <f>IF(AND((83-N(V_L2_Mes)+1)&gt;N(V_L2_Gracia),(83-N(V_L2_Mes)+1)&lt;=N(V_L2_Gracia)+N(V_L2_Cuotas),N(V_L2_Cuotas)&gt;0),IF((83-N(V_L2_Mes)+1)=N(V_L2_Gracia)+N(V_L2_Cuotas),IF((83-N(V_L2_Mes)+1)=1,N(V_L2_Monto),CI$286),PMT(N(V_L2_Tasa)/12,N(V_L2_Cuotas),-N(V_L2_Monto))-CJ$284),0)*CJ$9</f>
        <v>0</v>
      </c>
      <c r="CK285" s="48">
        <f>IF(AND((84-N(V_L2_Mes)+1)&gt;N(V_L2_Gracia),(84-N(V_L2_Mes)+1)&lt;=N(V_L2_Gracia)+N(V_L2_Cuotas),N(V_L2_Cuotas)&gt;0),IF((84-N(V_L2_Mes)+1)=N(V_L2_Gracia)+N(V_L2_Cuotas),IF((84-N(V_L2_Mes)+1)=1,N(V_L2_Monto),CJ$286),PMT(N(V_L2_Tasa)/12,N(V_L2_Cuotas),-N(V_L2_Monto))-CK$284),0)*CK$9</f>
        <v>0</v>
      </c>
      <c r="CL285" s="48">
        <f>IF(AND((85-N(V_L2_Mes)+1)&gt;N(V_L2_Gracia),(85-N(V_L2_Mes)+1)&lt;=N(V_L2_Gracia)+N(V_L2_Cuotas),N(V_L2_Cuotas)&gt;0),IF((85-N(V_L2_Mes)+1)=N(V_L2_Gracia)+N(V_L2_Cuotas),IF((85-N(V_L2_Mes)+1)=1,N(V_L2_Monto),CK$286),PMT(N(V_L2_Tasa)/12,N(V_L2_Cuotas),-N(V_L2_Monto))-CL$284),0)*CL$9</f>
        <v>0</v>
      </c>
      <c r="CM285" s="48">
        <f>IF(AND((86-N(V_L2_Mes)+1)&gt;N(V_L2_Gracia),(86-N(V_L2_Mes)+1)&lt;=N(V_L2_Gracia)+N(V_L2_Cuotas),N(V_L2_Cuotas)&gt;0),IF((86-N(V_L2_Mes)+1)=N(V_L2_Gracia)+N(V_L2_Cuotas),IF((86-N(V_L2_Mes)+1)=1,N(V_L2_Monto),CL$286),PMT(N(V_L2_Tasa)/12,N(V_L2_Cuotas),-N(V_L2_Monto))-CM$284),0)*CM$9</f>
        <v>0</v>
      </c>
      <c r="CN285" s="48">
        <f>IF(AND((87-N(V_L2_Mes)+1)&gt;N(V_L2_Gracia),(87-N(V_L2_Mes)+1)&lt;=N(V_L2_Gracia)+N(V_L2_Cuotas),N(V_L2_Cuotas)&gt;0),IF((87-N(V_L2_Mes)+1)=N(V_L2_Gracia)+N(V_L2_Cuotas),IF((87-N(V_L2_Mes)+1)=1,N(V_L2_Monto),CM$286),PMT(N(V_L2_Tasa)/12,N(V_L2_Cuotas),-N(V_L2_Monto))-CN$284),0)*CN$9</f>
        <v>0</v>
      </c>
      <c r="CO285" s="48">
        <f>IF(AND((88-N(V_L2_Mes)+1)&gt;N(V_L2_Gracia),(88-N(V_L2_Mes)+1)&lt;=N(V_L2_Gracia)+N(V_L2_Cuotas),N(V_L2_Cuotas)&gt;0),IF((88-N(V_L2_Mes)+1)=N(V_L2_Gracia)+N(V_L2_Cuotas),IF((88-N(V_L2_Mes)+1)=1,N(V_L2_Monto),CN$286),PMT(N(V_L2_Tasa)/12,N(V_L2_Cuotas),-N(V_L2_Monto))-CO$284),0)*CO$9</f>
        <v>0</v>
      </c>
      <c r="CP285" s="48">
        <f>IF(AND((89-N(V_L2_Mes)+1)&gt;N(V_L2_Gracia),(89-N(V_L2_Mes)+1)&lt;=N(V_L2_Gracia)+N(V_L2_Cuotas),N(V_L2_Cuotas)&gt;0),IF((89-N(V_L2_Mes)+1)=N(V_L2_Gracia)+N(V_L2_Cuotas),IF((89-N(V_L2_Mes)+1)=1,N(V_L2_Monto),CO$286),PMT(N(V_L2_Tasa)/12,N(V_L2_Cuotas),-N(V_L2_Monto))-CP$284),0)*CP$9</f>
        <v>0</v>
      </c>
      <c r="CQ285" s="48">
        <f>IF(AND((90-N(V_L2_Mes)+1)&gt;N(V_L2_Gracia),(90-N(V_L2_Mes)+1)&lt;=N(V_L2_Gracia)+N(V_L2_Cuotas),N(V_L2_Cuotas)&gt;0),IF((90-N(V_L2_Mes)+1)=N(V_L2_Gracia)+N(V_L2_Cuotas),IF((90-N(V_L2_Mes)+1)=1,N(V_L2_Monto),CP$286),PMT(N(V_L2_Tasa)/12,N(V_L2_Cuotas),-N(V_L2_Monto))-CQ$284),0)*CQ$9</f>
        <v>0</v>
      </c>
      <c r="CR285" s="48">
        <f>IF(AND((91-N(V_L2_Mes)+1)&gt;N(V_L2_Gracia),(91-N(V_L2_Mes)+1)&lt;=N(V_L2_Gracia)+N(V_L2_Cuotas),N(V_L2_Cuotas)&gt;0),IF((91-N(V_L2_Mes)+1)=N(V_L2_Gracia)+N(V_L2_Cuotas),IF((91-N(V_L2_Mes)+1)=1,N(V_L2_Monto),CQ$286),PMT(N(V_L2_Tasa)/12,N(V_L2_Cuotas),-N(V_L2_Monto))-CR$284),0)*CR$9</f>
        <v>0</v>
      </c>
      <c r="CS285" s="48">
        <f>IF(AND((92-N(V_L2_Mes)+1)&gt;N(V_L2_Gracia),(92-N(V_L2_Mes)+1)&lt;=N(V_L2_Gracia)+N(V_L2_Cuotas),N(V_L2_Cuotas)&gt;0),IF((92-N(V_L2_Mes)+1)=N(V_L2_Gracia)+N(V_L2_Cuotas),IF((92-N(V_L2_Mes)+1)=1,N(V_L2_Monto),CR$286),PMT(N(V_L2_Tasa)/12,N(V_L2_Cuotas),-N(V_L2_Monto))-CS$284),0)*CS$9</f>
        <v>0</v>
      </c>
      <c r="CT285" s="48">
        <f>IF(AND((93-N(V_L2_Mes)+1)&gt;N(V_L2_Gracia),(93-N(V_L2_Mes)+1)&lt;=N(V_L2_Gracia)+N(V_L2_Cuotas),N(V_L2_Cuotas)&gt;0),IF((93-N(V_L2_Mes)+1)=N(V_L2_Gracia)+N(V_L2_Cuotas),IF((93-N(V_L2_Mes)+1)=1,N(V_L2_Monto),CS$286),PMT(N(V_L2_Tasa)/12,N(V_L2_Cuotas),-N(V_L2_Monto))-CT$284),0)*CT$9</f>
        <v>0</v>
      </c>
      <c r="CU285" s="48">
        <f>IF(AND((94-N(V_L2_Mes)+1)&gt;N(V_L2_Gracia),(94-N(V_L2_Mes)+1)&lt;=N(V_L2_Gracia)+N(V_L2_Cuotas),N(V_L2_Cuotas)&gt;0),IF((94-N(V_L2_Mes)+1)=N(V_L2_Gracia)+N(V_L2_Cuotas),IF((94-N(V_L2_Mes)+1)=1,N(V_L2_Monto),CT$286),PMT(N(V_L2_Tasa)/12,N(V_L2_Cuotas),-N(V_L2_Monto))-CU$284),0)*CU$9</f>
        <v>0</v>
      </c>
      <c r="CV285" s="48">
        <f>IF(AND((95-N(V_L2_Mes)+1)&gt;N(V_L2_Gracia),(95-N(V_L2_Mes)+1)&lt;=N(V_L2_Gracia)+N(V_L2_Cuotas),N(V_L2_Cuotas)&gt;0),IF((95-N(V_L2_Mes)+1)=N(V_L2_Gracia)+N(V_L2_Cuotas),IF((95-N(V_L2_Mes)+1)=1,N(V_L2_Monto),CU$286),PMT(N(V_L2_Tasa)/12,N(V_L2_Cuotas),-N(V_L2_Monto))-CV$284),0)*CV$9</f>
        <v>0</v>
      </c>
      <c r="CW285" s="48">
        <f>IF(AND((96-N(V_L2_Mes)+1)&gt;N(V_L2_Gracia),(96-N(V_L2_Mes)+1)&lt;=N(V_L2_Gracia)+N(V_L2_Cuotas),N(V_L2_Cuotas)&gt;0),IF((96-N(V_L2_Mes)+1)=N(V_L2_Gracia)+N(V_L2_Cuotas),IF((96-N(V_L2_Mes)+1)=1,N(V_L2_Monto),CV$286),PMT(N(V_L2_Tasa)/12,N(V_L2_Cuotas),-N(V_L2_Monto))-CW$284),0)*CW$9</f>
        <v>0</v>
      </c>
      <c r="CX285" s="48">
        <f>IF(AND((97-N(V_L2_Mes)+1)&gt;N(V_L2_Gracia),(97-N(V_L2_Mes)+1)&lt;=N(V_L2_Gracia)+N(V_L2_Cuotas),N(V_L2_Cuotas)&gt;0),IF((97-N(V_L2_Mes)+1)=N(V_L2_Gracia)+N(V_L2_Cuotas),IF((97-N(V_L2_Mes)+1)=1,N(V_L2_Monto),CW$286),PMT(N(V_L2_Tasa)/12,N(V_L2_Cuotas),-N(V_L2_Monto))-CX$284),0)*CX$9</f>
        <v>0</v>
      </c>
      <c r="CY285" s="48">
        <f>IF(AND((98-N(V_L2_Mes)+1)&gt;N(V_L2_Gracia),(98-N(V_L2_Mes)+1)&lt;=N(V_L2_Gracia)+N(V_L2_Cuotas),N(V_L2_Cuotas)&gt;0),IF((98-N(V_L2_Mes)+1)=N(V_L2_Gracia)+N(V_L2_Cuotas),IF((98-N(V_L2_Mes)+1)=1,N(V_L2_Monto),CX$286),PMT(N(V_L2_Tasa)/12,N(V_L2_Cuotas),-N(V_L2_Monto))-CY$284),0)*CY$9</f>
        <v>0</v>
      </c>
      <c r="CZ285" s="48">
        <f>IF(AND((99-N(V_L2_Mes)+1)&gt;N(V_L2_Gracia),(99-N(V_L2_Mes)+1)&lt;=N(V_L2_Gracia)+N(V_L2_Cuotas),N(V_L2_Cuotas)&gt;0),IF((99-N(V_L2_Mes)+1)=N(V_L2_Gracia)+N(V_L2_Cuotas),IF((99-N(V_L2_Mes)+1)=1,N(V_L2_Monto),CY$286),PMT(N(V_L2_Tasa)/12,N(V_L2_Cuotas),-N(V_L2_Monto))-CZ$284),0)*CZ$9</f>
        <v>0</v>
      </c>
      <c r="DA285" s="48">
        <f>IF(AND((100-N(V_L2_Mes)+1)&gt;N(V_L2_Gracia),(100-N(V_L2_Mes)+1)&lt;=N(V_L2_Gracia)+N(V_L2_Cuotas),N(V_L2_Cuotas)&gt;0),IF((100-N(V_L2_Mes)+1)=N(V_L2_Gracia)+N(V_L2_Cuotas),IF((100-N(V_L2_Mes)+1)=1,N(V_L2_Monto),CZ$286),PMT(N(V_L2_Tasa)/12,N(V_L2_Cuotas),-N(V_L2_Monto))-DA$284),0)*DA$9</f>
        <v>0</v>
      </c>
      <c r="DB285" s="48">
        <f>IF(AND((101-N(V_L2_Mes)+1)&gt;N(V_L2_Gracia),(101-N(V_L2_Mes)+1)&lt;=N(V_L2_Gracia)+N(V_L2_Cuotas),N(V_L2_Cuotas)&gt;0),IF((101-N(V_L2_Mes)+1)=N(V_L2_Gracia)+N(V_L2_Cuotas),IF((101-N(V_L2_Mes)+1)=1,N(V_L2_Monto),DA$286),PMT(N(V_L2_Tasa)/12,N(V_L2_Cuotas),-N(V_L2_Monto))-DB$284),0)*DB$9</f>
        <v>0</v>
      </c>
      <c r="DC285" s="48">
        <f>IF(AND((102-N(V_L2_Mes)+1)&gt;N(V_L2_Gracia),(102-N(V_L2_Mes)+1)&lt;=N(V_L2_Gracia)+N(V_L2_Cuotas),N(V_L2_Cuotas)&gt;0),IF((102-N(V_L2_Mes)+1)=N(V_L2_Gracia)+N(V_L2_Cuotas),IF((102-N(V_L2_Mes)+1)=1,N(V_L2_Monto),DB$286),PMT(N(V_L2_Tasa)/12,N(V_L2_Cuotas),-N(V_L2_Monto))-DC$284),0)*DC$9</f>
        <v>0</v>
      </c>
      <c r="DD285" s="48">
        <f>IF(AND((103-N(V_L2_Mes)+1)&gt;N(V_L2_Gracia),(103-N(V_L2_Mes)+1)&lt;=N(V_L2_Gracia)+N(V_L2_Cuotas),N(V_L2_Cuotas)&gt;0),IF((103-N(V_L2_Mes)+1)=N(V_L2_Gracia)+N(V_L2_Cuotas),IF((103-N(V_L2_Mes)+1)=1,N(V_L2_Monto),DC$286),PMT(N(V_L2_Tasa)/12,N(V_L2_Cuotas),-N(V_L2_Monto))-DD$284),0)*DD$9</f>
        <v>0</v>
      </c>
      <c r="DE285" s="48">
        <f>IF(AND((104-N(V_L2_Mes)+1)&gt;N(V_L2_Gracia),(104-N(V_L2_Mes)+1)&lt;=N(V_L2_Gracia)+N(V_L2_Cuotas),N(V_L2_Cuotas)&gt;0),IF((104-N(V_L2_Mes)+1)=N(V_L2_Gracia)+N(V_L2_Cuotas),IF((104-N(V_L2_Mes)+1)=1,N(V_L2_Monto),DD$286),PMT(N(V_L2_Tasa)/12,N(V_L2_Cuotas),-N(V_L2_Monto))-DE$284),0)*DE$9</f>
        <v>0</v>
      </c>
      <c r="DF285" s="48">
        <f>IF(AND((105-N(V_L2_Mes)+1)&gt;N(V_L2_Gracia),(105-N(V_L2_Mes)+1)&lt;=N(V_L2_Gracia)+N(V_L2_Cuotas),N(V_L2_Cuotas)&gt;0),IF((105-N(V_L2_Mes)+1)=N(V_L2_Gracia)+N(V_L2_Cuotas),IF((105-N(V_L2_Mes)+1)=1,N(V_L2_Monto),DE$286),PMT(N(V_L2_Tasa)/12,N(V_L2_Cuotas),-N(V_L2_Monto))-DF$284),0)*DF$9</f>
        <v>0</v>
      </c>
      <c r="DG285" s="48">
        <f>IF(AND((106-N(V_L2_Mes)+1)&gt;N(V_L2_Gracia),(106-N(V_L2_Mes)+1)&lt;=N(V_L2_Gracia)+N(V_L2_Cuotas),N(V_L2_Cuotas)&gt;0),IF((106-N(V_L2_Mes)+1)=N(V_L2_Gracia)+N(V_L2_Cuotas),IF((106-N(V_L2_Mes)+1)=1,N(V_L2_Monto),DF$286),PMT(N(V_L2_Tasa)/12,N(V_L2_Cuotas),-N(V_L2_Monto))-DG$284),0)*DG$9</f>
        <v>0</v>
      </c>
      <c r="DH285" s="48">
        <f>IF(AND((107-N(V_L2_Mes)+1)&gt;N(V_L2_Gracia),(107-N(V_L2_Mes)+1)&lt;=N(V_L2_Gracia)+N(V_L2_Cuotas),N(V_L2_Cuotas)&gt;0),IF((107-N(V_L2_Mes)+1)=N(V_L2_Gracia)+N(V_L2_Cuotas),IF((107-N(V_L2_Mes)+1)=1,N(V_L2_Monto),DG$286),PMT(N(V_L2_Tasa)/12,N(V_L2_Cuotas),-N(V_L2_Monto))-DH$284),0)*DH$9</f>
        <v>0</v>
      </c>
      <c r="DI285" s="48">
        <f>IF(AND((108-N(V_L2_Mes)+1)&gt;N(V_L2_Gracia),(108-N(V_L2_Mes)+1)&lt;=N(V_L2_Gracia)+N(V_L2_Cuotas),N(V_L2_Cuotas)&gt;0),IF((108-N(V_L2_Mes)+1)=N(V_L2_Gracia)+N(V_L2_Cuotas),IF((108-N(V_L2_Mes)+1)=1,N(V_L2_Monto),DH$286),PMT(N(V_L2_Tasa)/12,N(V_L2_Cuotas),-N(V_L2_Monto))-DI$284),0)*DI$9</f>
        <v>0</v>
      </c>
      <c r="DJ285" s="48">
        <f>IF(AND((109-N(V_L2_Mes)+1)&gt;N(V_L2_Gracia),(109-N(V_L2_Mes)+1)&lt;=N(V_L2_Gracia)+N(V_L2_Cuotas),N(V_L2_Cuotas)&gt;0),IF((109-N(V_L2_Mes)+1)=N(V_L2_Gracia)+N(V_L2_Cuotas),IF((109-N(V_L2_Mes)+1)=1,N(V_L2_Monto),DI$286),PMT(N(V_L2_Tasa)/12,N(V_L2_Cuotas),-N(V_L2_Monto))-DJ$284),0)*DJ$9</f>
        <v>0</v>
      </c>
      <c r="DK285" s="48">
        <f>IF(AND((110-N(V_L2_Mes)+1)&gt;N(V_L2_Gracia),(110-N(V_L2_Mes)+1)&lt;=N(V_L2_Gracia)+N(V_L2_Cuotas),N(V_L2_Cuotas)&gt;0),IF((110-N(V_L2_Mes)+1)=N(V_L2_Gracia)+N(V_L2_Cuotas),IF((110-N(V_L2_Mes)+1)=1,N(V_L2_Monto),DJ$286),PMT(N(V_L2_Tasa)/12,N(V_L2_Cuotas),-N(V_L2_Monto))-DK$284),0)*DK$9</f>
        <v>0</v>
      </c>
      <c r="DL285" s="48">
        <f>IF(AND((111-N(V_L2_Mes)+1)&gt;N(V_L2_Gracia),(111-N(V_L2_Mes)+1)&lt;=N(V_L2_Gracia)+N(V_L2_Cuotas),N(V_L2_Cuotas)&gt;0),IF((111-N(V_L2_Mes)+1)=N(V_L2_Gracia)+N(V_L2_Cuotas),IF((111-N(V_L2_Mes)+1)=1,N(V_L2_Monto),DK$286),PMT(N(V_L2_Tasa)/12,N(V_L2_Cuotas),-N(V_L2_Monto))-DL$284),0)*DL$9</f>
        <v>0</v>
      </c>
      <c r="DM285" s="48">
        <f>IF(AND((112-N(V_L2_Mes)+1)&gt;N(V_L2_Gracia),(112-N(V_L2_Mes)+1)&lt;=N(V_L2_Gracia)+N(V_L2_Cuotas),N(V_L2_Cuotas)&gt;0),IF((112-N(V_L2_Mes)+1)=N(V_L2_Gracia)+N(V_L2_Cuotas),IF((112-N(V_L2_Mes)+1)=1,N(V_L2_Monto),DL$286),PMT(N(V_L2_Tasa)/12,N(V_L2_Cuotas),-N(V_L2_Monto))-DM$284),0)*DM$9</f>
        <v>0</v>
      </c>
      <c r="DN285" s="48">
        <f>IF(AND((113-N(V_L2_Mes)+1)&gt;N(V_L2_Gracia),(113-N(V_L2_Mes)+1)&lt;=N(V_L2_Gracia)+N(V_L2_Cuotas),N(V_L2_Cuotas)&gt;0),IF((113-N(V_L2_Mes)+1)=N(V_L2_Gracia)+N(V_L2_Cuotas),IF((113-N(V_L2_Mes)+1)=1,N(V_L2_Monto),DM$286),PMT(N(V_L2_Tasa)/12,N(V_L2_Cuotas),-N(V_L2_Monto))-DN$284),0)*DN$9</f>
        <v>0</v>
      </c>
      <c r="DO285" s="48">
        <f>IF(AND((114-N(V_L2_Mes)+1)&gt;N(V_L2_Gracia),(114-N(V_L2_Mes)+1)&lt;=N(V_L2_Gracia)+N(V_L2_Cuotas),N(V_L2_Cuotas)&gt;0),IF((114-N(V_L2_Mes)+1)=N(V_L2_Gracia)+N(V_L2_Cuotas),IF((114-N(V_L2_Mes)+1)=1,N(V_L2_Monto),DN$286),PMT(N(V_L2_Tasa)/12,N(V_L2_Cuotas),-N(V_L2_Monto))-DO$284),0)*DO$9</f>
        <v>0</v>
      </c>
      <c r="DP285" s="48">
        <f>IF(AND((115-N(V_L2_Mes)+1)&gt;N(V_L2_Gracia),(115-N(V_L2_Mes)+1)&lt;=N(V_L2_Gracia)+N(V_L2_Cuotas),N(V_L2_Cuotas)&gt;0),IF((115-N(V_L2_Mes)+1)=N(V_L2_Gracia)+N(V_L2_Cuotas),IF((115-N(V_L2_Mes)+1)=1,N(V_L2_Monto),DO$286),PMT(N(V_L2_Tasa)/12,N(V_L2_Cuotas),-N(V_L2_Monto))-DP$284),0)*DP$9</f>
        <v>0</v>
      </c>
      <c r="DQ285" s="48">
        <f>IF(AND((116-N(V_L2_Mes)+1)&gt;N(V_L2_Gracia),(116-N(V_L2_Mes)+1)&lt;=N(V_L2_Gracia)+N(V_L2_Cuotas),N(V_L2_Cuotas)&gt;0),IF((116-N(V_L2_Mes)+1)=N(V_L2_Gracia)+N(V_L2_Cuotas),IF((116-N(V_L2_Mes)+1)=1,N(V_L2_Monto),DP$286),PMT(N(V_L2_Tasa)/12,N(V_L2_Cuotas),-N(V_L2_Monto))-DQ$284),0)*DQ$9</f>
        <v>0</v>
      </c>
      <c r="DR285" s="48">
        <f>IF(AND((117-N(V_L2_Mes)+1)&gt;N(V_L2_Gracia),(117-N(V_L2_Mes)+1)&lt;=N(V_L2_Gracia)+N(V_L2_Cuotas),N(V_L2_Cuotas)&gt;0),IF((117-N(V_L2_Mes)+1)=N(V_L2_Gracia)+N(V_L2_Cuotas),IF((117-N(V_L2_Mes)+1)=1,N(V_L2_Monto),DQ$286),PMT(N(V_L2_Tasa)/12,N(V_L2_Cuotas),-N(V_L2_Monto))-DR$284),0)*DR$9</f>
        <v>0</v>
      </c>
      <c r="DS285" s="48">
        <f>IF(AND((118-N(V_L2_Mes)+1)&gt;N(V_L2_Gracia),(118-N(V_L2_Mes)+1)&lt;=N(V_L2_Gracia)+N(V_L2_Cuotas),N(V_L2_Cuotas)&gt;0),IF((118-N(V_L2_Mes)+1)=N(V_L2_Gracia)+N(V_L2_Cuotas),IF((118-N(V_L2_Mes)+1)=1,N(V_L2_Monto),DR$286),PMT(N(V_L2_Tasa)/12,N(V_L2_Cuotas),-N(V_L2_Monto))-DS$284),0)*DS$9</f>
        <v>0</v>
      </c>
      <c r="DT285" s="48">
        <f>IF(AND((119-N(V_L2_Mes)+1)&gt;N(V_L2_Gracia),(119-N(V_L2_Mes)+1)&lt;=N(V_L2_Gracia)+N(V_L2_Cuotas),N(V_L2_Cuotas)&gt;0),IF((119-N(V_L2_Mes)+1)=N(V_L2_Gracia)+N(V_L2_Cuotas),IF((119-N(V_L2_Mes)+1)=1,N(V_L2_Monto),DS$286),PMT(N(V_L2_Tasa)/12,N(V_L2_Cuotas),-N(V_L2_Monto))-DT$284),0)*DT$9</f>
        <v>0</v>
      </c>
      <c r="DU285" s="48">
        <f>IF(AND((120-N(V_L2_Mes)+1)&gt;N(V_L2_Gracia),(120-N(V_L2_Mes)+1)&lt;=N(V_L2_Gracia)+N(V_L2_Cuotas),N(V_L2_Cuotas)&gt;0),IF((120-N(V_L2_Mes)+1)=N(V_L2_Gracia)+N(V_L2_Cuotas),IF((120-N(V_L2_Mes)+1)=1,N(V_L2_Monto),DT$286),PMT(N(V_L2_Tasa)/12,N(V_L2_Cuotas),-N(V_L2_Monto))-DU$284),0)*DU$9</f>
        <v>0</v>
      </c>
      <c r="DV285" s="48">
        <f>IF(AND((121-N(V_L2_Mes)+1)&gt;N(V_L2_Gracia),(121-N(V_L2_Mes)+1)&lt;=N(V_L2_Gracia)+N(V_L2_Cuotas),N(V_L2_Cuotas)&gt;0),IF((121-N(V_L2_Mes)+1)=N(V_L2_Gracia)+N(V_L2_Cuotas),IF((121-N(V_L2_Mes)+1)=1,N(V_L2_Monto),DU$286),PMT(N(V_L2_Tasa)/12,N(V_L2_Cuotas),-N(V_L2_Monto))-DV$284),0)*DV$9</f>
        <v>0</v>
      </c>
      <c r="DW285" s="48">
        <f>IF(AND((122-N(V_L2_Mes)+1)&gt;N(V_L2_Gracia),(122-N(V_L2_Mes)+1)&lt;=N(V_L2_Gracia)+N(V_L2_Cuotas),N(V_L2_Cuotas)&gt;0),IF((122-N(V_L2_Mes)+1)=N(V_L2_Gracia)+N(V_L2_Cuotas),IF((122-N(V_L2_Mes)+1)=1,N(V_L2_Monto),DV$286),PMT(N(V_L2_Tasa)/12,N(V_L2_Cuotas),-N(V_L2_Monto))-DW$284),0)*DW$9</f>
        <v>0</v>
      </c>
      <c r="DX285" s="48">
        <f>IF(AND((123-N(V_L2_Mes)+1)&gt;N(V_L2_Gracia),(123-N(V_L2_Mes)+1)&lt;=N(V_L2_Gracia)+N(V_L2_Cuotas),N(V_L2_Cuotas)&gt;0),IF((123-N(V_L2_Mes)+1)=N(V_L2_Gracia)+N(V_L2_Cuotas),IF((123-N(V_L2_Mes)+1)=1,N(V_L2_Monto),DW$286),PMT(N(V_L2_Tasa)/12,N(V_L2_Cuotas),-N(V_L2_Monto))-DX$284),0)*DX$9</f>
        <v>0</v>
      </c>
      <c r="DY285" s="48">
        <f>IF(AND((124-N(V_L2_Mes)+1)&gt;N(V_L2_Gracia),(124-N(V_L2_Mes)+1)&lt;=N(V_L2_Gracia)+N(V_L2_Cuotas),N(V_L2_Cuotas)&gt;0),IF((124-N(V_L2_Mes)+1)=N(V_L2_Gracia)+N(V_L2_Cuotas),IF((124-N(V_L2_Mes)+1)=1,N(V_L2_Monto),DX$286),PMT(N(V_L2_Tasa)/12,N(V_L2_Cuotas),-N(V_L2_Monto))-DY$284),0)*DY$9</f>
        <v>0</v>
      </c>
      <c r="DZ285" s="48">
        <f>IF(AND((125-N(V_L2_Mes)+1)&gt;N(V_L2_Gracia),(125-N(V_L2_Mes)+1)&lt;=N(V_L2_Gracia)+N(V_L2_Cuotas),N(V_L2_Cuotas)&gt;0),IF((125-N(V_L2_Mes)+1)=N(V_L2_Gracia)+N(V_L2_Cuotas),IF((125-N(V_L2_Mes)+1)=1,N(V_L2_Monto),DY$286),PMT(N(V_L2_Tasa)/12,N(V_L2_Cuotas),-N(V_L2_Monto))-DZ$284),0)*DZ$9</f>
        <v>0</v>
      </c>
      <c r="EA285" s="48">
        <f>IF(AND((126-N(V_L2_Mes)+1)&gt;N(V_L2_Gracia),(126-N(V_L2_Mes)+1)&lt;=N(V_L2_Gracia)+N(V_L2_Cuotas),N(V_L2_Cuotas)&gt;0),IF((126-N(V_L2_Mes)+1)=N(V_L2_Gracia)+N(V_L2_Cuotas),IF((126-N(V_L2_Mes)+1)=1,N(V_L2_Monto),DZ$286),PMT(N(V_L2_Tasa)/12,N(V_L2_Cuotas),-N(V_L2_Monto))-EA$284),0)*EA$9</f>
        <v>0</v>
      </c>
      <c r="EB285" s="48">
        <f>IF(AND((127-N(V_L2_Mes)+1)&gt;N(V_L2_Gracia),(127-N(V_L2_Mes)+1)&lt;=N(V_L2_Gracia)+N(V_L2_Cuotas),N(V_L2_Cuotas)&gt;0),IF((127-N(V_L2_Mes)+1)=N(V_L2_Gracia)+N(V_L2_Cuotas),IF((127-N(V_L2_Mes)+1)=1,N(V_L2_Monto),EA$286),PMT(N(V_L2_Tasa)/12,N(V_L2_Cuotas),-N(V_L2_Monto))-EB$284),0)*EB$9</f>
        <v>0</v>
      </c>
      <c r="EC285" s="48">
        <f>IF(AND((128-N(V_L2_Mes)+1)&gt;N(V_L2_Gracia),(128-N(V_L2_Mes)+1)&lt;=N(V_L2_Gracia)+N(V_L2_Cuotas),N(V_L2_Cuotas)&gt;0),IF((128-N(V_L2_Mes)+1)=N(V_L2_Gracia)+N(V_L2_Cuotas),IF((128-N(V_L2_Mes)+1)=1,N(V_L2_Monto),EB$286),PMT(N(V_L2_Tasa)/12,N(V_L2_Cuotas),-N(V_L2_Monto))-EC$284),0)*EC$9</f>
        <v>0</v>
      </c>
      <c r="ED285" s="48">
        <f>IF(AND((129-N(V_L2_Mes)+1)&gt;N(V_L2_Gracia),(129-N(V_L2_Mes)+1)&lt;=N(V_L2_Gracia)+N(V_L2_Cuotas),N(V_L2_Cuotas)&gt;0),IF((129-N(V_L2_Mes)+1)=N(V_L2_Gracia)+N(V_L2_Cuotas),IF((129-N(V_L2_Mes)+1)=1,N(V_L2_Monto),EC$286),PMT(N(V_L2_Tasa)/12,N(V_L2_Cuotas),-N(V_L2_Monto))-ED$284),0)*ED$9</f>
        <v>0</v>
      </c>
      <c r="EE285" s="48">
        <f>IF(AND((130-N(V_L2_Mes)+1)&gt;N(V_L2_Gracia),(130-N(V_L2_Mes)+1)&lt;=N(V_L2_Gracia)+N(V_L2_Cuotas),N(V_L2_Cuotas)&gt;0),IF((130-N(V_L2_Mes)+1)=N(V_L2_Gracia)+N(V_L2_Cuotas),IF((130-N(V_L2_Mes)+1)=1,N(V_L2_Monto),ED$286),PMT(N(V_L2_Tasa)/12,N(V_L2_Cuotas),-N(V_L2_Monto))-EE$284),0)*EE$9</f>
        <v>0</v>
      </c>
      <c r="EF285" s="48">
        <f>IF(AND((131-N(V_L2_Mes)+1)&gt;N(V_L2_Gracia),(131-N(V_L2_Mes)+1)&lt;=N(V_L2_Gracia)+N(V_L2_Cuotas),N(V_L2_Cuotas)&gt;0),IF((131-N(V_L2_Mes)+1)=N(V_L2_Gracia)+N(V_L2_Cuotas),IF((131-N(V_L2_Mes)+1)=1,N(V_L2_Monto),EE$286),PMT(N(V_L2_Tasa)/12,N(V_L2_Cuotas),-N(V_L2_Monto))-EF$284),0)*EF$9</f>
        <v>0</v>
      </c>
      <c r="EG285" s="48">
        <f>IF(AND((132-N(V_L2_Mes)+1)&gt;N(V_L2_Gracia),(132-N(V_L2_Mes)+1)&lt;=N(V_L2_Gracia)+N(V_L2_Cuotas),N(V_L2_Cuotas)&gt;0),IF((132-N(V_L2_Mes)+1)=N(V_L2_Gracia)+N(V_L2_Cuotas),IF((132-N(V_L2_Mes)+1)=1,N(V_L2_Monto),EF$286),PMT(N(V_L2_Tasa)/12,N(V_L2_Cuotas),-N(V_L2_Monto))-EG$284),0)*EG$9</f>
        <v>0</v>
      </c>
      <c r="EH285" s="48">
        <f>IF(AND((133-N(V_L2_Mes)+1)&gt;N(V_L2_Gracia),(133-N(V_L2_Mes)+1)&lt;=N(V_L2_Gracia)+N(V_L2_Cuotas),N(V_L2_Cuotas)&gt;0),IF((133-N(V_L2_Mes)+1)=N(V_L2_Gracia)+N(V_L2_Cuotas),IF((133-N(V_L2_Mes)+1)=1,N(V_L2_Monto),EG$286),PMT(N(V_L2_Tasa)/12,N(V_L2_Cuotas),-N(V_L2_Monto))-EH$284),0)*EH$9</f>
        <v>0</v>
      </c>
      <c r="EI285" s="48">
        <f>IF(AND((134-N(V_L2_Mes)+1)&gt;N(V_L2_Gracia),(134-N(V_L2_Mes)+1)&lt;=N(V_L2_Gracia)+N(V_L2_Cuotas),N(V_L2_Cuotas)&gt;0),IF((134-N(V_L2_Mes)+1)=N(V_L2_Gracia)+N(V_L2_Cuotas),IF((134-N(V_L2_Mes)+1)=1,N(V_L2_Monto),EH$286),PMT(N(V_L2_Tasa)/12,N(V_L2_Cuotas),-N(V_L2_Monto))-EI$284),0)*EI$9</f>
        <v>0</v>
      </c>
      <c r="EJ285" s="48">
        <f>IF(AND((135-N(V_L2_Mes)+1)&gt;N(V_L2_Gracia),(135-N(V_L2_Mes)+1)&lt;=N(V_L2_Gracia)+N(V_L2_Cuotas),N(V_L2_Cuotas)&gt;0),IF((135-N(V_L2_Mes)+1)=N(V_L2_Gracia)+N(V_L2_Cuotas),IF((135-N(V_L2_Mes)+1)=1,N(V_L2_Monto),EI$286),PMT(N(V_L2_Tasa)/12,N(V_L2_Cuotas),-N(V_L2_Monto))-EJ$284),0)*EJ$9</f>
        <v>0</v>
      </c>
      <c r="EK285" s="48">
        <f>IF(AND((136-N(V_L2_Mes)+1)&gt;N(V_L2_Gracia),(136-N(V_L2_Mes)+1)&lt;=N(V_L2_Gracia)+N(V_L2_Cuotas),N(V_L2_Cuotas)&gt;0),IF((136-N(V_L2_Mes)+1)=N(V_L2_Gracia)+N(V_L2_Cuotas),IF((136-N(V_L2_Mes)+1)=1,N(V_L2_Monto),EJ$286),PMT(N(V_L2_Tasa)/12,N(V_L2_Cuotas),-N(V_L2_Monto))-EK$284),0)*EK$9</f>
        <v>0</v>
      </c>
      <c r="EL285" s="48">
        <f>IF(AND((137-N(V_L2_Mes)+1)&gt;N(V_L2_Gracia),(137-N(V_L2_Mes)+1)&lt;=N(V_L2_Gracia)+N(V_L2_Cuotas),N(V_L2_Cuotas)&gt;0),IF((137-N(V_L2_Mes)+1)=N(V_L2_Gracia)+N(V_L2_Cuotas),IF((137-N(V_L2_Mes)+1)=1,N(V_L2_Monto),EK$286),PMT(N(V_L2_Tasa)/12,N(V_L2_Cuotas),-N(V_L2_Monto))-EL$284),0)*EL$9</f>
        <v>0</v>
      </c>
      <c r="EM285" s="48">
        <f>IF(AND((138-N(V_L2_Mes)+1)&gt;N(V_L2_Gracia),(138-N(V_L2_Mes)+1)&lt;=N(V_L2_Gracia)+N(V_L2_Cuotas),N(V_L2_Cuotas)&gt;0),IF((138-N(V_L2_Mes)+1)=N(V_L2_Gracia)+N(V_L2_Cuotas),IF((138-N(V_L2_Mes)+1)=1,N(V_L2_Monto),EL$286),PMT(N(V_L2_Tasa)/12,N(V_L2_Cuotas),-N(V_L2_Monto))-EM$284),0)*EM$9</f>
        <v>0</v>
      </c>
      <c r="EN285" s="48">
        <f>IF(AND((139-N(V_L2_Mes)+1)&gt;N(V_L2_Gracia),(139-N(V_L2_Mes)+1)&lt;=N(V_L2_Gracia)+N(V_L2_Cuotas),N(V_L2_Cuotas)&gt;0),IF((139-N(V_L2_Mes)+1)=N(V_L2_Gracia)+N(V_L2_Cuotas),IF((139-N(V_L2_Mes)+1)=1,N(V_L2_Monto),EM$286),PMT(N(V_L2_Tasa)/12,N(V_L2_Cuotas),-N(V_L2_Monto))-EN$284),0)*EN$9</f>
        <v>0</v>
      </c>
      <c r="EO285" s="48">
        <f>IF(AND((140-N(V_L2_Mes)+1)&gt;N(V_L2_Gracia),(140-N(V_L2_Mes)+1)&lt;=N(V_L2_Gracia)+N(V_L2_Cuotas),N(V_L2_Cuotas)&gt;0),IF((140-N(V_L2_Mes)+1)=N(V_L2_Gracia)+N(V_L2_Cuotas),IF((140-N(V_L2_Mes)+1)=1,N(V_L2_Monto),EN$286),PMT(N(V_L2_Tasa)/12,N(V_L2_Cuotas),-N(V_L2_Monto))-EO$284),0)*EO$9</f>
        <v>0</v>
      </c>
      <c r="EP285" s="48">
        <f>IF(AND((141-N(V_L2_Mes)+1)&gt;N(V_L2_Gracia),(141-N(V_L2_Mes)+1)&lt;=N(V_L2_Gracia)+N(V_L2_Cuotas),N(V_L2_Cuotas)&gt;0),IF((141-N(V_L2_Mes)+1)=N(V_L2_Gracia)+N(V_L2_Cuotas),IF((141-N(V_L2_Mes)+1)=1,N(V_L2_Monto),EO$286),PMT(N(V_L2_Tasa)/12,N(V_L2_Cuotas),-N(V_L2_Monto))-EP$284),0)*EP$9</f>
        <v>0</v>
      </c>
      <c r="EQ285" s="48">
        <f>IF(AND((142-N(V_L2_Mes)+1)&gt;N(V_L2_Gracia),(142-N(V_L2_Mes)+1)&lt;=N(V_L2_Gracia)+N(V_L2_Cuotas),N(V_L2_Cuotas)&gt;0),IF((142-N(V_L2_Mes)+1)=N(V_L2_Gracia)+N(V_L2_Cuotas),IF((142-N(V_L2_Mes)+1)=1,N(V_L2_Monto),EP$286),PMT(N(V_L2_Tasa)/12,N(V_L2_Cuotas),-N(V_L2_Monto))-EQ$284),0)*EQ$9</f>
        <v>0</v>
      </c>
      <c r="ER285" s="48">
        <f>IF(AND((143-N(V_L2_Mes)+1)&gt;N(V_L2_Gracia),(143-N(V_L2_Mes)+1)&lt;=N(V_L2_Gracia)+N(V_L2_Cuotas),N(V_L2_Cuotas)&gt;0),IF((143-N(V_L2_Mes)+1)=N(V_L2_Gracia)+N(V_L2_Cuotas),IF((143-N(V_L2_Mes)+1)=1,N(V_L2_Monto),EQ$286),PMT(N(V_L2_Tasa)/12,N(V_L2_Cuotas),-N(V_L2_Monto))-ER$284),0)*ER$9</f>
        <v>0</v>
      </c>
      <c r="ES285" s="48">
        <f>IF(AND((144-N(V_L2_Mes)+1)&gt;N(V_L2_Gracia),(144-N(V_L2_Mes)+1)&lt;=N(V_L2_Gracia)+N(V_L2_Cuotas),N(V_L2_Cuotas)&gt;0),IF((144-N(V_L2_Mes)+1)=N(V_L2_Gracia)+N(V_L2_Cuotas),IF((144-N(V_L2_Mes)+1)=1,N(V_L2_Monto),ER$286),PMT(N(V_L2_Tasa)/12,N(V_L2_Cuotas),-N(V_L2_Monto))-ES$284),0)*ES$9</f>
        <v>0</v>
      </c>
    </row>
    <row r="286" spans="1:149" x14ac:dyDescent="0.3">
      <c r="A286" s="14" t="s">
        <v>1336</v>
      </c>
      <c r="B286" s="18" t="s">
        <v>1157</v>
      </c>
      <c r="C286" s="18" t="s">
        <v>439</v>
      </c>
      <c r="E286" s="54">
        <f>INDEX(F286:ES286,1,MIN(144,Fin))</f>
        <v>0</v>
      </c>
      <c r="F286" s="48">
        <f>IF((1-N(V_L2_Mes)+1)&lt;1,0,IF((1-N(V_L2_Mes)+1)=1,N(V_L2_Monto),0)-F$285)</f>
        <v>0</v>
      </c>
      <c r="G286" s="48">
        <f>IF((2-N(V_L2_Mes)+1)&lt;1,0,IF((2-N(V_L2_Mes)+1)=1,N(V_L2_Monto),F$286)-G$285)</f>
        <v>0</v>
      </c>
      <c r="H286" s="48">
        <f>IF((3-N(V_L2_Mes)+1)&lt;1,0,IF((3-N(V_L2_Mes)+1)=1,N(V_L2_Monto),G$286)-H$285)</f>
        <v>0</v>
      </c>
      <c r="I286" s="48">
        <f>IF((4-N(V_L2_Mes)+1)&lt;1,0,IF((4-N(V_L2_Mes)+1)=1,N(V_L2_Monto),H$286)-I$285)</f>
        <v>0</v>
      </c>
      <c r="J286" s="48">
        <f>IF((5-N(V_L2_Mes)+1)&lt;1,0,IF((5-N(V_L2_Mes)+1)=1,N(V_L2_Monto),I$286)-J$285)</f>
        <v>0</v>
      </c>
      <c r="K286" s="48">
        <f>IF((6-N(V_L2_Mes)+1)&lt;1,0,IF((6-N(V_L2_Mes)+1)=1,N(V_L2_Monto),J$286)-K$285)</f>
        <v>0</v>
      </c>
      <c r="L286" s="48">
        <f>IF((7-N(V_L2_Mes)+1)&lt;1,0,IF((7-N(V_L2_Mes)+1)=1,N(V_L2_Monto),K$286)-L$285)</f>
        <v>0</v>
      </c>
      <c r="M286" s="48">
        <f>IF((8-N(V_L2_Mes)+1)&lt;1,0,IF((8-N(V_L2_Mes)+1)=1,N(V_L2_Monto),L$286)-M$285)</f>
        <v>0</v>
      </c>
      <c r="N286" s="48">
        <f>IF((9-N(V_L2_Mes)+1)&lt;1,0,IF((9-N(V_L2_Mes)+1)=1,N(V_L2_Monto),M$286)-N$285)</f>
        <v>0</v>
      </c>
      <c r="O286" s="48">
        <f>IF((10-N(V_L2_Mes)+1)&lt;1,0,IF((10-N(V_L2_Mes)+1)=1,N(V_L2_Monto),N$286)-O$285)</f>
        <v>0</v>
      </c>
      <c r="P286" s="48">
        <f>IF((11-N(V_L2_Mes)+1)&lt;1,0,IF((11-N(V_L2_Mes)+1)=1,N(V_L2_Monto),O$286)-P$285)</f>
        <v>0</v>
      </c>
      <c r="Q286" s="48">
        <f>IF((12-N(V_L2_Mes)+1)&lt;1,0,IF((12-N(V_L2_Mes)+1)=1,N(V_L2_Monto),P$286)-Q$285)</f>
        <v>0</v>
      </c>
      <c r="R286" s="48">
        <f>IF((13-N(V_L2_Mes)+1)&lt;1,0,IF((13-N(V_L2_Mes)+1)=1,N(V_L2_Monto),Q$286)-R$285)</f>
        <v>0</v>
      </c>
      <c r="S286" s="48">
        <f>IF((14-N(V_L2_Mes)+1)&lt;1,0,IF((14-N(V_L2_Mes)+1)=1,N(V_L2_Monto),R$286)-S$285)</f>
        <v>0</v>
      </c>
      <c r="T286" s="48">
        <f>IF((15-N(V_L2_Mes)+1)&lt;1,0,IF((15-N(V_L2_Mes)+1)=1,N(V_L2_Monto),S$286)-T$285)</f>
        <v>0</v>
      </c>
      <c r="U286" s="48">
        <f>IF((16-N(V_L2_Mes)+1)&lt;1,0,IF((16-N(V_L2_Mes)+1)=1,N(V_L2_Monto),T$286)-U$285)</f>
        <v>0</v>
      </c>
      <c r="V286" s="48">
        <f>IF((17-N(V_L2_Mes)+1)&lt;1,0,IF((17-N(V_L2_Mes)+1)=1,N(V_L2_Monto),U$286)-V$285)</f>
        <v>0</v>
      </c>
      <c r="W286" s="48">
        <f>IF((18-N(V_L2_Mes)+1)&lt;1,0,IF((18-N(V_L2_Mes)+1)=1,N(V_L2_Monto),V$286)-W$285)</f>
        <v>0</v>
      </c>
      <c r="X286" s="48">
        <f>IF((19-N(V_L2_Mes)+1)&lt;1,0,IF((19-N(V_L2_Mes)+1)=1,N(V_L2_Monto),W$286)-X$285)</f>
        <v>0</v>
      </c>
      <c r="Y286" s="48">
        <f>IF((20-N(V_L2_Mes)+1)&lt;1,0,IF((20-N(V_L2_Mes)+1)=1,N(V_L2_Monto),X$286)-Y$285)</f>
        <v>0</v>
      </c>
      <c r="Z286" s="48">
        <f>IF((21-N(V_L2_Mes)+1)&lt;1,0,IF((21-N(V_L2_Mes)+1)=1,N(V_L2_Monto),Y$286)-Z$285)</f>
        <v>0</v>
      </c>
      <c r="AA286" s="48">
        <f>IF((22-N(V_L2_Mes)+1)&lt;1,0,IF((22-N(V_L2_Mes)+1)=1,N(V_L2_Monto),Z$286)-AA$285)</f>
        <v>0</v>
      </c>
      <c r="AB286" s="48">
        <f>IF((23-N(V_L2_Mes)+1)&lt;1,0,IF((23-N(V_L2_Mes)+1)=1,N(V_L2_Monto),AA$286)-AB$285)</f>
        <v>0</v>
      </c>
      <c r="AC286" s="48">
        <f>IF((24-N(V_L2_Mes)+1)&lt;1,0,IF((24-N(V_L2_Mes)+1)=1,N(V_L2_Monto),AB$286)-AC$285)</f>
        <v>0</v>
      </c>
      <c r="AD286" s="48">
        <f>IF((25-N(V_L2_Mes)+1)&lt;1,0,IF((25-N(V_L2_Mes)+1)=1,N(V_L2_Monto),AC$286)-AD$285)</f>
        <v>0</v>
      </c>
      <c r="AE286" s="48">
        <f>IF((26-N(V_L2_Mes)+1)&lt;1,0,IF((26-N(V_L2_Mes)+1)=1,N(V_L2_Monto),AD$286)-AE$285)</f>
        <v>0</v>
      </c>
      <c r="AF286" s="48">
        <f>IF((27-N(V_L2_Mes)+1)&lt;1,0,IF((27-N(V_L2_Mes)+1)=1,N(V_L2_Monto),AE$286)-AF$285)</f>
        <v>0</v>
      </c>
      <c r="AG286" s="48">
        <f>IF((28-N(V_L2_Mes)+1)&lt;1,0,IF((28-N(V_L2_Mes)+1)=1,N(V_L2_Monto),AF$286)-AG$285)</f>
        <v>0</v>
      </c>
      <c r="AH286" s="48">
        <f>IF((29-N(V_L2_Mes)+1)&lt;1,0,IF((29-N(V_L2_Mes)+1)=1,N(V_L2_Monto),AG$286)-AH$285)</f>
        <v>0</v>
      </c>
      <c r="AI286" s="48">
        <f>IF((30-N(V_L2_Mes)+1)&lt;1,0,IF((30-N(V_L2_Mes)+1)=1,N(V_L2_Monto),AH$286)-AI$285)</f>
        <v>0</v>
      </c>
      <c r="AJ286" s="48">
        <f>IF((31-N(V_L2_Mes)+1)&lt;1,0,IF((31-N(V_L2_Mes)+1)=1,N(V_L2_Monto),AI$286)-AJ$285)</f>
        <v>0</v>
      </c>
      <c r="AK286" s="48">
        <f>IF((32-N(V_L2_Mes)+1)&lt;1,0,IF((32-N(V_L2_Mes)+1)=1,N(V_L2_Monto),AJ$286)-AK$285)</f>
        <v>0</v>
      </c>
      <c r="AL286" s="48">
        <f>IF((33-N(V_L2_Mes)+1)&lt;1,0,IF((33-N(V_L2_Mes)+1)=1,N(V_L2_Monto),AK$286)-AL$285)</f>
        <v>0</v>
      </c>
      <c r="AM286" s="48">
        <f>IF((34-N(V_L2_Mes)+1)&lt;1,0,IF((34-N(V_L2_Mes)+1)=1,N(V_L2_Monto),AL$286)-AM$285)</f>
        <v>0</v>
      </c>
      <c r="AN286" s="48">
        <f>IF((35-N(V_L2_Mes)+1)&lt;1,0,IF((35-N(V_L2_Mes)+1)=1,N(V_L2_Monto),AM$286)-AN$285)</f>
        <v>0</v>
      </c>
      <c r="AO286" s="48">
        <f>IF((36-N(V_L2_Mes)+1)&lt;1,0,IF((36-N(V_L2_Mes)+1)=1,N(V_L2_Monto),AN$286)-AO$285)</f>
        <v>0</v>
      </c>
      <c r="AP286" s="48">
        <f>IF((37-N(V_L2_Mes)+1)&lt;1,0,IF((37-N(V_L2_Mes)+1)=1,N(V_L2_Monto),AO$286)-AP$285)</f>
        <v>0</v>
      </c>
      <c r="AQ286" s="48">
        <f>IF((38-N(V_L2_Mes)+1)&lt;1,0,IF((38-N(V_L2_Mes)+1)=1,N(V_L2_Monto),AP$286)-AQ$285)</f>
        <v>0</v>
      </c>
      <c r="AR286" s="48">
        <f>IF((39-N(V_L2_Mes)+1)&lt;1,0,IF((39-N(V_L2_Mes)+1)=1,N(V_L2_Monto),AQ$286)-AR$285)</f>
        <v>0</v>
      </c>
      <c r="AS286" s="48">
        <f>IF((40-N(V_L2_Mes)+1)&lt;1,0,IF((40-N(V_L2_Mes)+1)=1,N(V_L2_Monto),AR$286)-AS$285)</f>
        <v>0</v>
      </c>
      <c r="AT286" s="48">
        <f>IF((41-N(V_L2_Mes)+1)&lt;1,0,IF((41-N(V_L2_Mes)+1)=1,N(V_L2_Monto),AS$286)-AT$285)</f>
        <v>0</v>
      </c>
      <c r="AU286" s="48">
        <f>IF((42-N(V_L2_Mes)+1)&lt;1,0,IF((42-N(V_L2_Mes)+1)=1,N(V_L2_Monto),AT$286)-AU$285)</f>
        <v>0</v>
      </c>
      <c r="AV286" s="48">
        <f>IF((43-N(V_L2_Mes)+1)&lt;1,0,IF((43-N(V_L2_Mes)+1)=1,N(V_L2_Monto),AU$286)-AV$285)</f>
        <v>0</v>
      </c>
      <c r="AW286" s="48">
        <f>IF((44-N(V_L2_Mes)+1)&lt;1,0,IF((44-N(V_L2_Mes)+1)=1,N(V_L2_Monto),AV$286)-AW$285)</f>
        <v>0</v>
      </c>
      <c r="AX286" s="48">
        <f>IF((45-N(V_L2_Mes)+1)&lt;1,0,IF((45-N(V_L2_Mes)+1)=1,N(V_L2_Monto),AW$286)-AX$285)</f>
        <v>0</v>
      </c>
      <c r="AY286" s="48">
        <f>IF((46-N(V_L2_Mes)+1)&lt;1,0,IF((46-N(V_L2_Mes)+1)=1,N(V_L2_Monto),AX$286)-AY$285)</f>
        <v>0</v>
      </c>
      <c r="AZ286" s="48">
        <f>IF((47-N(V_L2_Mes)+1)&lt;1,0,IF((47-N(V_L2_Mes)+1)=1,N(V_L2_Monto),AY$286)-AZ$285)</f>
        <v>0</v>
      </c>
      <c r="BA286" s="48">
        <f>IF((48-N(V_L2_Mes)+1)&lt;1,0,IF((48-N(V_L2_Mes)+1)=1,N(V_L2_Monto),AZ$286)-BA$285)</f>
        <v>0</v>
      </c>
      <c r="BB286" s="48">
        <f>IF((49-N(V_L2_Mes)+1)&lt;1,0,IF((49-N(V_L2_Mes)+1)=1,N(V_L2_Monto),BA$286)-BB$285)</f>
        <v>0</v>
      </c>
      <c r="BC286" s="48">
        <f>IF((50-N(V_L2_Mes)+1)&lt;1,0,IF((50-N(V_L2_Mes)+1)=1,N(V_L2_Monto),BB$286)-BC$285)</f>
        <v>0</v>
      </c>
      <c r="BD286" s="48">
        <f>IF((51-N(V_L2_Mes)+1)&lt;1,0,IF((51-N(V_L2_Mes)+1)=1,N(V_L2_Monto),BC$286)-BD$285)</f>
        <v>0</v>
      </c>
      <c r="BE286" s="48">
        <f>IF((52-N(V_L2_Mes)+1)&lt;1,0,IF((52-N(V_L2_Mes)+1)=1,N(V_L2_Monto),BD$286)-BE$285)</f>
        <v>0</v>
      </c>
      <c r="BF286" s="48">
        <f>IF((53-N(V_L2_Mes)+1)&lt;1,0,IF((53-N(V_L2_Mes)+1)=1,N(V_L2_Monto),BE$286)-BF$285)</f>
        <v>0</v>
      </c>
      <c r="BG286" s="48">
        <f>IF((54-N(V_L2_Mes)+1)&lt;1,0,IF((54-N(V_L2_Mes)+1)=1,N(V_L2_Monto),BF$286)-BG$285)</f>
        <v>0</v>
      </c>
      <c r="BH286" s="48">
        <f>IF((55-N(V_L2_Mes)+1)&lt;1,0,IF((55-N(V_L2_Mes)+1)=1,N(V_L2_Monto),BG$286)-BH$285)</f>
        <v>0</v>
      </c>
      <c r="BI286" s="48">
        <f>IF((56-N(V_L2_Mes)+1)&lt;1,0,IF((56-N(V_L2_Mes)+1)=1,N(V_L2_Monto),BH$286)-BI$285)</f>
        <v>0</v>
      </c>
      <c r="BJ286" s="48">
        <f>IF((57-N(V_L2_Mes)+1)&lt;1,0,IF((57-N(V_L2_Mes)+1)=1,N(V_L2_Monto),BI$286)-BJ$285)</f>
        <v>0</v>
      </c>
      <c r="BK286" s="48">
        <f>IF((58-N(V_L2_Mes)+1)&lt;1,0,IF((58-N(V_L2_Mes)+1)=1,N(V_L2_Monto),BJ$286)-BK$285)</f>
        <v>0</v>
      </c>
      <c r="BL286" s="48">
        <f>IF((59-N(V_L2_Mes)+1)&lt;1,0,IF((59-N(V_L2_Mes)+1)=1,N(V_L2_Monto),BK$286)-BL$285)</f>
        <v>0</v>
      </c>
      <c r="BM286" s="48">
        <f>IF((60-N(V_L2_Mes)+1)&lt;1,0,IF((60-N(V_L2_Mes)+1)=1,N(V_L2_Monto),BL$286)-BM$285)</f>
        <v>0</v>
      </c>
      <c r="BN286" s="48">
        <f>IF((61-N(V_L2_Mes)+1)&lt;1,0,IF((61-N(V_L2_Mes)+1)=1,N(V_L2_Monto),BM$286)-BN$285)</f>
        <v>0</v>
      </c>
      <c r="BO286" s="48">
        <f>IF((62-N(V_L2_Mes)+1)&lt;1,0,IF((62-N(V_L2_Mes)+1)=1,N(V_L2_Monto),BN$286)-BO$285)</f>
        <v>0</v>
      </c>
      <c r="BP286" s="48">
        <f>IF((63-N(V_L2_Mes)+1)&lt;1,0,IF((63-N(V_L2_Mes)+1)=1,N(V_L2_Monto),BO$286)-BP$285)</f>
        <v>0</v>
      </c>
      <c r="BQ286" s="48">
        <f>IF((64-N(V_L2_Mes)+1)&lt;1,0,IF((64-N(V_L2_Mes)+1)=1,N(V_L2_Monto),BP$286)-BQ$285)</f>
        <v>0</v>
      </c>
      <c r="BR286" s="48">
        <f>IF((65-N(V_L2_Mes)+1)&lt;1,0,IF((65-N(V_L2_Mes)+1)=1,N(V_L2_Monto),BQ$286)-BR$285)</f>
        <v>0</v>
      </c>
      <c r="BS286" s="48">
        <f>IF((66-N(V_L2_Mes)+1)&lt;1,0,IF((66-N(V_L2_Mes)+1)=1,N(V_L2_Monto),BR$286)-BS$285)</f>
        <v>0</v>
      </c>
      <c r="BT286" s="48">
        <f>IF((67-N(V_L2_Mes)+1)&lt;1,0,IF((67-N(V_L2_Mes)+1)=1,N(V_L2_Monto),BS$286)-BT$285)</f>
        <v>0</v>
      </c>
      <c r="BU286" s="48">
        <f>IF((68-N(V_L2_Mes)+1)&lt;1,0,IF((68-N(V_L2_Mes)+1)=1,N(V_L2_Monto),BT$286)-BU$285)</f>
        <v>0</v>
      </c>
      <c r="BV286" s="48">
        <f>IF((69-N(V_L2_Mes)+1)&lt;1,0,IF((69-N(V_L2_Mes)+1)=1,N(V_L2_Monto),BU$286)-BV$285)</f>
        <v>0</v>
      </c>
      <c r="BW286" s="48">
        <f>IF((70-N(V_L2_Mes)+1)&lt;1,0,IF((70-N(V_L2_Mes)+1)=1,N(V_L2_Monto),BV$286)-BW$285)</f>
        <v>0</v>
      </c>
      <c r="BX286" s="48">
        <f>IF((71-N(V_L2_Mes)+1)&lt;1,0,IF((71-N(V_L2_Mes)+1)=1,N(V_L2_Monto),BW$286)-BX$285)</f>
        <v>0</v>
      </c>
      <c r="BY286" s="48">
        <f>IF((72-N(V_L2_Mes)+1)&lt;1,0,IF((72-N(V_L2_Mes)+1)=1,N(V_L2_Monto),BX$286)-BY$285)</f>
        <v>0</v>
      </c>
      <c r="BZ286" s="48">
        <f>IF((73-N(V_L2_Mes)+1)&lt;1,0,IF((73-N(V_L2_Mes)+1)=1,N(V_L2_Monto),BY$286)-BZ$285)</f>
        <v>0</v>
      </c>
      <c r="CA286" s="48">
        <f>IF((74-N(V_L2_Mes)+1)&lt;1,0,IF((74-N(V_L2_Mes)+1)=1,N(V_L2_Monto),BZ$286)-CA$285)</f>
        <v>0</v>
      </c>
      <c r="CB286" s="48">
        <f>IF((75-N(V_L2_Mes)+1)&lt;1,0,IF((75-N(V_L2_Mes)+1)=1,N(V_L2_Monto),CA$286)-CB$285)</f>
        <v>0</v>
      </c>
      <c r="CC286" s="48">
        <f>IF((76-N(V_L2_Mes)+1)&lt;1,0,IF((76-N(V_L2_Mes)+1)=1,N(V_L2_Monto),CB$286)-CC$285)</f>
        <v>0</v>
      </c>
      <c r="CD286" s="48">
        <f>IF((77-N(V_L2_Mes)+1)&lt;1,0,IF((77-N(V_L2_Mes)+1)=1,N(V_L2_Monto),CC$286)-CD$285)</f>
        <v>0</v>
      </c>
      <c r="CE286" s="48">
        <f>IF((78-N(V_L2_Mes)+1)&lt;1,0,IF((78-N(V_L2_Mes)+1)=1,N(V_L2_Monto),CD$286)-CE$285)</f>
        <v>0</v>
      </c>
      <c r="CF286" s="48">
        <f>IF((79-N(V_L2_Mes)+1)&lt;1,0,IF((79-N(V_L2_Mes)+1)=1,N(V_L2_Monto),CE$286)-CF$285)</f>
        <v>0</v>
      </c>
      <c r="CG286" s="48">
        <f>IF((80-N(V_L2_Mes)+1)&lt;1,0,IF((80-N(V_L2_Mes)+1)=1,N(V_L2_Monto),CF$286)-CG$285)</f>
        <v>0</v>
      </c>
      <c r="CH286" s="48">
        <f>IF((81-N(V_L2_Mes)+1)&lt;1,0,IF((81-N(V_L2_Mes)+1)=1,N(V_L2_Monto),CG$286)-CH$285)</f>
        <v>0</v>
      </c>
      <c r="CI286" s="48">
        <f>IF((82-N(V_L2_Mes)+1)&lt;1,0,IF((82-N(V_L2_Mes)+1)=1,N(V_L2_Monto),CH$286)-CI$285)</f>
        <v>0</v>
      </c>
      <c r="CJ286" s="48">
        <f>IF((83-N(V_L2_Mes)+1)&lt;1,0,IF((83-N(V_L2_Mes)+1)=1,N(V_L2_Monto),CI$286)-CJ$285)</f>
        <v>0</v>
      </c>
      <c r="CK286" s="48">
        <f>IF((84-N(V_L2_Mes)+1)&lt;1,0,IF((84-N(V_L2_Mes)+1)=1,N(V_L2_Monto),CJ$286)-CK$285)</f>
        <v>0</v>
      </c>
      <c r="CL286" s="48">
        <f>IF((85-N(V_L2_Mes)+1)&lt;1,0,IF((85-N(V_L2_Mes)+1)=1,N(V_L2_Monto),CK$286)-CL$285)</f>
        <v>0</v>
      </c>
      <c r="CM286" s="48">
        <f>IF((86-N(V_L2_Mes)+1)&lt;1,0,IF((86-N(V_L2_Mes)+1)=1,N(V_L2_Monto),CL$286)-CM$285)</f>
        <v>0</v>
      </c>
      <c r="CN286" s="48">
        <f>IF((87-N(V_L2_Mes)+1)&lt;1,0,IF((87-N(V_L2_Mes)+1)=1,N(V_L2_Monto),CM$286)-CN$285)</f>
        <v>0</v>
      </c>
      <c r="CO286" s="48">
        <f>IF((88-N(V_L2_Mes)+1)&lt;1,0,IF((88-N(V_L2_Mes)+1)=1,N(V_L2_Monto),CN$286)-CO$285)</f>
        <v>0</v>
      </c>
      <c r="CP286" s="48">
        <f>IF((89-N(V_L2_Mes)+1)&lt;1,0,IF((89-N(V_L2_Mes)+1)=1,N(V_L2_Monto),CO$286)-CP$285)</f>
        <v>0</v>
      </c>
      <c r="CQ286" s="48">
        <f>IF((90-N(V_L2_Mes)+1)&lt;1,0,IF((90-N(V_L2_Mes)+1)=1,N(V_L2_Monto),CP$286)-CQ$285)</f>
        <v>0</v>
      </c>
      <c r="CR286" s="48">
        <f>IF((91-N(V_L2_Mes)+1)&lt;1,0,IF((91-N(V_L2_Mes)+1)=1,N(V_L2_Monto),CQ$286)-CR$285)</f>
        <v>0</v>
      </c>
      <c r="CS286" s="48">
        <f>IF((92-N(V_L2_Mes)+1)&lt;1,0,IF((92-N(V_L2_Mes)+1)=1,N(V_L2_Monto),CR$286)-CS$285)</f>
        <v>0</v>
      </c>
      <c r="CT286" s="48">
        <f>IF((93-N(V_L2_Mes)+1)&lt;1,0,IF((93-N(V_L2_Mes)+1)=1,N(V_L2_Monto),CS$286)-CT$285)</f>
        <v>0</v>
      </c>
      <c r="CU286" s="48">
        <f>IF((94-N(V_L2_Mes)+1)&lt;1,0,IF((94-N(V_L2_Mes)+1)=1,N(V_L2_Monto),CT$286)-CU$285)</f>
        <v>0</v>
      </c>
      <c r="CV286" s="48">
        <f>IF((95-N(V_L2_Mes)+1)&lt;1,0,IF((95-N(V_L2_Mes)+1)=1,N(V_L2_Monto),CU$286)-CV$285)</f>
        <v>0</v>
      </c>
      <c r="CW286" s="48">
        <f>IF((96-N(V_L2_Mes)+1)&lt;1,0,IF((96-N(V_L2_Mes)+1)=1,N(V_L2_Monto),CV$286)-CW$285)</f>
        <v>0</v>
      </c>
      <c r="CX286" s="48">
        <f>IF((97-N(V_L2_Mes)+1)&lt;1,0,IF((97-N(V_L2_Mes)+1)=1,N(V_L2_Monto),CW$286)-CX$285)</f>
        <v>0</v>
      </c>
      <c r="CY286" s="48">
        <f>IF((98-N(V_L2_Mes)+1)&lt;1,0,IF((98-N(V_L2_Mes)+1)=1,N(V_L2_Monto),CX$286)-CY$285)</f>
        <v>0</v>
      </c>
      <c r="CZ286" s="48">
        <f>IF((99-N(V_L2_Mes)+1)&lt;1,0,IF((99-N(V_L2_Mes)+1)=1,N(V_L2_Monto),CY$286)-CZ$285)</f>
        <v>0</v>
      </c>
      <c r="DA286" s="48">
        <f>IF((100-N(V_L2_Mes)+1)&lt;1,0,IF((100-N(V_L2_Mes)+1)=1,N(V_L2_Monto),CZ$286)-DA$285)</f>
        <v>0</v>
      </c>
      <c r="DB286" s="48">
        <f>IF((101-N(V_L2_Mes)+1)&lt;1,0,IF((101-N(V_L2_Mes)+1)=1,N(V_L2_Monto),DA$286)-DB$285)</f>
        <v>0</v>
      </c>
      <c r="DC286" s="48">
        <f>IF((102-N(V_L2_Mes)+1)&lt;1,0,IF((102-N(V_L2_Mes)+1)=1,N(V_L2_Monto),DB$286)-DC$285)</f>
        <v>0</v>
      </c>
      <c r="DD286" s="48">
        <f>IF((103-N(V_L2_Mes)+1)&lt;1,0,IF((103-N(V_L2_Mes)+1)=1,N(V_L2_Monto),DC$286)-DD$285)</f>
        <v>0</v>
      </c>
      <c r="DE286" s="48">
        <f>IF((104-N(V_L2_Mes)+1)&lt;1,0,IF((104-N(V_L2_Mes)+1)=1,N(V_L2_Monto),DD$286)-DE$285)</f>
        <v>0</v>
      </c>
      <c r="DF286" s="48">
        <f>IF((105-N(V_L2_Mes)+1)&lt;1,0,IF((105-N(V_L2_Mes)+1)=1,N(V_L2_Monto),DE$286)-DF$285)</f>
        <v>0</v>
      </c>
      <c r="DG286" s="48">
        <f>IF((106-N(V_L2_Mes)+1)&lt;1,0,IF((106-N(V_L2_Mes)+1)=1,N(V_L2_Monto),DF$286)-DG$285)</f>
        <v>0</v>
      </c>
      <c r="DH286" s="48">
        <f>IF((107-N(V_L2_Mes)+1)&lt;1,0,IF((107-N(V_L2_Mes)+1)=1,N(V_L2_Monto),DG$286)-DH$285)</f>
        <v>0</v>
      </c>
      <c r="DI286" s="48">
        <f>IF((108-N(V_L2_Mes)+1)&lt;1,0,IF((108-N(V_L2_Mes)+1)=1,N(V_L2_Monto),DH$286)-DI$285)</f>
        <v>0</v>
      </c>
      <c r="DJ286" s="48">
        <f>IF((109-N(V_L2_Mes)+1)&lt;1,0,IF((109-N(V_L2_Mes)+1)=1,N(V_L2_Monto),DI$286)-DJ$285)</f>
        <v>0</v>
      </c>
      <c r="DK286" s="48">
        <f>IF((110-N(V_L2_Mes)+1)&lt;1,0,IF((110-N(V_L2_Mes)+1)=1,N(V_L2_Monto),DJ$286)-DK$285)</f>
        <v>0</v>
      </c>
      <c r="DL286" s="48">
        <f>IF((111-N(V_L2_Mes)+1)&lt;1,0,IF((111-N(V_L2_Mes)+1)=1,N(V_L2_Monto),DK$286)-DL$285)</f>
        <v>0</v>
      </c>
      <c r="DM286" s="48">
        <f>IF((112-N(V_L2_Mes)+1)&lt;1,0,IF((112-N(V_L2_Mes)+1)=1,N(V_L2_Monto),DL$286)-DM$285)</f>
        <v>0</v>
      </c>
      <c r="DN286" s="48">
        <f>IF((113-N(V_L2_Mes)+1)&lt;1,0,IF((113-N(V_L2_Mes)+1)=1,N(V_L2_Monto),DM$286)-DN$285)</f>
        <v>0</v>
      </c>
      <c r="DO286" s="48">
        <f>IF((114-N(V_L2_Mes)+1)&lt;1,0,IF((114-N(V_L2_Mes)+1)=1,N(V_L2_Monto),DN$286)-DO$285)</f>
        <v>0</v>
      </c>
      <c r="DP286" s="48">
        <f>IF((115-N(V_L2_Mes)+1)&lt;1,0,IF((115-N(V_L2_Mes)+1)=1,N(V_L2_Monto),DO$286)-DP$285)</f>
        <v>0</v>
      </c>
      <c r="DQ286" s="48">
        <f>IF((116-N(V_L2_Mes)+1)&lt;1,0,IF((116-N(V_L2_Mes)+1)=1,N(V_L2_Monto),DP$286)-DQ$285)</f>
        <v>0</v>
      </c>
      <c r="DR286" s="48">
        <f>IF((117-N(V_L2_Mes)+1)&lt;1,0,IF((117-N(V_L2_Mes)+1)=1,N(V_L2_Monto),DQ$286)-DR$285)</f>
        <v>0</v>
      </c>
      <c r="DS286" s="48">
        <f>IF((118-N(V_L2_Mes)+1)&lt;1,0,IF((118-N(V_L2_Mes)+1)=1,N(V_L2_Monto),DR$286)-DS$285)</f>
        <v>0</v>
      </c>
      <c r="DT286" s="48">
        <f>IF((119-N(V_L2_Mes)+1)&lt;1,0,IF((119-N(V_L2_Mes)+1)=1,N(V_L2_Monto),DS$286)-DT$285)</f>
        <v>0</v>
      </c>
      <c r="DU286" s="48">
        <f>IF((120-N(V_L2_Mes)+1)&lt;1,0,IF((120-N(V_L2_Mes)+1)=1,N(V_L2_Monto),DT$286)-DU$285)</f>
        <v>0</v>
      </c>
      <c r="DV286" s="48">
        <f>IF((121-N(V_L2_Mes)+1)&lt;1,0,IF((121-N(V_L2_Mes)+1)=1,N(V_L2_Monto),DU$286)-DV$285)</f>
        <v>0</v>
      </c>
      <c r="DW286" s="48">
        <f>IF((122-N(V_L2_Mes)+1)&lt;1,0,IF((122-N(V_L2_Mes)+1)=1,N(V_L2_Monto),DV$286)-DW$285)</f>
        <v>0</v>
      </c>
      <c r="DX286" s="48">
        <f>IF((123-N(V_L2_Mes)+1)&lt;1,0,IF((123-N(V_L2_Mes)+1)=1,N(V_L2_Monto),DW$286)-DX$285)</f>
        <v>0</v>
      </c>
      <c r="DY286" s="48">
        <f>IF((124-N(V_L2_Mes)+1)&lt;1,0,IF((124-N(V_L2_Mes)+1)=1,N(V_L2_Monto),DX$286)-DY$285)</f>
        <v>0</v>
      </c>
      <c r="DZ286" s="48">
        <f>IF((125-N(V_L2_Mes)+1)&lt;1,0,IF((125-N(V_L2_Mes)+1)=1,N(V_L2_Monto),DY$286)-DZ$285)</f>
        <v>0</v>
      </c>
      <c r="EA286" s="48">
        <f>IF((126-N(V_L2_Mes)+1)&lt;1,0,IF((126-N(V_L2_Mes)+1)=1,N(V_L2_Monto),DZ$286)-EA$285)</f>
        <v>0</v>
      </c>
      <c r="EB286" s="48">
        <f>IF((127-N(V_L2_Mes)+1)&lt;1,0,IF((127-N(V_L2_Mes)+1)=1,N(V_L2_Monto),EA$286)-EB$285)</f>
        <v>0</v>
      </c>
      <c r="EC286" s="48">
        <f>IF((128-N(V_L2_Mes)+1)&lt;1,0,IF((128-N(V_L2_Mes)+1)=1,N(V_L2_Monto),EB$286)-EC$285)</f>
        <v>0</v>
      </c>
      <c r="ED286" s="48">
        <f>IF((129-N(V_L2_Mes)+1)&lt;1,0,IF((129-N(V_L2_Mes)+1)=1,N(V_L2_Monto),EC$286)-ED$285)</f>
        <v>0</v>
      </c>
      <c r="EE286" s="48">
        <f>IF((130-N(V_L2_Mes)+1)&lt;1,0,IF((130-N(V_L2_Mes)+1)=1,N(V_L2_Monto),ED$286)-EE$285)</f>
        <v>0</v>
      </c>
      <c r="EF286" s="48">
        <f>IF((131-N(V_L2_Mes)+1)&lt;1,0,IF((131-N(V_L2_Mes)+1)=1,N(V_L2_Monto),EE$286)-EF$285)</f>
        <v>0</v>
      </c>
      <c r="EG286" s="48">
        <f>IF((132-N(V_L2_Mes)+1)&lt;1,0,IF((132-N(V_L2_Mes)+1)=1,N(V_L2_Monto),EF$286)-EG$285)</f>
        <v>0</v>
      </c>
      <c r="EH286" s="48">
        <f>IF((133-N(V_L2_Mes)+1)&lt;1,0,IF((133-N(V_L2_Mes)+1)=1,N(V_L2_Monto),EG$286)-EH$285)</f>
        <v>0</v>
      </c>
      <c r="EI286" s="48">
        <f>IF((134-N(V_L2_Mes)+1)&lt;1,0,IF((134-N(V_L2_Mes)+1)=1,N(V_L2_Monto),EH$286)-EI$285)</f>
        <v>0</v>
      </c>
      <c r="EJ286" s="48">
        <f>IF((135-N(V_L2_Mes)+1)&lt;1,0,IF((135-N(V_L2_Mes)+1)=1,N(V_L2_Monto),EI$286)-EJ$285)</f>
        <v>0</v>
      </c>
      <c r="EK286" s="48">
        <f>IF((136-N(V_L2_Mes)+1)&lt;1,0,IF((136-N(V_L2_Mes)+1)=1,N(V_L2_Monto),EJ$286)-EK$285)</f>
        <v>0</v>
      </c>
      <c r="EL286" s="48">
        <f>IF((137-N(V_L2_Mes)+1)&lt;1,0,IF((137-N(V_L2_Mes)+1)=1,N(V_L2_Monto),EK$286)-EL$285)</f>
        <v>0</v>
      </c>
      <c r="EM286" s="48">
        <f>IF((138-N(V_L2_Mes)+1)&lt;1,0,IF((138-N(V_L2_Mes)+1)=1,N(V_L2_Monto),EL$286)-EM$285)</f>
        <v>0</v>
      </c>
      <c r="EN286" s="48">
        <f>IF((139-N(V_L2_Mes)+1)&lt;1,0,IF((139-N(V_L2_Mes)+1)=1,N(V_L2_Monto),EM$286)-EN$285)</f>
        <v>0</v>
      </c>
      <c r="EO286" s="48">
        <f>IF((140-N(V_L2_Mes)+1)&lt;1,0,IF((140-N(V_L2_Mes)+1)=1,N(V_L2_Monto),EN$286)-EO$285)</f>
        <v>0</v>
      </c>
      <c r="EP286" s="48">
        <f>IF((141-N(V_L2_Mes)+1)&lt;1,0,IF((141-N(V_L2_Mes)+1)=1,N(V_L2_Monto),EO$286)-EP$285)</f>
        <v>0</v>
      </c>
      <c r="EQ286" s="48">
        <f>IF((142-N(V_L2_Mes)+1)&lt;1,0,IF((142-N(V_L2_Mes)+1)=1,N(V_L2_Monto),EP$286)-EQ$285)</f>
        <v>0</v>
      </c>
      <c r="ER286" s="48">
        <f>IF((143-N(V_L2_Mes)+1)&lt;1,0,IF((143-N(V_L2_Mes)+1)=1,N(V_L2_Monto),EQ$286)-ER$285)</f>
        <v>0</v>
      </c>
      <c r="ES286" s="48">
        <f>IF((144-N(V_L2_Mes)+1)&lt;1,0,IF((144-N(V_L2_Mes)+1)=1,N(V_L2_Monto),ER$286)-ES$285)</f>
        <v>0</v>
      </c>
    </row>
    <row r="287" spans="1:149" x14ac:dyDescent="0.3">
      <c r="A287" s="14" t="s">
        <v>1337</v>
      </c>
      <c r="B287" s="18" t="s">
        <v>1159</v>
      </c>
      <c r="C287" s="18" t="s">
        <v>439</v>
      </c>
      <c r="E287" s="54">
        <f>SUM(F287:ES287)</f>
        <v>0</v>
      </c>
      <c r="F287" s="48">
        <f>IF((1-N(V_L3_Mes)+1)=1,N(V_L3_Monto),0)*F$9</f>
        <v>0</v>
      </c>
      <c r="G287" s="48">
        <f>IF((2-N(V_L3_Mes)+1)=1,N(V_L3_Monto),0)*G$9</f>
        <v>0</v>
      </c>
      <c r="H287" s="48">
        <f>IF((3-N(V_L3_Mes)+1)=1,N(V_L3_Monto),0)*H$9</f>
        <v>0</v>
      </c>
      <c r="I287" s="48">
        <f>IF((4-N(V_L3_Mes)+1)=1,N(V_L3_Monto),0)*I$9</f>
        <v>0</v>
      </c>
      <c r="J287" s="48">
        <f>IF((5-N(V_L3_Mes)+1)=1,N(V_L3_Monto),0)*J$9</f>
        <v>0</v>
      </c>
      <c r="K287" s="48">
        <f>IF((6-N(V_L3_Mes)+1)=1,N(V_L3_Monto),0)*K$9</f>
        <v>0</v>
      </c>
      <c r="L287" s="48">
        <f>IF((7-N(V_L3_Mes)+1)=1,N(V_L3_Monto),0)*L$9</f>
        <v>0</v>
      </c>
      <c r="M287" s="48">
        <f>IF((8-N(V_L3_Mes)+1)=1,N(V_L3_Monto),0)*M$9</f>
        <v>0</v>
      </c>
      <c r="N287" s="48">
        <f>IF((9-N(V_L3_Mes)+1)=1,N(V_L3_Monto),0)*N$9</f>
        <v>0</v>
      </c>
      <c r="O287" s="48">
        <f>IF((10-N(V_L3_Mes)+1)=1,N(V_L3_Monto),0)*O$9</f>
        <v>0</v>
      </c>
      <c r="P287" s="48">
        <f>IF((11-N(V_L3_Mes)+1)=1,N(V_L3_Monto),0)*P$9</f>
        <v>0</v>
      </c>
      <c r="Q287" s="48">
        <f>IF((12-N(V_L3_Mes)+1)=1,N(V_L3_Monto),0)*Q$9</f>
        <v>0</v>
      </c>
      <c r="R287" s="48">
        <f>IF((13-N(V_L3_Mes)+1)=1,N(V_L3_Monto),0)*R$9</f>
        <v>0</v>
      </c>
      <c r="S287" s="48">
        <f>IF((14-N(V_L3_Mes)+1)=1,N(V_L3_Monto),0)*S$9</f>
        <v>0</v>
      </c>
      <c r="T287" s="48">
        <f>IF((15-N(V_L3_Mes)+1)=1,N(V_L3_Monto),0)*T$9</f>
        <v>0</v>
      </c>
      <c r="U287" s="48">
        <f>IF((16-N(V_L3_Mes)+1)=1,N(V_L3_Monto),0)*U$9</f>
        <v>0</v>
      </c>
      <c r="V287" s="48">
        <f>IF((17-N(V_L3_Mes)+1)=1,N(V_L3_Monto),0)*V$9</f>
        <v>0</v>
      </c>
      <c r="W287" s="48">
        <f>IF((18-N(V_L3_Mes)+1)=1,N(V_L3_Monto),0)*W$9</f>
        <v>0</v>
      </c>
      <c r="X287" s="48">
        <f>IF((19-N(V_L3_Mes)+1)=1,N(V_L3_Monto),0)*X$9</f>
        <v>0</v>
      </c>
      <c r="Y287" s="48">
        <f>IF((20-N(V_L3_Mes)+1)=1,N(V_L3_Monto),0)*Y$9</f>
        <v>0</v>
      </c>
      <c r="Z287" s="48">
        <f>IF((21-N(V_L3_Mes)+1)=1,N(V_L3_Monto),0)*Z$9</f>
        <v>0</v>
      </c>
      <c r="AA287" s="48">
        <f>IF((22-N(V_L3_Mes)+1)=1,N(V_L3_Monto),0)*AA$9</f>
        <v>0</v>
      </c>
      <c r="AB287" s="48">
        <f>IF((23-N(V_L3_Mes)+1)=1,N(V_L3_Monto),0)*AB$9</f>
        <v>0</v>
      </c>
      <c r="AC287" s="48">
        <f>IF((24-N(V_L3_Mes)+1)=1,N(V_L3_Monto),0)*AC$9</f>
        <v>0</v>
      </c>
      <c r="AD287" s="48">
        <f>IF((25-N(V_L3_Mes)+1)=1,N(V_L3_Monto),0)*AD$9</f>
        <v>0</v>
      </c>
      <c r="AE287" s="48">
        <f>IF((26-N(V_L3_Mes)+1)=1,N(V_L3_Monto),0)*AE$9</f>
        <v>0</v>
      </c>
      <c r="AF287" s="48">
        <f>IF((27-N(V_L3_Mes)+1)=1,N(V_L3_Monto),0)*AF$9</f>
        <v>0</v>
      </c>
      <c r="AG287" s="48">
        <f>IF((28-N(V_L3_Mes)+1)=1,N(V_L3_Monto),0)*AG$9</f>
        <v>0</v>
      </c>
      <c r="AH287" s="48">
        <f>IF((29-N(V_L3_Mes)+1)=1,N(V_L3_Monto),0)*AH$9</f>
        <v>0</v>
      </c>
      <c r="AI287" s="48">
        <f>IF((30-N(V_L3_Mes)+1)=1,N(V_L3_Monto),0)*AI$9</f>
        <v>0</v>
      </c>
      <c r="AJ287" s="48">
        <f>IF((31-N(V_L3_Mes)+1)=1,N(V_L3_Monto),0)*AJ$9</f>
        <v>0</v>
      </c>
      <c r="AK287" s="48">
        <f>IF((32-N(V_L3_Mes)+1)=1,N(V_L3_Monto),0)*AK$9</f>
        <v>0</v>
      </c>
      <c r="AL287" s="48">
        <f>IF((33-N(V_L3_Mes)+1)=1,N(V_L3_Monto),0)*AL$9</f>
        <v>0</v>
      </c>
      <c r="AM287" s="48">
        <f>IF((34-N(V_L3_Mes)+1)=1,N(V_L3_Monto),0)*AM$9</f>
        <v>0</v>
      </c>
      <c r="AN287" s="48">
        <f>IF((35-N(V_L3_Mes)+1)=1,N(V_L3_Monto),0)*AN$9</f>
        <v>0</v>
      </c>
      <c r="AO287" s="48">
        <f>IF((36-N(V_L3_Mes)+1)=1,N(V_L3_Monto),0)*AO$9</f>
        <v>0</v>
      </c>
      <c r="AP287" s="48">
        <f>IF((37-N(V_L3_Mes)+1)=1,N(V_L3_Monto),0)*AP$9</f>
        <v>0</v>
      </c>
      <c r="AQ287" s="48">
        <f>IF((38-N(V_L3_Mes)+1)=1,N(V_L3_Monto),0)*AQ$9</f>
        <v>0</v>
      </c>
      <c r="AR287" s="48">
        <f>IF((39-N(V_L3_Mes)+1)=1,N(V_L3_Monto),0)*AR$9</f>
        <v>0</v>
      </c>
      <c r="AS287" s="48">
        <f>IF((40-N(V_L3_Mes)+1)=1,N(V_L3_Monto),0)*AS$9</f>
        <v>0</v>
      </c>
      <c r="AT287" s="48">
        <f>IF((41-N(V_L3_Mes)+1)=1,N(V_L3_Monto),0)*AT$9</f>
        <v>0</v>
      </c>
      <c r="AU287" s="48">
        <f>IF((42-N(V_L3_Mes)+1)=1,N(V_L3_Monto),0)*AU$9</f>
        <v>0</v>
      </c>
      <c r="AV287" s="48">
        <f>IF((43-N(V_L3_Mes)+1)=1,N(V_L3_Monto),0)*AV$9</f>
        <v>0</v>
      </c>
      <c r="AW287" s="48">
        <f>IF((44-N(V_L3_Mes)+1)=1,N(V_L3_Monto),0)*AW$9</f>
        <v>0</v>
      </c>
      <c r="AX287" s="48">
        <f>IF((45-N(V_L3_Mes)+1)=1,N(V_L3_Monto),0)*AX$9</f>
        <v>0</v>
      </c>
      <c r="AY287" s="48">
        <f>IF((46-N(V_L3_Mes)+1)=1,N(V_L3_Monto),0)*AY$9</f>
        <v>0</v>
      </c>
      <c r="AZ287" s="48">
        <f>IF((47-N(V_L3_Mes)+1)=1,N(V_L3_Monto),0)*AZ$9</f>
        <v>0</v>
      </c>
      <c r="BA287" s="48">
        <f>IF((48-N(V_L3_Mes)+1)=1,N(V_L3_Monto),0)*BA$9</f>
        <v>0</v>
      </c>
      <c r="BB287" s="48">
        <f>IF((49-N(V_L3_Mes)+1)=1,N(V_L3_Monto),0)*BB$9</f>
        <v>0</v>
      </c>
      <c r="BC287" s="48">
        <f>IF((50-N(V_L3_Mes)+1)=1,N(V_L3_Monto),0)*BC$9</f>
        <v>0</v>
      </c>
      <c r="BD287" s="48">
        <f>IF((51-N(V_L3_Mes)+1)=1,N(V_L3_Monto),0)*BD$9</f>
        <v>0</v>
      </c>
      <c r="BE287" s="48">
        <f>IF((52-N(V_L3_Mes)+1)=1,N(V_L3_Monto),0)*BE$9</f>
        <v>0</v>
      </c>
      <c r="BF287" s="48">
        <f>IF((53-N(V_L3_Mes)+1)=1,N(V_L3_Monto),0)*BF$9</f>
        <v>0</v>
      </c>
      <c r="BG287" s="48">
        <f>IF((54-N(V_L3_Mes)+1)=1,N(V_L3_Monto),0)*BG$9</f>
        <v>0</v>
      </c>
      <c r="BH287" s="48">
        <f>IF((55-N(V_L3_Mes)+1)=1,N(V_L3_Monto),0)*BH$9</f>
        <v>0</v>
      </c>
      <c r="BI287" s="48">
        <f>IF((56-N(V_L3_Mes)+1)=1,N(V_L3_Monto),0)*BI$9</f>
        <v>0</v>
      </c>
      <c r="BJ287" s="48">
        <f>IF((57-N(V_L3_Mes)+1)=1,N(V_L3_Monto),0)*BJ$9</f>
        <v>0</v>
      </c>
      <c r="BK287" s="48">
        <f>IF((58-N(V_L3_Mes)+1)=1,N(V_L3_Monto),0)*BK$9</f>
        <v>0</v>
      </c>
      <c r="BL287" s="48">
        <f>IF((59-N(V_L3_Mes)+1)=1,N(V_L3_Monto),0)*BL$9</f>
        <v>0</v>
      </c>
      <c r="BM287" s="48">
        <f>IF((60-N(V_L3_Mes)+1)=1,N(V_L3_Monto),0)*BM$9</f>
        <v>0</v>
      </c>
      <c r="BN287" s="48">
        <f>IF((61-N(V_L3_Mes)+1)=1,N(V_L3_Monto),0)*BN$9</f>
        <v>0</v>
      </c>
      <c r="BO287" s="48">
        <f>IF((62-N(V_L3_Mes)+1)=1,N(V_L3_Monto),0)*BO$9</f>
        <v>0</v>
      </c>
      <c r="BP287" s="48">
        <f>IF((63-N(V_L3_Mes)+1)=1,N(V_L3_Monto),0)*BP$9</f>
        <v>0</v>
      </c>
      <c r="BQ287" s="48">
        <f>IF((64-N(V_L3_Mes)+1)=1,N(V_L3_Monto),0)*BQ$9</f>
        <v>0</v>
      </c>
      <c r="BR287" s="48">
        <f>IF((65-N(V_L3_Mes)+1)=1,N(V_L3_Monto),0)*BR$9</f>
        <v>0</v>
      </c>
      <c r="BS287" s="48">
        <f>IF((66-N(V_L3_Mes)+1)=1,N(V_L3_Monto),0)*BS$9</f>
        <v>0</v>
      </c>
      <c r="BT287" s="48">
        <f>IF((67-N(V_L3_Mes)+1)=1,N(V_L3_Monto),0)*BT$9</f>
        <v>0</v>
      </c>
      <c r="BU287" s="48">
        <f>IF((68-N(V_L3_Mes)+1)=1,N(V_L3_Monto),0)*BU$9</f>
        <v>0</v>
      </c>
      <c r="BV287" s="48">
        <f>IF((69-N(V_L3_Mes)+1)=1,N(V_L3_Monto),0)*BV$9</f>
        <v>0</v>
      </c>
      <c r="BW287" s="48">
        <f>IF((70-N(V_L3_Mes)+1)=1,N(V_L3_Monto),0)*BW$9</f>
        <v>0</v>
      </c>
      <c r="BX287" s="48">
        <f>IF((71-N(V_L3_Mes)+1)=1,N(V_L3_Monto),0)*BX$9</f>
        <v>0</v>
      </c>
      <c r="BY287" s="48">
        <f>IF((72-N(V_L3_Mes)+1)=1,N(V_L3_Monto),0)*BY$9</f>
        <v>0</v>
      </c>
      <c r="BZ287" s="48">
        <f>IF((73-N(V_L3_Mes)+1)=1,N(V_L3_Monto),0)*BZ$9</f>
        <v>0</v>
      </c>
      <c r="CA287" s="48">
        <f>IF((74-N(V_L3_Mes)+1)=1,N(V_L3_Monto),0)*CA$9</f>
        <v>0</v>
      </c>
      <c r="CB287" s="48">
        <f>IF((75-N(V_L3_Mes)+1)=1,N(V_L3_Monto),0)*CB$9</f>
        <v>0</v>
      </c>
      <c r="CC287" s="48">
        <f>IF((76-N(V_L3_Mes)+1)=1,N(V_L3_Monto),0)*CC$9</f>
        <v>0</v>
      </c>
      <c r="CD287" s="48">
        <f>IF((77-N(V_L3_Mes)+1)=1,N(V_L3_Monto),0)*CD$9</f>
        <v>0</v>
      </c>
      <c r="CE287" s="48">
        <f>IF((78-N(V_L3_Mes)+1)=1,N(V_L3_Monto),0)*CE$9</f>
        <v>0</v>
      </c>
      <c r="CF287" s="48">
        <f>IF((79-N(V_L3_Mes)+1)=1,N(V_L3_Monto),0)*CF$9</f>
        <v>0</v>
      </c>
      <c r="CG287" s="48">
        <f>IF((80-N(V_L3_Mes)+1)=1,N(V_L3_Monto),0)*CG$9</f>
        <v>0</v>
      </c>
      <c r="CH287" s="48">
        <f>IF((81-N(V_L3_Mes)+1)=1,N(V_L3_Monto),0)*CH$9</f>
        <v>0</v>
      </c>
      <c r="CI287" s="48">
        <f>IF((82-N(V_L3_Mes)+1)=1,N(V_L3_Monto),0)*CI$9</f>
        <v>0</v>
      </c>
      <c r="CJ287" s="48">
        <f>IF((83-N(V_L3_Mes)+1)=1,N(V_L3_Monto),0)*CJ$9</f>
        <v>0</v>
      </c>
      <c r="CK287" s="48">
        <f>IF((84-N(V_L3_Mes)+1)=1,N(V_L3_Monto),0)*CK$9</f>
        <v>0</v>
      </c>
      <c r="CL287" s="48">
        <f>IF((85-N(V_L3_Mes)+1)=1,N(V_L3_Monto),0)*CL$9</f>
        <v>0</v>
      </c>
      <c r="CM287" s="48">
        <f>IF((86-N(V_L3_Mes)+1)=1,N(V_L3_Monto),0)*CM$9</f>
        <v>0</v>
      </c>
      <c r="CN287" s="48">
        <f>IF((87-N(V_L3_Mes)+1)=1,N(V_L3_Monto),0)*CN$9</f>
        <v>0</v>
      </c>
      <c r="CO287" s="48">
        <f>IF((88-N(V_L3_Mes)+1)=1,N(V_L3_Monto),0)*CO$9</f>
        <v>0</v>
      </c>
      <c r="CP287" s="48">
        <f>IF((89-N(V_L3_Mes)+1)=1,N(V_L3_Monto),0)*CP$9</f>
        <v>0</v>
      </c>
      <c r="CQ287" s="48">
        <f>IF((90-N(V_L3_Mes)+1)=1,N(V_L3_Monto),0)*CQ$9</f>
        <v>0</v>
      </c>
      <c r="CR287" s="48">
        <f>IF((91-N(V_L3_Mes)+1)=1,N(V_L3_Monto),0)*CR$9</f>
        <v>0</v>
      </c>
      <c r="CS287" s="48">
        <f>IF((92-N(V_L3_Mes)+1)=1,N(V_L3_Monto),0)*CS$9</f>
        <v>0</v>
      </c>
      <c r="CT287" s="48">
        <f>IF((93-N(V_L3_Mes)+1)=1,N(V_L3_Monto),0)*CT$9</f>
        <v>0</v>
      </c>
      <c r="CU287" s="48">
        <f>IF((94-N(V_L3_Mes)+1)=1,N(V_L3_Monto),0)*CU$9</f>
        <v>0</v>
      </c>
      <c r="CV287" s="48">
        <f>IF((95-N(V_L3_Mes)+1)=1,N(V_L3_Monto),0)*CV$9</f>
        <v>0</v>
      </c>
      <c r="CW287" s="48">
        <f>IF((96-N(V_L3_Mes)+1)=1,N(V_L3_Monto),0)*CW$9</f>
        <v>0</v>
      </c>
      <c r="CX287" s="48">
        <f>IF((97-N(V_L3_Mes)+1)=1,N(V_L3_Monto),0)*CX$9</f>
        <v>0</v>
      </c>
      <c r="CY287" s="48">
        <f>IF((98-N(V_L3_Mes)+1)=1,N(V_L3_Monto),0)*CY$9</f>
        <v>0</v>
      </c>
      <c r="CZ287" s="48">
        <f>IF((99-N(V_L3_Mes)+1)=1,N(V_L3_Monto),0)*CZ$9</f>
        <v>0</v>
      </c>
      <c r="DA287" s="48">
        <f>IF((100-N(V_L3_Mes)+1)=1,N(V_L3_Monto),0)*DA$9</f>
        <v>0</v>
      </c>
      <c r="DB287" s="48">
        <f>IF((101-N(V_L3_Mes)+1)=1,N(V_L3_Monto),0)*DB$9</f>
        <v>0</v>
      </c>
      <c r="DC287" s="48">
        <f>IF((102-N(V_L3_Mes)+1)=1,N(V_L3_Monto),0)*DC$9</f>
        <v>0</v>
      </c>
      <c r="DD287" s="48">
        <f>IF((103-N(V_L3_Mes)+1)=1,N(V_L3_Monto),0)*DD$9</f>
        <v>0</v>
      </c>
      <c r="DE287" s="48">
        <f>IF((104-N(V_L3_Mes)+1)=1,N(V_L3_Monto),0)*DE$9</f>
        <v>0</v>
      </c>
      <c r="DF287" s="48">
        <f>IF((105-N(V_L3_Mes)+1)=1,N(V_L3_Monto),0)*DF$9</f>
        <v>0</v>
      </c>
      <c r="DG287" s="48">
        <f>IF((106-N(V_L3_Mes)+1)=1,N(V_L3_Monto),0)*DG$9</f>
        <v>0</v>
      </c>
      <c r="DH287" s="48">
        <f>IF((107-N(V_L3_Mes)+1)=1,N(V_L3_Monto),0)*DH$9</f>
        <v>0</v>
      </c>
      <c r="DI287" s="48">
        <f>IF((108-N(V_L3_Mes)+1)=1,N(V_L3_Monto),0)*DI$9</f>
        <v>0</v>
      </c>
      <c r="DJ287" s="48">
        <f>IF((109-N(V_L3_Mes)+1)=1,N(V_L3_Monto),0)*DJ$9</f>
        <v>0</v>
      </c>
      <c r="DK287" s="48">
        <f>IF((110-N(V_L3_Mes)+1)=1,N(V_L3_Monto),0)*DK$9</f>
        <v>0</v>
      </c>
      <c r="DL287" s="48">
        <f>IF((111-N(V_L3_Mes)+1)=1,N(V_L3_Monto),0)*DL$9</f>
        <v>0</v>
      </c>
      <c r="DM287" s="48">
        <f>IF((112-N(V_L3_Mes)+1)=1,N(V_L3_Monto),0)*DM$9</f>
        <v>0</v>
      </c>
      <c r="DN287" s="48">
        <f>IF((113-N(V_L3_Mes)+1)=1,N(V_L3_Monto),0)*DN$9</f>
        <v>0</v>
      </c>
      <c r="DO287" s="48">
        <f>IF((114-N(V_L3_Mes)+1)=1,N(V_L3_Monto),0)*DO$9</f>
        <v>0</v>
      </c>
      <c r="DP287" s="48">
        <f>IF((115-N(V_L3_Mes)+1)=1,N(V_L3_Monto),0)*DP$9</f>
        <v>0</v>
      </c>
      <c r="DQ287" s="48">
        <f>IF((116-N(V_L3_Mes)+1)=1,N(V_L3_Monto),0)*DQ$9</f>
        <v>0</v>
      </c>
      <c r="DR287" s="48">
        <f>IF((117-N(V_L3_Mes)+1)=1,N(V_L3_Monto),0)*DR$9</f>
        <v>0</v>
      </c>
      <c r="DS287" s="48">
        <f>IF((118-N(V_L3_Mes)+1)=1,N(V_L3_Monto),0)*DS$9</f>
        <v>0</v>
      </c>
      <c r="DT287" s="48">
        <f>IF((119-N(V_L3_Mes)+1)=1,N(V_L3_Monto),0)*DT$9</f>
        <v>0</v>
      </c>
      <c r="DU287" s="48">
        <f>IF((120-N(V_L3_Mes)+1)=1,N(V_L3_Monto),0)*DU$9</f>
        <v>0</v>
      </c>
      <c r="DV287" s="48">
        <f>IF((121-N(V_L3_Mes)+1)=1,N(V_L3_Monto),0)*DV$9</f>
        <v>0</v>
      </c>
      <c r="DW287" s="48">
        <f>IF((122-N(V_L3_Mes)+1)=1,N(V_L3_Monto),0)*DW$9</f>
        <v>0</v>
      </c>
      <c r="DX287" s="48">
        <f>IF((123-N(V_L3_Mes)+1)=1,N(V_L3_Monto),0)*DX$9</f>
        <v>0</v>
      </c>
      <c r="DY287" s="48">
        <f>IF((124-N(V_L3_Mes)+1)=1,N(V_L3_Monto),0)*DY$9</f>
        <v>0</v>
      </c>
      <c r="DZ287" s="48">
        <f>IF((125-N(V_L3_Mes)+1)=1,N(V_L3_Monto),0)*DZ$9</f>
        <v>0</v>
      </c>
      <c r="EA287" s="48">
        <f>IF((126-N(V_L3_Mes)+1)=1,N(V_L3_Monto),0)*EA$9</f>
        <v>0</v>
      </c>
      <c r="EB287" s="48">
        <f>IF((127-N(V_L3_Mes)+1)=1,N(V_L3_Monto),0)*EB$9</f>
        <v>0</v>
      </c>
      <c r="EC287" s="48">
        <f>IF((128-N(V_L3_Mes)+1)=1,N(V_L3_Monto),0)*EC$9</f>
        <v>0</v>
      </c>
      <c r="ED287" s="48">
        <f>IF((129-N(V_L3_Mes)+1)=1,N(V_L3_Monto),0)*ED$9</f>
        <v>0</v>
      </c>
      <c r="EE287" s="48">
        <f>IF((130-N(V_L3_Mes)+1)=1,N(V_L3_Monto),0)*EE$9</f>
        <v>0</v>
      </c>
      <c r="EF287" s="48">
        <f>IF((131-N(V_L3_Mes)+1)=1,N(V_L3_Monto),0)*EF$9</f>
        <v>0</v>
      </c>
      <c r="EG287" s="48">
        <f>IF((132-N(V_L3_Mes)+1)=1,N(V_L3_Monto),0)*EG$9</f>
        <v>0</v>
      </c>
      <c r="EH287" s="48">
        <f>IF((133-N(V_L3_Mes)+1)=1,N(V_L3_Monto),0)*EH$9</f>
        <v>0</v>
      </c>
      <c r="EI287" s="48">
        <f>IF((134-N(V_L3_Mes)+1)=1,N(V_L3_Monto),0)*EI$9</f>
        <v>0</v>
      </c>
      <c r="EJ287" s="48">
        <f>IF((135-N(V_L3_Mes)+1)=1,N(V_L3_Monto),0)*EJ$9</f>
        <v>0</v>
      </c>
      <c r="EK287" s="48">
        <f>IF((136-N(V_L3_Mes)+1)=1,N(V_L3_Monto),0)*EK$9</f>
        <v>0</v>
      </c>
      <c r="EL287" s="48">
        <f>IF((137-N(V_L3_Mes)+1)=1,N(V_L3_Monto),0)*EL$9</f>
        <v>0</v>
      </c>
      <c r="EM287" s="48">
        <f>IF((138-N(V_L3_Mes)+1)=1,N(V_L3_Monto),0)*EM$9</f>
        <v>0</v>
      </c>
      <c r="EN287" s="48">
        <f>IF((139-N(V_L3_Mes)+1)=1,N(V_L3_Monto),0)*EN$9</f>
        <v>0</v>
      </c>
      <c r="EO287" s="48">
        <f>IF((140-N(V_L3_Mes)+1)=1,N(V_L3_Monto),0)*EO$9</f>
        <v>0</v>
      </c>
      <c r="EP287" s="48">
        <f>IF((141-N(V_L3_Mes)+1)=1,N(V_L3_Monto),0)*EP$9</f>
        <v>0</v>
      </c>
      <c r="EQ287" s="48">
        <f>IF((142-N(V_L3_Mes)+1)=1,N(V_L3_Monto),0)*EQ$9</f>
        <v>0</v>
      </c>
      <c r="ER287" s="48">
        <f>IF((143-N(V_L3_Mes)+1)=1,N(V_L3_Monto),0)*ER$9</f>
        <v>0</v>
      </c>
      <c r="ES287" s="48">
        <f>IF((144-N(V_L3_Mes)+1)=1,N(V_L3_Monto),0)*ES$9</f>
        <v>0</v>
      </c>
    </row>
    <row r="288" spans="1:149" x14ac:dyDescent="0.3">
      <c r="A288" s="14" t="s">
        <v>1338</v>
      </c>
      <c r="B288" s="18" t="s">
        <v>1161</v>
      </c>
      <c r="C288" s="18" t="s">
        <v>439</v>
      </c>
      <c r="E288" s="54">
        <f>SUM(F288:ES288)</f>
        <v>0</v>
      </c>
      <c r="F288" s="48">
        <f>IF((1-N(V_L3_Mes)+1)&gt;=1,IF((1-N(V_L3_Mes)+1)=1,N(V_L3_Monto),0)*N(V_L3_Tasa)/12,0)*F$9</f>
        <v>0</v>
      </c>
      <c r="G288" s="48">
        <f>IF((2-N(V_L3_Mes)+1)&gt;=1,IF((2-N(V_L3_Mes)+1)=1,N(V_L3_Monto),F$290)*N(V_L3_Tasa)/12,0)*G$9</f>
        <v>0</v>
      </c>
      <c r="H288" s="48">
        <f>IF((3-N(V_L3_Mes)+1)&gt;=1,IF((3-N(V_L3_Mes)+1)=1,N(V_L3_Monto),G$290)*N(V_L3_Tasa)/12,0)*H$9</f>
        <v>0</v>
      </c>
      <c r="I288" s="48">
        <f>IF((4-N(V_L3_Mes)+1)&gt;=1,IF((4-N(V_L3_Mes)+1)=1,N(V_L3_Monto),H$290)*N(V_L3_Tasa)/12,0)*I$9</f>
        <v>0</v>
      </c>
      <c r="J288" s="48">
        <f>IF((5-N(V_L3_Mes)+1)&gt;=1,IF((5-N(V_L3_Mes)+1)=1,N(V_L3_Monto),I$290)*N(V_L3_Tasa)/12,0)*J$9</f>
        <v>0</v>
      </c>
      <c r="K288" s="48">
        <f>IF((6-N(V_L3_Mes)+1)&gt;=1,IF((6-N(V_L3_Mes)+1)=1,N(V_L3_Monto),J$290)*N(V_L3_Tasa)/12,0)*K$9</f>
        <v>0</v>
      </c>
      <c r="L288" s="48">
        <f>IF((7-N(V_L3_Mes)+1)&gt;=1,IF((7-N(V_L3_Mes)+1)=1,N(V_L3_Monto),K$290)*N(V_L3_Tasa)/12,0)*L$9</f>
        <v>0</v>
      </c>
      <c r="M288" s="48">
        <f>IF((8-N(V_L3_Mes)+1)&gt;=1,IF((8-N(V_L3_Mes)+1)=1,N(V_L3_Monto),L$290)*N(V_L3_Tasa)/12,0)*M$9</f>
        <v>0</v>
      </c>
      <c r="N288" s="48">
        <f>IF((9-N(V_L3_Mes)+1)&gt;=1,IF((9-N(V_L3_Mes)+1)=1,N(V_L3_Monto),M$290)*N(V_L3_Tasa)/12,0)*N$9</f>
        <v>0</v>
      </c>
      <c r="O288" s="48">
        <f>IF((10-N(V_L3_Mes)+1)&gt;=1,IF((10-N(V_L3_Mes)+1)=1,N(V_L3_Monto),N$290)*N(V_L3_Tasa)/12,0)*O$9</f>
        <v>0</v>
      </c>
      <c r="P288" s="48">
        <f>IF((11-N(V_L3_Mes)+1)&gt;=1,IF((11-N(V_L3_Mes)+1)=1,N(V_L3_Monto),O$290)*N(V_L3_Tasa)/12,0)*P$9</f>
        <v>0</v>
      </c>
      <c r="Q288" s="48">
        <f>IF((12-N(V_L3_Mes)+1)&gt;=1,IF((12-N(V_L3_Mes)+1)=1,N(V_L3_Monto),P$290)*N(V_L3_Tasa)/12,0)*Q$9</f>
        <v>0</v>
      </c>
      <c r="R288" s="48">
        <f>IF((13-N(V_L3_Mes)+1)&gt;=1,IF((13-N(V_L3_Mes)+1)=1,N(V_L3_Monto),Q$290)*N(V_L3_Tasa)/12,0)*R$9</f>
        <v>0</v>
      </c>
      <c r="S288" s="48">
        <f>IF((14-N(V_L3_Mes)+1)&gt;=1,IF((14-N(V_L3_Mes)+1)=1,N(V_L3_Monto),R$290)*N(V_L3_Tasa)/12,0)*S$9</f>
        <v>0</v>
      </c>
      <c r="T288" s="48">
        <f>IF((15-N(V_L3_Mes)+1)&gt;=1,IF((15-N(V_L3_Mes)+1)=1,N(V_L3_Monto),S$290)*N(V_L3_Tasa)/12,0)*T$9</f>
        <v>0</v>
      </c>
      <c r="U288" s="48">
        <f>IF((16-N(V_L3_Mes)+1)&gt;=1,IF((16-N(V_L3_Mes)+1)=1,N(V_L3_Monto),T$290)*N(V_L3_Tasa)/12,0)*U$9</f>
        <v>0</v>
      </c>
      <c r="V288" s="48">
        <f>IF((17-N(V_L3_Mes)+1)&gt;=1,IF((17-N(V_L3_Mes)+1)=1,N(V_L3_Monto),U$290)*N(V_L3_Tasa)/12,0)*V$9</f>
        <v>0</v>
      </c>
      <c r="W288" s="48">
        <f>IF((18-N(V_L3_Mes)+1)&gt;=1,IF((18-N(V_L3_Mes)+1)=1,N(V_L3_Monto),V$290)*N(V_L3_Tasa)/12,0)*W$9</f>
        <v>0</v>
      </c>
      <c r="X288" s="48">
        <f>IF((19-N(V_L3_Mes)+1)&gt;=1,IF((19-N(V_L3_Mes)+1)=1,N(V_L3_Monto),W$290)*N(V_L3_Tasa)/12,0)*X$9</f>
        <v>0</v>
      </c>
      <c r="Y288" s="48">
        <f>IF((20-N(V_L3_Mes)+1)&gt;=1,IF((20-N(V_L3_Mes)+1)=1,N(V_L3_Monto),X$290)*N(V_L3_Tasa)/12,0)*Y$9</f>
        <v>0</v>
      </c>
      <c r="Z288" s="48">
        <f>IF((21-N(V_L3_Mes)+1)&gt;=1,IF((21-N(V_L3_Mes)+1)=1,N(V_L3_Monto),Y$290)*N(V_L3_Tasa)/12,0)*Z$9</f>
        <v>0</v>
      </c>
      <c r="AA288" s="48">
        <f>IF((22-N(V_L3_Mes)+1)&gt;=1,IF((22-N(V_L3_Mes)+1)=1,N(V_L3_Monto),Z$290)*N(V_L3_Tasa)/12,0)*AA$9</f>
        <v>0</v>
      </c>
      <c r="AB288" s="48">
        <f>IF((23-N(V_L3_Mes)+1)&gt;=1,IF((23-N(V_L3_Mes)+1)=1,N(V_L3_Monto),AA$290)*N(V_L3_Tasa)/12,0)*AB$9</f>
        <v>0</v>
      </c>
      <c r="AC288" s="48">
        <f>IF((24-N(V_L3_Mes)+1)&gt;=1,IF((24-N(V_L3_Mes)+1)=1,N(V_L3_Monto),AB$290)*N(V_L3_Tasa)/12,0)*AC$9</f>
        <v>0</v>
      </c>
      <c r="AD288" s="48">
        <f>IF((25-N(V_L3_Mes)+1)&gt;=1,IF((25-N(V_L3_Mes)+1)=1,N(V_L3_Monto),AC$290)*N(V_L3_Tasa)/12,0)*AD$9</f>
        <v>0</v>
      </c>
      <c r="AE288" s="48">
        <f>IF((26-N(V_L3_Mes)+1)&gt;=1,IF((26-N(V_L3_Mes)+1)=1,N(V_L3_Monto),AD$290)*N(V_L3_Tasa)/12,0)*AE$9</f>
        <v>0</v>
      </c>
      <c r="AF288" s="48">
        <f>IF((27-N(V_L3_Mes)+1)&gt;=1,IF((27-N(V_L3_Mes)+1)=1,N(V_L3_Monto),AE$290)*N(V_L3_Tasa)/12,0)*AF$9</f>
        <v>0</v>
      </c>
      <c r="AG288" s="48">
        <f>IF((28-N(V_L3_Mes)+1)&gt;=1,IF((28-N(V_L3_Mes)+1)=1,N(V_L3_Monto),AF$290)*N(V_L3_Tasa)/12,0)*AG$9</f>
        <v>0</v>
      </c>
      <c r="AH288" s="48">
        <f>IF((29-N(V_L3_Mes)+1)&gt;=1,IF((29-N(V_L3_Mes)+1)=1,N(V_L3_Monto),AG$290)*N(V_L3_Tasa)/12,0)*AH$9</f>
        <v>0</v>
      </c>
      <c r="AI288" s="48">
        <f>IF((30-N(V_L3_Mes)+1)&gt;=1,IF((30-N(V_L3_Mes)+1)=1,N(V_L3_Monto),AH$290)*N(V_L3_Tasa)/12,0)*AI$9</f>
        <v>0</v>
      </c>
      <c r="AJ288" s="48">
        <f>IF((31-N(V_L3_Mes)+1)&gt;=1,IF((31-N(V_L3_Mes)+1)=1,N(V_L3_Monto),AI$290)*N(V_L3_Tasa)/12,0)*AJ$9</f>
        <v>0</v>
      </c>
      <c r="AK288" s="48">
        <f>IF((32-N(V_L3_Mes)+1)&gt;=1,IF((32-N(V_L3_Mes)+1)=1,N(V_L3_Monto),AJ$290)*N(V_L3_Tasa)/12,0)*AK$9</f>
        <v>0</v>
      </c>
      <c r="AL288" s="48">
        <f>IF((33-N(V_L3_Mes)+1)&gt;=1,IF((33-N(V_L3_Mes)+1)=1,N(V_L3_Monto),AK$290)*N(V_L3_Tasa)/12,0)*AL$9</f>
        <v>0</v>
      </c>
      <c r="AM288" s="48">
        <f>IF((34-N(V_L3_Mes)+1)&gt;=1,IF((34-N(V_L3_Mes)+1)=1,N(V_L3_Monto),AL$290)*N(V_L3_Tasa)/12,0)*AM$9</f>
        <v>0</v>
      </c>
      <c r="AN288" s="48">
        <f>IF((35-N(V_L3_Mes)+1)&gt;=1,IF((35-N(V_L3_Mes)+1)=1,N(V_L3_Monto),AM$290)*N(V_L3_Tasa)/12,0)*AN$9</f>
        <v>0</v>
      </c>
      <c r="AO288" s="48">
        <f>IF((36-N(V_L3_Mes)+1)&gt;=1,IF((36-N(V_L3_Mes)+1)=1,N(V_L3_Monto),AN$290)*N(V_L3_Tasa)/12,0)*AO$9</f>
        <v>0</v>
      </c>
      <c r="AP288" s="48">
        <f>IF((37-N(V_L3_Mes)+1)&gt;=1,IF((37-N(V_L3_Mes)+1)=1,N(V_L3_Monto),AO$290)*N(V_L3_Tasa)/12,0)*AP$9</f>
        <v>0</v>
      </c>
      <c r="AQ288" s="48">
        <f>IF((38-N(V_L3_Mes)+1)&gt;=1,IF((38-N(V_L3_Mes)+1)=1,N(V_L3_Monto),AP$290)*N(V_L3_Tasa)/12,0)*AQ$9</f>
        <v>0</v>
      </c>
      <c r="AR288" s="48">
        <f>IF((39-N(V_L3_Mes)+1)&gt;=1,IF((39-N(V_L3_Mes)+1)=1,N(V_L3_Monto),AQ$290)*N(V_L3_Tasa)/12,0)*AR$9</f>
        <v>0</v>
      </c>
      <c r="AS288" s="48">
        <f>IF((40-N(V_L3_Mes)+1)&gt;=1,IF((40-N(V_L3_Mes)+1)=1,N(V_L3_Monto),AR$290)*N(V_L3_Tasa)/12,0)*AS$9</f>
        <v>0</v>
      </c>
      <c r="AT288" s="48">
        <f>IF((41-N(V_L3_Mes)+1)&gt;=1,IF((41-N(V_L3_Mes)+1)=1,N(V_L3_Monto),AS$290)*N(V_L3_Tasa)/12,0)*AT$9</f>
        <v>0</v>
      </c>
      <c r="AU288" s="48">
        <f>IF((42-N(V_L3_Mes)+1)&gt;=1,IF((42-N(V_L3_Mes)+1)=1,N(V_L3_Monto),AT$290)*N(V_L3_Tasa)/12,0)*AU$9</f>
        <v>0</v>
      </c>
      <c r="AV288" s="48">
        <f>IF((43-N(V_L3_Mes)+1)&gt;=1,IF((43-N(V_L3_Mes)+1)=1,N(V_L3_Monto),AU$290)*N(V_L3_Tasa)/12,0)*AV$9</f>
        <v>0</v>
      </c>
      <c r="AW288" s="48">
        <f>IF((44-N(V_L3_Mes)+1)&gt;=1,IF((44-N(V_L3_Mes)+1)=1,N(V_L3_Monto),AV$290)*N(V_L3_Tasa)/12,0)*AW$9</f>
        <v>0</v>
      </c>
      <c r="AX288" s="48">
        <f>IF((45-N(V_L3_Mes)+1)&gt;=1,IF((45-N(V_L3_Mes)+1)=1,N(V_L3_Monto),AW$290)*N(V_L3_Tasa)/12,0)*AX$9</f>
        <v>0</v>
      </c>
      <c r="AY288" s="48">
        <f>IF((46-N(V_L3_Mes)+1)&gt;=1,IF((46-N(V_L3_Mes)+1)=1,N(V_L3_Monto),AX$290)*N(V_L3_Tasa)/12,0)*AY$9</f>
        <v>0</v>
      </c>
      <c r="AZ288" s="48">
        <f>IF((47-N(V_L3_Mes)+1)&gt;=1,IF((47-N(V_L3_Mes)+1)=1,N(V_L3_Monto),AY$290)*N(V_L3_Tasa)/12,0)*AZ$9</f>
        <v>0</v>
      </c>
      <c r="BA288" s="48">
        <f>IF((48-N(V_L3_Mes)+1)&gt;=1,IF((48-N(V_L3_Mes)+1)=1,N(V_L3_Monto),AZ$290)*N(V_L3_Tasa)/12,0)*BA$9</f>
        <v>0</v>
      </c>
      <c r="BB288" s="48">
        <f>IF((49-N(V_L3_Mes)+1)&gt;=1,IF((49-N(V_L3_Mes)+1)=1,N(V_L3_Monto),BA$290)*N(V_L3_Tasa)/12,0)*BB$9</f>
        <v>0</v>
      </c>
      <c r="BC288" s="48">
        <f>IF((50-N(V_L3_Mes)+1)&gt;=1,IF((50-N(V_L3_Mes)+1)=1,N(V_L3_Monto),BB$290)*N(V_L3_Tasa)/12,0)*BC$9</f>
        <v>0</v>
      </c>
      <c r="BD288" s="48">
        <f>IF((51-N(V_L3_Mes)+1)&gt;=1,IF((51-N(V_L3_Mes)+1)=1,N(V_L3_Monto),BC$290)*N(V_L3_Tasa)/12,0)*BD$9</f>
        <v>0</v>
      </c>
      <c r="BE288" s="48">
        <f>IF((52-N(V_L3_Mes)+1)&gt;=1,IF((52-N(V_L3_Mes)+1)=1,N(V_L3_Monto),BD$290)*N(V_L3_Tasa)/12,0)*BE$9</f>
        <v>0</v>
      </c>
      <c r="BF288" s="48">
        <f>IF((53-N(V_L3_Mes)+1)&gt;=1,IF((53-N(V_L3_Mes)+1)=1,N(V_L3_Monto),BE$290)*N(V_L3_Tasa)/12,0)*BF$9</f>
        <v>0</v>
      </c>
      <c r="BG288" s="48">
        <f>IF((54-N(V_L3_Mes)+1)&gt;=1,IF((54-N(V_L3_Mes)+1)=1,N(V_L3_Monto),BF$290)*N(V_L3_Tasa)/12,0)*BG$9</f>
        <v>0</v>
      </c>
      <c r="BH288" s="48">
        <f>IF((55-N(V_L3_Mes)+1)&gt;=1,IF((55-N(V_L3_Mes)+1)=1,N(V_L3_Monto),BG$290)*N(V_L3_Tasa)/12,0)*BH$9</f>
        <v>0</v>
      </c>
      <c r="BI288" s="48">
        <f>IF((56-N(V_L3_Mes)+1)&gt;=1,IF((56-N(V_L3_Mes)+1)=1,N(V_L3_Monto),BH$290)*N(V_L3_Tasa)/12,0)*BI$9</f>
        <v>0</v>
      </c>
      <c r="BJ288" s="48">
        <f>IF((57-N(V_L3_Mes)+1)&gt;=1,IF((57-N(V_L3_Mes)+1)=1,N(V_L3_Monto),BI$290)*N(V_L3_Tasa)/12,0)*BJ$9</f>
        <v>0</v>
      </c>
      <c r="BK288" s="48">
        <f>IF((58-N(V_L3_Mes)+1)&gt;=1,IF((58-N(V_L3_Mes)+1)=1,N(V_L3_Monto),BJ$290)*N(V_L3_Tasa)/12,0)*BK$9</f>
        <v>0</v>
      </c>
      <c r="BL288" s="48">
        <f>IF((59-N(V_L3_Mes)+1)&gt;=1,IF((59-N(V_L3_Mes)+1)=1,N(V_L3_Monto),BK$290)*N(V_L3_Tasa)/12,0)*BL$9</f>
        <v>0</v>
      </c>
      <c r="BM288" s="48">
        <f>IF((60-N(V_L3_Mes)+1)&gt;=1,IF((60-N(V_L3_Mes)+1)=1,N(V_L3_Monto),BL$290)*N(V_L3_Tasa)/12,0)*BM$9</f>
        <v>0</v>
      </c>
      <c r="BN288" s="48">
        <f>IF((61-N(V_L3_Mes)+1)&gt;=1,IF((61-N(V_L3_Mes)+1)=1,N(V_L3_Monto),BM$290)*N(V_L3_Tasa)/12,0)*BN$9</f>
        <v>0</v>
      </c>
      <c r="BO288" s="48">
        <f>IF((62-N(V_L3_Mes)+1)&gt;=1,IF((62-N(V_L3_Mes)+1)=1,N(V_L3_Monto),BN$290)*N(V_L3_Tasa)/12,0)*BO$9</f>
        <v>0</v>
      </c>
      <c r="BP288" s="48">
        <f>IF((63-N(V_L3_Mes)+1)&gt;=1,IF((63-N(V_L3_Mes)+1)=1,N(V_L3_Monto),BO$290)*N(V_L3_Tasa)/12,0)*BP$9</f>
        <v>0</v>
      </c>
      <c r="BQ288" s="48">
        <f>IF((64-N(V_L3_Mes)+1)&gt;=1,IF((64-N(V_L3_Mes)+1)=1,N(V_L3_Monto),BP$290)*N(V_L3_Tasa)/12,0)*BQ$9</f>
        <v>0</v>
      </c>
      <c r="BR288" s="48">
        <f>IF((65-N(V_L3_Mes)+1)&gt;=1,IF((65-N(V_L3_Mes)+1)=1,N(V_L3_Monto),BQ$290)*N(V_L3_Tasa)/12,0)*BR$9</f>
        <v>0</v>
      </c>
      <c r="BS288" s="48">
        <f>IF((66-N(V_L3_Mes)+1)&gt;=1,IF((66-N(V_L3_Mes)+1)=1,N(V_L3_Monto),BR$290)*N(V_L3_Tasa)/12,0)*BS$9</f>
        <v>0</v>
      </c>
      <c r="BT288" s="48">
        <f>IF((67-N(V_L3_Mes)+1)&gt;=1,IF((67-N(V_L3_Mes)+1)=1,N(V_L3_Monto),BS$290)*N(V_L3_Tasa)/12,0)*BT$9</f>
        <v>0</v>
      </c>
      <c r="BU288" s="48">
        <f>IF((68-N(V_L3_Mes)+1)&gt;=1,IF((68-N(V_L3_Mes)+1)=1,N(V_L3_Monto),BT$290)*N(V_L3_Tasa)/12,0)*BU$9</f>
        <v>0</v>
      </c>
      <c r="BV288" s="48">
        <f>IF((69-N(V_L3_Mes)+1)&gt;=1,IF((69-N(V_L3_Mes)+1)=1,N(V_L3_Monto),BU$290)*N(V_L3_Tasa)/12,0)*BV$9</f>
        <v>0</v>
      </c>
      <c r="BW288" s="48">
        <f>IF((70-N(V_L3_Mes)+1)&gt;=1,IF((70-N(V_L3_Mes)+1)=1,N(V_L3_Monto),BV$290)*N(V_L3_Tasa)/12,0)*BW$9</f>
        <v>0</v>
      </c>
      <c r="BX288" s="48">
        <f>IF((71-N(V_L3_Mes)+1)&gt;=1,IF((71-N(V_L3_Mes)+1)=1,N(V_L3_Monto),BW$290)*N(V_L3_Tasa)/12,0)*BX$9</f>
        <v>0</v>
      </c>
      <c r="BY288" s="48">
        <f>IF((72-N(V_L3_Mes)+1)&gt;=1,IF((72-N(V_L3_Mes)+1)=1,N(V_L3_Monto),BX$290)*N(V_L3_Tasa)/12,0)*BY$9</f>
        <v>0</v>
      </c>
      <c r="BZ288" s="48">
        <f>IF((73-N(V_L3_Mes)+1)&gt;=1,IF((73-N(V_L3_Mes)+1)=1,N(V_L3_Monto),BY$290)*N(V_L3_Tasa)/12,0)*BZ$9</f>
        <v>0</v>
      </c>
      <c r="CA288" s="48">
        <f>IF((74-N(V_L3_Mes)+1)&gt;=1,IF((74-N(V_L3_Mes)+1)=1,N(V_L3_Monto),BZ$290)*N(V_L3_Tasa)/12,0)*CA$9</f>
        <v>0</v>
      </c>
      <c r="CB288" s="48">
        <f>IF((75-N(V_L3_Mes)+1)&gt;=1,IF((75-N(V_L3_Mes)+1)=1,N(V_L3_Monto),CA$290)*N(V_L3_Tasa)/12,0)*CB$9</f>
        <v>0</v>
      </c>
      <c r="CC288" s="48">
        <f>IF((76-N(V_L3_Mes)+1)&gt;=1,IF((76-N(V_L3_Mes)+1)=1,N(V_L3_Monto),CB$290)*N(V_L3_Tasa)/12,0)*CC$9</f>
        <v>0</v>
      </c>
      <c r="CD288" s="48">
        <f>IF((77-N(V_L3_Mes)+1)&gt;=1,IF((77-N(V_L3_Mes)+1)=1,N(V_L3_Monto),CC$290)*N(V_L3_Tasa)/12,0)*CD$9</f>
        <v>0</v>
      </c>
      <c r="CE288" s="48">
        <f>IF((78-N(V_L3_Mes)+1)&gt;=1,IF((78-N(V_L3_Mes)+1)=1,N(V_L3_Monto),CD$290)*N(V_L3_Tasa)/12,0)*CE$9</f>
        <v>0</v>
      </c>
      <c r="CF288" s="48">
        <f>IF((79-N(V_L3_Mes)+1)&gt;=1,IF((79-N(V_L3_Mes)+1)=1,N(V_L3_Monto),CE$290)*N(V_L3_Tasa)/12,0)*CF$9</f>
        <v>0</v>
      </c>
      <c r="CG288" s="48">
        <f>IF((80-N(V_L3_Mes)+1)&gt;=1,IF((80-N(V_L3_Mes)+1)=1,N(V_L3_Monto),CF$290)*N(V_L3_Tasa)/12,0)*CG$9</f>
        <v>0</v>
      </c>
      <c r="CH288" s="48">
        <f>IF((81-N(V_L3_Mes)+1)&gt;=1,IF((81-N(V_L3_Mes)+1)=1,N(V_L3_Monto),CG$290)*N(V_L3_Tasa)/12,0)*CH$9</f>
        <v>0</v>
      </c>
      <c r="CI288" s="48">
        <f>IF((82-N(V_L3_Mes)+1)&gt;=1,IF((82-N(V_L3_Mes)+1)=1,N(V_L3_Monto),CH$290)*N(V_L3_Tasa)/12,0)*CI$9</f>
        <v>0</v>
      </c>
      <c r="CJ288" s="48">
        <f>IF((83-N(V_L3_Mes)+1)&gt;=1,IF((83-N(V_L3_Mes)+1)=1,N(V_L3_Monto),CI$290)*N(V_L3_Tasa)/12,0)*CJ$9</f>
        <v>0</v>
      </c>
      <c r="CK288" s="48">
        <f>IF((84-N(V_L3_Mes)+1)&gt;=1,IF((84-N(V_L3_Mes)+1)=1,N(V_L3_Monto),CJ$290)*N(V_L3_Tasa)/12,0)*CK$9</f>
        <v>0</v>
      </c>
      <c r="CL288" s="48">
        <f>IF((85-N(V_L3_Mes)+1)&gt;=1,IF((85-N(V_L3_Mes)+1)=1,N(V_L3_Monto),CK$290)*N(V_L3_Tasa)/12,0)*CL$9</f>
        <v>0</v>
      </c>
      <c r="CM288" s="48">
        <f>IF((86-N(V_L3_Mes)+1)&gt;=1,IF((86-N(V_L3_Mes)+1)=1,N(V_L3_Monto),CL$290)*N(V_L3_Tasa)/12,0)*CM$9</f>
        <v>0</v>
      </c>
      <c r="CN288" s="48">
        <f>IF((87-N(V_L3_Mes)+1)&gt;=1,IF((87-N(V_L3_Mes)+1)=1,N(V_L3_Monto),CM$290)*N(V_L3_Tasa)/12,0)*CN$9</f>
        <v>0</v>
      </c>
      <c r="CO288" s="48">
        <f>IF((88-N(V_L3_Mes)+1)&gt;=1,IF((88-N(V_L3_Mes)+1)=1,N(V_L3_Monto),CN$290)*N(V_L3_Tasa)/12,0)*CO$9</f>
        <v>0</v>
      </c>
      <c r="CP288" s="48">
        <f>IF((89-N(V_L3_Mes)+1)&gt;=1,IF((89-N(V_L3_Mes)+1)=1,N(V_L3_Monto),CO$290)*N(V_L3_Tasa)/12,0)*CP$9</f>
        <v>0</v>
      </c>
      <c r="CQ288" s="48">
        <f>IF((90-N(V_L3_Mes)+1)&gt;=1,IF((90-N(V_L3_Mes)+1)=1,N(V_L3_Monto),CP$290)*N(V_L3_Tasa)/12,0)*CQ$9</f>
        <v>0</v>
      </c>
      <c r="CR288" s="48">
        <f>IF((91-N(V_L3_Mes)+1)&gt;=1,IF((91-N(V_L3_Mes)+1)=1,N(V_L3_Monto),CQ$290)*N(V_L3_Tasa)/12,0)*CR$9</f>
        <v>0</v>
      </c>
      <c r="CS288" s="48">
        <f>IF((92-N(V_L3_Mes)+1)&gt;=1,IF((92-N(V_L3_Mes)+1)=1,N(V_L3_Monto),CR$290)*N(V_L3_Tasa)/12,0)*CS$9</f>
        <v>0</v>
      </c>
      <c r="CT288" s="48">
        <f>IF((93-N(V_L3_Mes)+1)&gt;=1,IF((93-N(V_L3_Mes)+1)=1,N(V_L3_Monto),CS$290)*N(V_L3_Tasa)/12,0)*CT$9</f>
        <v>0</v>
      </c>
      <c r="CU288" s="48">
        <f>IF((94-N(V_L3_Mes)+1)&gt;=1,IF((94-N(V_L3_Mes)+1)=1,N(V_L3_Monto),CT$290)*N(V_L3_Tasa)/12,0)*CU$9</f>
        <v>0</v>
      </c>
      <c r="CV288" s="48">
        <f>IF((95-N(V_L3_Mes)+1)&gt;=1,IF((95-N(V_L3_Mes)+1)=1,N(V_L3_Monto),CU$290)*N(V_L3_Tasa)/12,0)*CV$9</f>
        <v>0</v>
      </c>
      <c r="CW288" s="48">
        <f>IF((96-N(V_L3_Mes)+1)&gt;=1,IF((96-N(V_L3_Mes)+1)=1,N(V_L3_Monto),CV$290)*N(V_L3_Tasa)/12,0)*CW$9</f>
        <v>0</v>
      </c>
      <c r="CX288" s="48">
        <f>IF((97-N(V_L3_Mes)+1)&gt;=1,IF((97-N(V_L3_Mes)+1)=1,N(V_L3_Monto),CW$290)*N(V_L3_Tasa)/12,0)*CX$9</f>
        <v>0</v>
      </c>
      <c r="CY288" s="48">
        <f>IF((98-N(V_L3_Mes)+1)&gt;=1,IF((98-N(V_L3_Mes)+1)=1,N(V_L3_Monto),CX$290)*N(V_L3_Tasa)/12,0)*CY$9</f>
        <v>0</v>
      </c>
      <c r="CZ288" s="48">
        <f>IF((99-N(V_L3_Mes)+1)&gt;=1,IF((99-N(V_L3_Mes)+1)=1,N(V_L3_Monto),CY$290)*N(V_L3_Tasa)/12,0)*CZ$9</f>
        <v>0</v>
      </c>
      <c r="DA288" s="48">
        <f>IF((100-N(V_L3_Mes)+1)&gt;=1,IF((100-N(V_L3_Mes)+1)=1,N(V_L3_Monto),CZ$290)*N(V_L3_Tasa)/12,0)*DA$9</f>
        <v>0</v>
      </c>
      <c r="DB288" s="48">
        <f>IF((101-N(V_L3_Mes)+1)&gt;=1,IF((101-N(V_L3_Mes)+1)=1,N(V_L3_Monto),DA$290)*N(V_L3_Tasa)/12,0)*DB$9</f>
        <v>0</v>
      </c>
      <c r="DC288" s="48">
        <f>IF((102-N(V_L3_Mes)+1)&gt;=1,IF((102-N(V_L3_Mes)+1)=1,N(V_L3_Monto),DB$290)*N(V_L3_Tasa)/12,0)*DC$9</f>
        <v>0</v>
      </c>
      <c r="DD288" s="48">
        <f>IF((103-N(V_L3_Mes)+1)&gt;=1,IF((103-N(V_L3_Mes)+1)=1,N(V_L3_Monto),DC$290)*N(V_L3_Tasa)/12,0)*DD$9</f>
        <v>0</v>
      </c>
      <c r="DE288" s="48">
        <f>IF((104-N(V_L3_Mes)+1)&gt;=1,IF((104-N(V_L3_Mes)+1)=1,N(V_L3_Monto),DD$290)*N(V_L3_Tasa)/12,0)*DE$9</f>
        <v>0</v>
      </c>
      <c r="DF288" s="48">
        <f>IF((105-N(V_L3_Mes)+1)&gt;=1,IF((105-N(V_L3_Mes)+1)=1,N(V_L3_Monto),DE$290)*N(V_L3_Tasa)/12,0)*DF$9</f>
        <v>0</v>
      </c>
      <c r="DG288" s="48">
        <f>IF((106-N(V_L3_Mes)+1)&gt;=1,IF((106-N(V_L3_Mes)+1)=1,N(V_L3_Monto),DF$290)*N(V_L3_Tasa)/12,0)*DG$9</f>
        <v>0</v>
      </c>
      <c r="DH288" s="48">
        <f>IF((107-N(V_L3_Mes)+1)&gt;=1,IF((107-N(V_L3_Mes)+1)=1,N(V_L3_Monto),DG$290)*N(V_L3_Tasa)/12,0)*DH$9</f>
        <v>0</v>
      </c>
      <c r="DI288" s="48">
        <f>IF((108-N(V_L3_Mes)+1)&gt;=1,IF((108-N(V_L3_Mes)+1)=1,N(V_L3_Monto),DH$290)*N(V_L3_Tasa)/12,0)*DI$9</f>
        <v>0</v>
      </c>
      <c r="DJ288" s="48">
        <f>IF((109-N(V_L3_Mes)+1)&gt;=1,IF((109-N(V_L3_Mes)+1)=1,N(V_L3_Monto),DI$290)*N(V_L3_Tasa)/12,0)*DJ$9</f>
        <v>0</v>
      </c>
      <c r="DK288" s="48">
        <f>IF((110-N(V_L3_Mes)+1)&gt;=1,IF((110-N(V_L3_Mes)+1)=1,N(V_L3_Monto),DJ$290)*N(V_L3_Tasa)/12,0)*DK$9</f>
        <v>0</v>
      </c>
      <c r="DL288" s="48">
        <f>IF((111-N(V_L3_Mes)+1)&gt;=1,IF((111-N(V_L3_Mes)+1)=1,N(V_L3_Monto),DK$290)*N(V_L3_Tasa)/12,0)*DL$9</f>
        <v>0</v>
      </c>
      <c r="DM288" s="48">
        <f>IF((112-N(V_L3_Mes)+1)&gt;=1,IF((112-N(V_L3_Mes)+1)=1,N(V_L3_Monto),DL$290)*N(V_L3_Tasa)/12,0)*DM$9</f>
        <v>0</v>
      </c>
      <c r="DN288" s="48">
        <f>IF((113-N(V_L3_Mes)+1)&gt;=1,IF((113-N(V_L3_Mes)+1)=1,N(V_L3_Monto),DM$290)*N(V_L3_Tasa)/12,0)*DN$9</f>
        <v>0</v>
      </c>
      <c r="DO288" s="48">
        <f>IF((114-N(V_L3_Mes)+1)&gt;=1,IF((114-N(V_L3_Mes)+1)=1,N(V_L3_Monto),DN$290)*N(V_L3_Tasa)/12,0)*DO$9</f>
        <v>0</v>
      </c>
      <c r="DP288" s="48">
        <f>IF((115-N(V_L3_Mes)+1)&gt;=1,IF((115-N(V_L3_Mes)+1)=1,N(V_L3_Monto),DO$290)*N(V_L3_Tasa)/12,0)*DP$9</f>
        <v>0</v>
      </c>
      <c r="DQ288" s="48">
        <f>IF((116-N(V_L3_Mes)+1)&gt;=1,IF((116-N(V_L3_Mes)+1)=1,N(V_L3_Monto),DP$290)*N(V_L3_Tasa)/12,0)*DQ$9</f>
        <v>0</v>
      </c>
      <c r="DR288" s="48">
        <f>IF((117-N(V_L3_Mes)+1)&gt;=1,IF((117-N(V_L3_Mes)+1)=1,N(V_L3_Monto),DQ$290)*N(V_L3_Tasa)/12,0)*DR$9</f>
        <v>0</v>
      </c>
      <c r="DS288" s="48">
        <f>IF((118-N(V_L3_Mes)+1)&gt;=1,IF((118-N(V_L3_Mes)+1)=1,N(V_L3_Monto),DR$290)*N(V_L3_Tasa)/12,0)*DS$9</f>
        <v>0</v>
      </c>
      <c r="DT288" s="48">
        <f>IF((119-N(V_L3_Mes)+1)&gt;=1,IF((119-N(V_L3_Mes)+1)=1,N(V_L3_Monto),DS$290)*N(V_L3_Tasa)/12,0)*DT$9</f>
        <v>0</v>
      </c>
      <c r="DU288" s="48">
        <f>IF((120-N(V_L3_Mes)+1)&gt;=1,IF((120-N(V_L3_Mes)+1)=1,N(V_L3_Monto),DT$290)*N(V_L3_Tasa)/12,0)*DU$9</f>
        <v>0</v>
      </c>
      <c r="DV288" s="48">
        <f>IF((121-N(V_L3_Mes)+1)&gt;=1,IF((121-N(V_L3_Mes)+1)=1,N(V_L3_Monto),DU$290)*N(V_L3_Tasa)/12,0)*DV$9</f>
        <v>0</v>
      </c>
      <c r="DW288" s="48">
        <f>IF((122-N(V_L3_Mes)+1)&gt;=1,IF((122-N(V_L3_Mes)+1)=1,N(V_L3_Monto),DV$290)*N(V_L3_Tasa)/12,0)*DW$9</f>
        <v>0</v>
      </c>
      <c r="DX288" s="48">
        <f>IF((123-N(V_L3_Mes)+1)&gt;=1,IF((123-N(V_L3_Mes)+1)=1,N(V_L3_Monto),DW$290)*N(V_L3_Tasa)/12,0)*DX$9</f>
        <v>0</v>
      </c>
      <c r="DY288" s="48">
        <f>IF((124-N(V_L3_Mes)+1)&gt;=1,IF((124-N(V_L3_Mes)+1)=1,N(V_L3_Monto),DX$290)*N(V_L3_Tasa)/12,0)*DY$9</f>
        <v>0</v>
      </c>
      <c r="DZ288" s="48">
        <f>IF((125-N(V_L3_Mes)+1)&gt;=1,IF((125-N(V_L3_Mes)+1)=1,N(V_L3_Monto),DY$290)*N(V_L3_Tasa)/12,0)*DZ$9</f>
        <v>0</v>
      </c>
      <c r="EA288" s="48">
        <f>IF((126-N(V_L3_Mes)+1)&gt;=1,IF((126-N(V_L3_Mes)+1)=1,N(V_L3_Monto),DZ$290)*N(V_L3_Tasa)/12,0)*EA$9</f>
        <v>0</v>
      </c>
      <c r="EB288" s="48">
        <f>IF((127-N(V_L3_Mes)+1)&gt;=1,IF((127-N(V_L3_Mes)+1)=1,N(V_L3_Monto),EA$290)*N(V_L3_Tasa)/12,0)*EB$9</f>
        <v>0</v>
      </c>
      <c r="EC288" s="48">
        <f>IF((128-N(V_L3_Mes)+1)&gt;=1,IF((128-N(V_L3_Mes)+1)=1,N(V_L3_Monto),EB$290)*N(V_L3_Tasa)/12,0)*EC$9</f>
        <v>0</v>
      </c>
      <c r="ED288" s="48">
        <f>IF((129-N(V_L3_Mes)+1)&gt;=1,IF((129-N(V_L3_Mes)+1)=1,N(V_L3_Monto),EC$290)*N(V_L3_Tasa)/12,0)*ED$9</f>
        <v>0</v>
      </c>
      <c r="EE288" s="48">
        <f>IF((130-N(V_L3_Mes)+1)&gt;=1,IF((130-N(V_L3_Mes)+1)=1,N(V_L3_Monto),ED$290)*N(V_L3_Tasa)/12,0)*EE$9</f>
        <v>0</v>
      </c>
      <c r="EF288" s="48">
        <f>IF((131-N(V_L3_Mes)+1)&gt;=1,IF((131-N(V_L3_Mes)+1)=1,N(V_L3_Monto),EE$290)*N(V_L3_Tasa)/12,0)*EF$9</f>
        <v>0</v>
      </c>
      <c r="EG288" s="48">
        <f>IF((132-N(V_L3_Mes)+1)&gt;=1,IF((132-N(V_L3_Mes)+1)=1,N(V_L3_Monto),EF$290)*N(V_L3_Tasa)/12,0)*EG$9</f>
        <v>0</v>
      </c>
      <c r="EH288" s="48">
        <f>IF((133-N(V_L3_Mes)+1)&gt;=1,IF((133-N(V_L3_Mes)+1)=1,N(V_L3_Monto),EG$290)*N(V_L3_Tasa)/12,0)*EH$9</f>
        <v>0</v>
      </c>
      <c r="EI288" s="48">
        <f>IF((134-N(V_L3_Mes)+1)&gt;=1,IF((134-N(V_L3_Mes)+1)=1,N(V_L3_Monto),EH$290)*N(V_L3_Tasa)/12,0)*EI$9</f>
        <v>0</v>
      </c>
      <c r="EJ288" s="48">
        <f>IF((135-N(V_L3_Mes)+1)&gt;=1,IF((135-N(V_L3_Mes)+1)=1,N(V_L3_Monto),EI$290)*N(V_L3_Tasa)/12,0)*EJ$9</f>
        <v>0</v>
      </c>
      <c r="EK288" s="48">
        <f>IF((136-N(V_L3_Mes)+1)&gt;=1,IF((136-N(V_L3_Mes)+1)=1,N(V_L3_Monto),EJ$290)*N(V_L3_Tasa)/12,0)*EK$9</f>
        <v>0</v>
      </c>
      <c r="EL288" s="48">
        <f>IF((137-N(V_L3_Mes)+1)&gt;=1,IF((137-N(V_L3_Mes)+1)=1,N(V_L3_Monto),EK$290)*N(V_L3_Tasa)/12,0)*EL$9</f>
        <v>0</v>
      </c>
      <c r="EM288" s="48">
        <f>IF((138-N(V_L3_Mes)+1)&gt;=1,IF((138-N(V_L3_Mes)+1)=1,N(V_L3_Monto),EL$290)*N(V_L3_Tasa)/12,0)*EM$9</f>
        <v>0</v>
      </c>
      <c r="EN288" s="48">
        <f>IF((139-N(V_L3_Mes)+1)&gt;=1,IF((139-N(V_L3_Mes)+1)=1,N(V_L3_Monto),EM$290)*N(V_L3_Tasa)/12,0)*EN$9</f>
        <v>0</v>
      </c>
      <c r="EO288" s="48">
        <f>IF((140-N(V_L3_Mes)+1)&gt;=1,IF((140-N(V_L3_Mes)+1)=1,N(V_L3_Monto),EN$290)*N(V_L3_Tasa)/12,0)*EO$9</f>
        <v>0</v>
      </c>
      <c r="EP288" s="48">
        <f>IF((141-N(V_L3_Mes)+1)&gt;=1,IF((141-N(V_L3_Mes)+1)=1,N(V_L3_Monto),EO$290)*N(V_L3_Tasa)/12,0)*EP$9</f>
        <v>0</v>
      </c>
      <c r="EQ288" s="48">
        <f>IF((142-N(V_L3_Mes)+1)&gt;=1,IF((142-N(V_L3_Mes)+1)=1,N(V_L3_Monto),EP$290)*N(V_L3_Tasa)/12,0)*EQ$9</f>
        <v>0</v>
      </c>
      <c r="ER288" s="48">
        <f>IF((143-N(V_L3_Mes)+1)&gt;=1,IF((143-N(V_L3_Mes)+1)=1,N(V_L3_Monto),EQ$290)*N(V_L3_Tasa)/12,0)*ER$9</f>
        <v>0</v>
      </c>
      <c r="ES288" s="48">
        <f>IF((144-N(V_L3_Mes)+1)&gt;=1,IF((144-N(V_L3_Mes)+1)=1,N(V_L3_Monto),ER$290)*N(V_L3_Tasa)/12,0)*ES$9</f>
        <v>0</v>
      </c>
    </row>
    <row r="289" spans="1:149" x14ac:dyDescent="0.3">
      <c r="A289" s="14" t="s">
        <v>1339</v>
      </c>
      <c r="B289" s="18" t="s">
        <v>1163</v>
      </c>
      <c r="C289" s="18" t="s">
        <v>439</v>
      </c>
      <c r="E289" s="54">
        <f>SUM(F289:ES289)</f>
        <v>0</v>
      </c>
      <c r="F289" s="48">
        <f>IF(AND((1-N(V_L3_Mes)+1)&gt;N(V_L3_Gracia),(1-N(V_L3_Mes)+1)&lt;=N(V_L3_Gracia)+N(V_L3_Cuotas),N(V_L3_Cuotas)&gt;0),IF((1-N(V_L3_Mes)+1)=N(V_L3_Gracia)+N(V_L3_Cuotas),IF((1-N(V_L3_Mes)+1)=1,N(V_L3_Monto),0),PMT(N(V_L3_Tasa)/12,N(V_L3_Cuotas),-N(V_L3_Monto))-F$288),0)*F$9</f>
        <v>0</v>
      </c>
      <c r="G289" s="48">
        <f>IF(AND((2-N(V_L3_Mes)+1)&gt;N(V_L3_Gracia),(2-N(V_L3_Mes)+1)&lt;=N(V_L3_Gracia)+N(V_L3_Cuotas),N(V_L3_Cuotas)&gt;0),IF((2-N(V_L3_Mes)+1)=N(V_L3_Gracia)+N(V_L3_Cuotas),IF((2-N(V_L3_Mes)+1)=1,N(V_L3_Monto),F$290),PMT(N(V_L3_Tasa)/12,N(V_L3_Cuotas),-N(V_L3_Monto))-G$288),0)*G$9</f>
        <v>0</v>
      </c>
      <c r="H289" s="48">
        <f>IF(AND((3-N(V_L3_Mes)+1)&gt;N(V_L3_Gracia),(3-N(V_L3_Mes)+1)&lt;=N(V_L3_Gracia)+N(V_L3_Cuotas),N(V_L3_Cuotas)&gt;0),IF((3-N(V_L3_Mes)+1)=N(V_L3_Gracia)+N(V_L3_Cuotas),IF((3-N(V_L3_Mes)+1)=1,N(V_L3_Monto),G$290),PMT(N(V_L3_Tasa)/12,N(V_L3_Cuotas),-N(V_L3_Monto))-H$288),0)*H$9</f>
        <v>0</v>
      </c>
      <c r="I289" s="48">
        <f>IF(AND((4-N(V_L3_Mes)+1)&gt;N(V_L3_Gracia),(4-N(V_L3_Mes)+1)&lt;=N(V_L3_Gracia)+N(V_L3_Cuotas),N(V_L3_Cuotas)&gt;0),IF((4-N(V_L3_Mes)+1)=N(V_L3_Gracia)+N(V_L3_Cuotas),IF((4-N(V_L3_Mes)+1)=1,N(V_L3_Monto),H$290),PMT(N(V_L3_Tasa)/12,N(V_L3_Cuotas),-N(V_L3_Monto))-I$288),0)*I$9</f>
        <v>0</v>
      </c>
      <c r="J289" s="48">
        <f>IF(AND((5-N(V_L3_Mes)+1)&gt;N(V_L3_Gracia),(5-N(V_L3_Mes)+1)&lt;=N(V_L3_Gracia)+N(V_L3_Cuotas),N(V_L3_Cuotas)&gt;0),IF((5-N(V_L3_Mes)+1)=N(V_L3_Gracia)+N(V_L3_Cuotas),IF((5-N(V_L3_Mes)+1)=1,N(V_L3_Monto),I$290),PMT(N(V_L3_Tasa)/12,N(V_L3_Cuotas),-N(V_L3_Monto))-J$288),0)*J$9</f>
        <v>0</v>
      </c>
      <c r="K289" s="48">
        <f>IF(AND((6-N(V_L3_Mes)+1)&gt;N(V_L3_Gracia),(6-N(V_L3_Mes)+1)&lt;=N(V_L3_Gracia)+N(V_L3_Cuotas),N(V_L3_Cuotas)&gt;0),IF((6-N(V_L3_Mes)+1)=N(V_L3_Gracia)+N(V_L3_Cuotas),IF((6-N(V_L3_Mes)+1)=1,N(V_L3_Monto),J$290),PMT(N(V_L3_Tasa)/12,N(V_L3_Cuotas),-N(V_L3_Monto))-K$288),0)*K$9</f>
        <v>0</v>
      </c>
      <c r="L289" s="48">
        <f>IF(AND((7-N(V_L3_Mes)+1)&gt;N(V_L3_Gracia),(7-N(V_L3_Mes)+1)&lt;=N(V_L3_Gracia)+N(V_L3_Cuotas),N(V_L3_Cuotas)&gt;0),IF((7-N(V_L3_Mes)+1)=N(V_L3_Gracia)+N(V_L3_Cuotas),IF((7-N(V_L3_Mes)+1)=1,N(V_L3_Monto),K$290),PMT(N(V_L3_Tasa)/12,N(V_L3_Cuotas),-N(V_L3_Monto))-L$288),0)*L$9</f>
        <v>0</v>
      </c>
      <c r="M289" s="48">
        <f>IF(AND((8-N(V_L3_Mes)+1)&gt;N(V_L3_Gracia),(8-N(V_L3_Mes)+1)&lt;=N(V_L3_Gracia)+N(V_L3_Cuotas),N(V_L3_Cuotas)&gt;0),IF((8-N(V_L3_Mes)+1)=N(V_L3_Gracia)+N(V_L3_Cuotas),IF((8-N(V_L3_Mes)+1)=1,N(V_L3_Monto),L$290),PMT(N(V_L3_Tasa)/12,N(V_L3_Cuotas),-N(V_L3_Monto))-M$288),0)*M$9</f>
        <v>0</v>
      </c>
      <c r="N289" s="48">
        <f>IF(AND((9-N(V_L3_Mes)+1)&gt;N(V_L3_Gracia),(9-N(V_L3_Mes)+1)&lt;=N(V_L3_Gracia)+N(V_L3_Cuotas),N(V_L3_Cuotas)&gt;0),IF((9-N(V_L3_Mes)+1)=N(V_L3_Gracia)+N(V_L3_Cuotas),IF((9-N(V_L3_Mes)+1)=1,N(V_L3_Monto),M$290),PMT(N(V_L3_Tasa)/12,N(V_L3_Cuotas),-N(V_L3_Monto))-N$288),0)*N$9</f>
        <v>0</v>
      </c>
      <c r="O289" s="48">
        <f>IF(AND((10-N(V_L3_Mes)+1)&gt;N(V_L3_Gracia),(10-N(V_L3_Mes)+1)&lt;=N(V_L3_Gracia)+N(V_L3_Cuotas),N(V_L3_Cuotas)&gt;0),IF((10-N(V_L3_Mes)+1)=N(V_L3_Gracia)+N(V_L3_Cuotas),IF((10-N(V_L3_Mes)+1)=1,N(V_L3_Monto),N$290),PMT(N(V_L3_Tasa)/12,N(V_L3_Cuotas),-N(V_L3_Monto))-O$288),0)*O$9</f>
        <v>0</v>
      </c>
      <c r="P289" s="48">
        <f>IF(AND((11-N(V_L3_Mes)+1)&gt;N(V_L3_Gracia),(11-N(V_L3_Mes)+1)&lt;=N(V_L3_Gracia)+N(V_L3_Cuotas),N(V_L3_Cuotas)&gt;0),IF((11-N(V_L3_Mes)+1)=N(V_L3_Gracia)+N(V_L3_Cuotas),IF((11-N(V_L3_Mes)+1)=1,N(V_L3_Monto),O$290),PMT(N(V_L3_Tasa)/12,N(V_L3_Cuotas),-N(V_L3_Monto))-P$288),0)*P$9</f>
        <v>0</v>
      </c>
      <c r="Q289" s="48">
        <f>IF(AND((12-N(V_L3_Mes)+1)&gt;N(V_L3_Gracia),(12-N(V_L3_Mes)+1)&lt;=N(V_L3_Gracia)+N(V_L3_Cuotas),N(V_L3_Cuotas)&gt;0),IF((12-N(V_L3_Mes)+1)=N(V_L3_Gracia)+N(V_L3_Cuotas),IF((12-N(V_L3_Mes)+1)=1,N(V_L3_Monto),P$290),PMT(N(V_L3_Tasa)/12,N(V_L3_Cuotas),-N(V_L3_Monto))-Q$288),0)*Q$9</f>
        <v>0</v>
      </c>
      <c r="R289" s="48">
        <f>IF(AND((13-N(V_L3_Mes)+1)&gt;N(V_L3_Gracia),(13-N(V_L3_Mes)+1)&lt;=N(V_L3_Gracia)+N(V_L3_Cuotas),N(V_L3_Cuotas)&gt;0),IF((13-N(V_L3_Mes)+1)=N(V_L3_Gracia)+N(V_L3_Cuotas),IF((13-N(V_L3_Mes)+1)=1,N(V_L3_Monto),Q$290),PMT(N(V_L3_Tasa)/12,N(V_L3_Cuotas),-N(V_L3_Monto))-R$288),0)*R$9</f>
        <v>0</v>
      </c>
      <c r="S289" s="48">
        <f>IF(AND((14-N(V_L3_Mes)+1)&gt;N(V_L3_Gracia),(14-N(V_L3_Mes)+1)&lt;=N(V_L3_Gracia)+N(V_L3_Cuotas),N(V_L3_Cuotas)&gt;0),IF((14-N(V_L3_Mes)+1)=N(V_L3_Gracia)+N(V_L3_Cuotas),IF((14-N(V_L3_Mes)+1)=1,N(V_L3_Monto),R$290),PMT(N(V_L3_Tasa)/12,N(V_L3_Cuotas),-N(V_L3_Monto))-S$288),0)*S$9</f>
        <v>0</v>
      </c>
      <c r="T289" s="48">
        <f>IF(AND((15-N(V_L3_Mes)+1)&gt;N(V_L3_Gracia),(15-N(V_L3_Mes)+1)&lt;=N(V_L3_Gracia)+N(V_L3_Cuotas),N(V_L3_Cuotas)&gt;0),IF((15-N(V_L3_Mes)+1)=N(V_L3_Gracia)+N(V_L3_Cuotas),IF((15-N(V_L3_Mes)+1)=1,N(V_L3_Monto),S$290),PMT(N(V_L3_Tasa)/12,N(V_L3_Cuotas),-N(V_L3_Monto))-T$288),0)*T$9</f>
        <v>0</v>
      </c>
      <c r="U289" s="48">
        <f>IF(AND((16-N(V_L3_Mes)+1)&gt;N(V_L3_Gracia),(16-N(V_L3_Mes)+1)&lt;=N(V_L3_Gracia)+N(V_L3_Cuotas),N(V_L3_Cuotas)&gt;0),IF((16-N(V_L3_Mes)+1)=N(V_L3_Gracia)+N(V_L3_Cuotas),IF((16-N(V_L3_Mes)+1)=1,N(V_L3_Monto),T$290),PMT(N(V_L3_Tasa)/12,N(V_L3_Cuotas),-N(V_L3_Monto))-U$288),0)*U$9</f>
        <v>0</v>
      </c>
      <c r="V289" s="48">
        <f>IF(AND((17-N(V_L3_Mes)+1)&gt;N(V_L3_Gracia),(17-N(V_L3_Mes)+1)&lt;=N(V_L3_Gracia)+N(V_L3_Cuotas),N(V_L3_Cuotas)&gt;0),IF((17-N(V_L3_Mes)+1)=N(V_L3_Gracia)+N(V_L3_Cuotas),IF((17-N(V_L3_Mes)+1)=1,N(V_L3_Monto),U$290),PMT(N(V_L3_Tasa)/12,N(V_L3_Cuotas),-N(V_L3_Monto))-V$288),0)*V$9</f>
        <v>0</v>
      </c>
      <c r="W289" s="48">
        <f>IF(AND((18-N(V_L3_Mes)+1)&gt;N(V_L3_Gracia),(18-N(V_L3_Mes)+1)&lt;=N(V_L3_Gracia)+N(V_L3_Cuotas),N(V_L3_Cuotas)&gt;0),IF((18-N(V_L3_Mes)+1)=N(V_L3_Gracia)+N(V_L3_Cuotas),IF((18-N(V_L3_Mes)+1)=1,N(V_L3_Monto),V$290),PMT(N(V_L3_Tasa)/12,N(V_L3_Cuotas),-N(V_L3_Monto))-W$288),0)*W$9</f>
        <v>0</v>
      </c>
      <c r="X289" s="48">
        <f>IF(AND((19-N(V_L3_Mes)+1)&gt;N(V_L3_Gracia),(19-N(V_L3_Mes)+1)&lt;=N(V_L3_Gracia)+N(V_L3_Cuotas),N(V_L3_Cuotas)&gt;0),IF((19-N(V_L3_Mes)+1)=N(V_L3_Gracia)+N(V_L3_Cuotas),IF((19-N(V_L3_Mes)+1)=1,N(V_L3_Monto),W$290),PMT(N(V_L3_Tasa)/12,N(V_L3_Cuotas),-N(V_L3_Monto))-X$288),0)*X$9</f>
        <v>0</v>
      </c>
      <c r="Y289" s="48">
        <f>IF(AND((20-N(V_L3_Mes)+1)&gt;N(V_L3_Gracia),(20-N(V_L3_Mes)+1)&lt;=N(V_L3_Gracia)+N(V_L3_Cuotas),N(V_L3_Cuotas)&gt;0),IF((20-N(V_L3_Mes)+1)=N(V_L3_Gracia)+N(V_L3_Cuotas),IF((20-N(V_L3_Mes)+1)=1,N(V_L3_Monto),X$290),PMT(N(V_L3_Tasa)/12,N(V_L3_Cuotas),-N(V_L3_Monto))-Y$288),0)*Y$9</f>
        <v>0</v>
      </c>
      <c r="Z289" s="48">
        <f>IF(AND((21-N(V_L3_Mes)+1)&gt;N(V_L3_Gracia),(21-N(V_L3_Mes)+1)&lt;=N(V_L3_Gracia)+N(V_L3_Cuotas),N(V_L3_Cuotas)&gt;0),IF((21-N(V_L3_Mes)+1)=N(V_L3_Gracia)+N(V_L3_Cuotas),IF((21-N(V_L3_Mes)+1)=1,N(V_L3_Monto),Y$290),PMT(N(V_L3_Tasa)/12,N(V_L3_Cuotas),-N(V_L3_Monto))-Z$288),0)*Z$9</f>
        <v>0</v>
      </c>
      <c r="AA289" s="48">
        <f>IF(AND((22-N(V_L3_Mes)+1)&gt;N(V_L3_Gracia),(22-N(V_L3_Mes)+1)&lt;=N(V_L3_Gracia)+N(V_L3_Cuotas),N(V_L3_Cuotas)&gt;0),IF((22-N(V_L3_Mes)+1)=N(V_L3_Gracia)+N(V_L3_Cuotas),IF((22-N(V_L3_Mes)+1)=1,N(V_L3_Monto),Z$290),PMT(N(V_L3_Tasa)/12,N(V_L3_Cuotas),-N(V_L3_Monto))-AA$288),0)*AA$9</f>
        <v>0</v>
      </c>
      <c r="AB289" s="48">
        <f>IF(AND((23-N(V_L3_Mes)+1)&gt;N(V_L3_Gracia),(23-N(V_L3_Mes)+1)&lt;=N(V_L3_Gracia)+N(V_L3_Cuotas),N(V_L3_Cuotas)&gt;0),IF((23-N(V_L3_Mes)+1)=N(V_L3_Gracia)+N(V_L3_Cuotas),IF((23-N(V_L3_Mes)+1)=1,N(V_L3_Monto),AA$290),PMT(N(V_L3_Tasa)/12,N(V_L3_Cuotas),-N(V_L3_Monto))-AB$288),0)*AB$9</f>
        <v>0</v>
      </c>
      <c r="AC289" s="48">
        <f>IF(AND((24-N(V_L3_Mes)+1)&gt;N(V_L3_Gracia),(24-N(V_L3_Mes)+1)&lt;=N(V_L3_Gracia)+N(V_L3_Cuotas),N(V_L3_Cuotas)&gt;0),IF((24-N(V_L3_Mes)+1)=N(V_L3_Gracia)+N(V_L3_Cuotas),IF((24-N(V_L3_Mes)+1)=1,N(V_L3_Monto),AB$290),PMT(N(V_L3_Tasa)/12,N(V_L3_Cuotas),-N(V_L3_Monto))-AC$288),0)*AC$9</f>
        <v>0</v>
      </c>
      <c r="AD289" s="48">
        <f>IF(AND((25-N(V_L3_Mes)+1)&gt;N(V_L3_Gracia),(25-N(V_L3_Mes)+1)&lt;=N(V_L3_Gracia)+N(V_L3_Cuotas),N(V_L3_Cuotas)&gt;0),IF((25-N(V_L3_Mes)+1)=N(V_L3_Gracia)+N(V_L3_Cuotas),IF((25-N(V_L3_Mes)+1)=1,N(V_L3_Monto),AC$290),PMT(N(V_L3_Tasa)/12,N(V_L3_Cuotas),-N(V_L3_Monto))-AD$288),0)*AD$9</f>
        <v>0</v>
      </c>
      <c r="AE289" s="48">
        <f>IF(AND((26-N(V_L3_Mes)+1)&gt;N(V_L3_Gracia),(26-N(V_L3_Mes)+1)&lt;=N(V_L3_Gracia)+N(V_L3_Cuotas),N(V_L3_Cuotas)&gt;0),IF((26-N(V_L3_Mes)+1)=N(V_L3_Gracia)+N(V_L3_Cuotas),IF((26-N(V_L3_Mes)+1)=1,N(V_L3_Monto),AD$290),PMT(N(V_L3_Tasa)/12,N(V_L3_Cuotas),-N(V_L3_Monto))-AE$288),0)*AE$9</f>
        <v>0</v>
      </c>
      <c r="AF289" s="48">
        <f>IF(AND((27-N(V_L3_Mes)+1)&gt;N(V_L3_Gracia),(27-N(V_L3_Mes)+1)&lt;=N(V_L3_Gracia)+N(V_L3_Cuotas),N(V_L3_Cuotas)&gt;0),IF((27-N(V_L3_Mes)+1)=N(V_L3_Gracia)+N(V_L3_Cuotas),IF((27-N(V_L3_Mes)+1)=1,N(V_L3_Monto),AE$290),PMT(N(V_L3_Tasa)/12,N(V_L3_Cuotas),-N(V_L3_Monto))-AF$288),0)*AF$9</f>
        <v>0</v>
      </c>
      <c r="AG289" s="48">
        <f>IF(AND((28-N(V_L3_Mes)+1)&gt;N(V_L3_Gracia),(28-N(V_L3_Mes)+1)&lt;=N(V_L3_Gracia)+N(V_L3_Cuotas),N(V_L3_Cuotas)&gt;0),IF((28-N(V_L3_Mes)+1)=N(V_L3_Gracia)+N(V_L3_Cuotas),IF((28-N(V_L3_Mes)+1)=1,N(V_L3_Monto),AF$290),PMT(N(V_L3_Tasa)/12,N(V_L3_Cuotas),-N(V_L3_Monto))-AG$288),0)*AG$9</f>
        <v>0</v>
      </c>
      <c r="AH289" s="48">
        <f>IF(AND((29-N(V_L3_Mes)+1)&gt;N(V_L3_Gracia),(29-N(V_L3_Mes)+1)&lt;=N(V_L3_Gracia)+N(V_L3_Cuotas),N(V_L3_Cuotas)&gt;0),IF((29-N(V_L3_Mes)+1)=N(V_L3_Gracia)+N(V_L3_Cuotas),IF((29-N(V_L3_Mes)+1)=1,N(V_L3_Monto),AG$290),PMT(N(V_L3_Tasa)/12,N(V_L3_Cuotas),-N(V_L3_Monto))-AH$288),0)*AH$9</f>
        <v>0</v>
      </c>
      <c r="AI289" s="48">
        <f>IF(AND((30-N(V_L3_Mes)+1)&gt;N(V_L3_Gracia),(30-N(V_L3_Mes)+1)&lt;=N(V_L3_Gracia)+N(V_L3_Cuotas),N(V_L3_Cuotas)&gt;0),IF((30-N(V_L3_Mes)+1)=N(V_L3_Gracia)+N(V_L3_Cuotas),IF((30-N(V_L3_Mes)+1)=1,N(V_L3_Monto),AH$290),PMT(N(V_L3_Tasa)/12,N(V_L3_Cuotas),-N(V_L3_Monto))-AI$288),0)*AI$9</f>
        <v>0</v>
      </c>
      <c r="AJ289" s="48">
        <f>IF(AND((31-N(V_L3_Mes)+1)&gt;N(V_L3_Gracia),(31-N(V_L3_Mes)+1)&lt;=N(V_L3_Gracia)+N(V_L3_Cuotas),N(V_L3_Cuotas)&gt;0),IF((31-N(V_L3_Mes)+1)=N(V_L3_Gracia)+N(V_L3_Cuotas),IF((31-N(V_L3_Mes)+1)=1,N(V_L3_Monto),AI$290),PMT(N(V_L3_Tasa)/12,N(V_L3_Cuotas),-N(V_L3_Monto))-AJ$288),0)*AJ$9</f>
        <v>0</v>
      </c>
      <c r="AK289" s="48">
        <f>IF(AND((32-N(V_L3_Mes)+1)&gt;N(V_L3_Gracia),(32-N(V_L3_Mes)+1)&lt;=N(V_L3_Gracia)+N(V_L3_Cuotas),N(V_L3_Cuotas)&gt;0),IF((32-N(V_L3_Mes)+1)=N(V_L3_Gracia)+N(V_L3_Cuotas),IF((32-N(V_L3_Mes)+1)=1,N(V_L3_Monto),AJ$290),PMT(N(V_L3_Tasa)/12,N(V_L3_Cuotas),-N(V_L3_Monto))-AK$288),0)*AK$9</f>
        <v>0</v>
      </c>
      <c r="AL289" s="48">
        <f>IF(AND((33-N(V_L3_Mes)+1)&gt;N(V_L3_Gracia),(33-N(V_L3_Mes)+1)&lt;=N(V_L3_Gracia)+N(V_L3_Cuotas),N(V_L3_Cuotas)&gt;0),IF((33-N(V_L3_Mes)+1)=N(V_L3_Gracia)+N(V_L3_Cuotas),IF((33-N(V_L3_Mes)+1)=1,N(V_L3_Monto),AK$290),PMT(N(V_L3_Tasa)/12,N(V_L3_Cuotas),-N(V_L3_Monto))-AL$288),0)*AL$9</f>
        <v>0</v>
      </c>
      <c r="AM289" s="48">
        <f>IF(AND((34-N(V_L3_Mes)+1)&gt;N(V_L3_Gracia),(34-N(V_L3_Mes)+1)&lt;=N(V_L3_Gracia)+N(V_L3_Cuotas),N(V_L3_Cuotas)&gt;0),IF((34-N(V_L3_Mes)+1)=N(V_L3_Gracia)+N(V_L3_Cuotas),IF((34-N(V_L3_Mes)+1)=1,N(V_L3_Monto),AL$290),PMT(N(V_L3_Tasa)/12,N(V_L3_Cuotas),-N(V_L3_Monto))-AM$288),0)*AM$9</f>
        <v>0</v>
      </c>
      <c r="AN289" s="48">
        <f>IF(AND((35-N(V_L3_Mes)+1)&gt;N(V_L3_Gracia),(35-N(V_L3_Mes)+1)&lt;=N(V_L3_Gracia)+N(V_L3_Cuotas),N(V_L3_Cuotas)&gt;0),IF((35-N(V_L3_Mes)+1)=N(V_L3_Gracia)+N(V_L3_Cuotas),IF((35-N(V_L3_Mes)+1)=1,N(V_L3_Monto),AM$290),PMT(N(V_L3_Tasa)/12,N(V_L3_Cuotas),-N(V_L3_Monto))-AN$288),0)*AN$9</f>
        <v>0</v>
      </c>
      <c r="AO289" s="48">
        <f>IF(AND((36-N(V_L3_Mes)+1)&gt;N(V_L3_Gracia),(36-N(V_L3_Mes)+1)&lt;=N(V_L3_Gracia)+N(V_L3_Cuotas),N(V_L3_Cuotas)&gt;0),IF((36-N(V_L3_Mes)+1)=N(V_L3_Gracia)+N(V_L3_Cuotas),IF((36-N(V_L3_Mes)+1)=1,N(V_L3_Monto),AN$290),PMT(N(V_L3_Tasa)/12,N(V_L3_Cuotas),-N(V_L3_Monto))-AO$288),0)*AO$9</f>
        <v>0</v>
      </c>
      <c r="AP289" s="48">
        <f>IF(AND((37-N(V_L3_Mes)+1)&gt;N(V_L3_Gracia),(37-N(V_L3_Mes)+1)&lt;=N(V_L3_Gracia)+N(V_L3_Cuotas),N(V_L3_Cuotas)&gt;0),IF((37-N(V_L3_Mes)+1)=N(V_L3_Gracia)+N(V_L3_Cuotas),IF((37-N(V_L3_Mes)+1)=1,N(V_L3_Monto),AO$290),PMT(N(V_L3_Tasa)/12,N(V_L3_Cuotas),-N(V_L3_Monto))-AP$288),0)*AP$9</f>
        <v>0</v>
      </c>
      <c r="AQ289" s="48">
        <f>IF(AND((38-N(V_L3_Mes)+1)&gt;N(V_L3_Gracia),(38-N(V_L3_Mes)+1)&lt;=N(V_L3_Gracia)+N(V_L3_Cuotas),N(V_L3_Cuotas)&gt;0),IF((38-N(V_L3_Mes)+1)=N(V_L3_Gracia)+N(V_L3_Cuotas),IF((38-N(V_L3_Mes)+1)=1,N(V_L3_Monto),AP$290),PMT(N(V_L3_Tasa)/12,N(V_L3_Cuotas),-N(V_L3_Monto))-AQ$288),0)*AQ$9</f>
        <v>0</v>
      </c>
      <c r="AR289" s="48">
        <f>IF(AND((39-N(V_L3_Mes)+1)&gt;N(V_L3_Gracia),(39-N(V_L3_Mes)+1)&lt;=N(V_L3_Gracia)+N(V_L3_Cuotas),N(V_L3_Cuotas)&gt;0),IF((39-N(V_L3_Mes)+1)=N(V_L3_Gracia)+N(V_L3_Cuotas),IF((39-N(V_L3_Mes)+1)=1,N(V_L3_Monto),AQ$290),PMT(N(V_L3_Tasa)/12,N(V_L3_Cuotas),-N(V_L3_Monto))-AR$288),0)*AR$9</f>
        <v>0</v>
      </c>
      <c r="AS289" s="48">
        <f>IF(AND((40-N(V_L3_Mes)+1)&gt;N(V_L3_Gracia),(40-N(V_L3_Mes)+1)&lt;=N(V_L3_Gracia)+N(V_L3_Cuotas),N(V_L3_Cuotas)&gt;0),IF((40-N(V_L3_Mes)+1)=N(V_L3_Gracia)+N(V_L3_Cuotas),IF((40-N(V_L3_Mes)+1)=1,N(V_L3_Monto),AR$290),PMT(N(V_L3_Tasa)/12,N(V_L3_Cuotas),-N(V_L3_Monto))-AS$288),0)*AS$9</f>
        <v>0</v>
      </c>
      <c r="AT289" s="48">
        <f>IF(AND((41-N(V_L3_Mes)+1)&gt;N(V_L3_Gracia),(41-N(V_L3_Mes)+1)&lt;=N(V_L3_Gracia)+N(V_L3_Cuotas),N(V_L3_Cuotas)&gt;0),IF((41-N(V_L3_Mes)+1)=N(V_L3_Gracia)+N(V_L3_Cuotas),IF((41-N(V_L3_Mes)+1)=1,N(V_L3_Monto),AS$290),PMT(N(V_L3_Tasa)/12,N(V_L3_Cuotas),-N(V_L3_Monto))-AT$288),0)*AT$9</f>
        <v>0</v>
      </c>
      <c r="AU289" s="48">
        <f>IF(AND((42-N(V_L3_Mes)+1)&gt;N(V_L3_Gracia),(42-N(V_L3_Mes)+1)&lt;=N(V_L3_Gracia)+N(V_L3_Cuotas),N(V_L3_Cuotas)&gt;0),IF((42-N(V_L3_Mes)+1)=N(V_L3_Gracia)+N(V_L3_Cuotas),IF((42-N(V_L3_Mes)+1)=1,N(V_L3_Monto),AT$290),PMT(N(V_L3_Tasa)/12,N(V_L3_Cuotas),-N(V_L3_Monto))-AU$288),0)*AU$9</f>
        <v>0</v>
      </c>
      <c r="AV289" s="48">
        <f>IF(AND((43-N(V_L3_Mes)+1)&gt;N(V_L3_Gracia),(43-N(V_L3_Mes)+1)&lt;=N(V_L3_Gracia)+N(V_L3_Cuotas),N(V_L3_Cuotas)&gt;0),IF((43-N(V_L3_Mes)+1)=N(V_L3_Gracia)+N(V_L3_Cuotas),IF((43-N(V_L3_Mes)+1)=1,N(V_L3_Monto),AU$290),PMT(N(V_L3_Tasa)/12,N(V_L3_Cuotas),-N(V_L3_Monto))-AV$288),0)*AV$9</f>
        <v>0</v>
      </c>
      <c r="AW289" s="48">
        <f>IF(AND((44-N(V_L3_Mes)+1)&gt;N(V_L3_Gracia),(44-N(V_L3_Mes)+1)&lt;=N(V_L3_Gracia)+N(V_L3_Cuotas),N(V_L3_Cuotas)&gt;0),IF((44-N(V_L3_Mes)+1)=N(V_L3_Gracia)+N(V_L3_Cuotas),IF((44-N(V_L3_Mes)+1)=1,N(V_L3_Monto),AV$290),PMT(N(V_L3_Tasa)/12,N(V_L3_Cuotas),-N(V_L3_Monto))-AW$288),0)*AW$9</f>
        <v>0</v>
      </c>
      <c r="AX289" s="48">
        <f>IF(AND((45-N(V_L3_Mes)+1)&gt;N(V_L3_Gracia),(45-N(V_L3_Mes)+1)&lt;=N(V_L3_Gracia)+N(V_L3_Cuotas),N(V_L3_Cuotas)&gt;0),IF((45-N(V_L3_Mes)+1)=N(V_L3_Gracia)+N(V_L3_Cuotas),IF((45-N(V_L3_Mes)+1)=1,N(V_L3_Monto),AW$290),PMT(N(V_L3_Tasa)/12,N(V_L3_Cuotas),-N(V_L3_Monto))-AX$288),0)*AX$9</f>
        <v>0</v>
      </c>
      <c r="AY289" s="48">
        <f>IF(AND((46-N(V_L3_Mes)+1)&gt;N(V_L3_Gracia),(46-N(V_L3_Mes)+1)&lt;=N(V_L3_Gracia)+N(V_L3_Cuotas),N(V_L3_Cuotas)&gt;0),IF((46-N(V_L3_Mes)+1)=N(V_L3_Gracia)+N(V_L3_Cuotas),IF((46-N(V_L3_Mes)+1)=1,N(V_L3_Monto),AX$290),PMT(N(V_L3_Tasa)/12,N(V_L3_Cuotas),-N(V_L3_Monto))-AY$288),0)*AY$9</f>
        <v>0</v>
      </c>
      <c r="AZ289" s="48">
        <f>IF(AND((47-N(V_L3_Mes)+1)&gt;N(V_L3_Gracia),(47-N(V_L3_Mes)+1)&lt;=N(V_L3_Gracia)+N(V_L3_Cuotas),N(V_L3_Cuotas)&gt;0),IF((47-N(V_L3_Mes)+1)=N(V_L3_Gracia)+N(V_L3_Cuotas),IF((47-N(V_L3_Mes)+1)=1,N(V_L3_Monto),AY$290),PMT(N(V_L3_Tasa)/12,N(V_L3_Cuotas),-N(V_L3_Monto))-AZ$288),0)*AZ$9</f>
        <v>0</v>
      </c>
      <c r="BA289" s="48">
        <f>IF(AND((48-N(V_L3_Mes)+1)&gt;N(V_L3_Gracia),(48-N(V_L3_Mes)+1)&lt;=N(V_L3_Gracia)+N(V_L3_Cuotas),N(V_L3_Cuotas)&gt;0),IF((48-N(V_L3_Mes)+1)=N(V_L3_Gracia)+N(V_L3_Cuotas),IF((48-N(V_L3_Mes)+1)=1,N(V_L3_Monto),AZ$290),PMT(N(V_L3_Tasa)/12,N(V_L3_Cuotas),-N(V_L3_Monto))-BA$288),0)*BA$9</f>
        <v>0</v>
      </c>
      <c r="BB289" s="48">
        <f>IF(AND((49-N(V_L3_Mes)+1)&gt;N(V_L3_Gracia),(49-N(V_L3_Mes)+1)&lt;=N(V_L3_Gracia)+N(V_L3_Cuotas),N(V_L3_Cuotas)&gt;0),IF((49-N(V_L3_Mes)+1)=N(V_L3_Gracia)+N(V_L3_Cuotas),IF((49-N(V_L3_Mes)+1)=1,N(V_L3_Monto),BA$290),PMT(N(V_L3_Tasa)/12,N(V_L3_Cuotas),-N(V_L3_Monto))-BB$288),0)*BB$9</f>
        <v>0</v>
      </c>
      <c r="BC289" s="48">
        <f>IF(AND((50-N(V_L3_Mes)+1)&gt;N(V_L3_Gracia),(50-N(V_L3_Mes)+1)&lt;=N(V_L3_Gracia)+N(V_L3_Cuotas),N(V_L3_Cuotas)&gt;0),IF((50-N(V_L3_Mes)+1)=N(V_L3_Gracia)+N(V_L3_Cuotas),IF((50-N(V_L3_Mes)+1)=1,N(V_L3_Monto),BB$290),PMT(N(V_L3_Tasa)/12,N(V_L3_Cuotas),-N(V_L3_Monto))-BC$288),0)*BC$9</f>
        <v>0</v>
      </c>
      <c r="BD289" s="48">
        <f>IF(AND((51-N(V_L3_Mes)+1)&gt;N(V_L3_Gracia),(51-N(V_L3_Mes)+1)&lt;=N(V_L3_Gracia)+N(V_L3_Cuotas),N(V_L3_Cuotas)&gt;0),IF((51-N(V_L3_Mes)+1)=N(V_L3_Gracia)+N(V_L3_Cuotas),IF((51-N(V_L3_Mes)+1)=1,N(V_L3_Monto),BC$290),PMT(N(V_L3_Tasa)/12,N(V_L3_Cuotas),-N(V_L3_Monto))-BD$288),0)*BD$9</f>
        <v>0</v>
      </c>
      <c r="BE289" s="48">
        <f>IF(AND((52-N(V_L3_Mes)+1)&gt;N(V_L3_Gracia),(52-N(V_L3_Mes)+1)&lt;=N(V_L3_Gracia)+N(V_L3_Cuotas),N(V_L3_Cuotas)&gt;0),IF((52-N(V_L3_Mes)+1)=N(V_L3_Gracia)+N(V_L3_Cuotas),IF((52-N(V_L3_Mes)+1)=1,N(V_L3_Monto),BD$290),PMT(N(V_L3_Tasa)/12,N(V_L3_Cuotas),-N(V_L3_Monto))-BE$288),0)*BE$9</f>
        <v>0</v>
      </c>
      <c r="BF289" s="48">
        <f>IF(AND((53-N(V_L3_Mes)+1)&gt;N(V_L3_Gracia),(53-N(V_L3_Mes)+1)&lt;=N(V_L3_Gracia)+N(V_L3_Cuotas),N(V_L3_Cuotas)&gt;0),IF((53-N(V_L3_Mes)+1)=N(V_L3_Gracia)+N(V_L3_Cuotas),IF((53-N(V_L3_Mes)+1)=1,N(V_L3_Monto),BE$290),PMT(N(V_L3_Tasa)/12,N(V_L3_Cuotas),-N(V_L3_Monto))-BF$288),0)*BF$9</f>
        <v>0</v>
      </c>
      <c r="BG289" s="48">
        <f>IF(AND((54-N(V_L3_Mes)+1)&gt;N(V_L3_Gracia),(54-N(V_L3_Mes)+1)&lt;=N(V_L3_Gracia)+N(V_L3_Cuotas),N(V_L3_Cuotas)&gt;0),IF((54-N(V_L3_Mes)+1)=N(V_L3_Gracia)+N(V_L3_Cuotas),IF((54-N(V_L3_Mes)+1)=1,N(V_L3_Monto),BF$290),PMT(N(V_L3_Tasa)/12,N(V_L3_Cuotas),-N(V_L3_Monto))-BG$288),0)*BG$9</f>
        <v>0</v>
      </c>
      <c r="BH289" s="48">
        <f>IF(AND((55-N(V_L3_Mes)+1)&gt;N(V_L3_Gracia),(55-N(V_L3_Mes)+1)&lt;=N(V_L3_Gracia)+N(V_L3_Cuotas),N(V_L3_Cuotas)&gt;0),IF((55-N(V_L3_Mes)+1)=N(V_L3_Gracia)+N(V_L3_Cuotas),IF((55-N(V_L3_Mes)+1)=1,N(V_L3_Monto),BG$290),PMT(N(V_L3_Tasa)/12,N(V_L3_Cuotas),-N(V_L3_Monto))-BH$288),0)*BH$9</f>
        <v>0</v>
      </c>
      <c r="BI289" s="48">
        <f>IF(AND((56-N(V_L3_Mes)+1)&gt;N(V_L3_Gracia),(56-N(V_L3_Mes)+1)&lt;=N(V_L3_Gracia)+N(V_L3_Cuotas),N(V_L3_Cuotas)&gt;0),IF((56-N(V_L3_Mes)+1)=N(V_L3_Gracia)+N(V_L3_Cuotas),IF((56-N(V_L3_Mes)+1)=1,N(V_L3_Monto),BH$290),PMT(N(V_L3_Tasa)/12,N(V_L3_Cuotas),-N(V_L3_Monto))-BI$288),0)*BI$9</f>
        <v>0</v>
      </c>
      <c r="BJ289" s="48">
        <f>IF(AND((57-N(V_L3_Mes)+1)&gt;N(V_L3_Gracia),(57-N(V_L3_Mes)+1)&lt;=N(V_L3_Gracia)+N(V_L3_Cuotas),N(V_L3_Cuotas)&gt;0),IF((57-N(V_L3_Mes)+1)=N(V_L3_Gracia)+N(V_L3_Cuotas),IF((57-N(V_L3_Mes)+1)=1,N(V_L3_Monto),BI$290),PMT(N(V_L3_Tasa)/12,N(V_L3_Cuotas),-N(V_L3_Monto))-BJ$288),0)*BJ$9</f>
        <v>0</v>
      </c>
      <c r="BK289" s="48">
        <f>IF(AND((58-N(V_L3_Mes)+1)&gt;N(V_L3_Gracia),(58-N(V_L3_Mes)+1)&lt;=N(V_L3_Gracia)+N(V_L3_Cuotas),N(V_L3_Cuotas)&gt;0),IF((58-N(V_L3_Mes)+1)=N(V_L3_Gracia)+N(V_L3_Cuotas),IF((58-N(V_L3_Mes)+1)=1,N(V_L3_Monto),BJ$290),PMT(N(V_L3_Tasa)/12,N(V_L3_Cuotas),-N(V_L3_Monto))-BK$288),0)*BK$9</f>
        <v>0</v>
      </c>
      <c r="BL289" s="48">
        <f>IF(AND((59-N(V_L3_Mes)+1)&gt;N(V_L3_Gracia),(59-N(V_L3_Mes)+1)&lt;=N(V_L3_Gracia)+N(V_L3_Cuotas),N(V_L3_Cuotas)&gt;0),IF((59-N(V_L3_Mes)+1)=N(V_L3_Gracia)+N(V_L3_Cuotas),IF((59-N(V_L3_Mes)+1)=1,N(V_L3_Monto),BK$290),PMT(N(V_L3_Tasa)/12,N(V_L3_Cuotas),-N(V_L3_Monto))-BL$288),0)*BL$9</f>
        <v>0</v>
      </c>
      <c r="BM289" s="48">
        <f>IF(AND((60-N(V_L3_Mes)+1)&gt;N(V_L3_Gracia),(60-N(V_L3_Mes)+1)&lt;=N(V_L3_Gracia)+N(V_L3_Cuotas),N(V_L3_Cuotas)&gt;0),IF((60-N(V_L3_Mes)+1)=N(V_L3_Gracia)+N(V_L3_Cuotas),IF((60-N(V_L3_Mes)+1)=1,N(V_L3_Monto),BL$290),PMT(N(V_L3_Tasa)/12,N(V_L3_Cuotas),-N(V_L3_Monto))-BM$288),0)*BM$9</f>
        <v>0</v>
      </c>
      <c r="BN289" s="48">
        <f>IF(AND((61-N(V_L3_Mes)+1)&gt;N(V_L3_Gracia),(61-N(V_L3_Mes)+1)&lt;=N(V_L3_Gracia)+N(V_L3_Cuotas),N(V_L3_Cuotas)&gt;0),IF((61-N(V_L3_Mes)+1)=N(V_L3_Gracia)+N(V_L3_Cuotas),IF((61-N(V_L3_Mes)+1)=1,N(V_L3_Monto),BM$290),PMT(N(V_L3_Tasa)/12,N(V_L3_Cuotas),-N(V_L3_Monto))-BN$288),0)*BN$9</f>
        <v>0</v>
      </c>
      <c r="BO289" s="48">
        <f>IF(AND((62-N(V_L3_Mes)+1)&gt;N(V_L3_Gracia),(62-N(V_L3_Mes)+1)&lt;=N(V_L3_Gracia)+N(V_L3_Cuotas),N(V_L3_Cuotas)&gt;0),IF((62-N(V_L3_Mes)+1)=N(V_L3_Gracia)+N(V_L3_Cuotas),IF((62-N(V_L3_Mes)+1)=1,N(V_L3_Monto),BN$290),PMT(N(V_L3_Tasa)/12,N(V_L3_Cuotas),-N(V_L3_Monto))-BO$288),0)*BO$9</f>
        <v>0</v>
      </c>
      <c r="BP289" s="48">
        <f>IF(AND((63-N(V_L3_Mes)+1)&gt;N(V_L3_Gracia),(63-N(V_L3_Mes)+1)&lt;=N(V_L3_Gracia)+N(V_L3_Cuotas),N(V_L3_Cuotas)&gt;0),IF((63-N(V_L3_Mes)+1)=N(V_L3_Gracia)+N(V_L3_Cuotas),IF((63-N(V_L3_Mes)+1)=1,N(V_L3_Monto),BO$290),PMT(N(V_L3_Tasa)/12,N(V_L3_Cuotas),-N(V_L3_Monto))-BP$288),0)*BP$9</f>
        <v>0</v>
      </c>
      <c r="BQ289" s="48">
        <f>IF(AND((64-N(V_L3_Mes)+1)&gt;N(V_L3_Gracia),(64-N(V_L3_Mes)+1)&lt;=N(V_L3_Gracia)+N(V_L3_Cuotas),N(V_L3_Cuotas)&gt;0),IF((64-N(V_L3_Mes)+1)=N(V_L3_Gracia)+N(V_L3_Cuotas),IF((64-N(V_L3_Mes)+1)=1,N(V_L3_Monto),BP$290),PMT(N(V_L3_Tasa)/12,N(V_L3_Cuotas),-N(V_L3_Monto))-BQ$288),0)*BQ$9</f>
        <v>0</v>
      </c>
      <c r="BR289" s="48">
        <f>IF(AND((65-N(V_L3_Mes)+1)&gt;N(V_L3_Gracia),(65-N(V_L3_Mes)+1)&lt;=N(V_L3_Gracia)+N(V_L3_Cuotas),N(V_L3_Cuotas)&gt;0),IF((65-N(V_L3_Mes)+1)=N(V_L3_Gracia)+N(V_L3_Cuotas),IF((65-N(V_L3_Mes)+1)=1,N(V_L3_Monto),BQ$290),PMT(N(V_L3_Tasa)/12,N(V_L3_Cuotas),-N(V_L3_Monto))-BR$288),0)*BR$9</f>
        <v>0</v>
      </c>
      <c r="BS289" s="48">
        <f>IF(AND((66-N(V_L3_Mes)+1)&gt;N(V_L3_Gracia),(66-N(V_L3_Mes)+1)&lt;=N(V_L3_Gracia)+N(V_L3_Cuotas),N(V_L3_Cuotas)&gt;0),IF((66-N(V_L3_Mes)+1)=N(V_L3_Gracia)+N(V_L3_Cuotas),IF((66-N(V_L3_Mes)+1)=1,N(V_L3_Monto),BR$290),PMT(N(V_L3_Tasa)/12,N(V_L3_Cuotas),-N(V_L3_Monto))-BS$288),0)*BS$9</f>
        <v>0</v>
      </c>
      <c r="BT289" s="48">
        <f>IF(AND((67-N(V_L3_Mes)+1)&gt;N(V_L3_Gracia),(67-N(V_L3_Mes)+1)&lt;=N(V_L3_Gracia)+N(V_L3_Cuotas),N(V_L3_Cuotas)&gt;0),IF((67-N(V_L3_Mes)+1)=N(V_L3_Gracia)+N(V_L3_Cuotas),IF((67-N(V_L3_Mes)+1)=1,N(V_L3_Monto),BS$290),PMT(N(V_L3_Tasa)/12,N(V_L3_Cuotas),-N(V_L3_Monto))-BT$288),0)*BT$9</f>
        <v>0</v>
      </c>
      <c r="BU289" s="48">
        <f>IF(AND((68-N(V_L3_Mes)+1)&gt;N(V_L3_Gracia),(68-N(V_L3_Mes)+1)&lt;=N(V_L3_Gracia)+N(V_L3_Cuotas),N(V_L3_Cuotas)&gt;0),IF((68-N(V_L3_Mes)+1)=N(V_L3_Gracia)+N(V_L3_Cuotas),IF((68-N(V_L3_Mes)+1)=1,N(V_L3_Monto),BT$290),PMT(N(V_L3_Tasa)/12,N(V_L3_Cuotas),-N(V_L3_Monto))-BU$288),0)*BU$9</f>
        <v>0</v>
      </c>
      <c r="BV289" s="48">
        <f>IF(AND((69-N(V_L3_Mes)+1)&gt;N(V_L3_Gracia),(69-N(V_L3_Mes)+1)&lt;=N(V_L3_Gracia)+N(V_L3_Cuotas),N(V_L3_Cuotas)&gt;0),IF((69-N(V_L3_Mes)+1)=N(V_L3_Gracia)+N(V_L3_Cuotas),IF((69-N(V_L3_Mes)+1)=1,N(V_L3_Monto),BU$290),PMT(N(V_L3_Tasa)/12,N(V_L3_Cuotas),-N(V_L3_Monto))-BV$288),0)*BV$9</f>
        <v>0</v>
      </c>
      <c r="BW289" s="48">
        <f>IF(AND((70-N(V_L3_Mes)+1)&gt;N(V_L3_Gracia),(70-N(V_L3_Mes)+1)&lt;=N(V_L3_Gracia)+N(V_L3_Cuotas),N(V_L3_Cuotas)&gt;0),IF((70-N(V_L3_Mes)+1)=N(V_L3_Gracia)+N(V_L3_Cuotas),IF((70-N(V_L3_Mes)+1)=1,N(V_L3_Monto),BV$290),PMT(N(V_L3_Tasa)/12,N(V_L3_Cuotas),-N(V_L3_Monto))-BW$288),0)*BW$9</f>
        <v>0</v>
      </c>
      <c r="BX289" s="48">
        <f>IF(AND((71-N(V_L3_Mes)+1)&gt;N(V_L3_Gracia),(71-N(V_L3_Mes)+1)&lt;=N(V_L3_Gracia)+N(V_L3_Cuotas),N(V_L3_Cuotas)&gt;0),IF((71-N(V_L3_Mes)+1)=N(V_L3_Gracia)+N(V_L3_Cuotas),IF((71-N(V_L3_Mes)+1)=1,N(V_L3_Monto),BW$290),PMT(N(V_L3_Tasa)/12,N(V_L3_Cuotas),-N(V_L3_Monto))-BX$288),0)*BX$9</f>
        <v>0</v>
      </c>
      <c r="BY289" s="48">
        <f>IF(AND((72-N(V_L3_Mes)+1)&gt;N(V_L3_Gracia),(72-N(V_L3_Mes)+1)&lt;=N(V_L3_Gracia)+N(V_L3_Cuotas),N(V_L3_Cuotas)&gt;0),IF((72-N(V_L3_Mes)+1)=N(V_L3_Gracia)+N(V_L3_Cuotas),IF((72-N(V_L3_Mes)+1)=1,N(V_L3_Monto),BX$290),PMT(N(V_L3_Tasa)/12,N(V_L3_Cuotas),-N(V_L3_Monto))-BY$288),0)*BY$9</f>
        <v>0</v>
      </c>
      <c r="BZ289" s="48">
        <f>IF(AND((73-N(V_L3_Mes)+1)&gt;N(V_L3_Gracia),(73-N(V_L3_Mes)+1)&lt;=N(V_L3_Gracia)+N(V_L3_Cuotas),N(V_L3_Cuotas)&gt;0),IF((73-N(V_L3_Mes)+1)=N(V_L3_Gracia)+N(V_L3_Cuotas),IF((73-N(V_L3_Mes)+1)=1,N(V_L3_Monto),BY$290),PMT(N(V_L3_Tasa)/12,N(V_L3_Cuotas),-N(V_L3_Monto))-BZ$288),0)*BZ$9</f>
        <v>0</v>
      </c>
      <c r="CA289" s="48">
        <f>IF(AND((74-N(V_L3_Mes)+1)&gt;N(V_L3_Gracia),(74-N(V_L3_Mes)+1)&lt;=N(V_L3_Gracia)+N(V_L3_Cuotas),N(V_L3_Cuotas)&gt;0),IF((74-N(V_L3_Mes)+1)=N(V_L3_Gracia)+N(V_L3_Cuotas),IF((74-N(V_L3_Mes)+1)=1,N(V_L3_Monto),BZ$290),PMT(N(V_L3_Tasa)/12,N(V_L3_Cuotas),-N(V_L3_Monto))-CA$288),0)*CA$9</f>
        <v>0</v>
      </c>
      <c r="CB289" s="48">
        <f>IF(AND((75-N(V_L3_Mes)+1)&gt;N(V_L3_Gracia),(75-N(V_L3_Mes)+1)&lt;=N(V_L3_Gracia)+N(V_L3_Cuotas),N(V_L3_Cuotas)&gt;0),IF((75-N(V_L3_Mes)+1)=N(V_L3_Gracia)+N(V_L3_Cuotas),IF((75-N(V_L3_Mes)+1)=1,N(V_L3_Monto),CA$290),PMT(N(V_L3_Tasa)/12,N(V_L3_Cuotas),-N(V_L3_Monto))-CB$288),0)*CB$9</f>
        <v>0</v>
      </c>
      <c r="CC289" s="48">
        <f>IF(AND((76-N(V_L3_Mes)+1)&gt;N(V_L3_Gracia),(76-N(V_L3_Mes)+1)&lt;=N(V_L3_Gracia)+N(V_L3_Cuotas),N(V_L3_Cuotas)&gt;0),IF((76-N(V_L3_Mes)+1)=N(V_L3_Gracia)+N(V_L3_Cuotas),IF((76-N(V_L3_Mes)+1)=1,N(V_L3_Monto),CB$290),PMT(N(V_L3_Tasa)/12,N(V_L3_Cuotas),-N(V_L3_Monto))-CC$288),0)*CC$9</f>
        <v>0</v>
      </c>
      <c r="CD289" s="48">
        <f>IF(AND((77-N(V_L3_Mes)+1)&gt;N(V_L3_Gracia),(77-N(V_L3_Mes)+1)&lt;=N(V_L3_Gracia)+N(V_L3_Cuotas),N(V_L3_Cuotas)&gt;0),IF((77-N(V_L3_Mes)+1)=N(V_L3_Gracia)+N(V_L3_Cuotas),IF((77-N(V_L3_Mes)+1)=1,N(V_L3_Monto),CC$290),PMT(N(V_L3_Tasa)/12,N(V_L3_Cuotas),-N(V_L3_Monto))-CD$288),0)*CD$9</f>
        <v>0</v>
      </c>
      <c r="CE289" s="48">
        <f>IF(AND((78-N(V_L3_Mes)+1)&gt;N(V_L3_Gracia),(78-N(V_L3_Mes)+1)&lt;=N(V_L3_Gracia)+N(V_L3_Cuotas),N(V_L3_Cuotas)&gt;0),IF((78-N(V_L3_Mes)+1)=N(V_L3_Gracia)+N(V_L3_Cuotas),IF((78-N(V_L3_Mes)+1)=1,N(V_L3_Monto),CD$290),PMT(N(V_L3_Tasa)/12,N(V_L3_Cuotas),-N(V_L3_Monto))-CE$288),0)*CE$9</f>
        <v>0</v>
      </c>
      <c r="CF289" s="48">
        <f>IF(AND((79-N(V_L3_Mes)+1)&gt;N(V_L3_Gracia),(79-N(V_L3_Mes)+1)&lt;=N(V_L3_Gracia)+N(V_L3_Cuotas),N(V_L3_Cuotas)&gt;0),IF((79-N(V_L3_Mes)+1)=N(V_L3_Gracia)+N(V_L3_Cuotas),IF((79-N(V_L3_Mes)+1)=1,N(V_L3_Monto),CE$290),PMT(N(V_L3_Tasa)/12,N(V_L3_Cuotas),-N(V_L3_Monto))-CF$288),0)*CF$9</f>
        <v>0</v>
      </c>
      <c r="CG289" s="48">
        <f>IF(AND((80-N(V_L3_Mes)+1)&gt;N(V_L3_Gracia),(80-N(V_L3_Mes)+1)&lt;=N(V_L3_Gracia)+N(V_L3_Cuotas),N(V_L3_Cuotas)&gt;0),IF((80-N(V_L3_Mes)+1)=N(V_L3_Gracia)+N(V_L3_Cuotas),IF((80-N(V_L3_Mes)+1)=1,N(V_L3_Monto),CF$290),PMT(N(V_L3_Tasa)/12,N(V_L3_Cuotas),-N(V_L3_Monto))-CG$288),0)*CG$9</f>
        <v>0</v>
      </c>
      <c r="CH289" s="48">
        <f>IF(AND((81-N(V_L3_Mes)+1)&gt;N(V_L3_Gracia),(81-N(V_L3_Mes)+1)&lt;=N(V_L3_Gracia)+N(V_L3_Cuotas),N(V_L3_Cuotas)&gt;0),IF((81-N(V_L3_Mes)+1)=N(V_L3_Gracia)+N(V_L3_Cuotas),IF((81-N(V_L3_Mes)+1)=1,N(V_L3_Monto),CG$290),PMT(N(V_L3_Tasa)/12,N(V_L3_Cuotas),-N(V_L3_Monto))-CH$288),0)*CH$9</f>
        <v>0</v>
      </c>
      <c r="CI289" s="48">
        <f>IF(AND((82-N(V_L3_Mes)+1)&gt;N(V_L3_Gracia),(82-N(V_L3_Mes)+1)&lt;=N(V_L3_Gracia)+N(V_L3_Cuotas),N(V_L3_Cuotas)&gt;0),IF((82-N(V_L3_Mes)+1)=N(V_L3_Gracia)+N(V_L3_Cuotas),IF((82-N(V_L3_Mes)+1)=1,N(V_L3_Monto),CH$290),PMT(N(V_L3_Tasa)/12,N(V_L3_Cuotas),-N(V_L3_Monto))-CI$288),0)*CI$9</f>
        <v>0</v>
      </c>
      <c r="CJ289" s="48">
        <f>IF(AND((83-N(V_L3_Mes)+1)&gt;N(V_L3_Gracia),(83-N(V_L3_Mes)+1)&lt;=N(V_L3_Gracia)+N(V_L3_Cuotas),N(V_L3_Cuotas)&gt;0),IF((83-N(V_L3_Mes)+1)=N(V_L3_Gracia)+N(V_L3_Cuotas),IF((83-N(V_L3_Mes)+1)=1,N(V_L3_Monto),CI$290),PMT(N(V_L3_Tasa)/12,N(V_L3_Cuotas),-N(V_L3_Monto))-CJ$288),0)*CJ$9</f>
        <v>0</v>
      </c>
      <c r="CK289" s="48">
        <f>IF(AND((84-N(V_L3_Mes)+1)&gt;N(V_L3_Gracia),(84-N(V_L3_Mes)+1)&lt;=N(V_L3_Gracia)+N(V_L3_Cuotas),N(V_L3_Cuotas)&gt;0),IF((84-N(V_L3_Mes)+1)=N(V_L3_Gracia)+N(V_L3_Cuotas),IF((84-N(V_L3_Mes)+1)=1,N(V_L3_Monto),CJ$290),PMT(N(V_L3_Tasa)/12,N(V_L3_Cuotas),-N(V_L3_Monto))-CK$288),0)*CK$9</f>
        <v>0</v>
      </c>
      <c r="CL289" s="48">
        <f>IF(AND((85-N(V_L3_Mes)+1)&gt;N(V_L3_Gracia),(85-N(V_L3_Mes)+1)&lt;=N(V_L3_Gracia)+N(V_L3_Cuotas),N(V_L3_Cuotas)&gt;0),IF((85-N(V_L3_Mes)+1)=N(V_L3_Gracia)+N(V_L3_Cuotas),IF((85-N(V_L3_Mes)+1)=1,N(V_L3_Monto),CK$290),PMT(N(V_L3_Tasa)/12,N(V_L3_Cuotas),-N(V_L3_Monto))-CL$288),0)*CL$9</f>
        <v>0</v>
      </c>
      <c r="CM289" s="48">
        <f>IF(AND((86-N(V_L3_Mes)+1)&gt;N(V_L3_Gracia),(86-N(V_L3_Mes)+1)&lt;=N(V_L3_Gracia)+N(V_L3_Cuotas),N(V_L3_Cuotas)&gt;0),IF((86-N(V_L3_Mes)+1)=N(V_L3_Gracia)+N(V_L3_Cuotas),IF((86-N(V_L3_Mes)+1)=1,N(V_L3_Monto),CL$290),PMT(N(V_L3_Tasa)/12,N(V_L3_Cuotas),-N(V_L3_Monto))-CM$288),0)*CM$9</f>
        <v>0</v>
      </c>
      <c r="CN289" s="48">
        <f>IF(AND((87-N(V_L3_Mes)+1)&gt;N(V_L3_Gracia),(87-N(V_L3_Mes)+1)&lt;=N(V_L3_Gracia)+N(V_L3_Cuotas),N(V_L3_Cuotas)&gt;0),IF((87-N(V_L3_Mes)+1)=N(V_L3_Gracia)+N(V_L3_Cuotas),IF((87-N(V_L3_Mes)+1)=1,N(V_L3_Monto),CM$290),PMT(N(V_L3_Tasa)/12,N(V_L3_Cuotas),-N(V_L3_Monto))-CN$288),0)*CN$9</f>
        <v>0</v>
      </c>
      <c r="CO289" s="48">
        <f>IF(AND((88-N(V_L3_Mes)+1)&gt;N(V_L3_Gracia),(88-N(V_L3_Mes)+1)&lt;=N(V_L3_Gracia)+N(V_L3_Cuotas),N(V_L3_Cuotas)&gt;0),IF((88-N(V_L3_Mes)+1)=N(V_L3_Gracia)+N(V_L3_Cuotas),IF((88-N(V_L3_Mes)+1)=1,N(V_L3_Monto),CN$290),PMT(N(V_L3_Tasa)/12,N(V_L3_Cuotas),-N(V_L3_Monto))-CO$288),0)*CO$9</f>
        <v>0</v>
      </c>
      <c r="CP289" s="48">
        <f>IF(AND((89-N(V_L3_Mes)+1)&gt;N(V_L3_Gracia),(89-N(V_L3_Mes)+1)&lt;=N(V_L3_Gracia)+N(V_L3_Cuotas),N(V_L3_Cuotas)&gt;0),IF((89-N(V_L3_Mes)+1)=N(V_L3_Gracia)+N(V_L3_Cuotas),IF((89-N(V_L3_Mes)+1)=1,N(V_L3_Monto),CO$290),PMT(N(V_L3_Tasa)/12,N(V_L3_Cuotas),-N(V_L3_Monto))-CP$288),0)*CP$9</f>
        <v>0</v>
      </c>
      <c r="CQ289" s="48">
        <f>IF(AND((90-N(V_L3_Mes)+1)&gt;N(V_L3_Gracia),(90-N(V_L3_Mes)+1)&lt;=N(V_L3_Gracia)+N(V_L3_Cuotas),N(V_L3_Cuotas)&gt;0),IF((90-N(V_L3_Mes)+1)=N(V_L3_Gracia)+N(V_L3_Cuotas),IF((90-N(V_L3_Mes)+1)=1,N(V_L3_Monto),CP$290),PMT(N(V_L3_Tasa)/12,N(V_L3_Cuotas),-N(V_L3_Monto))-CQ$288),0)*CQ$9</f>
        <v>0</v>
      </c>
      <c r="CR289" s="48">
        <f>IF(AND((91-N(V_L3_Mes)+1)&gt;N(V_L3_Gracia),(91-N(V_L3_Mes)+1)&lt;=N(V_L3_Gracia)+N(V_L3_Cuotas),N(V_L3_Cuotas)&gt;0),IF((91-N(V_L3_Mes)+1)=N(V_L3_Gracia)+N(V_L3_Cuotas),IF((91-N(V_L3_Mes)+1)=1,N(V_L3_Monto),CQ$290),PMT(N(V_L3_Tasa)/12,N(V_L3_Cuotas),-N(V_L3_Monto))-CR$288),0)*CR$9</f>
        <v>0</v>
      </c>
      <c r="CS289" s="48">
        <f>IF(AND((92-N(V_L3_Mes)+1)&gt;N(V_L3_Gracia),(92-N(V_L3_Mes)+1)&lt;=N(V_L3_Gracia)+N(V_L3_Cuotas),N(V_L3_Cuotas)&gt;0),IF((92-N(V_L3_Mes)+1)=N(V_L3_Gracia)+N(V_L3_Cuotas),IF((92-N(V_L3_Mes)+1)=1,N(V_L3_Monto),CR$290),PMT(N(V_L3_Tasa)/12,N(V_L3_Cuotas),-N(V_L3_Monto))-CS$288),0)*CS$9</f>
        <v>0</v>
      </c>
      <c r="CT289" s="48">
        <f>IF(AND((93-N(V_L3_Mes)+1)&gt;N(V_L3_Gracia),(93-N(V_L3_Mes)+1)&lt;=N(V_L3_Gracia)+N(V_L3_Cuotas),N(V_L3_Cuotas)&gt;0),IF((93-N(V_L3_Mes)+1)=N(V_L3_Gracia)+N(V_L3_Cuotas),IF((93-N(V_L3_Mes)+1)=1,N(V_L3_Monto),CS$290),PMT(N(V_L3_Tasa)/12,N(V_L3_Cuotas),-N(V_L3_Monto))-CT$288),0)*CT$9</f>
        <v>0</v>
      </c>
      <c r="CU289" s="48">
        <f>IF(AND((94-N(V_L3_Mes)+1)&gt;N(V_L3_Gracia),(94-N(V_L3_Mes)+1)&lt;=N(V_L3_Gracia)+N(V_L3_Cuotas),N(V_L3_Cuotas)&gt;0),IF((94-N(V_L3_Mes)+1)=N(V_L3_Gracia)+N(V_L3_Cuotas),IF((94-N(V_L3_Mes)+1)=1,N(V_L3_Monto),CT$290),PMT(N(V_L3_Tasa)/12,N(V_L3_Cuotas),-N(V_L3_Monto))-CU$288),0)*CU$9</f>
        <v>0</v>
      </c>
      <c r="CV289" s="48">
        <f>IF(AND((95-N(V_L3_Mes)+1)&gt;N(V_L3_Gracia),(95-N(V_L3_Mes)+1)&lt;=N(V_L3_Gracia)+N(V_L3_Cuotas),N(V_L3_Cuotas)&gt;0),IF((95-N(V_L3_Mes)+1)=N(V_L3_Gracia)+N(V_L3_Cuotas),IF((95-N(V_L3_Mes)+1)=1,N(V_L3_Monto),CU$290),PMT(N(V_L3_Tasa)/12,N(V_L3_Cuotas),-N(V_L3_Monto))-CV$288),0)*CV$9</f>
        <v>0</v>
      </c>
      <c r="CW289" s="48">
        <f>IF(AND((96-N(V_L3_Mes)+1)&gt;N(V_L3_Gracia),(96-N(V_L3_Mes)+1)&lt;=N(V_L3_Gracia)+N(V_L3_Cuotas),N(V_L3_Cuotas)&gt;0),IF((96-N(V_L3_Mes)+1)=N(V_L3_Gracia)+N(V_L3_Cuotas),IF((96-N(V_L3_Mes)+1)=1,N(V_L3_Monto),CV$290),PMT(N(V_L3_Tasa)/12,N(V_L3_Cuotas),-N(V_L3_Monto))-CW$288),0)*CW$9</f>
        <v>0</v>
      </c>
      <c r="CX289" s="48">
        <f>IF(AND((97-N(V_L3_Mes)+1)&gt;N(V_L3_Gracia),(97-N(V_L3_Mes)+1)&lt;=N(V_L3_Gracia)+N(V_L3_Cuotas),N(V_L3_Cuotas)&gt;0),IF((97-N(V_L3_Mes)+1)=N(V_L3_Gracia)+N(V_L3_Cuotas),IF((97-N(V_L3_Mes)+1)=1,N(V_L3_Monto),CW$290),PMT(N(V_L3_Tasa)/12,N(V_L3_Cuotas),-N(V_L3_Monto))-CX$288),0)*CX$9</f>
        <v>0</v>
      </c>
      <c r="CY289" s="48">
        <f>IF(AND((98-N(V_L3_Mes)+1)&gt;N(V_L3_Gracia),(98-N(V_L3_Mes)+1)&lt;=N(V_L3_Gracia)+N(V_L3_Cuotas),N(V_L3_Cuotas)&gt;0),IF((98-N(V_L3_Mes)+1)=N(V_L3_Gracia)+N(V_L3_Cuotas),IF((98-N(V_L3_Mes)+1)=1,N(V_L3_Monto),CX$290),PMT(N(V_L3_Tasa)/12,N(V_L3_Cuotas),-N(V_L3_Monto))-CY$288),0)*CY$9</f>
        <v>0</v>
      </c>
      <c r="CZ289" s="48">
        <f>IF(AND((99-N(V_L3_Mes)+1)&gt;N(V_L3_Gracia),(99-N(V_L3_Mes)+1)&lt;=N(V_L3_Gracia)+N(V_L3_Cuotas),N(V_L3_Cuotas)&gt;0),IF((99-N(V_L3_Mes)+1)=N(V_L3_Gracia)+N(V_L3_Cuotas),IF((99-N(V_L3_Mes)+1)=1,N(V_L3_Monto),CY$290),PMT(N(V_L3_Tasa)/12,N(V_L3_Cuotas),-N(V_L3_Monto))-CZ$288),0)*CZ$9</f>
        <v>0</v>
      </c>
      <c r="DA289" s="48">
        <f>IF(AND((100-N(V_L3_Mes)+1)&gt;N(V_L3_Gracia),(100-N(V_L3_Mes)+1)&lt;=N(V_L3_Gracia)+N(V_L3_Cuotas),N(V_L3_Cuotas)&gt;0),IF((100-N(V_L3_Mes)+1)=N(V_L3_Gracia)+N(V_L3_Cuotas),IF((100-N(V_L3_Mes)+1)=1,N(V_L3_Monto),CZ$290),PMT(N(V_L3_Tasa)/12,N(V_L3_Cuotas),-N(V_L3_Monto))-DA$288),0)*DA$9</f>
        <v>0</v>
      </c>
      <c r="DB289" s="48">
        <f>IF(AND((101-N(V_L3_Mes)+1)&gt;N(V_L3_Gracia),(101-N(V_L3_Mes)+1)&lt;=N(V_L3_Gracia)+N(V_L3_Cuotas),N(V_L3_Cuotas)&gt;0),IF((101-N(V_L3_Mes)+1)=N(V_L3_Gracia)+N(V_L3_Cuotas),IF((101-N(V_L3_Mes)+1)=1,N(V_L3_Monto),DA$290),PMT(N(V_L3_Tasa)/12,N(V_L3_Cuotas),-N(V_L3_Monto))-DB$288),0)*DB$9</f>
        <v>0</v>
      </c>
      <c r="DC289" s="48">
        <f>IF(AND((102-N(V_L3_Mes)+1)&gt;N(V_L3_Gracia),(102-N(V_L3_Mes)+1)&lt;=N(V_L3_Gracia)+N(V_L3_Cuotas),N(V_L3_Cuotas)&gt;0),IF((102-N(V_L3_Mes)+1)=N(V_L3_Gracia)+N(V_L3_Cuotas),IF((102-N(V_L3_Mes)+1)=1,N(V_L3_Monto),DB$290),PMT(N(V_L3_Tasa)/12,N(V_L3_Cuotas),-N(V_L3_Monto))-DC$288),0)*DC$9</f>
        <v>0</v>
      </c>
      <c r="DD289" s="48">
        <f>IF(AND((103-N(V_L3_Mes)+1)&gt;N(V_L3_Gracia),(103-N(V_L3_Mes)+1)&lt;=N(V_L3_Gracia)+N(V_L3_Cuotas),N(V_L3_Cuotas)&gt;0),IF((103-N(V_L3_Mes)+1)=N(V_L3_Gracia)+N(V_L3_Cuotas),IF((103-N(V_L3_Mes)+1)=1,N(V_L3_Monto),DC$290),PMT(N(V_L3_Tasa)/12,N(V_L3_Cuotas),-N(V_L3_Monto))-DD$288),0)*DD$9</f>
        <v>0</v>
      </c>
      <c r="DE289" s="48">
        <f>IF(AND((104-N(V_L3_Mes)+1)&gt;N(V_L3_Gracia),(104-N(V_L3_Mes)+1)&lt;=N(V_L3_Gracia)+N(V_L3_Cuotas),N(V_L3_Cuotas)&gt;0),IF((104-N(V_L3_Mes)+1)=N(V_L3_Gracia)+N(V_L3_Cuotas),IF((104-N(V_L3_Mes)+1)=1,N(V_L3_Monto),DD$290),PMT(N(V_L3_Tasa)/12,N(V_L3_Cuotas),-N(V_L3_Monto))-DE$288),0)*DE$9</f>
        <v>0</v>
      </c>
      <c r="DF289" s="48">
        <f>IF(AND((105-N(V_L3_Mes)+1)&gt;N(V_L3_Gracia),(105-N(V_L3_Mes)+1)&lt;=N(V_L3_Gracia)+N(V_L3_Cuotas),N(V_L3_Cuotas)&gt;0),IF((105-N(V_L3_Mes)+1)=N(V_L3_Gracia)+N(V_L3_Cuotas),IF((105-N(V_L3_Mes)+1)=1,N(V_L3_Monto),DE$290),PMT(N(V_L3_Tasa)/12,N(V_L3_Cuotas),-N(V_L3_Monto))-DF$288),0)*DF$9</f>
        <v>0</v>
      </c>
      <c r="DG289" s="48">
        <f>IF(AND((106-N(V_L3_Mes)+1)&gt;N(V_L3_Gracia),(106-N(V_L3_Mes)+1)&lt;=N(V_L3_Gracia)+N(V_L3_Cuotas),N(V_L3_Cuotas)&gt;0),IF((106-N(V_L3_Mes)+1)=N(V_L3_Gracia)+N(V_L3_Cuotas),IF((106-N(V_L3_Mes)+1)=1,N(V_L3_Monto),DF$290),PMT(N(V_L3_Tasa)/12,N(V_L3_Cuotas),-N(V_L3_Monto))-DG$288),0)*DG$9</f>
        <v>0</v>
      </c>
      <c r="DH289" s="48">
        <f>IF(AND((107-N(V_L3_Mes)+1)&gt;N(V_L3_Gracia),(107-N(V_L3_Mes)+1)&lt;=N(V_L3_Gracia)+N(V_L3_Cuotas),N(V_L3_Cuotas)&gt;0),IF((107-N(V_L3_Mes)+1)=N(V_L3_Gracia)+N(V_L3_Cuotas),IF((107-N(V_L3_Mes)+1)=1,N(V_L3_Monto),DG$290),PMT(N(V_L3_Tasa)/12,N(V_L3_Cuotas),-N(V_L3_Monto))-DH$288),0)*DH$9</f>
        <v>0</v>
      </c>
      <c r="DI289" s="48">
        <f>IF(AND((108-N(V_L3_Mes)+1)&gt;N(V_L3_Gracia),(108-N(V_L3_Mes)+1)&lt;=N(V_L3_Gracia)+N(V_L3_Cuotas),N(V_L3_Cuotas)&gt;0),IF((108-N(V_L3_Mes)+1)=N(V_L3_Gracia)+N(V_L3_Cuotas),IF((108-N(V_L3_Mes)+1)=1,N(V_L3_Monto),DH$290),PMT(N(V_L3_Tasa)/12,N(V_L3_Cuotas),-N(V_L3_Monto))-DI$288),0)*DI$9</f>
        <v>0</v>
      </c>
      <c r="DJ289" s="48">
        <f>IF(AND((109-N(V_L3_Mes)+1)&gt;N(V_L3_Gracia),(109-N(V_L3_Mes)+1)&lt;=N(V_L3_Gracia)+N(V_L3_Cuotas),N(V_L3_Cuotas)&gt;0),IF((109-N(V_L3_Mes)+1)=N(V_L3_Gracia)+N(V_L3_Cuotas),IF((109-N(V_L3_Mes)+1)=1,N(V_L3_Monto),DI$290),PMT(N(V_L3_Tasa)/12,N(V_L3_Cuotas),-N(V_L3_Monto))-DJ$288),0)*DJ$9</f>
        <v>0</v>
      </c>
      <c r="DK289" s="48">
        <f>IF(AND((110-N(V_L3_Mes)+1)&gt;N(V_L3_Gracia),(110-N(V_L3_Mes)+1)&lt;=N(V_L3_Gracia)+N(V_L3_Cuotas),N(V_L3_Cuotas)&gt;0),IF((110-N(V_L3_Mes)+1)=N(V_L3_Gracia)+N(V_L3_Cuotas),IF((110-N(V_L3_Mes)+1)=1,N(V_L3_Monto),DJ$290),PMT(N(V_L3_Tasa)/12,N(V_L3_Cuotas),-N(V_L3_Monto))-DK$288),0)*DK$9</f>
        <v>0</v>
      </c>
      <c r="DL289" s="48">
        <f>IF(AND((111-N(V_L3_Mes)+1)&gt;N(V_L3_Gracia),(111-N(V_L3_Mes)+1)&lt;=N(V_L3_Gracia)+N(V_L3_Cuotas),N(V_L3_Cuotas)&gt;0),IF((111-N(V_L3_Mes)+1)=N(V_L3_Gracia)+N(V_L3_Cuotas),IF((111-N(V_L3_Mes)+1)=1,N(V_L3_Monto),DK$290),PMT(N(V_L3_Tasa)/12,N(V_L3_Cuotas),-N(V_L3_Monto))-DL$288),0)*DL$9</f>
        <v>0</v>
      </c>
      <c r="DM289" s="48">
        <f>IF(AND((112-N(V_L3_Mes)+1)&gt;N(V_L3_Gracia),(112-N(V_L3_Mes)+1)&lt;=N(V_L3_Gracia)+N(V_L3_Cuotas),N(V_L3_Cuotas)&gt;0),IF((112-N(V_L3_Mes)+1)=N(V_L3_Gracia)+N(V_L3_Cuotas),IF((112-N(V_L3_Mes)+1)=1,N(V_L3_Monto),DL$290),PMT(N(V_L3_Tasa)/12,N(V_L3_Cuotas),-N(V_L3_Monto))-DM$288),0)*DM$9</f>
        <v>0</v>
      </c>
      <c r="DN289" s="48">
        <f>IF(AND((113-N(V_L3_Mes)+1)&gt;N(V_L3_Gracia),(113-N(V_L3_Mes)+1)&lt;=N(V_L3_Gracia)+N(V_L3_Cuotas),N(V_L3_Cuotas)&gt;0),IF((113-N(V_L3_Mes)+1)=N(V_L3_Gracia)+N(V_L3_Cuotas),IF((113-N(V_L3_Mes)+1)=1,N(V_L3_Monto),DM$290),PMT(N(V_L3_Tasa)/12,N(V_L3_Cuotas),-N(V_L3_Monto))-DN$288),0)*DN$9</f>
        <v>0</v>
      </c>
      <c r="DO289" s="48">
        <f>IF(AND((114-N(V_L3_Mes)+1)&gt;N(V_L3_Gracia),(114-N(V_L3_Mes)+1)&lt;=N(V_L3_Gracia)+N(V_L3_Cuotas),N(V_L3_Cuotas)&gt;0),IF((114-N(V_L3_Mes)+1)=N(V_L3_Gracia)+N(V_L3_Cuotas),IF((114-N(V_L3_Mes)+1)=1,N(V_L3_Monto),DN$290),PMT(N(V_L3_Tasa)/12,N(V_L3_Cuotas),-N(V_L3_Monto))-DO$288),0)*DO$9</f>
        <v>0</v>
      </c>
      <c r="DP289" s="48">
        <f>IF(AND((115-N(V_L3_Mes)+1)&gt;N(V_L3_Gracia),(115-N(V_L3_Mes)+1)&lt;=N(V_L3_Gracia)+N(V_L3_Cuotas),N(V_L3_Cuotas)&gt;0),IF((115-N(V_L3_Mes)+1)=N(V_L3_Gracia)+N(V_L3_Cuotas),IF((115-N(V_L3_Mes)+1)=1,N(V_L3_Monto),DO$290),PMT(N(V_L3_Tasa)/12,N(V_L3_Cuotas),-N(V_L3_Monto))-DP$288),0)*DP$9</f>
        <v>0</v>
      </c>
      <c r="DQ289" s="48">
        <f>IF(AND((116-N(V_L3_Mes)+1)&gt;N(V_L3_Gracia),(116-N(V_L3_Mes)+1)&lt;=N(V_L3_Gracia)+N(V_L3_Cuotas),N(V_L3_Cuotas)&gt;0),IF((116-N(V_L3_Mes)+1)=N(V_L3_Gracia)+N(V_L3_Cuotas),IF((116-N(V_L3_Mes)+1)=1,N(V_L3_Monto),DP$290),PMT(N(V_L3_Tasa)/12,N(V_L3_Cuotas),-N(V_L3_Monto))-DQ$288),0)*DQ$9</f>
        <v>0</v>
      </c>
      <c r="DR289" s="48">
        <f>IF(AND((117-N(V_L3_Mes)+1)&gt;N(V_L3_Gracia),(117-N(V_L3_Mes)+1)&lt;=N(V_L3_Gracia)+N(V_L3_Cuotas),N(V_L3_Cuotas)&gt;0),IF((117-N(V_L3_Mes)+1)=N(V_L3_Gracia)+N(V_L3_Cuotas),IF((117-N(V_L3_Mes)+1)=1,N(V_L3_Monto),DQ$290),PMT(N(V_L3_Tasa)/12,N(V_L3_Cuotas),-N(V_L3_Monto))-DR$288),0)*DR$9</f>
        <v>0</v>
      </c>
      <c r="DS289" s="48">
        <f>IF(AND((118-N(V_L3_Mes)+1)&gt;N(V_L3_Gracia),(118-N(V_L3_Mes)+1)&lt;=N(V_L3_Gracia)+N(V_L3_Cuotas),N(V_L3_Cuotas)&gt;0),IF((118-N(V_L3_Mes)+1)=N(V_L3_Gracia)+N(V_L3_Cuotas),IF((118-N(V_L3_Mes)+1)=1,N(V_L3_Monto),DR$290),PMT(N(V_L3_Tasa)/12,N(V_L3_Cuotas),-N(V_L3_Monto))-DS$288),0)*DS$9</f>
        <v>0</v>
      </c>
      <c r="DT289" s="48">
        <f>IF(AND((119-N(V_L3_Mes)+1)&gt;N(V_L3_Gracia),(119-N(V_L3_Mes)+1)&lt;=N(V_L3_Gracia)+N(V_L3_Cuotas),N(V_L3_Cuotas)&gt;0),IF((119-N(V_L3_Mes)+1)=N(V_L3_Gracia)+N(V_L3_Cuotas),IF((119-N(V_L3_Mes)+1)=1,N(V_L3_Monto),DS$290),PMT(N(V_L3_Tasa)/12,N(V_L3_Cuotas),-N(V_L3_Monto))-DT$288),0)*DT$9</f>
        <v>0</v>
      </c>
      <c r="DU289" s="48">
        <f>IF(AND((120-N(V_L3_Mes)+1)&gt;N(V_L3_Gracia),(120-N(V_L3_Mes)+1)&lt;=N(V_L3_Gracia)+N(V_L3_Cuotas),N(V_L3_Cuotas)&gt;0),IF((120-N(V_L3_Mes)+1)=N(V_L3_Gracia)+N(V_L3_Cuotas),IF((120-N(V_L3_Mes)+1)=1,N(V_L3_Monto),DT$290),PMT(N(V_L3_Tasa)/12,N(V_L3_Cuotas),-N(V_L3_Monto))-DU$288),0)*DU$9</f>
        <v>0</v>
      </c>
      <c r="DV289" s="48">
        <f>IF(AND((121-N(V_L3_Mes)+1)&gt;N(V_L3_Gracia),(121-N(V_L3_Mes)+1)&lt;=N(V_L3_Gracia)+N(V_L3_Cuotas),N(V_L3_Cuotas)&gt;0),IF((121-N(V_L3_Mes)+1)=N(V_L3_Gracia)+N(V_L3_Cuotas),IF((121-N(V_L3_Mes)+1)=1,N(V_L3_Monto),DU$290),PMT(N(V_L3_Tasa)/12,N(V_L3_Cuotas),-N(V_L3_Monto))-DV$288),0)*DV$9</f>
        <v>0</v>
      </c>
      <c r="DW289" s="48">
        <f>IF(AND((122-N(V_L3_Mes)+1)&gt;N(V_L3_Gracia),(122-N(V_L3_Mes)+1)&lt;=N(V_L3_Gracia)+N(V_L3_Cuotas),N(V_L3_Cuotas)&gt;0),IF((122-N(V_L3_Mes)+1)=N(V_L3_Gracia)+N(V_L3_Cuotas),IF((122-N(V_L3_Mes)+1)=1,N(V_L3_Monto),DV$290),PMT(N(V_L3_Tasa)/12,N(V_L3_Cuotas),-N(V_L3_Monto))-DW$288),0)*DW$9</f>
        <v>0</v>
      </c>
      <c r="DX289" s="48">
        <f>IF(AND((123-N(V_L3_Mes)+1)&gt;N(V_L3_Gracia),(123-N(V_L3_Mes)+1)&lt;=N(V_L3_Gracia)+N(V_L3_Cuotas),N(V_L3_Cuotas)&gt;0),IF((123-N(V_L3_Mes)+1)=N(V_L3_Gracia)+N(V_L3_Cuotas),IF((123-N(V_L3_Mes)+1)=1,N(V_L3_Monto),DW$290),PMT(N(V_L3_Tasa)/12,N(V_L3_Cuotas),-N(V_L3_Monto))-DX$288),0)*DX$9</f>
        <v>0</v>
      </c>
      <c r="DY289" s="48">
        <f>IF(AND((124-N(V_L3_Mes)+1)&gt;N(V_L3_Gracia),(124-N(V_L3_Mes)+1)&lt;=N(V_L3_Gracia)+N(V_L3_Cuotas),N(V_L3_Cuotas)&gt;0),IF((124-N(V_L3_Mes)+1)=N(V_L3_Gracia)+N(V_L3_Cuotas),IF((124-N(V_L3_Mes)+1)=1,N(V_L3_Monto),DX$290),PMT(N(V_L3_Tasa)/12,N(V_L3_Cuotas),-N(V_L3_Monto))-DY$288),0)*DY$9</f>
        <v>0</v>
      </c>
      <c r="DZ289" s="48">
        <f>IF(AND((125-N(V_L3_Mes)+1)&gt;N(V_L3_Gracia),(125-N(V_L3_Mes)+1)&lt;=N(V_L3_Gracia)+N(V_L3_Cuotas),N(V_L3_Cuotas)&gt;0),IF((125-N(V_L3_Mes)+1)=N(V_L3_Gracia)+N(V_L3_Cuotas),IF((125-N(V_L3_Mes)+1)=1,N(V_L3_Monto),DY$290),PMT(N(V_L3_Tasa)/12,N(V_L3_Cuotas),-N(V_L3_Monto))-DZ$288),0)*DZ$9</f>
        <v>0</v>
      </c>
      <c r="EA289" s="48">
        <f>IF(AND((126-N(V_L3_Mes)+1)&gt;N(V_L3_Gracia),(126-N(V_L3_Mes)+1)&lt;=N(V_L3_Gracia)+N(V_L3_Cuotas),N(V_L3_Cuotas)&gt;0),IF((126-N(V_L3_Mes)+1)=N(V_L3_Gracia)+N(V_L3_Cuotas),IF((126-N(V_L3_Mes)+1)=1,N(V_L3_Monto),DZ$290),PMT(N(V_L3_Tasa)/12,N(V_L3_Cuotas),-N(V_L3_Monto))-EA$288),0)*EA$9</f>
        <v>0</v>
      </c>
      <c r="EB289" s="48">
        <f>IF(AND((127-N(V_L3_Mes)+1)&gt;N(V_L3_Gracia),(127-N(V_L3_Mes)+1)&lt;=N(V_L3_Gracia)+N(V_L3_Cuotas),N(V_L3_Cuotas)&gt;0),IF((127-N(V_L3_Mes)+1)=N(V_L3_Gracia)+N(V_L3_Cuotas),IF((127-N(V_L3_Mes)+1)=1,N(V_L3_Monto),EA$290),PMT(N(V_L3_Tasa)/12,N(V_L3_Cuotas),-N(V_L3_Monto))-EB$288),0)*EB$9</f>
        <v>0</v>
      </c>
      <c r="EC289" s="48">
        <f>IF(AND((128-N(V_L3_Mes)+1)&gt;N(V_L3_Gracia),(128-N(V_L3_Mes)+1)&lt;=N(V_L3_Gracia)+N(V_L3_Cuotas),N(V_L3_Cuotas)&gt;0),IF((128-N(V_L3_Mes)+1)=N(V_L3_Gracia)+N(V_L3_Cuotas),IF((128-N(V_L3_Mes)+1)=1,N(V_L3_Monto),EB$290),PMT(N(V_L3_Tasa)/12,N(V_L3_Cuotas),-N(V_L3_Monto))-EC$288),0)*EC$9</f>
        <v>0</v>
      </c>
      <c r="ED289" s="48">
        <f>IF(AND((129-N(V_L3_Mes)+1)&gt;N(V_L3_Gracia),(129-N(V_L3_Mes)+1)&lt;=N(V_L3_Gracia)+N(V_L3_Cuotas),N(V_L3_Cuotas)&gt;0),IF((129-N(V_L3_Mes)+1)=N(V_L3_Gracia)+N(V_L3_Cuotas),IF((129-N(V_L3_Mes)+1)=1,N(V_L3_Monto),EC$290),PMT(N(V_L3_Tasa)/12,N(V_L3_Cuotas),-N(V_L3_Monto))-ED$288),0)*ED$9</f>
        <v>0</v>
      </c>
      <c r="EE289" s="48">
        <f>IF(AND((130-N(V_L3_Mes)+1)&gt;N(V_L3_Gracia),(130-N(V_L3_Mes)+1)&lt;=N(V_L3_Gracia)+N(V_L3_Cuotas),N(V_L3_Cuotas)&gt;0),IF((130-N(V_L3_Mes)+1)=N(V_L3_Gracia)+N(V_L3_Cuotas),IF((130-N(V_L3_Mes)+1)=1,N(V_L3_Monto),ED$290),PMT(N(V_L3_Tasa)/12,N(V_L3_Cuotas),-N(V_L3_Monto))-EE$288),0)*EE$9</f>
        <v>0</v>
      </c>
      <c r="EF289" s="48">
        <f>IF(AND((131-N(V_L3_Mes)+1)&gt;N(V_L3_Gracia),(131-N(V_L3_Mes)+1)&lt;=N(V_L3_Gracia)+N(V_L3_Cuotas),N(V_L3_Cuotas)&gt;0),IF((131-N(V_L3_Mes)+1)=N(V_L3_Gracia)+N(V_L3_Cuotas),IF((131-N(V_L3_Mes)+1)=1,N(V_L3_Monto),EE$290),PMT(N(V_L3_Tasa)/12,N(V_L3_Cuotas),-N(V_L3_Monto))-EF$288),0)*EF$9</f>
        <v>0</v>
      </c>
      <c r="EG289" s="48">
        <f>IF(AND((132-N(V_L3_Mes)+1)&gt;N(V_L3_Gracia),(132-N(V_L3_Mes)+1)&lt;=N(V_L3_Gracia)+N(V_L3_Cuotas),N(V_L3_Cuotas)&gt;0),IF((132-N(V_L3_Mes)+1)=N(V_L3_Gracia)+N(V_L3_Cuotas),IF((132-N(V_L3_Mes)+1)=1,N(V_L3_Monto),EF$290),PMT(N(V_L3_Tasa)/12,N(V_L3_Cuotas),-N(V_L3_Monto))-EG$288),0)*EG$9</f>
        <v>0</v>
      </c>
      <c r="EH289" s="48">
        <f>IF(AND((133-N(V_L3_Mes)+1)&gt;N(V_L3_Gracia),(133-N(V_L3_Mes)+1)&lt;=N(V_L3_Gracia)+N(V_L3_Cuotas),N(V_L3_Cuotas)&gt;0),IF((133-N(V_L3_Mes)+1)=N(V_L3_Gracia)+N(V_L3_Cuotas),IF((133-N(V_L3_Mes)+1)=1,N(V_L3_Monto),EG$290),PMT(N(V_L3_Tasa)/12,N(V_L3_Cuotas),-N(V_L3_Monto))-EH$288),0)*EH$9</f>
        <v>0</v>
      </c>
      <c r="EI289" s="48">
        <f>IF(AND((134-N(V_L3_Mes)+1)&gt;N(V_L3_Gracia),(134-N(V_L3_Mes)+1)&lt;=N(V_L3_Gracia)+N(V_L3_Cuotas),N(V_L3_Cuotas)&gt;0),IF((134-N(V_L3_Mes)+1)=N(V_L3_Gracia)+N(V_L3_Cuotas),IF((134-N(V_L3_Mes)+1)=1,N(V_L3_Monto),EH$290),PMT(N(V_L3_Tasa)/12,N(V_L3_Cuotas),-N(V_L3_Monto))-EI$288),0)*EI$9</f>
        <v>0</v>
      </c>
      <c r="EJ289" s="48">
        <f>IF(AND((135-N(V_L3_Mes)+1)&gt;N(V_L3_Gracia),(135-N(V_L3_Mes)+1)&lt;=N(V_L3_Gracia)+N(V_L3_Cuotas),N(V_L3_Cuotas)&gt;0),IF((135-N(V_L3_Mes)+1)=N(V_L3_Gracia)+N(V_L3_Cuotas),IF((135-N(V_L3_Mes)+1)=1,N(V_L3_Monto),EI$290),PMT(N(V_L3_Tasa)/12,N(V_L3_Cuotas),-N(V_L3_Monto))-EJ$288),0)*EJ$9</f>
        <v>0</v>
      </c>
      <c r="EK289" s="48">
        <f>IF(AND((136-N(V_L3_Mes)+1)&gt;N(V_L3_Gracia),(136-N(V_L3_Mes)+1)&lt;=N(V_L3_Gracia)+N(V_L3_Cuotas),N(V_L3_Cuotas)&gt;0),IF((136-N(V_L3_Mes)+1)=N(V_L3_Gracia)+N(V_L3_Cuotas),IF((136-N(V_L3_Mes)+1)=1,N(V_L3_Monto),EJ$290),PMT(N(V_L3_Tasa)/12,N(V_L3_Cuotas),-N(V_L3_Monto))-EK$288),0)*EK$9</f>
        <v>0</v>
      </c>
      <c r="EL289" s="48">
        <f>IF(AND((137-N(V_L3_Mes)+1)&gt;N(V_L3_Gracia),(137-N(V_L3_Mes)+1)&lt;=N(V_L3_Gracia)+N(V_L3_Cuotas),N(V_L3_Cuotas)&gt;0),IF((137-N(V_L3_Mes)+1)=N(V_L3_Gracia)+N(V_L3_Cuotas),IF((137-N(V_L3_Mes)+1)=1,N(V_L3_Monto),EK$290),PMT(N(V_L3_Tasa)/12,N(V_L3_Cuotas),-N(V_L3_Monto))-EL$288),0)*EL$9</f>
        <v>0</v>
      </c>
      <c r="EM289" s="48">
        <f>IF(AND((138-N(V_L3_Mes)+1)&gt;N(V_L3_Gracia),(138-N(V_L3_Mes)+1)&lt;=N(V_L3_Gracia)+N(V_L3_Cuotas),N(V_L3_Cuotas)&gt;0),IF((138-N(V_L3_Mes)+1)=N(V_L3_Gracia)+N(V_L3_Cuotas),IF((138-N(V_L3_Mes)+1)=1,N(V_L3_Monto),EL$290),PMT(N(V_L3_Tasa)/12,N(V_L3_Cuotas),-N(V_L3_Monto))-EM$288),0)*EM$9</f>
        <v>0</v>
      </c>
      <c r="EN289" s="48">
        <f>IF(AND((139-N(V_L3_Mes)+1)&gt;N(V_L3_Gracia),(139-N(V_L3_Mes)+1)&lt;=N(V_L3_Gracia)+N(V_L3_Cuotas),N(V_L3_Cuotas)&gt;0),IF((139-N(V_L3_Mes)+1)=N(V_L3_Gracia)+N(V_L3_Cuotas),IF((139-N(V_L3_Mes)+1)=1,N(V_L3_Monto),EM$290),PMT(N(V_L3_Tasa)/12,N(V_L3_Cuotas),-N(V_L3_Monto))-EN$288),0)*EN$9</f>
        <v>0</v>
      </c>
      <c r="EO289" s="48">
        <f>IF(AND((140-N(V_L3_Mes)+1)&gt;N(V_L3_Gracia),(140-N(V_L3_Mes)+1)&lt;=N(V_L3_Gracia)+N(V_L3_Cuotas),N(V_L3_Cuotas)&gt;0),IF((140-N(V_L3_Mes)+1)=N(V_L3_Gracia)+N(V_L3_Cuotas),IF((140-N(V_L3_Mes)+1)=1,N(V_L3_Monto),EN$290),PMT(N(V_L3_Tasa)/12,N(V_L3_Cuotas),-N(V_L3_Monto))-EO$288),0)*EO$9</f>
        <v>0</v>
      </c>
      <c r="EP289" s="48">
        <f>IF(AND((141-N(V_L3_Mes)+1)&gt;N(V_L3_Gracia),(141-N(V_L3_Mes)+1)&lt;=N(V_L3_Gracia)+N(V_L3_Cuotas),N(V_L3_Cuotas)&gt;0),IF((141-N(V_L3_Mes)+1)=N(V_L3_Gracia)+N(V_L3_Cuotas),IF((141-N(V_L3_Mes)+1)=1,N(V_L3_Monto),EO$290),PMT(N(V_L3_Tasa)/12,N(V_L3_Cuotas),-N(V_L3_Monto))-EP$288),0)*EP$9</f>
        <v>0</v>
      </c>
      <c r="EQ289" s="48">
        <f>IF(AND((142-N(V_L3_Mes)+1)&gt;N(V_L3_Gracia),(142-N(V_L3_Mes)+1)&lt;=N(V_L3_Gracia)+N(V_L3_Cuotas),N(V_L3_Cuotas)&gt;0),IF((142-N(V_L3_Mes)+1)=N(V_L3_Gracia)+N(V_L3_Cuotas),IF((142-N(V_L3_Mes)+1)=1,N(V_L3_Monto),EP$290),PMT(N(V_L3_Tasa)/12,N(V_L3_Cuotas),-N(V_L3_Monto))-EQ$288),0)*EQ$9</f>
        <v>0</v>
      </c>
      <c r="ER289" s="48">
        <f>IF(AND((143-N(V_L3_Mes)+1)&gt;N(V_L3_Gracia),(143-N(V_L3_Mes)+1)&lt;=N(V_L3_Gracia)+N(V_L3_Cuotas),N(V_L3_Cuotas)&gt;0),IF((143-N(V_L3_Mes)+1)=N(V_L3_Gracia)+N(V_L3_Cuotas),IF((143-N(V_L3_Mes)+1)=1,N(V_L3_Monto),EQ$290),PMT(N(V_L3_Tasa)/12,N(V_L3_Cuotas),-N(V_L3_Monto))-ER$288),0)*ER$9</f>
        <v>0</v>
      </c>
      <c r="ES289" s="48">
        <f>IF(AND((144-N(V_L3_Mes)+1)&gt;N(V_L3_Gracia),(144-N(V_L3_Mes)+1)&lt;=N(V_L3_Gracia)+N(V_L3_Cuotas),N(V_L3_Cuotas)&gt;0),IF((144-N(V_L3_Mes)+1)=N(V_L3_Gracia)+N(V_L3_Cuotas),IF((144-N(V_L3_Mes)+1)=1,N(V_L3_Monto),ER$290),PMT(N(V_L3_Tasa)/12,N(V_L3_Cuotas),-N(V_L3_Monto))-ES$288),0)*ES$9</f>
        <v>0</v>
      </c>
    </row>
    <row r="290" spans="1:149" x14ac:dyDescent="0.3">
      <c r="A290" s="14" t="s">
        <v>1340</v>
      </c>
      <c r="B290" s="18" t="s">
        <v>1165</v>
      </c>
      <c r="C290" s="18" t="s">
        <v>439</v>
      </c>
      <c r="E290" s="54">
        <f>INDEX(F290:ES290,1,MIN(144,Fin))</f>
        <v>0</v>
      </c>
      <c r="F290" s="48">
        <f>IF((1-N(V_L3_Mes)+1)&lt;1,0,IF((1-N(V_L3_Mes)+1)=1,N(V_L3_Monto),0)-F$289)</f>
        <v>0</v>
      </c>
      <c r="G290" s="48">
        <f>IF((2-N(V_L3_Mes)+1)&lt;1,0,IF((2-N(V_L3_Mes)+1)=1,N(V_L3_Monto),F$290)-G$289)</f>
        <v>0</v>
      </c>
      <c r="H290" s="48">
        <f>IF((3-N(V_L3_Mes)+1)&lt;1,0,IF((3-N(V_L3_Mes)+1)=1,N(V_L3_Monto),G$290)-H$289)</f>
        <v>0</v>
      </c>
      <c r="I290" s="48">
        <f>IF((4-N(V_L3_Mes)+1)&lt;1,0,IF((4-N(V_L3_Mes)+1)=1,N(V_L3_Monto),H$290)-I$289)</f>
        <v>0</v>
      </c>
      <c r="J290" s="48">
        <f>IF((5-N(V_L3_Mes)+1)&lt;1,0,IF((5-N(V_L3_Mes)+1)=1,N(V_L3_Monto),I$290)-J$289)</f>
        <v>0</v>
      </c>
      <c r="K290" s="48">
        <f>IF((6-N(V_L3_Mes)+1)&lt;1,0,IF((6-N(V_L3_Mes)+1)=1,N(V_L3_Monto),J$290)-K$289)</f>
        <v>0</v>
      </c>
      <c r="L290" s="48">
        <f>IF((7-N(V_L3_Mes)+1)&lt;1,0,IF((7-N(V_L3_Mes)+1)=1,N(V_L3_Monto),K$290)-L$289)</f>
        <v>0</v>
      </c>
      <c r="M290" s="48">
        <f>IF((8-N(V_L3_Mes)+1)&lt;1,0,IF((8-N(V_L3_Mes)+1)=1,N(V_L3_Monto),L$290)-M$289)</f>
        <v>0</v>
      </c>
      <c r="N290" s="48">
        <f>IF((9-N(V_L3_Mes)+1)&lt;1,0,IF((9-N(V_L3_Mes)+1)=1,N(V_L3_Monto),M$290)-N$289)</f>
        <v>0</v>
      </c>
      <c r="O290" s="48">
        <f>IF((10-N(V_L3_Mes)+1)&lt;1,0,IF((10-N(V_L3_Mes)+1)=1,N(V_L3_Monto),N$290)-O$289)</f>
        <v>0</v>
      </c>
      <c r="P290" s="48">
        <f>IF((11-N(V_L3_Mes)+1)&lt;1,0,IF((11-N(V_L3_Mes)+1)=1,N(V_L3_Monto),O$290)-P$289)</f>
        <v>0</v>
      </c>
      <c r="Q290" s="48">
        <f>IF((12-N(V_L3_Mes)+1)&lt;1,0,IF((12-N(V_L3_Mes)+1)=1,N(V_L3_Monto),P$290)-Q$289)</f>
        <v>0</v>
      </c>
      <c r="R290" s="48">
        <f>IF((13-N(V_L3_Mes)+1)&lt;1,0,IF((13-N(V_L3_Mes)+1)=1,N(V_L3_Monto),Q$290)-R$289)</f>
        <v>0</v>
      </c>
      <c r="S290" s="48">
        <f>IF((14-N(V_L3_Mes)+1)&lt;1,0,IF((14-N(V_L3_Mes)+1)=1,N(V_L3_Monto),R$290)-S$289)</f>
        <v>0</v>
      </c>
      <c r="T290" s="48">
        <f>IF((15-N(V_L3_Mes)+1)&lt;1,0,IF((15-N(V_L3_Mes)+1)=1,N(V_L3_Monto),S$290)-T$289)</f>
        <v>0</v>
      </c>
      <c r="U290" s="48">
        <f>IF((16-N(V_L3_Mes)+1)&lt;1,0,IF((16-N(V_L3_Mes)+1)=1,N(V_L3_Monto),T$290)-U$289)</f>
        <v>0</v>
      </c>
      <c r="V290" s="48">
        <f>IF((17-N(V_L3_Mes)+1)&lt;1,0,IF((17-N(V_L3_Mes)+1)=1,N(V_L3_Monto),U$290)-V$289)</f>
        <v>0</v>
      </c>
      <c r="W290" s="48">
        <f>IF((18-N(V_L3_Mes)+1)&lt;1,0,IF((18-N(V_L3_Mes)+1)=1,N(V_L3_Monto),V$290)-W$289)</f>
        <v>0</v>
      </c>
      <c r="X290" s="48">
        <f>IF((19-N(V_L3_Mes)+1)&lt;1,0,IF((19-N(V_L3_Mes)+1)=1,N(V_L3_Monto),W$290)-X$289)</f>
        <v>0</v>
      </c>
      <c r="Y290" s="48">
        <f>IF((20-N(V_L3_Mes)+1)&lt;1,0,IF((20-N(V_L3_Mes)+1)=1,N(V_L3_Monto),X$290)-Y$289)</f>
        <v>0</v>
      </c>
      <c r="Z290" s="48">
        <f>IF((21-N(V_L3_Mes)+1)&lt;1,0,IF((21-N(V_L3_Mes)+1)=1,N(V_L3_Monto),Y$290)-Z$289)</f>
        <v>0</v>
      </c>
      <c r="AA290" s="48">
        <f>IF((22-N(V_L3_Mes)+1)&lt;1,0,IF((22-N(V_L3_Mes)+1)=1,N(V_L3_Monto),Z$290)-AA$289)</f>
        <v>0</v>
      </c>
      <c r="AB290" s="48">
        <f>IF((23-N(V_L3_Mes)+1)&lt;1,0,IF((23-N(V_L3_Mes)+1)=1,N(V_L3_Monto),AA$290)-AB$289)</f>
        <v>0</v>
      </c>
      <c r="AC290" s="48">
        <f>IF((24-N(V_L3_Mes)+1)&lt;1,0,IF((24-N(V_L3_Mes)+1)=1,N(V_L3_Monto),AB$290)-AC$289)</f>
        <v>0</v>
      </c>
      <c r="AD290" s="48">
        <f>IF((25-N(V_L3_Mes)+1)&lt;1,0,IF((25-N(V_L3_Mes)+1)=1,N(V_L3_Monto),AC$290)-AD$289)</f>
        <v>0</v>
      </c>
      <c r="AE290" s="48">
        <f>IF((26-N(V_L3_Mes)+1)&lt;1,0,IF((26-N(V_L3_Mes)+1)=1,N(V_L3_Monto),AD$290)-AE$289)</f>
        <v>0</v>
      </c>
      <c r="AF290" s="48">
        <f>IF((27-N(V_L3_Mes)+1)&lt;1,0,IF((27-N(V_L3_Mes)+1)=1,N(V_L3_Monto),AE$290)-AF$289)</f>
        <v>0</v>
      </c>
      <c r="AG290" s="48">
        <f>IF((28-N(V_L3_Mes)+1)&lt;1,0,IF((28-N(V_L3_Mes)+1)=1,N(V_L3_Monto),AF$290)-AG$289)</f>
        <v>0</v>
      </c>
      <c r="AH290" s="48">
        <f>IF((29-N(V_L3_Mes)+1)&lt;1,0,IF((29-N(V_L3_Mes)+1)=1,N(V_L3_Monto),AG$290)-AH$289)</f>
        <v>0</v>
      </c>
      <c r="AI290" s="48">
        <f>IF((30-N(V_L3_Mes)+1)&lt;1,0,IF((30-N(V_L3_Mes)+1)=1,N(V_L3_Monto),AH$290)-AI$289)</f>
        <v>0</v>
      </c>
      <c r="AJ290" s="48">
        <f>IF((31-N(V_L3_Mes)+1)&lt;1,0,IF((31-N(V_L3_Mes)+1)=1,N(V_L3_Monto),AI$290)-AJ$289)</f>
        <v>0</v>
      </c>
      <c r="AK290" s="48">
        <f>IF((32-N(V_L3_Mes)+1)&lt;1,0,IF((32-N(V_L3_Mes)+1)=1,N(V_L3_Monto),AJ$290)-AK$289)</f>
        <v>0</v>
      </c>
      <c r="AL290" s="48">
        <f>IF((33-N(V_L3_Mes)+1)&lt;1,0,IF((33-N(V_L3_Mes)+1)=1,N(V_L3_Monto),AK$290)-AL$289)</f>
        <v>0</v>
      </c>
      <c r="AM290" s="48">
        <f>IF((34-N(V_L3_Mes)+1)&lt;1,0,IF((34-N(V_L3_Mes)+1)=1,N(V_L3_Monto),AL$290)-AM$289)</f>
        <v>0</v>
      </c>
      <c r="AN290" s="48">
        <f>IF((35-N(V_L3_Mes)+1)&lt;1,0,IF((35-N(V_L3_Mes)+1)=1,N(V_L3_Monto),AM$290)-AN$289)</f>
        <v>0</v>
      </c>
      <c r="AO290" s="48">
        <f>IF((36-N(V_L3_Mes)+1)&lt;1,0,IF((36-N(V_L3_Mes)+1)=1,N(V_L3_Monto),AN$290)-AO$289)</f>
        <v>0</v>
      </c>
      <c r="AP290" s="48">
        <f>IF((37-N(V_L3_Mes)+1)&lt;1,0,IF((37-N(V_L3_Mes)+1)=1,N(V_L3_Monto),AO$290)-AP$289)</f>
        <v>0</v>
      </c>
      <c r="AQ290" s="48">
        <f>IF((38-N(V_L3_Mes)+1)&lt;1,0,IF((38-N(V_L3_Mes)+1)=1,N(V_L3_Monto),AP$290)-AQ$289)</f>
        <v>0</v>
      </c>
      <c r="AR290" s="48">
        <f>IF((39-N(V_L3_Mes)+1)&lt;1,0,IF((39-N(V_L3_Mes)+1)=1,N(V_L3_Monto),AQ$290)-AR$289)</f>
        <v>0</v>
      </c>
      <c r="AS290" s="48">
        <f>IF((40-N(V_L3_Mes)+1)&lt;1,0,IF((40-N(V_L3_Mes)+1)=1,N(V_L3_Monto),AR$290)-AS$289)</f>
        <v>0</v>
      </c>
      <c r="AT290" s="48">
        <f>IF((41-N(V_L3_Mes)+1)&lt;1,0,IF((41-N(V_L3_Mes)+1)=1,N(V_L3_Monto),AS$290)-AT$289)</f>
        <v>0</v>
      </c>
      <c r="AU290" s="48">
        <f>IF((42-N(V_L3_Mes)+1)&lt;1,0,IF((42-N(V_L3_Mes)+1)=1,N(V_L3_Monto),AT$290)-AU$289)</f>
        <v>0</v>
      </c>
      <c r="AV290" s="48">
        <f>IF((43-N(V_L3_Mes)+1)&lt;1,0,IF((43-N(V_L3_Mes)+1)=1,N(V_L3_Monto),AU$290)-AV$289)</f>
        <v>0</v>
      </c>
      <c r="AW290" s="48">
        <f>IF((44-N(V_L3_Mes)+1)&lt;1,0,IF((44-N(V_L3_Mes)+1)=1,N(V_L3_Monto),AV$290)-AW$289)</f>
        <v>0</v>
      </c>
      <c r="AX290" s="48">
        <f>IF((45-N(V_L3_Mes)+1)&lt;1,0,IF((45-N(V_L3_Mes)+1)=1,N(V_L3_Monto),AW$290)-AX$289)</f>
        <v>0</v>
      </c>
      <c r="AY290" s="48">
        <f>IF((46-N(V_L3_Mes)+1)&lt;1,0,IF((46-N(V_L3_Mes)+1)=1,N(V_L3_Monto),AX$290)-AY$289)</f>
        <v>0</v>
      </c>
      <c r="AZ290" s="48">
        <f>IF((47-N(V_L3_Mes)+1)&lt;1,0,IF((47-N(V_L3_Mes)+1)=1,N(V_L3_Monto),AY$290)-AZ$289)</f>
        <v>0</v>
      </c>
      <c r="BA290" s="48">
        <f>IF((48-N(V_L3_Mes)+1)&lt;1,0,IF((48-N(V_L3_Mes)+1)=1,N(V_L3_Monto),AZ$290)-BA$289)</f>
        <v>0</v>
      </c>
      <c r="BB290" s="48">
        <f>IF((49-N(V_L3_Mes)+1)&lt;1,0,IF((49-N(V_L3_Mes)+1)=1,N(V_L3_Monto),BA$290)-BB$289)</f>
        <v>0</v>
      </c>
      <c r="BC290" s="48">
        <f>IF((50-N(V_L3_Mes)+1)&lt;1,0,IF((50-N(V_L3_Mes)+1)=1,N(V_L3_Monto),BB$290)-BC$289)</f>
        <v>0</v>
      </c>
      <c r="BD290" s="48">
        <f>IF((51-N(V_L3_Mes)+1)&lt;1,0,IF((51-N(V_L3_Mes)+1)=1,N(V_L3_Monto),BC$290)-BD$289)</f>
        <v>0</v>
      </c>
      <c r="BE290" s="48">
        <f>IF((52-N(V_L3_Mes)+1)&lt;1,0,IF((52-N(V_L3_Mes)+1)=1,N(V_L3_Monto),BD$290)-BE$289)</f>
        <v>0</v>
      </c>
      <c r="BF290" s="48">
        <f>IF((53-N(V_L3_Mes)+1)&lt;1,0,IF((53-N(V_L3_Mes)+1)=1,N(V_L3_Monto),BE$290)-BF$289)</f>
        <v>0</v>
      </c>
      <c r="BG290" s="48">
        <f>IF((54-N(V_L3_Mes)+1)&lt;1,0,IF((54-N(V_L3_Mes)+1)=1,N(V_L3_Monto),BF$290)-BG$289)</f>
        <v>0</v>
      </c>
      <c r="BH290" s="48">
        <f>IF((55-N(V_L3_Mes)+1)&lt;1,0,IF((55-N(V_L3_Mes)+1)=1,N(V_L3_Monto),BG$290)-BH$289)</f>
        <v>0</v>
      </c>
      <c r="BI290" s="48">
        <f>IF((56-N(V_L3_Mes)+1)&lt;1,0,IF((56-N(V_L3_Mes)+1)=1,N(V_L3_Monto),BH$290)-BI$289)</f>
        <v>0</v>
      </c>
      <c r="BJ290" s="48">
        <f>IF((57-N(V_L3_Mes)+1)&lt;1,0,IF((57-N(V_L3_Mes)+1)=1,N(V_L3_Monto),BI$290)-BJ$289)</f>
        <v>0</v>
      </c>
      <c r="BK290" s="48">
        <f>IF((58-N(V_L3_Mes)+1)&lt;1,0,IF((58-N(V_L3_Mes)+1)=1,N(V_L3_Monto),BJ$290)-BK$289)</f>
        <v>0</v>
      </c>
      <c r="BL290" s="48">
        <f>IF((59-N(V_L3_Mes)+1)&lt;1,0,IF((59-N(V_L3_Mes)+1)=1,N(V_L3_Monto),BK$290)-BL$289)</f>
        <v>0</v>
      </c>
      <c r="BM290" s="48">
        <f>IF((60-N(V_L3_Mes)+1)&lt;1,0,IF((60-N(V_L3_Mes)+1)=1,N(V_L3_Monto),BL$290)-BM$289)</f>
        <v>0</v>
      </c>
      <c r="BN290" s="48">
        <f>IF((61-N(V_L3_Mes)+1)&lt;1,0,IF((61-N(V_L3_Mes)+1)=1,N(V_L3_Monto),BM$290)-BN$289)</f>
        <v>0</v>
      </c>
      <c r="BO290" s="48">
        <f>IF((62-N(V_L3_Mes)+1)&lt;1,0,IF((62-N(V_L3_Mes)+1)=1,N(V_L3_Monto),BN$290)-BO$289)</f>
        <v>0</v>
      </c>
      <c r="BP290" s="48">
        <f>IF((63-N(V_L3_Mes)+1)&lt;1,0,IF((63-N(V_L3_Mes)+1)=1,N(V_L3_Monto),BO$290)-BP$289)</f>
        <v>0</v>
      </c>
      <c r="BQ290" s="48">
        <f>IF((64-N(V_L3_Mes)+1)&lt;1,0,IF((64-N(V_L3_Mes)+1)=1,N(V_L3_Monto),BP$290)-BQ$289)</f>
        <v>0</v>
      </c>
      <c r="BR290" s="48">
        <f>IF((65-N(V_L3_Mes)+1)&lt;1,0,IF((65-N(V_L3_Mes)+1)=1,N(V_L3_Monto),BQ$290)-BR$289)</f>
        <v>0</v>
      </c>
      <c r="BS290" s="48">
        <f>IF((66-N(V_L3_Mes)+1)&lt;1,0,IF((66-N(V_L3_Mes)+1)=1,N(V_L3_Monto),BR$290)-BS$289)</f>
        <v>0</v>
      </c>
      <c r="BT290" s="48">
        <f>IF((67-N(V_L3_Mes)+1)&lt;1,0,IF((67-N(V_L3_Mes)+1)=1,N(V_L3_Monto),BS$290)-BT$289)</f>
        <v>0</v>
      </c>
      <c r="BU290" s="48">
        <f>IF((68-N(V_L3_Mes)+1)&lt;1,0,IF((68-N(V_L3_Mes)+1)=1,N(V_L3_Monto),BT$290)-BU$289)</f>
        <v>0</v>
      </c>
      <c r="BV290" s="48">
        <f>IF((69-N(V_L3_Mes)+1)&lt;1,0,IF((69-N(V_L3_Mes)+1)=1,N(V_L3_Monto),BU$290)-BV$289)</f>
        <v>0</v>
      </c>
      <c r="BW290" s="48">
        <f>IF((70-N(V_L3_Mes)+1)&lt;1,0,IF((70-N(V_L3_Mes)+1)=1,N(V_L3_Monto),BV$290)-BW$289)</f>
        <v>0</v>
      </c>
      <c r="BX290" s="48">
        <f>IF((71-N(V_L3_Mes)+1)&lt;1,0,IF((71-N(V_L3_Mes)+1)=1,N(V_L3_Monto),BW$290)-BX$289)</f>
        <v>0</v>
      </c>
      <c r="BY290" s="48">
        <f>IF((72-N(V_L3_Mes)+1)&lt;1,0,IF((72-N(V_L3_Mes)+1)=1,N(V_L3_Monto),BX$290)-BY$289)</f>
        <v>0</v>
      </c>
      <c r="BZ290" s="48">
        <f>IF((73-N(V_L3_Mes)+1)&lt;1,0,IF((73-N(V_L3_Mes)+1)=1,N(V_L3_Monto),BY$290)-BZ$289)</f>
        <v>0</v>
      </c>
      <c r="CA290" s="48">
        <f>IF((74-N(V_L3_Mes)+1)&lt;1,0,IF((74-N(V_L3_Mes)+1)=1,N(V_L3_Monto),BZ$290)-CA$289)</f>
        <v>0</v>
      </c>
      <c r="CB290" s="48">
        <f>IF((75-N(V_L3_Mes)+1)&lt;1,0,IF((75-N(V_L3_Mes)+1)=1,N(V_L3_Monto),CA$290)-CB$289)</f>
        <v>0</v>
      </c>
      <c r="CC290" s="48">
        <f>IF((76-N(V_L3_Mes)+1)&lt;1,0,IF((76-N(V_L3_Mes)+1)=1,N(V_L3_Monto),CB$290)-CC$289)</f>
        <v>0</v>
      </c>
      <c r="CD290" s="48">
        <f>IF((77-N(V_L3_Mes)+1)&lt;1,0,IF((77-N(V_L3_Mes)+1)=1,N(V_L3_Monto),CC$290)-CD$289)</f>
        <v>0</v>
      </c>
      <c r="CE290" s="48">
        <f>IF((78-N(V_L3_Mes)+1)&lt;1,0,IF((78-N(V_L3_Mes)+1)=1,N(V_L3_Monto),CD$290)-CE$289)</f>
        <v>0</v>
      </c>
      <c r="CF290" s="48">
        <f>IF((79-N(V_L3_Mes)+1)&lt;1,0,IF((79-N(V_L3_Mes)+1)=1,N(V_L3_Monto),CE$290)-CF$289)</f>
        <v>0</v>
      </c>
      <c r="CG290" s="48">
        <f>IF((80-N(V_L3_Mes)+1)&lt;1,0,IF((80-N(V_L3_Mes)+1)=1,N(V_L3_Monto),CF$290)-CG$289)</f>
        <v>0</v>
      </c>
      <c r="CH290" s="48">
        <f>IF((81-N(V_L3_Mes)+1)&lt;1,0,IF((81-N(V_L3_Mes)+1)=1,N(V_L3_Monto),CG$290)-CH$289)</f>
        <v>0</v>
      </c>
      <c r="CI290" s="48">
        <f>IF((82-N(V_L3_Mes)+1)&lt;1,0,IF((82-N(V_L3_Mes)+1)=1,N(V_L3_Monto),CH$290)-CI$289)</f>
        <v>0</v>
      </c>
      <c r="CJ290" s="48">
        <f>IF((83-N(V_L3_Mes)+1)&lt;1,0,IF((83-N(V_L3_Mes)+1)=1,N(V_L3_Monto),CI$290)-CJ$289)</f>
        <v>0</v>
      </c>
      <c r="CK290" s="48">
        <f>IF((84-N(V_L3_Mes)+1)&lt;1,0,IF((84-N(V_L3_Mes)+1)=1,N(V_L3_Monto),CJ$290)-CK$289)</f>
        <v>0</v>
      </c>
      <c r="CL290" s="48">
        <f>IF((85-N(V_L3_Mes)+1)&lt;1,0,IF((85-N(V_L3_Mes)+1)=1,N(V_L3_Monto),CK$290)-CL$289)</f>
        <v>0</v>
      </c>
      <c r="CM290" s="48">
        <f>IF((86-N(V_L3_Mes)+1)&lt;1,0,IF((86-N(V_L3_Mes)+1)=1,N(V_L3_Monto),CL$290)-CM$289)</f>
        <v>0</v>
      </c>
      <c r="CN290" s="48">
        <f>IF((87-N(V_L3_Mes)+1)&lt;1,0,IF((87-N(V_L3_Mes)+1)=1,N(V_L3_Monto),CM$290)-CN$289)</f>
        <v>0</v>
      </c>
      <c r="CO290" s="48">
        <f>IF((88-N(V_L3_Mes)+1)&lt;1,0,IF((88-N(V_L3_Mes)+1)=1,N(V_L3_Monto),CN$290)-CO$289)</f>
        <v>0</v>
      </c>
      <c r="CP290" s="48">
        <f>IF((89-N(V_L3_Mes)+1)&lt;1,0,IF((89-N(V_L3_Mes)+1)=1,N(V_L3_Monto),CO$290)-CP$289)</f>
        <v>0</v>
      </c>
      <c r="CQ290" s="48">
        <f>IF((90-N(V_L3_Mes)+1)&lt;1,0,IF((90-N(V_L3_Mes)+1)=1,N(V_L3_Monto),CP$290)-CQ$289)</f>
        <v>0</v>
      </c>
      <c r="CR290" s="48">
        <f>IF((91-N(V_L3_Mes)+1)&lt;1,0,IF((91-N(V_L3_Mes)+1)=1,N(V_L3_Monto),CQ$290)-CR$289)</f>
        <v>0</v>
      </c>
      <c r="CS290" s="48">
        <f>IF((92-N(V_L3_Mes)+1)&lt;1,0,IF((92-N(V_L3_Mes)+1)=1,N(V_L3_Monto),CR$290)-CS$289)</f>
        <v>0</v>
      </c>
      <c r="CT290" s="48">
        <f>IF((93-N(V_L3_Mes)+1)&lt;1,0,IF((93-N(V_L3_Mes)+1)=1,N(V_L3_Monto),CS$290)-CT$289)</f>
        <v>0</v>
      </c>
      <c r="CU290" s="48">
        <f>IF((94-N(V_L3_Mes)+1)&lt;1,0,IF((94-N(V_L3_Mes)+1)=1,N(V_L3_Monto),CT$290)-CU$289)</f>
        <v>0</v>
      </c>
      <c r="CV290" s="48">
        <f>IF((95-N(V_L3_Mes)+1)&lt;1,0,IF((95-N(V_L3_Mes)+1)=1,N(V_L3_Monto),CU$290)-CV$289)</f>
        <v>0</v>
      </c>
      <c r="CW290" s="48">
        <f>IF((96-N(V_L3_Mes)+1)&lt;1,0,IF((96-N(V_L3_Mes)+1)=1,N(V_L3_Monto),CV$290)-CW$289)</f>
        <v>0</v>
      </c>
      <c r="CX290" s="48">
        <f>IF((97-N(V_L3_Mes)+1)&lt;1,0,IF((97-N(V_L3_Mes)+1)=1,N(V_L3_Monto),CW$290)-CX$289)</f>
        <v>0</v>
      </c>
      <c r="CY290" s="48">
        <f>IF((98-N(V_L3_Mes)+1)&lt;1,0,IF((98-N(V_L3_Mes)+1)=1,N(V_L3_Monto),CX$290)-CY$289)</f>
        <v>0</v>
      </c>
      <c r="CZ290" s="48">
        <f>IF((99-N(V_L3_Mes)+1)&lt;1,0,IF((99-N(V_L3_Mes)+1)=1,N(V_L3_Monto),CY$290)-CZ$289)</f>
        <v>0</v>
      </c>
      <c r="DA290" s="48">
        <f>IF((100-N(V_L3_Mes)+1)&lt;1,0,IF((100-N(V_L3_Mes)+1)=1,N(V_L3_Monto),CZ$290)-DA$289)</f>
        <v>0</v>
      </c>
      <c r="DB290" s="48">
        <f>IF((101-N(V_L3_Mes)+1)&lt;1,0,IF((101-N(V_L3_Mes)+1)=1,N(V_L3_Monto),DA$290)-DB$289)</f>
        <v>0</v>
      </c>
      <c r="DC290" s="48">
        <f>IF((102-N(V_L3_Mes)+1)&lt;1,0,IF((102-N(V_L3_Mes)+1)=1,N(V_L3_Monto),DB$290)-DC$289)</f>
        <v>0</v>
      </c>
      <c r="DD290" s="48">
        <f>IF((103-N(V_L3_Mes)+1)&lt;1,0,IF((103-N(V_L3_Mes)+1)=1,N(V_L3_Monto),DC$290)-DD$289)</f>
        <v>0</v>
      </c>
      <c r="DE290" s="48">
        <f>IF((104-N(V_L3_Mes)+1)&lt;1,0,IF((104-N(V_L3_Mes)+1)=1,N(V_L3_Monto),DD$290)-DE$289)</f>
        <v>0</v>
      </c>
      <c r="DF290" s="48">
        <f>IF((105-N(V_L3_Mes)+1)&lt;1,0,IF((105-N(V_L3_Mes)+1)=1,N(V_L3_Monto),DE$290)-DF$289)</f>
        <v>0</v>
      </c>
      <c r="DG290" s="48">
        <f>IF((106-N(V_L3_Mes)+1)&lt;1,0,IF((106-N(V_L3_Mes)+1)=1,N(V_L3_Monto),DF$290)-DG$289)</f>
        <v>0</v>
      </c>
      <c r="DH290" s="48">
        <f>IF((107-N(V_L3_Mes)+1)&lt;1,0,IF((107-N(V_L3_Mes)+1)=1,N(V_L3_Monto),DG$290)-DH$289)</f>
        <v>0</v>
      </c>
      <c r="DI290" s="48">
        <f>IF((108-N(V_L3_Mes)+1)&lt;1,0,IF((108-N(V_L3_Mes)+1)=1,N(V_L3_Monto),DH$290)-DI$289)</f>
        <v>0</v>
      </c>
      <c r="DJ290" s="48">
        <f>IF((109-N(V_L3_Mes)+1)&lt;1,0,IF((109-N(V_L3_Mes)+1)=1,N(V_L3_Monto),DI$290)-DJ$289)</f>
        <v>0</v>
      </c>
      <c r="DK290" s="48">
        <f>IF((110-N(V_L3_Mes)+1)&lt;1,0,IF((110-N(V_L3_Mes)+1)=1,N(V_L3_Monto),DJ$290)-DK$289)</f>
        <v>0</v>
      </c>
      <c r="DL290" s="48">
        <f>IF((111-N(V_L3_Mes)+1)&lt;1,0,IF((111-N(V_L3_Mes)+1)=1,N(V_L3_Monto),DK$290)-DL$289)</f>
        <v>0</v>
      </c>
      <c r="DM290" s="48">
        <f>IF((112-N(V_L3_Mes)+1)&lt;1,0,IF((112-N(V_L3_Mes)+1)=1,N(V_L3_Monto),DL$290)-DM$289)</f>
        <v>0</v>
      </c>
      <c r="DN290" s="48">
        <f>IF((113-N(V_L3_Mes)+1)&lt;1,0,IF((113-N(V_L3_Mes)+1)=1,N(V_L3_Monto),DM$290)-DN$289)</f>
        <v>0</v>
      </c>
      <c r="DO290" s="48">
        <f>IF((114-N(V_L3_Mes)+1)&lt;1,0,IF((114-N(V_L3_Mes)+1)=1,N(V_L3_Monto),DN$290)-DO$289)</f>
        <v>0</v>
      </c>
      <c r="DP290" s="48">
        <f>IF((115-N(V_L3_Mes)+1)&lt;1,0,IF((115-N(V_L3_Mes)+1)=1,N(V_L3_Monto),DO$290)-DP$289)</f>
        <v>0</v>
      </c>
      <c r="DQ290" s="48">
        <f>IF((116-N(V_L3_Mes)+1)&lt;1,0,IF((116-N(V_L3_Mes)+1)=1,N(V_L3_Monto),DP$290)-DQ$289)</f>
        <v>0</v>
      </c>
      <c r="DR290" s="48">
        <f>IF((117-N(V_L3_Mes)+1)&lt;1,0,IF((117-N(V_L3_Mes)+1)=1,N(V_L3_Monto),DQ$290)-DR$289)</f>
        <v>0</v>
      </c>
      <c r="DS290" s="48">
        <f>IF((118-N(V_L3_Mes)+1)&lt;1,0,IF((118-N(V_L3_Mes)+1)=1,N(V_L3_Monto),DR$290)-DS$289)</f>
        <v>0</v>
      </c>
      <c r="DT290" s="48">
        <f>IF((119-N(V_L3_Mes)+1)&lt;1,0,IF((119-N(V_L3_Mes)+1)=1,N(V_L3_Monto),DS$290)-DT$289)</f>
        <v>0</v>
      </c>
      <c r="DU290" s="48">
        <f>IF((120-N(V_L3_Mes)+1)&lt;1,0,IF((120-N(V_L3_Mes)+1)=1,N(V_L3_Monto),DT$290)-DU$289)</f>
        <v>0</v>
      </c>
      <c r="DV290" s="48">
        <f>IF((121-N(V_L3_Mes)+1)&lt;1,0,IF((121-N(V_L3_Mes)+1)=1,N(V_L3_Monto),DU$290)-DV$289)</f>
        <v>0</v>
      </c>
      <c r="DW290" s="48">
        <f>IF((122-N(V_L3_Mes)+1)&lt;1,0,IF((122-N(V_L3_Mes)+1)=1,N(V_L3_Monto),DV$290)-DW$289)</f>
        <v>0</v>
      </c>
      <c r="DX290" s="48">
        <f>IF((123-N(V_L3_Mes)+1)&lt;1,0,IF((123-N(V_L3_Mes)+1)=1,N(V_L3_Monto),DW$290)-DX$289)</f>
        <v>0</v>
      </c>
      <c r="DY290" s="48">
        <f>IF((124-N(V_L3_Mes)+1)&lt;1,0,IF((124-N(V_L3_Mes)+1)=1,N(V_L3_Monto),DX$290)-DY$289)</f>
        <v>0</v>
      </c>
      <c r="DZ290" s="48">
        <f>IF((125-N(V_L3_Mes)+1)&lt;1,0,IF((125-N(V_L3_Mes)+1)=1,N(V_L3_Monto),DY$290)-DZ$289)</f>
        <v>0</v>
      </c>
      <c r="EA290" s="48">
        <f>IF((126-N(V_L3_Mes)+1)&lt;1,0,IF((126-N(V_L3_Mes)+1)=1,N(V_L3_Monto),DZ$290)-EA$289)</f>
        <v>0</v>
      </c>
      <c r="EB290" s="48">
        <f>IF((127-N(V_L3_Mes)+1)&lt;1,0,IF((127-N(V_L3_Mes)+1)=1,N(V_L3_Monto),EA$290)-EB$289)</f>
        <v>0</v>
      </c>
      <c r="EC290" s="48">
        <f>IF((128-N(V_L3_Mes)+1)&lt;1,0,IF((128-N(V_L3_Mes)+1)=1,N(V_L3_Monto),EB$290)-EC$289)</f>
        <v>0</v>
      </c>
      <c r="ED290" s="48">
        <f>IF((129-N(V_L3_Mes)+1)&lt;1,0,IF((129-N(V_L3_Mes)+1)=1,N(V_L3_Monto),EC$290)-ED$289)</f>
        <v>0</v>
      </c>
      <c r="EE290" s="48">
        <f>IF((130-N(V_L3_Mes)+1)&lt;1,0,IF((130-N(V_L3_Mes)+1)=1,N(V_L3_Monto),ED$290)-EE$289)</f>
        <v>0</v>
      </c>
      <c r="EF290" s="48">
        <f>IF((131-N(V_L3_Mes)+1)&lt;1,0,IF((131-N(V_L3_Mes)+1)=1,N(V_L3_Monto),EE$290)-EF$289)</f>
        <v>0</v>
      </c>
      <c r="EG290" s="48">
        <f>IF((132-N(V_L3_Mes)+1)&lt;1,0,IF((132-N(V_L3_Mes)+1)=1,N(V_L3_Monto),EF$290)-EG$289)</f>
        <v>0</v>
      </c>
      <c r="EH290" s="48">
        <f>IF((133-N(V_L3_Mes)+1)&lt;1,0,IF((133-N(V_L3_Mes)+1)=1,N(V_L3_Monto),EG$290)-EH$289)</f>
        <v>0</v>
      </c>
      <c r="EI290" s="48">
        <f>IF((134-N(V_L3_Mes)+1)&lt;1,0,IF((134-N(V_L3_Mes)+1)=1,N(V_L3_Monto),EH$290)-EI$289)</f>
        <v>0</v>
      </c>
      <c r="EJ290" s="48">
        <f>IF((135-N(V_L3_Mes)+1)&lt;1,0,IF((135-N(V_L3_Mes)+1)=1,N(V_L3_Monto),EI$290)-EJ$289)</f>
        <v>0</v>
      </c>
      <c r="EK290" s="48">
        <f>IF((136-N(V_L3_Mes)+1)&lt;1,0,IF((136-N(V_L3_Mes)+1)=1,N(V_L3_Monto),EJ$290)-EK$289)</f>
        <v>0</v>
      </c>
      <c r="EL290" s="48">
        <f>IF((137-N(V_L3_Mes)+1)&lt;1,0,IF((137-N(V_L3_Mes)+1)=1,N(V_L3_Monto),EK$290)-EL$289)</f>
        <v>0</v>
      </c>
      <c r="EM290" s="48">
        <f>IF((138-N(V_L3_Mes)+1)&lt;1,0,IF((138-N(V_L3_Mes)+1)=1,N(V_L3_Monto),EL$290)-EM$289)</f>
        <v>0</v>
      </c>
      <c r="EN290" s="48">
        <f>IF((139-N(V_L3_Mes)+1)&lt;1,0,IF((139-N(V_L3_Mes)+1)=1,N(V_L3_Monto),EM$290)-EN$289)</f>
        <v>0</v>
      </c>
      <c r="EO290" s="48">
        <f>IF((140-N(V_L3_Mes)+1)&lt;1,0,IF((140-N(V_L3_Mes)+1)=1,N(V_L3_Monto),EN$290)-EO$289)</f>
        <v>0</v>
      </c>
      <c r="EP290" s="48">
        <f>IF((141-N(V_L3_Mes)+1)&lt;1,0,IF((141-N(V_L3_Mes)+1)=1,N(V_L3_Monto),EO$290)-EP$289)</f>
        <v>0</v>
      </c>
      <c r="EQ290" s="48">
        <f>IF((142-N(V_L3_Mes)+1)&lt;1,0,IF((142-N(V_L3_Mes)+1)=1,N(V_L3_Monto),EP$290)-EQ$289)</f>
        <v>0</v>
      </c>
      <c r="ER290" s="48">
        <f>IF((143-N(V_L3_Mes)+1)&lt;1,0,IF((143-N(V_L3_Mes)+1)=1,N(V_L3_Monto),EQ$290)-ER$289)</f>
        <v>0</v>
      </c>
      <c r="ES290" s="48">
        <f>IF((144-N(V_L3_Mes)+1)&lt;1,0,IF((144-N(V_L3_Mes)+1)=1,N(V_L3_Monto),ER$290)-ES$289)</f>
        <v>0</v>
      </c>
    </row>
    <row r="291" spans="1:149" x14ac:dyDescent="0.3">
      <c r="A291" s="16"/>
      <c r="B291" s="15" t="s">
        <v>1166</v>
      </c>
      <c r="C291" s="16"/>
      <c r="D291" s="16"/>
      <c r="E291" s="16"/>
    </row>
    <row r="292" spans="1:149" x14ac:dyDescent="0.3">
      <c r="A292" s="14" t="s">
        <v>1341</v>
      </c>
      <c r="B292" s="18" t="s">
        <v>1168</v>
      </c>
      <c r="C292" s="18" t="s">
        <v>439</v>
      </c>
      <c r="E292" s="54">
        <f>SUM(F292:ES292)</f>
        <v>2791587</v>
      </c>
      <c r="F292" s="48">
        <f>IF(F$8=1,IF(Reales!$C$73="PYG",IF(F$10&gt;0,N(Reales!F73)/F$10,0),N(Reales!F73)),F$279+F$283+F$287)</f>
        <v>2791587</v>
      </c>
      <c r="G292" s="48">
        <f>IF(G$8=1,IF(Reales!$C$73="PYG",IF(G$10&gt;0,N(Reales!G73)/G$10,0),N(Reales!G73)),G$279+G$283+G$287)</f>
        <v>0</v>
      </c>
      <c r="H292" s="48">
        <f>IF(H$8=1,IF(Reales!$C$73="PYG",IF(H$10&gt;0,N(Reales!H73)/H$10,0),N(Reales!H73)),H$279+H$283+H$287)</f>
        <v>0</v>
      </c>
      <c r="I292" s="48">
        <f>IF(I$8=1,IF(Reales!$C$73="PYG",IF(I$10&gt;0,N(Reales!I73)/I$10,0),N(Reales!I73)),I$279+I$283+I$287)</f>
        <v>0</v>
      </c>
      <c r="J292" s="48">
        <f>IF(J$8=1,IF(Reales!$C$73="PYG",IF(J$10&gt;0,N(Reales!J73)/J$10,0),N(Reales!J73)),J$279+J$283+J$287)</f>
        <v>0</v>
      </c>
      <c r="K292" s="48">
        <f>IF(K$8=1,IF(Reales!$C$73="PYG",IF(K$10&gt;0,N(Reales!K73)/K$10,0),N(Reales!K73)),K$279+K$283+K$287)</f>
        <v>0</v>
      </c>
      <c r="L292" s="48">
        <f>IF(L$8=1,IF(Reales!$C$73="PYG",IF(L$10&gt;0,N(Reales!L73)/L$10,0),N(Reales!L73)),L$279+L$283+L$287)</f>
        <v>0</v>
      </c>
      <c r="M292" s="48">
        <f>IF(M$8=1,IF(Reales!$C$73="PYG",IF(M$10&gt;0,N(Reales!M73)/M$10,0),N(Reales!M73)),M$279+M$283+M$287)</f>
        <v>0</v>
      </c>
      <c r="N292" s="48">
        <f>IF(N$8=1,IF(Reales!$C$73="PYG",IF(N$10&gt;0,N(Reales!N73)/N$10,0),N(Reales!N73)),N$279+N$283+N$287)</f>
        <v>0</v>
      </c>
      <c r="O292" s="48">
        <f>IF(O$8=1,IF(Reales!$C$73="PYG",IF(O$10&gt;0,N(Reales!O73)/O$10,0),N(Reales!O73)),O$279+O$283+O$287)</f>
        <v>0</v>
      </c>
      <c r="P292" s="48">
        <f>IF(P$8=1,IF(Reales!$C$73="PYG",IF(P$10&gt;0,N(Reales!P73)/P$10,0),N(Reales!P73)),P$279+P$283+P$287)</f>
        <v>0</v>
      </c>
      <c r="Q292" s="48">
        <f>IF(Q$8=1,IF(Reales!$C$73="PYG",IF(Q$10&gt;0,N(Reales!Q73)/Q$10,0),N(Reales!Q73)),Q$279+Q$283+Q$287)</f>
        <v>0</v>
      </c>
      <c r="R292" s="48">
        <f>IF(R$8=1,IF(Reales!$C$73="PYG",IF(R$10&gt;0,N(Reales!R73)/R$10,0),N(Reales!R73)),R$279+R$283+R$287)</f>
        <v>0</v>
      </c>
      <c r="S292" s="48">
        <f>IF(S$8=1,IF(Reales!$C$73="PYG",IF(S$10&gt;0,N(Reales!S73)/S$10,0),N(Reales!S73)),S$279+S$283+S$287)</f>
        <v>0</v>
      </c>
      <c r="T292" s="48">
        <f>IF(T$8=1,IF(Reales!$C$73="PYG",IF(T$10&gt;0,N(Reales!T73)/T$10,0),N(Reales!T73)),T$279+T$283+T$287)</f>
        <v>0</v>
      </c>
      <c r="U292" s="48">
        <f>IF(U$8=1,IF(Reales!$C$73="PYG",IF(U$10&gt;0,N(Reales!U73)/U$10,0),N(Reales!U73)),U$279+U$283+U$287)</f>
        <v>0</v>
      </c>
      <c r="V292" s="48">
        <f>IF(V$8=1,IF(Reales!$C$73="PYG",IF(V$10&gt;0,N(Reales!V73)/V$10,0),N(Reales!V73)),V$279+V$283+V$287)</f>
        <v>0</v>
      </c>
      <c r="W292" s="48">
        <f>IF(W$8=1,IF(Reales!$C$73="PYG",IF(W$10&gt;0,N(Reales!W73)/W$10,0),N(Reales!W73)),W$279+W$283+W$287)</f>
        <v>0</v>
      </c>
      <c r="X292" s="48">
        <f>IF(X$8=1,IF(Reales!$C$73="PYG",IF(X$10&gt;0,N(Reales!X73)/X$10,0),N(Reales!X73)),X$279+X$283+X$287)</f>
        <v>0</v>
      </c>
      <c r="Y292" s="48">
        <f>IF(Y$8=1,IF(Reales!$C$73="PYG",IF(Y$10&gt;0,N(Reales!Y73)/Y$10,0),N(Reales!Y73)),Y$279+Y$283+Y$287)</f>
        <v>0</v>
      </c>
      <c r="Z292" s="48">
        <f>IF(Z$8=1,IF(Reales!$C$73="PYG",IF(Z$10&gt;0,N(Reales!Z73)/Z$10,0),N(Reales!Z73)),Z$279+Z$283+Z$287)</f>
        <v>0</v>
      </c>
      <c r="AA292" s="48">
        <f>IF(AA$8=1,IF(Reales!$C$73="PYG",IF(AA$10&gt;0,N(Reales!AA73)/AA$10,0),N(Reales!AA73)),AA$279+AA$283+AA$287)</f>
        <v>0</v>
      </c>
      <c r="AB292" s="48">
        <f>IF(AB$8=1,IF(Reales!$C$73="PYG",IF(AB$10&gt;0,N(Reales!AB73)/AB$10,0),N(Reales!AB73)),AB$279+AB$283+AB$287)</f>
        <v>0</v>
      </c>
      <c r="AC292" s="48">
        <f>IF(AC$8=1,IF(Reales!$C$73="PYG",IF(AC$10&gt;0,N(Reales!AC73)/AC$10,0),N(Reales!AC73)),AC$279+AC$283+AC$287)</f>
        <v>0</v>
      </c>
      <c r="AD292" s="48">
        <f>IF(AD$8=1,IF(Reales!$C$73="PYG",IF(AD$10&gt;0,N(Reales!AD73)/AD$10,0),N(Reales!AD73)),AD$279+AD$283+AD$287)</f>
        <v>0</v>
      </c>
      <c r="AE292" s="48">
        <f>IF(AE$8=1,IF(Reales!$C$73="PYG",IF(AE$10&gt;0,N(Reales!AE73)/AE$10,0),N(Reales!AE73)),AE$279+AE$283+AE$287)</f>
        <v>0</v>
      </c>
      <c r="AF292" s="48">
        <f>IF(AF$8=1,IF(Reales!$C$73="PYG",IF(AF$10&gt;0,N(Reales!AF73)/AF$10,0),N(Reales!AF73)),AF$279+AF$283+AF$287)</f>
        <v>0</v>
      </c>
      <c r="AG292" s="48">
        <f>IF(AG$8=1,IF(Reales!$C$73="PYG",IF(AG$10&gt;0,N(Reales!AG73)/AG$10,0),N(Reales!AG73)),AG$279+AG$283+AG$287)</f>
        <v>0</v>
      </c>
      <c r="AH292" s="48">
        <f>IF(AH$8=1,IF(Reales!$C$73="PYG",IF(AH$10&gt;0,N(Reales!AH73)/AH$10,0),N(Reales!AH73)),AH$279+AH$283+AH$287)</f>
        <v>0</v>
      </c>
      <c r="AI292" s="48">
        <f>IF(AI$8=1,IF(Reales!$C$73="PYG",IF(AI$10&gt;0,N(Reales!AI73)/AI$10,0),N(Reales!AI73)),AI$279+AI$283+AI$287)</f>
        <v>0</v>
      </c>
      <c r="AJ292" s="48">
        <f>IF(AJ$8=1,IF(Reales!$C$73="PYG",IF(AJ$10&gt;0,N(Reales!AJ73)/AJ$10,0),N(Reales!AJ73)),AJ$279+AJ$283+AJ$287)</f>
        <v>0</v>
      </c>
      <c r="AK292" s="48">
        <f>IF(AK$8=1,IF(Reales!$C$73="PYG",IF(AK$10&gt;0,N(Reales!AK73)/AK$10,0),N(Reales!AK73)),AK$279+AK$283+AK$287)</f>
        <v>0</v>
      </c>
      <c r="AL292" s="48">
        <f>IF(AL$8=1,IF(Reales!$C$73="PYG",IF(AL$10&gt;0,N(Reales!AL73)/AL$10,0),N(Reales!AL73)),AL$279+AL$283+AL$287)</f>
        <v>0</v>
      </c>
      <c r="AM292" s="48">
        <f>IF(AM$8=1,IF(Reales!$C$73="PYG",IF(AM$10&gt;0,N(Reales!AM73)/AM$10,0),N(Reales!AM73)),AM$279+AM$283+AM$287)</f>
        <v>0</v>
      </c>
      <c r="AN292" s="48">
        <f>IF(AN$8=1,IF(Reales!$C$73="PYG",IF(AN$10&gt;0,N(Reales!AN73)/AN$10,0),N(Reales!AN73)),AN$279+AN$283+AN$287)</f>
        <v>0</v>
      </c>
      <c r="AO292" s="48">
        <f>IF(AO$8=1,IF(Reales!$C$73="PYG",IF(AO$10&gt;0,N(Reales!AO73)/AO$10,0),N(Reales!AO73)),AO$279+AO$283+AO$287)</f>
        <v>0</v>
      </c>
      <c r="AP292" s="48">
        <f>IF(AP$8=1,IF(Reales!$C$73="PYG",IF(AP$10&gt;0,N(Reales!AP73)/AP$10,0),N(Reales!AP73)),AP$279+AP$283+AP$287)</f>
        <v>0</v>
      </c>
      <c r="AQ292" s="48">
        <f>IF(AQ$8=1,IF(Reales!$C$73="PYG",IF(AQ$10&gt;0,N(Reales!AQ73)/AQ$10,0),N(Reales!AQ73)),AQ$279+AQ$283+AQ$287)</f>
        <v>0</v>
      </c>
      <c r="AR292" s="48">
        <f>IF(AR$8=1,IF(Reales!$C$73="PYG",IF(AR$10&gt;0,N(Reales!AR73)/AR$10,0),N(Reales!AR73)),AR$279+AR$283+AR$287)</f>
        <v>0</v>
      </c>
      <c r="AS292" s="48">
        <f>IF(AS$8=1,IF(Reales!$C$73="PYG",IF(AS$10&gt;0,N(Reales!AS73)/AS$10,0),N(Reales!AS73)),AS$279+AS$283+AS$287)</f>
        <v>0</v>
      </c>
      <c r="AT292" s="48">
        <f>IF(AT$8=1,IF(Reales!$C$73="PYG",IF(AT$10&gt;0,N(Reales!AT73)/AT$10,0),N(Reales!AT73)),AT$279+AT$283+AT$287)</f>
        <v>0</v>
      </c>
      <c r="AU292" s="48">
        <f>IF(AU$8=1,IF(Reales!$C$73="PYG",IF(AU$10&gt;0,N(Reales!AU73)/AU$10,0),N(Reales!AU73)),AU$279+AU$283+AU$287)</f>
        <v>0</v>
      </c>
      <c r="AV292" s="48">
        <f>IF(AV$8=1,IF(Reales!$C$73="PYG",IF(AV$10&gt;0,N(Reales!AV73)/AV$10,0),N(Reales!AV73)),AV$279+AV$283+AV$287)</f>
        <v>0</v>
      </c>
      <c r="AW292" s="48">
        <f>IF(AW$8=1,IF(Reales!$C$73="PYG",IF(AW$10&gt;0,N(Reales!AW73)/AW$10,0),N(Reales!AW73)),AW$279+AW$283+AW$287)</f>
        <v>0</v>
      </c>
      <c r="AX292" s="48">
        <f>IF(AX$8=1,IF(Reales!$C$73="PYG",IF(AX$10&gt;0,N(Reales!AX73)/AX$10,0),N(Reales!AX73)),AX$279+AX$283+AX$287)</f>
        <v>0</v>
      </c>
      <c r="AY292" s="48">
        <f>IF(AY$8=1,IF(Reales!$C$73="PYG",IF(AY$10&gt;0,N(Reales!AY73)/AY$10,0),N(Reales!AY73)),AY$279+AY$283+AY$287)</f>
        <v>0</v>
      </c>
      <c r="AZ292" s="48">
        <f>IF(AZ$8=1,IF(Reales!$C$73="PYG",IF(AZ$10&gt;0,N(Reales!AZ73)/AZ$10,0),N(Reales!AZ73)),AZ$279+AZ$283+AZ$287)</f>
        <v>0</v>
      </c>
      <c r="BA292" s="48">
        <f>IF(BA$8=1,IF(Reales!$C$73="PYG",IF(BA$10&gt;0,N(Reales!BA73)/BA$10,0),N(Reales!BA73)),BA$279+BA$283+BA$287)</f>
        <v>0</v>
      </c>
      <c r="BB292" s="48">
        <f>IF(BB$8=1,IF(Reales!$C$73="PYG",IF(BB$10&gt;0,N(Reales!BB73)/BB$10,0),N(Reales!BB73)),BB$279+BB$283+BB$287)</f>
        <v>0</v>
      </c>
      <c r="BC292" s="48">
        <f>IF(BC$8=1,IF(Reales!$C$73="PYG",IF(BC$10&gt;0,N(Reales!BC73)/BC$10,0),N(Reales!BC73)),BC$279+BC$283+BC$287)</f>
        <v>0</v>
      </c>
      <c r="BD292" s="48">
        <f>IF(BD$8=1,IF(Reales!$C$73="PYG",IF(BD$10&gt;0,N(Reales!BD73)/BD$10,0),N(Reales!BD73)),BD$279+BD$283+BD$287)</f>
        <v>0</v>
      </c>
      <c r="BE292" s="48">
        <f>IF(BE$8=1,IF(Reales!$C$73="PYG",IF(BE$10&gt;0,N(Reales!BE73)/BE$10,0),N(Reales!BE73)),BE$279+BE$283+BE$287)</f>
        <v>0</v>
      </c>
      <c r="BF292" s="48">
        <f>IF(BF$8=1,IF(Reales!$C$73="PYG",IF(BF$10&gt;0,N(Reales!BF73)/BF$10,0),N(Reales!BF73)),BF$279+BF$283+BF$287)</f>
        <v>0</v>
      </c>
      <c r="BG292" s="48">
        <f>IF(BG$8=1,IF(Reales!$C$73="PYG",IF(BG$10&gt;0,N(Reales!BG73)/BG$10,0),N(Reales!BG73)),BG$279+BG$283+BG$287)</f>
        <v>0</v>
      </c>
      <c r="BH292" s="48">
        <f>IF(BH$8=1,IF(Reales!$C$73="PYG",IF(BH$10&gt;0,N(Reales!BH73)/BH$10,0),N(Reales!BH73)),BH$279+BH$283+BH$287)</f>
        <v>0</v>
      </c>
      <c r="BI292" s="48">
        <f>IF(BI$8=1,IF(Reales!$C$73="PYG",IF(BI$10&gt;0,N(Reales!BI73)/BI$10,0),N(Reales!BI73)),BI$279+BI$283+BI$287)</f>
        <v>0</v>
      </c>
      <c r="BJ292" s="48">
        <f>IF(BJ$8=1,IF(Reales!$C$73="PYG",IF(BJ$10&gt;0,N(Reales!BJ73)/BJ$10,0),N(Reales!BJ73)),BJ$279+BJ$283+BJ$287)</f>
        <v>0</v>
      </c>
      <c r="BK292" s="48">
        <f>IF(BK$8=1,IF(Reales!$C$73="PYG",IF(BK$10&gt;0,N(Reales!BK73)/BK$10,0),N(Reales!BK73)),BK$279+BK$283+BK$287)</f>
        <v>0</v>
      </c>
      <c r="BL292" s="48">
        <f>IF(BL$8=1,IF(Reales!$C$73="PYG",IF(BL$10&gt;0,N(Reales!BL73)/BL$10,0),N(Reales!BL73)),BL$279+BL$283+BL$287)</f>
        <v>0</v>
      </c>
      <c r="BM292" s="48">
        <f>IF(BM$8=1,IF(Reales!$C$73="PYG",IF(BM$10&gt;0,N(Reales!BM73)/BM$10,0),N(Reales!BM73)),BM$279+BM$283+BM$287)</f>
        <v>0</v>
      </c>
      <c r="BN292" s="48">
        <f>IF(BN$8=1,IF(Reales!$C$73="PYG",IF(BN$10&gt;0,N(Reales!BN73)/BN$10,0),N(Reales!BN73)),BN$279+BN$283+BN$287)</f>
        <v>0</v>
      </c>
      <c r="BO292" s="48">
        <f>IF(BO$8=1,IF(Reales!$C$73="PYG",IF(BO$10&gt;0,N(Reales!BO73)/BO$10,0),N(Reales!BO73)),BO$279+BO$283+BO$287)</f>
        <v>0</v>
      </c>
      <c r="BP292" s="48">
        <f>IF(BP$8=1,IF(Reales!$C$73="PYG",IF(BP$10&gt;0,N(Reales!BP73)/BP$10,0),N(Reales!BP73)),BP$279+BP$283+BP$287)</f>
        <v>0</v>
      </c>
      <c r="BQ292" s="48">
        <f>IF(BQ$8=1,IF(Reales!$C$73="PYG",IF(BQ$10&gt;0,N(Reales!BQ73)/BQ$10,0),N(Reales!BQ73)),BQ$279+BQ$283+BQ$287)</f>
        <v>0</v>
      </c>
      <c r="BR292" s="48">
        <f>IF(BR$8=1,IF(Reales!$C$73="PYG",IF(BR$10&gt;0,N(Reales!BR73)/BR$10,0),N(Reales!BR73)),BR$279+BR$283+BR$287)</f>
        <v>0</v>
      </c>
      <c r="BS292" s="48">
        <f>IF(BS$8=1,IF(Reales!$C$73="PYG",IF(BS$10&gt;0,N(Reales!BS73)/BS$10,0),N(Reales!BS73)),BS$279+BS$283+BS$287)</f>
        <v>0</v>
      </c>
      <c r="BT292" s="48">
        <f>IF(BT$8=1,IF(Reales!$C$73="PYG",IF(BT$10&gt;0,N(Reales!BT73)/BT$10,0),N(Reales!BT73)),BT$279+BT$283+BT$287)</f>
        <v>0</v>
      </c>
      <c r="BU292" s="48">
        <f>IF(BU$8=1,IF(Reales!$C$73="PYG",IF(BU$10&gt;0,N(Reales!BU73)/BU$10,0),N(Reales!BU73)),BU$279+BU$283+BU$287)</f>
        <v>0</v>
      </c>
      <c r="BV292" s="48">
        <f>IF(BV$8=1,IF(Reales!$C$73="PYG",IF(BV$10&gt;0,N(Reales!BV73)/BV$10,0),N(Reales!BV73)),BV$279+BV$283+BV$287)</f>
        <v>0</v>
      </c>
      <c r="BW292" s="48">
        <f>IF(BW$8=1,IF(Reales!$C$73="PYG",IF(BW$10&gt;0,N(Reales!BW73)/BW$10,0),N(Reales!BW73)),BW$279+BW$283+BW$287)</f>
        <v>0</v>
      </c>
      <c r="BX292" s="48">
        <f>IF(BX$8=1,IF(Reales!$C$73="PYG",IF(BX$10&gt;0,N(Reales!BX73)/BX$10,0),N(Reales!BX73)),BX$279+BX$283+BX$287)</f>
        <v>0</v>
      </c>
      <c r="BY292" s="48">
        <f>IF(BY$8=1,IF(Reales!$C$73="PYG",IF(BY$10&gt;0,N(Reales!BY73)/BY$10,0),N(Reales!BY73)),BY$279+BY$283+BY$287)</f>
        <v>0</v>
      </c>
      <c r="BZ292" s="48">
        <f>IF(BZ$8=1,IF(Reales!$C$73="PYG",IF(BZ$10&gt;0,N(Reales!BZ73)/BZ$10,0),N(Reales!BZ73)),BZ$279+BZ$283+BZ$287)</f>
        <v>0</v>
      </c>
      <c r="CA292" s="48">
        <f>IF(CA$8=1,IF(Reales!$C$73="PYG",IF(CA$10&gt;0,N(Reales!CA73)/CA$10,0),N(Reales!CA73)),CA$279+CA$283+CA$287)</f>
        <v>0</v>
      </c>
      <c r="CB292" s="48">
        <f>IF(CB$8=1,IF(Reales!$C$73="PYG",IF(CB$10&gt;0,N(Reales!CB73)/CB$10,0),N(Reales!CB73)),CB$279+CB$283+CB$287)</f>
        <v>0</v>
      </c>
      <c r="CC292" s="48">
        <f>IF(CC$8=1,IF(Reales!$C$73="PYG",IF(CC$10&gt;0,N(Reales!CC73)/CC$10,0),N(Reales!CC73)),CC$279+CC$283+CC$287)</f>
        <v>0</v>
      </c>
      <c r="CD292" s="48">
        <f>IF(CD$8=1,IF(Reales!$C$73="PYG",IF(CD$10&gt;0,N(Reales!CD73)/CD$10,0),N(Reales!CD73)),CD$279+CD$283+CD$287)</f>
        <v>0</v>
      </c>
      <c r="CE292" s="48">
        <f>IF(CE$8=1,IF(Reales!$C$73="PYG",IF(CE$10&gt;0,N(Reales!CE73)/CE$10,0),N(Reales!CE73)),CE$279+CE$283+CE$287)</f>
        <v>0</v>
      </c>
      <c r="CF292" s="48">
        <f>IF(CF$8=1,IF(Reales!$C$73="PYG",IF(CF$10&gt;0,N(Reales!CF73)/CF$10,0),N(Reales!CF73)),CF$279+CF$283+CF$287)</f>
        <v>0</v>
      </c>
      <c r="CG292" s="48">
        <f>IF(CG$8=1,IF(Reales!$C$73="PYG",IF(CG$10&gt;0,N(Reales!CG73)/CG$10,0),N(Reales!CG73)),CG$279+CG$283+CG$287)</f>
        <v>0</v>
      </c>
      <c r="CH292" s="48">
        <f>IF(CH$8=1,IF(Reales!$C$73="PYG",IF(CH$10&gt;0,N(Reales!CH73)/CH$10,0),N(Reales!CH73)),CH$279+CH$283+CH$287)</f>
        <v>0</v>
      </c>
      <c r="CI292" s="48">
        <f>IF(CI$8=1,IF(Reales!$C$73="PYG",IF(CI$10&gt;0,N(Reales!CI73)/CI$10,0),N(Reales!CI73)),CI$279+CI$283+CI$287)</f>
        <v>0</v>
      </c>
      <c r="CJ292" s="48">
        <f>IF(CJ$8=1,IF(Reales!$C$73="PYG",IF(CJ$10&gt;0,N(Reales!CJ73)/CJ$10,0),N(Reales!CJ73)),CJ$279+CJ$283+CJ$287)</f>
        <v>0</v>
      </c>
      <c r="CK292" s="48">
        <f>IF(CK$8=1,IF(Reales!$C$73="PYG",IF(CK$10&gt;0,N(Reales!CK73)/CK$10,0),N(Reales!CK73)),CK$279+CK$283+CK$287)</f>
        <v>0</v>
      </c>
      <c r="CL292" s="48">
        <f>IF(CL$8=1,IF(Reales!$C$73="PYG",IF(CL$10&gt;0,N(Reales!CL73)/CL$10,0),N(Reales!CL73)),CL$279+CL$283+CL$287)</f>
        <v>0</v>
      </c>
      <c r="CM292" s="48">
        <f>IF(CM$8=1,IF(Reales!$C$73="PYG",IF(CM$10&gt;0,N(Reales!CM73)/CM$10,0),N(Reales!CM73)),CM$279+CM$283+CM$287)</f>
        <v>0</v>
      </c>
      <c r="CN292" s="48">
        <f>IF(CN$8=1,IF(Reales!$C$73="PYG",IF(CN$10&gt;0,N(Reales!CN73)/CN$10,0),N(Reales!CN73)),CN$279+CN$283+CN$287)</f>
        <v>0</v>
      </c>
      <c r="CO292" s="48">
        <f>IF(CO$8=1,IF(Reales!$C$73="PYG",IF(CO$10&gt;0,N(Reales!CO73)/CO$10,0),N(Reales!CO73)),CO$279+CO$283+CO$287)</f>
        <v>0</v>
      </c>
      <c r="CP292" s="48">
        <f>IF(CP$8=1,IF(Reales!$C$73="PYG",IF(CP$10&gt;0,N(Reales!CP73)/CP$10,0),N(Reales!CP73)),CP$279+CP$283+CP$287)</f>
        <v>0</v>
      </c>
      <c r="CQ292" s="48">
        <f>IF(CQ$8=1,IF(Reales!$C$73="PYG",IF(CQ$10&gt;0,N(Reales!CQ73)/CQ$10,0),N(Reales!CQ73)),CQ$279+CQ$283+CQ$287)</f>
        <v>0</v>
      </c>
      <c r="CR292" s="48">
        <f>IF(CR$8=1,IF(Reales!$C$73="PYG",IF(CR$10&gt;0,N(Reales!CR73)/CR$10,0),N(Reales!CR73)),CR$279+CR$283+CR$287)</f>
        <v>0</v>
      </c>
      <c r="CS292" s="48">
        <f>IF(CS$8=1,IF(Reales!$C$73="PYG",IF(CS$10&gt;0,N(Reales!CS73)/CS$10,0),N(Reales!CS73)),CS$279+CS$283+CS$287)</f>
        <v>0</v>
      </c>
      <c r="CT292" s="48">
        <f>IF(CT$8=1,IF(Reales!$C$73="PYG",IF(CT$10&gt;0,N(Reales!CT73)/CT$10,0),N(Reales!CT73)),CT$279+CT$283+CT$287)</f>
        <v>0</v>
      </c>
      <c r="CU292" s="48">
        <f>IF(CU$8=1,IF(Reales!$C$73="PYG",IF(CU$10&gt;0,N(Reales!CU73)/CU$10,0),N(Reales!CU73)),CU$279+CU$283+CU$287)</f>
        <v>0</v>
      </c>
      <c r="CV292" s="48">
        <f>IF(CV$8=1,IF(Reales!$C$73="PYG",IF(CV$10&gt;0,N(Reales!CV73)/CV$10,0),N(Reales!CV73)),CV$279+CV$283+CV$287)</f>
        <v>0</v>
      </c>
      <c r="CW292" s="48">
        <f>IF(CW$8=1,IF(Reales!$C$73="PYG",IF(CW$10&gt;0,N(Reales!CW73)/CW$10,0),N(Reales!CW73)),CW$279+CW$283+CW$287)</f>
        <v>0</v>
      </c>
      <c r="CX292" s="48">
        <f>IF(CX$8=1,IF(Reales!$C$73="PYG",IF(CX$10&gt;0,N(Reales!CX73)/CX$10,0),N(Reales!CX73)),CX$279+CX$283+CX$287)</f>
        <v>0</v>
      </c>
      <c r="CY292" s="48">
        <f>IF(CY$8=1,IF(Reales!$C$73="PYG",IF(CY$10&gt;0,N(Reales!CY73)/CY$10,0),N(Reales!CY73)),CY$279+CY$283+CY$287)</f>
        <v>0</v>
      </c>
      <c r="CZ292" s="48">
        <f>IF(CZ$8=1,IF(Reales!$C$73="PYG",IF(CZ$10&gt;0,N(Reales!CZ73)/CZ$10,0),N(Reales!CZ73)),CZ$279+CZ$283+CZ$287)</f>
        <v>0</v>
      </c>
      <c r="DA292" s="48">
        <f>IF(DA$8=1,IF(Reales!$C$73="PYG",IF(DA$10&gt;0,N(Reales!DA73)/DA$10,0),N(Reales!DA73)),DA$279+DA$283+DA$287)</f>
        <v>0</v>
      </c>
      <c r="DB292" s="48">
        <f>IF(DB$8=1,IF(Reales!$C$73="PYG",IF(DB$10&gt;0,N(Reales!DB73)/DB$10,0),N(Reales!DB73)),DB$279+DB$283+DB$287)</f>
        <v>0</v>
      </c>
      <c r="DC292" s="48">
        <f>IF(DC$8=1,IF(Reales!$C$73="PYG",IF(DC$10&gt;0,N(Reales!DC73)/DC$10,0),N(Reales!DC73)),DC$279+DC$283+DC$287)</f>
        <v>0</v>
      </c>
      <c r="DD292" s="48">
        <f>IF(DD$8=1,IF(Reales!$C$73="PYG",IF(DD$10&gt;0,N(Reales!DD73)/DD$10,0),N(Reales!DD73)),DD$279+DD$283+DD$287)</f>
        <v>0</v>
      </c>
      <c r="DE292" s="48">
        <f>IF(DE$8=1,IF(Reales!$C$73="PYG",IF(DE$10&gt;0,N(Reales!DE73)/DE$10,0),N(Reales!DE73)),DE$279+DE$283+DE$287)</f>
        <v>0</v>
      </c>
      <c r="DF292" s="48">
        <f>IF(DF$8=1,IF(Reales!$C$73="PYG",IF(DF$10&gt;0,N(Reales!DF73)/DF$10,0),N(Reales!DF73)),DF$279+DF$283+DF$287)</f>
        <v>0</v>
      </c>
      <c r="DG292" s="48">
        <f>IF(DG$8=1,IF(Reales!$C$73="PYG",IF(DG$10&gt;0,N(Reales!DG73)/DG$10,0),N(Reales!DG73)),DG$279+DG$283+DG$287)</f>
        <v>0</v>
      </c>
      <c r="DH292" s="48">
        <f>IF(DH$8=1,IF(Reales!$C$73="PYG",IF(DH$10&gt;0,N(Reales!DH73)/DH$10,0),N(Reales!DH73)),DH$279+DH$283+DH$287)</f>
        <v>0</v>
      </c>
      <c r="DI292" s="48">
        <f>IF(DI$8=1,IF(Reales!$C$73="PYG",IF(DI$10&gt;0,N(Reales!DI73)/DI$10,0),N(Reales!DI73)),DI$279+DI$283+DI$287)</f>
        <v>0</v>
      </c>
      <c r="DJ292" s="48">
        <f>IF(DJ$8=1,IF(Reales!$C$73="PYG",IF(DJ$10&gt;0,N(Reales!DJ73)/DJ$10,0),N(Reales!DJ73)),DJ$279+DJ$283+DJ$287)</f>
        <v>0</v>
      </c>
      <c r="DK292" s="48">
        <f>IF(DK$8=1,IF(Reales!$C$73="PYG",IF(DK$10&gt;0,N(Reales!DK73)/DK$10,0),N(Reales!DK73)),DK$279+DK$283+DK$287)</f>
        <v>0</v>
      </c>
      <c r="DL292" s="48">
        <f>IF(DL$8=1,IF(Reales!$C$73="PYG",IF(DL$10&gt;0,N(Reales!DL73)/DL$10,0),N(Reales!DL73)),DL$279+DL$283+DL$287)</f>
        <v>0</v>
      </c>
      <c r="DM292" s="48">
        <f>IF(DM$8=1,IF(Reales!$C$73="PYG",IF(DM$10&gt;0,N(Reales!DM73)/DM$10,0),N(Reales!DM73)),DM$279+DM$283+DM$287)</f>
        <v>0</v>
      </c>
      <c r="DN292" s="48">
        <f>IF(DN$8=1,IF(Reales!$C$73="PYG",IF(DN$10&gt;0,N(Reales!DN73)/DN$10,0),N(Reales!DN73)),DN$279+DN$283+DN$287)</f>
        <v>0</v>
      </c>
      <c r="DO292" s="48">
        <f>IF(DO$8=1,IF(Reales!$C$73="PYG",IF(DO$10&gt;0,N(Reales!DO73)/DO$10,0),N(Reales!DO73)),DO$279+DO$283+DO$287)</f>
        <v>0</v>
      </c>
      <c r="DP292" s="48">
        <f>IF(DP$8=1,IF(Reales!$C$73="PYG",IF(DP$10&gt;0,N(Reales!DP73)/DP$10,0),N(Reales!DP73)),DP$279+DP$283+DP$287)</f>
        <v>0</v>
      </c>
      <c r="DQ292" s="48">
        <f>IF(DQ$8=1,IF(Reales!$C$73="PYG",IF(DQ$10&gt;0,N(Reales!DQ73)/DQ$10,0),N(Reales!DQ73)),DQ$279+DQ$283+DQ$287)</f>
        <v>0</v>
      </c>
      <c r="DR292" s="48">
        <f>IF(DR$8=1,IF(Reales!$C$73="PYG",IF(DR$10&gt;0,N(Reales!DR73)/DR$10,0),N(Reales!DR73)),DR$279+DR$283+DR$287)</f>
        <v>0</v>
      </c>
      <c r="DS292" s="48">
        <f>IF(DS$8=1,IF(Reales!$C$73="PYG",IF(DS$10&gt;0,N(Reales!DS73)/DS$10,0),N(Reales!DS73)),DS$279+DS$283+DS$287)</f>
        <v>0</v>
      </c>
      <c r="DT292" s="48">
        <f>IF(DT$8=1,IF(Reales!$C$73="PYG",IF(DT$10&gt;0,N(Reales!DT73)/DT$10,0),N(Reales!DT73)),DT$279+DT$283+DT$287)</f>
        <v>0</v>
      </c>
      <c r="DU292" s="48">
        <f>IF(DU$8=1,IF(Reales!$C$73="PYG",IF(DU$10&gt;0,N(Reales!DU73)/DU$10,0),N(Reales!DU73)),DU$279+DU$283+DU$287)</f>
        <v>0</v>
      </c>
      <c r="DV292" s="48">
        <f>IF(DV$8=1,IF(Reales!$C$73="PYG",IF(DV$10&gt;0,N(Reales!DV73)/DV$10,0),N(Reales!DV73)),DV$279+DV$283+DV$287)</f>
        <v>0</v>
      </c>
      <c r="DW292" s="48">
        <f>IF(DW$8=1,IF(Reales!$C$73="PYG",IF(DW$10&gt;0,N(Reales!DW73)/DW$10,0),N(Reales!DW73)),DW$279+DW$283+DW$287)</f>
        <v>0</v>
      </c>
      <c r="DX292" s="48">
        <f>IF(DX$8=1,IF(Reales!$C$73="PYG",IF(DX$10&gt;0,N(Reales!DX73)/DX$10,0),N(Reales!DX73)),DX$279+DX$283+DX$287)</f>
        <v>0</v>
      </c>
      <c r="DY292" s="48">
        <f>IF(DY$8=1,IF(Reales!$C$73="PYG",IF(DY$10&gt;0,N(Reales!DY73)/DY$10,0),N(Reales!DY73)),DY$279+DY$283+DY$287)</f>
        <v>0</v>
      </c>
      <c r="DZ292" s="48">
        <f>IF(DZ$8=1,IF(Reales!$C$73="PYG",IF(DZ$10&gt;0,N(Reales!DZ73)/DZ$10,0),N(Reales!DZ73)),DZ$279+DZ$283+DZ$287)</f>
        <v>0</v>
      </c>
      <c r="EA292" s="48">
        <f>IF(EA$8=1,IF(Reales!$C$73="PYG",IF(EA$10&gt;0,N(Reales!EA73)/EA$10,0),N(Reales!EA73)),EA$279+EA$283+EA$287)</f>
        <v>0</v>
      </c>
      <c r="EB292" s="48">
        <f>IF(EB$8=1,IF(Reales!$C$73="PYG",IF(EB$10&gt;0,N(Reales!EB73)/EB$10,0),N(Reales!EB73)),EB$279+EB$283+EB$287)</f>
        <v>0</v>
      </c>
      <c r="EC292" s="48">
        <f>IF(EC$8=1,IF(Reales!$C$73="PYG",IF(EC$10&gt;0,N(Reales!EC73)/EC$10,0),N(Reales!EC73)),EC$279+EC$283+EC$287)</f>
        <v>0</v>
      </c>
      <c r="ED292" s="48">
        <f>IF(ED$8=1,IF(Reales!$C$73="PYG",IF(ED$10&gt;0,N(Reales!ED73)/ED$10,0),N(Reales!ED73)),ED$279+ED$283+ED$287)</f>
        <v>0</v>
      </c>
      <c r="EE292" s="48">
        <f>IF(EE$8=1,IF(Reales!$C$73="PYG",IF(EE$10&gt;0,N(Reales!EE73)/EE$10,0),N(Reales!EE73)),EE$279+EE$283+EE$287)</f>
        <v>0</v>
      </c>
      <c r="EF292" s="48">
        <f>IF(EF$8=1,IF(Reales!$C$73="PYG",IF(EF$10&gt;0,N(Reales!EF73)/EF$10,0),N(Reales!EF73)),EF$279+EF$283+EF$287)</f>
        <v>0</v>
      </c>
      <c r="EG292" s="48">
        <f>IF(EG$8=1,IF(Reales!$C$73="PYG",IF(EG$10&gt;0,N(Reales!EG73)/EG$10,0),N(Reales!EG73)),EG$279+EG$283+EG$287)</f>
        <v>0</v>
      </c>
      <c r="EH292" s="48">
        <f>IF(EH$8=1,IF(Reales!$C$73="PYG",IF(EH$10&gt;0,N(Reales!EH73)/EH$10,0),N(Reales!EH73)),EH$279+EH$283+EH$287)</f>
        <v>0</v>
      </c>
      <c r="EI292" s="48">
        <f>IF(EI$8=1,IF(Reales!$C$73="PYG",IF(EI$10&gt;0,N(Reales!EI73)/EI$10,0),N(Reales!EI73)),EI$279+EI$283+EI$287)</f>
        <v>0</v>
      </c>
      <c r="EJ292" s="48">
        <f>IF(EJ$8=1,IF(Reales!$C$73="PYG",IF(EJ$10&gt;0,N(Reales!EJ73)/EJ$10,0),N(Reales!EJ73)),EJ$279+EJ$283+EJ$287)</f>
        <v>0</v>
      </c>
      <c r="EK292" s="48">
        <f>IF(EK$8=1,IF(Reales!$C$73="PYG",IF(EK$10&gt;0,N(Reales!EK73)/EK$10,0),N(Reales!EK73)),EK$279+EK$283+EK$287)</f>
        <v>0</v>
      </c>
      <c r="EL292" s="48">
        <f>IF(EL$8=1,IF(Reales!$C$73="PYG",IF(EL$10&gt;0,N(Reales!EL73)/EL$10,0),N(Reales!EL73)),EL$279+EL$283+EL$287)</f>
        <v>0</v>
      </c>
      <c r="EM292" s="48">
        <f>IF(EM$8=1,IF(Reales!$C$73="PYG",IF(EM$10&gt;0,N(Reales!EM73)/EM$10,0),N(Reales!EM73)),EM$279+EM$283+EM$287)</f>
        <v>0</v>
      </c>
      <c r="EN292" s="48">
        <f>IF(EN$8=1,IF(Reales!$C$73="PYG",IF(EN$10&gt;0,N(Reales!EN73)/EN$10,0),N(Reales!EN73)),EN$279+EN$283+EN$287)</f>
        <v>0</v>
      </c>
      <c r="EO292" s="48">
        <f>IF(EO$8=1,IF(Reales!$C$73="PYG",IF(EO$10&gt;0,N(Reales!EO73)/EO$10,0),N(Reales!EO73)),EO$279+EO$283+EO$287)</f>
        <v>0</v>
      </c>
      <c r="EP292" s="48">
        <f>IF(EP$8=1,IF(Reales!$C$73="PYG",IF(EP$10&gt;0,N(Reales!EP73)/EP$10,0),N(Reales!EP73)),EP$279+EP$283+EP$287)</f>
        <v>0</v>
      </c>
      <c r="EQ292" s="48">
        <f>IF(EQ$8=1,IF(Reales!$C$73="PYG",IF(EQ$10&gt;0,N(Reales!EQ73)/EQ$10,0),N(Reales!EQ73)),EQ$279+EQ$283+EQ$287)</f>
        <v>0</v>
      </c>
      <c r="ER292" s="48">
        <f>IF(ER$8=1,IF(Reales!$C$73="PYG",IF(ER$10&gt;0,N(Reales!ER73)/ER$10,0),N(Reales!ER73)),ER$279+ER$283+ER$287)</f>
        <v>0</v>
      </c>
      <c r="ES292" s="48">
        <f>IF(ES$8=1,IF(Reales!$C$73="PYG",IF(ES$10&gt;0,N(Reales!ES73)/ES$10,0),N(Reales!ES73)),ES$279+ES$283+ES$287)</f>
        <v>0</v>
      </c>
    </row>
    <row r="293" spans="1:149" x14ac:dyDescent="0.3">
      <c r="A293" s="14" t="s">
        <v>1342</v>
      </c>
      <c r="B293" s="18" t="s">
        <v>1170</v>
      </c>
      <c r="C293" s="18" t="s">
        <v>439</v>
      </c>
      <c r="E293" s="54">
        <f>SUM(F293:ES293)</f>
        <v>2791587.0000000005</v>
      </c>
      <c r="F293" s="48">
        <f>IF(F$8=1,IF(Reales!$C$75="PYG",IF(F$10&gt;0,N(Reales!F75)/F$10,0),N(Reales!F75)),MAX(0,MIN(0-0+F$292,F$281+F$285+F$289)))</f>
        <v>0</v>
      </c>
      <c r="G293" s="48">
        <f>IF(G$8=1,IF(Reales!$C$75="PYG",IF(G$10&gt;0,N(Reales!G75)/G$10,0),N(Reales!G75)),MAX(0,MIN(F$304-F$301+G$292,G$281+G$285+G$289)))</f>
        <v>0</v>
      </c>
      <c r="H293" s="48">
        <f>IF(H$8=1,IF(Reales!$C$75="PYG",IF(H$10&gt;0,N(Reales!H75)/H$10,0),N(Reales!H75)),MAX(0,MIN(G$304-G$301+H$292,H$281+H$285+H$289)))</f>
        <v>0</v>
      </c>
      <c r="I293" s="48">
        <f>IF(I$8=1,IF(Reales!$C$75="PYG",IF(I$10&gt;0,N(Reales!I75)/I$10,0),N(Reales!I75)),MAX(0,MIN(H$304-H$301+I$292,I$281+I$285+I$289)))</f>
        <v>0</v>
      </c>
      <c r="J293" s="48">
        <f>IF(J$8=1,IF(Reales!$C$75="PYG",IF(J$10&gt;0,N(Reales!J75)/J$10,0),N(Reales!J75)),MAX(0,MIN(I$304-I$301+J$292,J$281+J$285+J$289)))</f>
        <v>0</v>
      </c>
      <c r="K293" s="48">
        <f>IF(K$8=1,IF(Reales!$C$75="PYG",IF(K$10&gt;0,N(Reales!K75)/K$10,0),N(Reales!K75)),MAX(0,MIN(J$304-J$301+K$292,K$281+K$285+K$289)))</f>
        <v>0</v>
      </c>
      <c r="L293" s="48">
        <f>IF(L$8=1,IF(Reales!$C$75="PYG",IF(L$10&gt;0,N(Reales!L75)/L$10,0),N(Reales!L75)),MAX(0,MIN(K$304-K$301+L$292,L$281+L$285+L$289)))</f>
        <v>42123.304094687759</v>
      </c>
      <c r="M293" s="48">
        <f>IF(M$8=1,IF(Reales!$C$75="PYG",IF(M$10&gt;0,N(Reales!M75)/M$10,0),N(Reales!M75)),MAX(0,MIN(L$304-L$301+M$292,M$281+M$285+M$289)))</f>
        <v>42439.228875397908</v>
      </c>
      <c r="N293" s="48">
        <f>IF(N$8=1,IF(Reales!$C$75="PYG",IF(N$10&gt;0,N(Reales!N75)/N$10,0),N(Reales!N75)),MAX(0,MIN(M$304-M$301+N$292,N$281+N$285+N$289)))</f>
        <v>42757.52309196339</v>
      </c>
      <c r="O293" s="48">
        <f>IF(O$8=1,IF(Reales!$C$75="PYG",IF(O$10&gt;0,N(Reales!O75)/O$10,0),N(Reales!O75)),MAX(0,MIN(N$304-N$301+O$292,O$281+O$285+O$289)))</f>
        <v>43078.20451515312</v>
      </c>
      <c r="P293" s="48">
        <f>IF(P$8=1,IF(Reales!$C$75="PYG",IF(P$10&gt;0,N(Reales!P75)/P$10,0),N(Reales!P75)),MAX(0,MIN(O$304-O$301+P$292,P$281+P$285+P$289)))</f>
        <v>43401.291049016771</v>
      </c>
      <c r="Q293" s="48">
        <f>IF(Q$8=1,IF(Reales!$C$75="PYG",IF(Q$10&gt;0,N(Reales!Q75)/Q$10,0),N(Reales!Q75)),MAX(0,MIN(P$304-P$301+Q$292,Q$281+Q$285+Q$289)))</f>
        <v>43726.800731884396</v>
      </c>
      <c r="R293" s="48">
        <f>IF(R$8=1,IF(Reales!$C$75="PYG",IF(R$10&gt;0,N(Reales!R75)/R$10,0),N(Reales!R75)),MAX(0,MIN(Q$304-Q$301+R$292,R$281+R$285+R$289)))</f>
        <v>44054.751737373532</v>
      </c>
      <c r="S293" s="48">
        <f>IF(S$8=1,IF(Reales!$C$75="PYG",IF(S$10&gt;0,N(Reales!S75)/S$10,0),N(Reales!S75)),MAX(0,MIN(R$304-R$301+S$292,S$281+S$285+S$289)))</f>
        <v>44385.16237540383</v>
      </c>
      <c r="T293" s="48">
        <f>IF(T$8=1,IF(Reales!$C$75="PYG",IF(T$10&gt;0,N(Reales!T75)/T$10,0),N(Reales!T75)),MAX(0,MIN(S$304-S$301+T$292,T$281+T$285+T$289)))</f>
        <v>44718.051093219357</v>
      </c>
      <c r="U293" s="48">
        <f>IF(U$8=1,IF(Reales!$C$75="PYG",IF(U$10&gt;0,N(Reales!U75)/U$10,0),N(Reales!U75)),MAX(0,MIN(T$304-T$301+U$292,U$281+U$285+U$289)))</f>
        <v>45053.436476418501</v>
      </c>
      <c r="V293" s="48">
        <f>IF(V$8=1,IF(Reales!$C$75="PYG",IF(V$10&gt;0,N(Reales!V75)/V$10,0),N(Reales!V75)),MAX(0,MIN(U$304-U$301+V$292,V$281+V$285+V$289)))</f>
        <v>45391.337249991644</v>
      </c>
      <c r="W293" s="48">
        <f>IF(W$8=1,IF(Reales!$C$75="PYG",IF(W$10&gt;0,N(Reales!W75)/W$10,0),N(Reales!W75)),MAX(0,MIN(V$304-V$301+W$292,W$281+W$285+W$289)))</f>
        <v>45731.772279366574</v>
      </c>
      <c r="X293" s="48">
        <f>IF(X$8=1,IF(Reales!$C$75="PYG",IF(X$10&gt;0,N(Reales!X75)/X$10,0),N(Reales!X75)),MAX(0,MIN(W$304-W$301+X$292,X$281+X$285+X$289)))</f>
        <v>46074.760571461826</v>
      </c>
      <c r="Y293" s="48">
        <f>IF(Y$8=1,IF(Reales!$C$75="PYG",IF(Y$10&gt;0,N(Reales!Y75)/Y$10,0),N(Reales!Y75)),MAX(0,MIN(X$304-X$301+Y$292,Y$281+Y$285+Y$289)))</f>
        <v>46420.321275747789</v>
      </c>
      <c r="Z293" s="48">
        <f>IF(Z$8=1,IF(Reales!$C$75="PYG",IF(Z$10&gt;0,N(Reales!Z75)/Z$10,0),N(Reales!Z75)),MAX(0,MIN(Y$304-Y$301+Z$292,Z$281+Z$285+Z$289)))</f>
        <v>46768.473685315897</v>
      </c>
      <c r="AA293" s="48">
        <f>IF(AA$8=1,IF(Reales!$C$75="PYG",IF(AA$10&gt;0,N(Reales!AA75)/AA$10,0),N(Reales!AA75)),MAX(0,MIN(Z$304-Z$301+AA$292,AA$281+AA$285+AA$289)))</f>
        <v>47119.237237955764</v>
      </c>
      <c r="AB293" s="48">
        <f>IF(AB$8=1,IF(Reales!$C$75="PYG",IF(AB$10&gt;0,N(Reales!AB75)/AB$10,0),N(Reales!AB75)),MAX(0,MIN(AA$304-AA$301+AB$292,AB$281+AB$285+AB$289)))</f>
        <v>47472.631517240428</v>
      </c>
      <c r="AC293" s="48">
        <f>IF(AC$8=1,IF(Reales!$C$75="PYG",IF(AC$10&gt;0,N(Reales!AC75)/AC$10,0),N(Reales!AC75)),MAX(0,MIN(AB$304-AB$301+AC$292,AC$281+AC$285+AC$289)))</f>
        <v>47828.676253619735</v>
      </c>
      <c r="AD293" s="48">
        <f>IF(AD$8=1,IF(Reales!$C$75="PYG",IF(AD$10&gt;0,N(Reales!AD75)/AD$10,0),N(Reales!AD75)),MAX(0,MIN(AC$304-AC$301+AD$292,AD$281+AD$285+AD$289)))</f>
        <v>48187.391325521887</v>
      </c>
      <c r="AE293" s="48">
        <f>IF(AE$8=1,IF(Reales!$C$75="PYG",IF(AE$10&gt;0,N(Reales!AE75)/AE$10,0),N(Reales!AE75)),MAX(0,MIN(AD$304-AD$301+AE$292,AE$281+AE$285+AE$289)))</f>
        <v>48548.796760463301</v>
      </c>
      <c r="AF293" s="48">
        <f>IF(AF$8=1,IF(Reales!$C$75="PYG",IF(AF$10&gt;0,N(Reales!AF75)/AF$10,0),N(Reales!AF75)),MAX(0,MIN(AE$304-AE$301+AF$292,AF$281+AF$285+AF$289)))</f>
        <v>48912.912736166778</v>
      </c>
      <c r="AG293" s="48">
        <f>IF(AG$8=1,IF(Reales!$C$75="PYG",IF(AG$10&gt;0,N(Reales!AG75)/AG$10,0),N(Reales!AG75)),MAX(0,MIN(AF$304-AF$301+AG$292,AG$281+AG$285+AG$289)))</f>
        <v>49279.759581688028</v>
      </c>
      <c r="AH293" s="48">
        <f>IF(AH$8=1,IF(Reales!$C$75="PYG",IF(AH$10&gt;0,N(Reales!AH75)/AH$10,0),N(Reales!AH75)),MAX(0,MIN(AG$304-AG$301+AH$292,AH$281+AH$285+AH$289)))</f>
        <v>49649.357778550686</v>
      </c>
      <c r="AI293" s="48">
        <f>IF(AI$8=1,IF(Reales!$C$75="PYG",IF(AI$10&gt;0,N(Reales!AI75)/AI$10,0),N(Reales!AI75)),MAX(0,MIN(AH$304-AH$301+AI$292,AI$281+AI$285+AI$289)))</f>
        <v>50021.727961889817</v>
      </c>
      <c r="AJ293" s="48">
        <f>IF(AJ$8=1,IF(Reales!$C$75="PYG",IF(AJ$10&gt;0,N(Reales!AJ75)/AJ$10,0),N(Reales!AJ75)),MAX(0,MIN(AI$304-AI$301+AJ$292,AJ$281+AJ$285+AJ$289)))</f>
        <v>50396.89092160399</v>
      </c>
      <c r="AK293" s="48">
        <f>IF(AK$8=1,IF(Reales!$C$75="PYG",IF(AK$10&gt;0,N(Reales!AK75)/AK$10,0),N(Reales!AK75)),MAX(0,MIN(AJ$304-AJ$301+AK$292,AK$281+AK$285+AK$289)))</f>
        <v>50774.867603516017</v>
      </c>
      <c r="AL293" s="48">
        <f>IF(AL$8=1,IF(Reales!$C$75="PYG",IF(AL$10&gt;0,N(Reales!AL75)/AL$10,0),N(Reales!AL75)),MAX(0,MIN(AK$304-AK$301+AL$292,AL$281+AL$285+AL$289)))</f>
        <v>51155.679110542391</v>
      </c>
      <c r="AM293" s="48">
        <f>IF(AM$8=1,IF(Reales!$C$75="PYG",IF(AM$10&gt;0,N(Reales!AM75)/AM$10,0),N(Reales!AM75)),MAX(0,MIN(AL$304-AL$301+AM$292,AM$281+AM$285+AM$289)))</f>
        <v>51539.346703871459</v>
      </c>
      <c r="AN293" s="48">
        <f>IF(AN$8=1,IF(Reales!$C$75="PYG",IF(AN$10&gt;0,N(Reales!AN75)/AN$10,0),N(Reales!AN75)),MAX(0,MIN(AM$304-AM$301+AN$292,AN$281+AN$285+AN$289)))</f>
        <v>51925.891804150495</v>
      </c>
      <c r="AO293" s="48">
        <f>IF(AO$8=1,IF(Reales!$C$75="PYG",IF(AO$10&gt;0,N(Reales!AO75)/AO$10,0),N(Reales!AO75)),MAX(0,MIN(AN$304-AN$301+AO$292,AO$281+AO$285+AO$289)))</f>
        <v>52315.335992681619</v>
      </c>
      <c r="AP293" s="48">
        <f>IF(AP$8=1,IF(Reales!$C$75="PYG",IF(AP$10&gt;0,N(Reales!AP75)/AP$10,0),N(Reales!AP75)),MAX(0,MIN(AO$304-AO$301+AP$292,AP$281+AP$285+AP$289)))</f>
        <v>52707.701012626734</v>
      </c>
      <c r="AQ293" s="48">
        <f>IF(AQ$8=1,IF(Reales!$C$75="PYG",IF(AQ$10&gt;0,N(Reales!AQ75)/AQ$10,0),N(Reales!AQ75)),MAX(0,MIN(AP$304-AP$301+AQ$292,AQ$281+AQ$285+AQ$289)))</f>
        <v>53103.008770221437</v>
      </c>
      <c r="AR293" s="48">
        <f>IF(AR$8=1,IF(Reales!$C$75="PYG",IF(AR$10&gt;0,N(Reales!AR75)/AR$10,0),N(Reales!AR75)),MAX(0,MIN(AQ$304-AQ$301+AR$292,AR$281+AR$285+AR$289)))</f>
        <v>53501.281335998094</v>
      </c>
      <c r="AS293" s="48">
        <f>IF(AS$8=1,IF(Reales!$C$75="PYG",IF(AS$10&gt;0,N(Reales!AS75)/AS$10,0),N(Reales!AS75)),MAX(0,MIN(AR$304-AR$301+AS$292,AS$281+AS$285+AS$289)))</f>
        <v>53902.540946018082</v>
      </c>
      <c r="AT293" s="48">
        <f>IF(AT$8=1,IF(Reales!$C$75="PYG",IF(AT$10&gt;0,N(Reales!AT75)/AT$10,0),N(Reales!AT75)),MAX(0,MIN(AS$304-AS$301+AT$292,AT$281+AT$285+AT$289)))</f>
        <v>54306.810003113213</v>
      </c>
      <c r="AU293" s="48">
        <f>IF(AU$8=1,IF(Reales!$C$75="PYG",IF(AU$10&gt;0,N(Reales!AU75)/AU$10,0),N(Reales!AU75)),MAX(0,MIN(AT$304-AT$301+AU$292,AU$281+AU$285+AU$289)))</f>
        <v>54714.111078136564</v>
      </c>
      <c r="AV293" s="48">
        <f>IF(AV$8=1,IF(Reales!$C$75="PYG",IF(AV$10&gt;0,N(Reales!AV75)/AV$10,0),N(Reales!AV75)),MAX(0,MIN(AU$304-AU$301+AV$292,AV$281+AV$285+AV$289)))</f>
        <v>55124.466911222589</v>
      </c>
      <c r="AW293" s="48">
        <f>IF(AW$8=1,IF(Reales!$C$75="PYG",IF(AW$10&gt;0,N(Reales!AW75)/AW$10,0),N(Reales!AW75)),MAX(0,MIN(AV$304-AV$301+AW$292,AW$281+AW$285+AW$289)))</f>
        <v>55537.900413056755</v>
      </c>
      <c r="AX293" s="48">
        <f>IF(AX$8=1,IF(Reales!$C$75="PYG",IF(AX$10&gt;0,N(Reales!AX75)/AX$10,0),N(Reales!AX75)),MAX(0,MIN(AW$304-AW$301+AX$292,AX$281+AX$285+AX$289)))</f>
        <v>55954.434666154688</v>
      </c>
      <c r="AY293" s="48">
        <f>IF(AY$8=1,IF(Reales!$C$75="PYG",IF(AY$10&gt;0,N(Reales!AY75)/AY$10,0),N(Reales!AY75)),MAX(0,MIN(AX$304-AX$301+AY$292,AY$281+AY$285+AY$289)))</f>
        <v>56374.092926150843</v>
      </c>
      <c r="AZ293" s="48">
        <f>IF(AZ$8=1,IF(Reales!$C$75="PYG",IF(AZ$10&gt;0,N(Reales!AZ75)/AZ$10,0),N(Reales!AZ75)),MAX(0,MIN(AY$304-AY$301+AZ$292,AZ$281+AZ$285+AZ$289)))</f>
        <v>56796.898623096975</v>
      </c>
      <c r="BA293" s="48">
        <f>IF(BA$8=1,IF(Reales!$C$75="PYG",IF(BA$10&gt;0,N(Reales!BA75)/BA$10,0),N(Reales!BA75)),MAX(0,MIN(AZ$304-AZ$301+BA$292,BA$281+BA$285+BA$289)))</f>
        <v>57222.875362770203</v>
      </c>
      <c r="BB293" s="48">
        <f>IF(BB$8=1,IF(Reales!$C$75="PYG",IF(BB$10&gt;0,N(Reales!BB75)/BB$10,0),N(Reales!BB75)),MAX(0,MIN(BA$304-BA$301+BB$292,BB$281+BB$285+BB$289)))</f>
        <v>57652.046927990981</v>
      </c>
      <c r="BC293" s="48">
        <f>IF(BC$8=1,IF(Reales!$C$75="PYG",IF(BC$10&gt;0,N(Reales!BC75)/BC$10,0),N(Reales!BC75)),MAX(0,MIN(BB$304-BB$301+BC$292,BC$281+BC$285+BC$289)))</f>
        <v>58084.437279950915</v>
      </c>
      <c r="BD293" s="48">
        <f>IF(BD$8=1,IF(Reales!$C$75="PYG",IF(BD$10&gt;0,N(Reales!BD75)/BD$10,0),N(Reales!BD75)),MAX(0,MIN(BC$304-BC$301+BD$292,BD$281+BD$285+BD$289)))</f>
        <v>58520.070559550542</v>
      </c>
      <c r="BE293" s="48">
        <f>IF(BE$8=1,IF(Reales!$C$75="PYG",IF(BE$10&gt;0,N(Reales!BE75)/BE$10,0),N(Reales!BE75)),MAX(0,MIN(BD$304-BD$301+BE$292,BE$281+BE$285+BE$289)))</f>
        <v>58958.971088747174</v>
      </c>
      <c r="BF293" s="48">
        <f>IF(BF$8=1,IF(Reales!$C$75="PYG",IF(BF$10&gt;0,N(Reales!BF75)/BF$10,0),N(Reales!BF75)),MAX(0,MIN(BE$304-BE$301+BF$292,BF$281+BF$285+BF$289)))</f>
        <v>59401.163371912779</v>
      </c>
      <c r="BG293" s="48">
        <f>IF(BG$8=1,IF(Reales!$C$75="PYG",IF(BG$10&gt;0,N(Reales!BG75)/BG$10,0),N(Reales!BG75)),MAX(0,MIN(BF$304-BF$301+BG$292,BG$281+BG$285+BG$289)))</f>
        <v>59846.672097202121</v>
      </c>
      <c r="BH293" s="48">
        <f>IF(BH$8=1,IF(Reales!$C$75="PYG",IF(BH$10&gt;0,N(Reales!BH75)/BH$10,0),N(Reales!BH75)),MAX(0,MIN(BG$304-BG$301+BH$292,BH$281+BH$285+BH$289)))</f>
        <v>60295.522137931141</v>
      </c>
      <c r="BI293" s="48">
        <f>IF(BI$8=1,IF(Reales!$C$75="PYG",IF(BI$10&gt;0,N(Reales!BI75)/BI$10,0),N(Reales!BI75)),MAX(0,MIN(BH$304-BH$301+BI$292,BI$281+BI$285+BI$289)))</f>
        <v>60747.738553965624</v>
      </c>
      <c r="BJ293" s="48">
        <f>IF(BJ$8=1,IF(Reales!$C$75="PYG",IF(BJ$10&gt;0,N(Reales!BJ75)/BJ$10,0),N(Reales!BJ75)),MAX(0,MIN(BI$304-BI$301+BJ$292,BJ$281+BJ$285+BJ$289)))</f>
        <v>61203.346593120361</v>
      </c>
      <c r="BK293" s="48">
        <f>IF(BK$8=1,IF(Reales!$C$75="PYG",IF(BK$10&gt;0,N(Reales!BK75)/BK$10,0),N(Reales!BK75)),MAX(0,MIN(BJ$304-BJ$301+BK$292,BK$281+BK$285+BK$289)))</f>
        <v>61662.37169256877</v>
      </c>
      <c r="BL293" s="48">
        <f>IF(BL$8=1,IF(Reales!$C$75="PYG",IF(BL$10&gt;0,N(Reales!BL75)/BL$10,0),N(Reales!BL75)),MAX(0,MIN(BK$304-BK$301+BL$292,BL$281+BL$285+BL$289)))</f>
        <v>62124.839480263036</v>
      </c>
      <c r="BM293" s="48">
        <f>IF(BM$8=1,IF(Reales!$C$75="PYG",IF(BM$10&gt;0,N(Reales!BM75)/BM$10,0),N(Reales!BM75)),MAX(0,MIN(BL$304-BL$301+BM$292,BM$281+BM$285+BM$289)))</f>
        <v>62590.775776366791</v>
      </c>
      <c r="BN293" s="48">
        <f>IF(BN$8=1,IF(Reales!$C$75="PYG",IF(BN$10&gt;0,N(Reales!BN75)/BN$10,0),N(Reales!BN75)),MAX(0,MIN(BM$304-BM$301+BN$292,BN$281+BN$285+BN$289)))</f>
        <v>0</v>
      </c>
      <c r="BO293" s="48">
        <f>IF(BO$8=1,IF(Reales!$C$75="PYG",IF(BO$10&gt;0,N(Reales!BO75)/BO$10,0),N(Reales!BO75)),MAX(0,MIN(BN$304-BN$301+BO$292,BO$281+BO$285+BO$289)))</f>
        <v>0</v>
      </c>
      <c r="BP293" s="48">
        <f>IF(BP$8=1,IF(Reales!$C$75="PYG",IF(BP$10&gt;0,N(Reales!BP75)/BP$10,0),N(Reales!BP75)),MAX(0,MIN(BO$304-BO$301+BP$292,BP$281+BP$285+BP$289)))</f>
        <v>0</v>
      </c>
      <c r="BQ293" s="48">
        <f>IF(BQ$8=1,IF(Reales!$C$75="PYG",IF(BQ$10&gt;0,N(Reales!BQ75)/BQ$10,0),N(Reales!BQ75)),MAX(0,MIN(BP$304-BP$301+BQ$292,BQ$281+BQ$285+BQ$289)))</f>
        <v>0</v>
      </c>
      <c r="BR293" s="48">
        <f>IF(BR$8=1,IF(Reales!$C$75="PYG",IF(BR$10&gt;0,N(Reales!BR75)/BR$10,0),N(Reales!BR75)),MAX(0,MIN(BQ$304-BQ$301+BR$292,BR$281+BR$285+BR$289)))</f>
        <v>0</v>
      </c>
      <c r="BS293" s="48">
        <f>IF(BS$8=1,IF(Reales!$C$75="PYG",IF(BS$10&gt;0,N(Reales!BS75)/BS$10,0),N(Reales!BS75)),MAX(0,MIN(BR$304-BR$301+BS$292,BS$281+BS$285+BS$289)))</f>
        <v>0</v>
      </c>
      <c r="BT293" s="48">
        <f>IF(BT$8=1,IF(Reales!$C$75="PYG",IF(BT$10&gt;0,N(Reales!BT75)/BT$10,0),N(Reales!BT75)),MAX(0,MIN(BS$304-BS$301+BT$292,BT$281+BT$285+BT$289)))</f>
        <v>0</v>
      </c>
      <c r="BU293" s="48">
        <f>IF(BU$8=1,IF(Reales!$C$75="PYG",IF(BU$10&gt;0,N(Reales!BU75)/BU$10,0),N(Reales!BU75)),MAX(0,MIN(BT$304-BT$301+BU$292,BU$281+BU$285+BU$289)))</f>
        <v>0</v>
      </c>
      <c r="BV293" s="48">
        <f>IF(BV$8=1,IF(Reales!$C$75="PYG",IF(BV$10&gt;0,N(Reales!BV75)/BV$10,0),N(Reales!BV75)),MAX(0,MIN(BU$304-BU$301+BV$292,BV$281+BV$285+BV$289)))</f>
        <v>0</v>
      </c>
      <c r="BW293" s="48">
        <f>IF(BW$8=1,IF(Reales!$C$75="PYG",IF(BW$10&gt;0,N(Reales!BW75)/BW$10,0),N(Reales!BW75)),MAX(0,MIN(BV$304-BV$301+BW$292,BW$281+BW$285+BW$289)))</f>
        <v>0</v>
      </c>
      <c r="BX293" s="48">
        <f>IF(BX$8=1,IF(Reales!$C$75="PYG",IF(BX$10&gt;0,N(Reales!BX75)/BX$10,0),N(Reales!BX75)),MAX(0,MIN(BW$304-BW$301+BX$292,BX$281+BX$285+BX$289)))</f>
        <v>0</v>
      </c>
      <c r="BY293" s="48">
        <f>IF(BY$8=1,IF(Reales!$C$75="PYG",IF(BY$10&gt;0,N(Reales!BY75)/BY$10,0),N(Reales!BY75)),MAX(0,MIN(BX$304-BX$301+BY$292,BY$281+BY$285+BY$289)))</f>
        <v>0</v>
      </c>
      <c r="BZ293" s="48">
        <f>IF(BZ$8=1,IF(Reales!$C$75="PYG",IF(BZ$10&gt;0,N(Reales!BZ75)/BZ$10,0),N(Reales!BZ75)),MAX(0,MIN(BY$304-BY$301+BZ$292,BZ$281+BZ$285+BZ$289)))</f>
        <v>0</v>
      </c>
      <c r="CA293" s="48">
        <f>IF(CA$8=1,IF(Reales!$C$75="PYG",IF(CA$10&gt;0,N(Reales!CA75)/CA$10,0),N(Reales!CA75)),MAX(0,MIN(BZ$304-BZ$301+CA$292,CA$281+CA$285+CA$289)))</f>
        <v>0</v>
      </c>
      <c r="CB293" s="48">
        <f>IF(CB$8=1,IF(Reales!$C$75="PYG",IF(CB$10&gt;0,N(Reales!CB75)/CB$10,0),N(Reales!CB75)),MAX(0,MIN(CA$304-CA$301+CB$292,CB$281+CB$285+CB$289)))</f>
        <v>0</v>
      </c>
      <c r="CC293" s="48">
        <f>IF(CC$8=1,IF(Reales!$C$75="PYG",IF(CC$10&gt;0,N(Reales!CC75)/CC$10,0),N(Reales!CC75)),MAX(0,MIN(CB$304-CB$301+CC$292,CC$281+CC$285+CC$289)))</f>
        <v>0</v>
      </c>
      <c r="CD293" s="48">
        <f>IF(CD$8=1,IF(Reales!$C$75="PYG",IF(CD$10&gt;0,N(Reales!CD75)/CD$10,0),N(Reales!CD75)),MAX(0,MIN(CC$304-CC$301+CD$292,CD$281+CD$285+CD$289)))</f>
        <v>0</v>
      </c>
      <c r="CE293" s="48">
        <f>IF(CE$8=1,IF(Reales!$C$75="PYG",IF(CE$10&gt;0,N(Reales!CE75)/CE$10,0),N(Reales!CE75)),MAX(0,MIN(CD$304-CD$301+CE$292,CE$281+CE$285+CE$289)))</f>
        <v>0</v>
      </c>
      <c r="CF293" s="48">
        <f>IF(CF$8=1,IF(Reales!$C$75="PYG",IF(CF$10&gt;0,N(Reales!CF75)/CF$10,0),N(Reales!CF75)),MAX(0,MIN(CE$304-CE$301+CF$292,CF$281+CF$285+CF$289)))</f>
        <v>0</v>
      </c>
      <c r="CG293" s="48">
        <f>IF(CG$8=1,IF(Reales!$C$75="PYG",IF(CG$10&gt;0,N(Reales!CG75)/CG$10,0),N(Reales!CG75)),MAX(0,MIN(CF$304-CF$301+CG$292,CG$281+CG$285+CG$289)))</f>
        <v>0</v>
      </c>
      <c r="CH293" s="48">
        <f>IF(CH$8=1,IF(Reales!$C$75="PYG",IF(CH$10&gt;0,N(Reales!CH75)/CH$10,0),N(Reales!CH75)),MAX(0,MIN(CG$304-CG$301+CH$292,CH$281+CH$285+CH$289)))</f>
        <v>0</v>
      </c>
      <c r="CI293" s="48">
        <f>IF(CI$8=1,IF(Reales!$C$75="PYG",IF(CI$10&gt;0,N(Reales!CI75)/CI$10,0),N(Reales!CI75)),MAX(0,MIN(CH$304-CH$301+CI$292,CI$281+CI$285+CI$289)))</f>
        <v>0</v>
      </c>
      <c r="CJ293" s="48">
        <f>IF(CJ$8=1,IF(Reales!$C$75="PYG",IF(CJ$10&gt;0,N(Reales!CJ75)/CJ$10,0),N(Reales!CJ75)),MAX(0,MIN(CI$304-CI$301+CJ$292,CJ$281+CJ$285+CJ$289)))</f>
        <v>0</v>
      </c>
      <c r="CK293" s="48">
        <f>IF(CK$8=1,IF(Reales!$C$75="PYG",IF(CK$10&gt;0,N(Reales!CK75)/CK$10,0),N(Reales!CK75)),MAX(0,MIN(CJ$304-CJ$301+CK$292,CK$281+CK$285+CK$289)))</f>
        <v>0</v>
      </c>
      <c r="CL293" s="48">
        <f>IF(CL$8=1,IF(Reales!$C$75="PYG",IF(CL$10&gt;0,N(Reales!CL75)/CL$10,0),N(Reales!CL75)),MAX(0,MIN(CK$304-CK$301+CL$292,CL$281+CL$285+CL$289)))</f>
        <v>0</v>
      </c>
      <c r="CM293" s="48">
        <f>IF(CM$8=1,IF(Reales!$C$75="PYG",IF(CM$10&gt;0,N(Reales!CM75)/CM$10,0),N(Reales!CM75)),MAX(0,MIN(CL$304-CL$301+CM$292,CM$281+CM$285+CM$289)))</f>
        <v>0</v>
      </c>
      <c r="CN293" s="48">
        <f>IF(CN$8=1,IF(Reales!$C$75="PYG",IF(CN$10&gt;0,N(Reales!CN75)/CN$10,0),N(Reales!CN75)),MAX(0,MIN(CM$304-CM$301+CN$292,CN$281+CN$285+CN$289)))</f>
        <v>0</v>
      </c>
      <c r="CO293" s="48">
        <f>IF(CO$8=1,IF(Reales!$C$75="PYG",IF(CO$10&gt;0,N(Reales!CO75)/CO$10,0),N(Reales!CO75)),MAX(0,MIN(CN$304-CN$301+CO$292,CO$281+CO$285+CO$289)))</f>
        <v>0</v>
      </c>
      <c r="CP293" s="48">
        <f>IF(CP$8=1,IF(Reales!$C$75="PYG",IF(CP$10&gt;0,N(Reales!CP75)/CP$10,0),N(Reales!CP75)),MAX(0,MIN(CO$304-CO$301+CP$292,CP$281+CP$285+CP$289)))</f>
        <v>0</v>
      </c>
      <c r="CQ293" s="48">
        <f>IF(CQ$8=1,IF(Reales!$C$75="PYG",IF(CQ$10&gt;0,N(Reales!CQ75)/CQ$10,0),N(Reales!CQ75)),MAX(0,MIN(CP$304-CP$301+CQ$292,CQ$281+CQ$285+CQ$289)))</f>
        <v>0</v>
      </c>
      <c r="CR293" s="48">
        <f>IF(CR$8=1,IF(Reales!$C$75="PYG",IF(CR$10&gt;0,N(Reales!CR75)/CR$10,0),N(Reales!CR75)),MAX(0,MIN(CQ$304-CQ$301+CR$292,CR$281+CR$285+CR$289)))</f>
        <v>0</v>
      </c>
      <c r="CS293" s="48">
        <f>IF(CS$8=1,IF(Reales!$C$75="PYG",IF(CS$10&gt;0,N(Reales!CS75)/CS$10,0),N(Reales!CS75)),MAX(0,MIN(CR$304-CR$301+CS$292,CS$281+CS$285+CS$289)))</f>
        <v>0</v>
      </c>
      <c r="CT293" s="48">
        <f>IF(CT$8=1,IF(Reales!$C$75="PYG",IF(CT$10&gt;0,N(Reales!CT75)/CT$10,0),N(Reales!CT75)),MAX(0,MIN(CS$304-CS$301+CT$292,CT$281+CT$285+CT$289)))</f>
        <v>0</v>
      </c>
      <c r="CU293" s="48">
        <f>IF(CU$8=1,IF(Reales!$C$75="PYG",IF(CU$10&gt;0,N(Reales!CU75)/CU$10,0),N(Reales!CU75)),MAX(0,MIN(CT$304-CT$301+CU$292,CU$281+CU$285+CU$289)))</f>
        <v>0</v>
      </c>
      <c r="CV293" s="48">
        <f>IF(CV$8=1,IF(Reales!$C$75="PYG",IF(CV$10&gt;0,N(Reales!CV75)/CV$10,0),N(Reales!CV75)),MAX(0,MIN(CU$304-CU$301+CV$292,CV$281+CV$285+CV$289)))</f>
        <v>0</v>
      </c>
      <c r="CW293" s="48">
        <f>IF(CW$8=1,IF(Reales!$C$75="PYG",IF(CW$10&gt;0,N(Reales!CW75)/CW$10,0),N(Reales!CW75)),MAX(0,MIN(CV$304-CV$301+CW$292,CW$281+CW$285+CW$289)))</f>
        <v>0</v>
      </c>
      <c r="CX293" s="48">
        <f>IF(CX$8=1,IF(Reales!$C$75="PYG",IF(CX$10&gt;0,N(Reales!CX75)/CX$10,0),N(Reales!CX75)),MAX(0,MIN(CW$304-CW$301+CX$292,CX$281+CX$285+CX$289)))</f>
        <v>0</v>
      </c>
      <c r="CY293" s="48">
        <f>IF(CY$8=1,IF(Reales!$C$75="PYG",IF(CY$10&gt;0,N(Reales!CY75)/CY$10,0),N(Reales!CY75)),MAX(0,MIN(CX$304-CX$301+CY$292,CY$281+CY$285+CY$289)))</f>
        <v>0</v>
      </c>
      <c r="CZ293" s="48">
        <f>IF(CZ$8=1,IF(Reales!$C$75="PYG",IF(CZ$10&gt;0,N(Reales!CZ75)/CZ$10,0),N(Reales!CZ75)),MAX(0,MIN(CY$304-CY$301+CZ$292,CZ$281+CZ$285+CZ$289)))</f>
        <v>0</v>
      </c>
      <c r="DA293" s="48">
        <f>IF(DA$8=1,IF(Reales!$C$75="PYG",IF(DA$10&gt;0,N(Reales!DA75)/DA$10,0),N(Reales!DA75)),MAX(0,MIN(CZ$304-CZ$301+DA$292,DA$281+DA$285+DA$289)))</f>
        <v>0</v>
      </c>
      <c r="DB293" s="48">
        <f>IF(DB$8=1,IF(Reales!$C$75="PYG",IF(DB$10&gt;0,N(Reales!DB75)/DB$10,0),N(Reales!DB75)),MAX(0,MIN(DA$304-DA$301+DB$292,DB$281+DB$285+DB$289)))</f>
        <v>0</v>
      </c>
      <c r="DC293" s="48">
        <f>IF(DC$8=1,IF(Reales!$C$75="PYG",IF(DC$10&gt;0,N(Reales!DC75)/DC$10,0),N(Reales!DC75)),MAX(0,MIN(DB$304-DB$301+DC$292,DC$281+DC$285+DC$289)))</f>
        <v>0</v>
      </c>
      <c r="DD293" s="48">
        <f>IF(DD$8=1,IF(Reales!$C$75="PYG",IF(DD$10&gt;0,N(Reales!DD75)/DD$10,0),N(Reales!DD75)),MAX(0,MIN(DC$304-DC$301+DD$292,DD$281+DD$285+DD$289)))</f>
        <v>0</v>
      </c>
      <c r="DE293" s="48">
        <f>IF(DE$8=1,IF(Reales!$C$75="PYG",IF(DE$10&gt;0,N(Reales!DE75)/DE$10,0),N(Reales!DE75)),MAX(0,MIN(DD$304-DD$301+DE$292,DE$281+DE$285+DE$289)))</f>
        <v>0</v>
      </c>
      <c r="DF293" s="48">
        <f>IF(DF$8=1,IF(Reales!$C$75="PYG",IF(DF$10&gt;0,N(Reales!DF75)/DF$10,0),N(Reales!DF75)),MAX(0,MIN(DE$304-DE$301+DF$292,DF$281+DF$285+DF$289)))</f>
        <v>0</v>
      </c>
      <c r="DG293" s="48">
        <f>IF(DG$8=1,IF(Reales!$C$75="PYG",IF(DG$10&gt;0,N(Reales!DG75)/DG$10,0),N(Reales!DG75)),MAX(0,MIN(DF$304-DF$301+DG$292,DG$281+DG$285+DG$289)))</f>
        <v>0</v>
      </c>
      <c r="DH293" s="48">
        <f>IF(DH$8=1,IF(Reales!$C$75="PYG",IF(DH$10&gt;0,N(Reales!DH75)/DH$10,0),N(Reales!DH75)),MAX(0,MIN(DG$304-DG$301+DH$292,DH$281+DH$285+DH$289)))</f>
        <v>0</v>
      </c>
      <c r="DI293" s="48">
        <f>IF(DI$8=1,IF(Reales!$C$75="PYG",IF(DI$10&gt;0,N(Reales!DI75)/DI$10,0),N(Reales!DI75)),MAX(0,MIN(DH$304-DH$301+DI$292,DI$281+DI$285+DI$289)))</f>
        <v>0</v>
      </c>
      <c r="DJ293" s="48">
        <f>IF(DJ$8=1,IF(Reales!$C$75="PYG",IF(DJ$10&gt;0,N(Reales!DJ75)/DJ$10,0),N(Reales!DJ75)),MAX(0,MIN(DI$304-DI$301+DJ$292,DJ$281+DJ$285+DJ$289)))</f>
        <v>0</v>
      </c>
      <c r="DK293" s="48">
        <f>IF(DK$8=1,IF(Reales!$C$75="PYG",IF(DK$10&gt;0,N(Reales!DK75)/DK$10,0),N(Reales!DK75)),MAX(0,MIN(DJ$304-DJ$301+DK$292,DK$281+DK$285+DK$289)))</f>
        <v>0</v>
      </c>
      <c r="DL293" s="48">
        <f>IF(DL$8=1,IF(Reales!$C$75="PYG",IF(DL$10&gt;0,N(Reales!DL75)/DL$10,0),N(Reales!DL75)),MAX(0,MIN(DK$304-DK$301+DL$292,DL$281+DL$285+DL$289)))</f>
        <v>0</v>
      </c>
      <c r="DM293" s="48">
        <f>IF(DM$8=1,IF(Reales!$C$75="PYG",IF(DM$10&gt;0,N(Reales!DM75)/DM$10,0),N(Reales!DM75)),MAX(0,MIN(DL$304-DL$301+DM$292,DM$281+DM$285+DM$289)))</f>
        <v>0</v>
      </c>
      <c r="DN293" s="48">
        <f>IF(DN$8=1,IF(Reales!$C$75="PYG",IF(DN$10&gt;0,N(Reales!DN75)/DN$10,0),N(Reales!DN75)),MAX(0,MIN(DM$304-DM$301+DN$292,DN$281+DN$285+DN$289)))</f>
        <v>0</v>
      </c>
      <c r="DO293" s="48">
        <f>IF(DO$8=1,IF(Reales!$C$75="PYG",IF(DO$10&gt;0,N(Reales!DO75)/DO$10,0),N(Reales!DO75)),MAX(0,MIN(DN$304-DN$301+DO$292,DO$281+DO$285+DO$289)))</f>
        <v>0</v>
      </c>
      <c r="DP293" s="48">
        <f>IF(DP$8=1,IF(Reales!$C$75="PYG",IF(DP$10&gt;0,N(Reales!DP75)/DP$10,0),N(Reales!DP75)),MAX(0,MIN(DO$304-DO$301+DP$292,DP$281+DP$285+DP$289)))</f>
        <v>0</v>
      </c>
      <c r="DQ293" s="48">
        <f>IF(DQ$8=1,IF(Reales!$C$75="PYG",IF(DQ$10&gt;0,N(Reales!DQ75)/DQ$10,0),N(Reales!DQ75)),MAX(0,MIN(DP$304-DP$301+DQ$292,DQ$281+DQ$285+DQ$289)))</f>
        <v>0</v>
      </c>
      <c r="DR293" s="48">
        <f>IF(DR$8=1,IF(Reales!$C$75="PYG",IF(DR$10&gt;0,N(Reales!DR75)/DR$10,0),N(Reales!DR75)),MAX(0,MIN(DQ$304-DQ$301+DR$292,DR$281+DR$285+DR$289)))</f>
        <v>0</v>
      </c>
      <c r="DS293" s="48">
        <f>IF(DS$8=1,IF(Reales!$C$75="PYG",IF(DS$10&gt;0,N(Reales!DS75)/DS$10,0),N(Reales!DS75)),MAX(0,MIN(DR$304-DR$301+DS$292,DS$281+DS$285+DS$289)))</f>
        <v>0</v>
      </c>
      <c r="DT293" s="48">
        <f>IF(DT$8=1,IF(Reales!$C$75="PYG",IF(DT$10&gt;0,N(Reales!DT75)/DT$10,0),N(Reales!DT75)),MAX(0,MIN(DS$304-DS$301+DT$292,DT$281+DT$285+DT$289)))</f>
        <v>0</v>
      </c>
      <c r="DU293" s="48">
        <f>IF(DU$8=1,IF(Reales!$C$75="PYG",IF(DU$10&gt;0,N(Reales!DU75)/DU$10,0),N(Reales!DU75)),MAX(0,MIN(DT$304-DT$301+DU$292,DU$281+DU$285+DU$289)))</f>
        <v>0</v>
      </c>
      <c r="DV293" s="48">
        <f>IF(DV$8=1,IF(Reales!$C$75="PYG",IF(DV$10&gt;0,N(Reales!DV75)/DV$10,0),N(Reales!DV75)),MAX(0,MIN(DU$304-DU$301+DV$292,DV$281+DV$285+DV$289)))</f>
        <v>0</v>
      </c>
      <c r="DW293" s="48">
        <f>IF(DW$8=1,IF(Reales!$C$75="PYG",IF(DW$10&gt;0,N(Reales!DW75)/DW$10,0),N(Reales!DW75)),MAX(0,MIN(DV$304-DV$301+DW$292,DW$281+DW$285+DW$289)))</f>
        <v>0</v>
      </c>
      <c r="DX293" s="48">
        <f>IF(DX$8=1,IF(Reales!$C$75="PYG",IF(DX$10&gt;0,N(Reales!DX75)/DX$10,0),N(Reales!DX75)),MAX(0,MIN(DW$304-DW$301+DX$292,DX$281+DX$285+DX$289)))</f>
        <v>0</v>
      </c>
      <c r="DY293" s="48">
        <f>IF(DY$8=1,IF(Reales!$C$75="PYG",IF(DY$10&gt;0,N(Reales!DY75)/DY$10,0),N(Reales!DY75)),MAX(0,MIN(DX$304-DX$301+DY$292,DY$281+DY$285+DY$289)))</f>
        <v>0</v>
      </c>
      <c r="DZ293" s="48">
        <f>IF(DZ$8=1,IF(Reales!$C$75="PYG",IF(DZ$10&gt;0,N(Reales!DZ75)/DZ$10,0),N(Reales!DZ75)),MAX(0,MIN(DY$304-DY$301+DZ$292,DZ$281+DZ$285+DZ$289)))</f>
        <v>0</v>
      </c>
      <c r="EA293" s="48">
        <f>IF(EA$8=1,IF(Reales!$C$75="PYG",IF(EA$10&gt;0,N(Reales!EA75)/EA$10,0),N(Reales!EA75)),MAX(0,MIN(DZ$304-DZ$301+EA$292,EA$281+EA$285+EA$289)))</f>
        <v>0</v>
      </c>
      <c r="EB293" s="48">
        <f>IF(EB$8=1,IF(Reales!$C$75="PYG",IF(EB$10&gt;0,N(Reales!EB75)/EB$10,0),N(Reales!EB75)),MAX(0,MIN(EA$304-EA$301+EB$292,EB$281+EB$285+EB$289)))</f>
        <v>0</v>
      </c>
      <c r="EC293" s="48">
        <f>IF(EC$8=1,IF(Reales!$C$75="PYG",IF(EC$10&gt;0,N(Reales!EC75)/EC$10,0),N(Reales!EC75)),MAX(0,MIN(EB$304-EB$301+EC$292,EC$281+EC$285+EC$289)))</f>
        <v>0</v>
      </c>
      <c r="ED293" s="48">
        <f>IF(ED$8=1,IF(Reales!$C$75="PYG",IF(ED$10&gt;0,N(Reales!ED75)/ED$10,0),N(Reales!ED75)),MAX(0,MIN(EC$304-EC$301+ED$292,ED$281+ED$285+ED$289)))</f>
        <v>0</v>
      </c>
      <c r="EE293" s="48">
        <f>IF(EE$8=1,IF(Reales!$C$75="PYG",IF(EE$10&gt;0,N(Reales!EE75)/EE$10,0),N(Reales!EE75)),MAX(0,MIN(ED$304-ED$301+EE$292,EE$281+EE$285+EE$289)))</f>
        <v>0</v>
      </c>
      <c r="EF293" s="48">
        <f>IF(EF$8=1,IF(Reales!$C$75="PYG",IF(EF$10&gt;0,N(Reales!EF75)/EF$10,0),N(Reales!EF75)),MAX(0,MIN(EE$304-EE$301+EF$292,EF$281+EF$285+EF$289)))</f>
        <v>0</v>
      </c>
      <c r="EG293" s="48">
        <f>IF(EG$8=1,IF(Reales!$C$75="PYG",IF(EG$10&gt;0,N(Reales!EG75)/EG$10,0),N(Reales!EG75)),MAX(0,MIN(EF$304-EF$301+EG$292,EG$281+EG$285+EG$289)))</f>
        <v>0</v>
      </c>
      <c r="EH293" s="48">
        <f>IF(EH$8=1,IF(Reales!$C$75="PYG",IF(EH$10&gt;0,N(Reales!EH75)/EH$10,0),N(Reales!EH75)),MAX(0,MIN(EG$304-EG$301+EH$292,EH$281+EH$285+EH$289)))</f>
        <v>0</v>
      </c>
      <c r="EI293" s="48">
        <f>IF(EI$8=1,IF(Reales!$C$75="PYG",IF(EI$10&gt;0,N(Reales!EI75)/EI$10,0),N(Reales!EI75)),MAX(0,MIN(EH$304-EH$301+EI$292,EI$281+EI$285+EI$289)))</f>
        <v>0</v>
      </c>
      <c r="EJ293" s="48">
        <f>IF(EJ$8=1,IF(Reales!$C$75="PYG",IF(EJ$10&gt;0,N(Reales!EJ75)/EJ$10,0),N(Reales!EJ75)),MAX(0,MIN(EI$304-EI$301+EJ$292,EJ$281+EJ$285+EJ$289)))</f>
        <v>0</v>
      </c>
      <c r="EK293" s="48">
        <f>IF(EK$8=1,IF(Reales!$C$75="PYG",IF(EK$10&gt;0,N(Reales!EK75)/EK$10,0),N(Reales!EK75)),MAX(0,MIN(EJ$304-EJ$301+EK$292,EK$281+EK$285+EK$289)))</f>
        <v>0</v>
      </c>
      <c r="EL293" s="48">
        <f>IF(EL$8=1,IF(Reales!$C$75="PYG",IF(EL$10&gt;0,N(Reales!EL75)/EL$10,0),N(Reales!EL75)),MAX(0,MIN(EK$304-EK$301+EL$292,EL$281+EL$285+EL$289)))</f>
        <v>0</v>
      </c>
      <c r="EM293" s="48">
        <f>IF(EM$8=1,IF(Reales!$C$75="PYG",IF(EM$10&gt;0,N(Reales!EM75)/EM$10,0),N(Reales!EM75)),MAX(0,MIN(EL$304-EL$301+EM$292,EM$281+EM$285+EM$289)))</f>
        <v>0</v>
      </c>
      <c r="EN293" s="48">
        <f>IF(EN$8=1,IF(Reales!$C$75="PYG",IF(EN$10&gt;0,N(Reales!EN75)/EN$10,0),N(Reales!EN75)),MAX(0,MIN(EM$304-EM$301+EN$292,EN$281+EN$285+EN$289)))</f>
        <v>0</v>
      </c>
      <c r="EO293" s="48">
        <f>IF(EO$8=1,IF(Reales!$C$75="PYG",IF(EO$10&gt;0,N(Reales!EO75)/EO$10,0),N(Reales!EO75)),MAX(0,MIN(EN$304-EN$301+EO$292,EO$281+EO$285+EO$289)))</f>
        <v>0</v>
      </c>
      <c r="EP293" s="48">
        <f>IF(EP$8=1,IF(Reales!$C$75="PYG",IF(EP$10&gt;0,N(Reales!EP75)/EP$10,0),N(Reales!EP75)),MAX(0,MIN(EO$304-EO$301+EP$292,EP$281+EP$285+EP$289)))</f>
        <v>0</v>
      </c>
      <c r="EQ293" s="48">
        <f>IF(EQ$8=1,IF(Reales!$C$75="PYG",IF(EQ$10&gt;0,N(Reales!EQ75)/EQ$10,0),N(Reales!EQ75)),MAX(0,MIN(EP$304-EP$301+EQ$292,EQ$281+EQ$285+EQ$289)))</f>
        <v>0</v>
      </c>
      <c r="ER293" s="48">
        <f>IF(ER$8=1,IF(Reales!$C$75="PYG",IF(ER$10&gt;0,N(Reales!ER75)/ER$10,0),N(Reales!ER75)),MAX(0,MIN(EQ$304-EQ$301+ER$292,ER$281+ER$285+ER$289)))</f>
        <v>0</v>
      </c>
      <c r="ES293" s="48">
        <f>IF(ES$8=1,IF(Reales!$C$75="PYG",IF(ES$10&gt;0,N(Reales!ES75)/ES$10,0),N(Reales!ES75)),MAX(0,MIN(ER$304-ER$301+ES$292,ES$281+ES$285+ES$289)))</f>
        <v>0</v>
      </c>
    </row>
    <row r="294" spans="1:149" x14ac:dyDescent="0.3">
      <c r="A294" s="14" t="s">
        <v>1343</v>
      </c>
      <c r="B294" s="18" t="s">
        <v>1172</v>
      </c>
      <c r="C294" s="18" t="s">
        <v>439</v>
      </c>
      <c r="E294" s="54">
        <f>SUM(F294:ES294)</f>
        <v>1139710</v>
      </c>
      <c r="F294" s="48">
        <f>IF(F$8=1,IF(Reales!$C$76="PYG",IF(F$10&gt;0,N(Reales!F76)/F$10,0),N(Reales!F76)),SUMIF(Ap_MesV,1,Ap_MontoV)*F$9)</f>
        <v>767782</v>
      </c>
      <c r="G294" s="48">
        <f>IF(G$8=1,IF(Reales!$C$76="PYG",IF(G$10&gt;0,N(Reales!G76)/G$10,0),N(Reales!G76)),SUMIF(Ap_MesV,2,Ap_MontoV)*G$9)</f>
        <v>0</v>
      </c>
      <c r="H294" s="48">
        <f>IF(H$8=1,IF(Reales!$C$76="PYG",IF(H$10&gt;0,N(Reales!H76)/H$10,0),N(Reales!H76)),SUMIF(Ap_MesV,3,Ap_MontoV)*H$9)</f>
        <v>0</v>
      </c>
      <c r="I294" s="48">
        <f>IF(I$8=1,IF(Reales!$C$76="PYG",IF(I$10&gt;0,N(Reales!I76)/I$10,0),N(Reales!I76)),SUMIF(Ap_MesV,4,Ap_MontoV)*I$9)</f>
        <v>0</v>
      </c>
      <c r="J294" s="48">
        <f>IF(J$8=1,IF(Reales!$C$76="PYG",IF(J$10&gt;0,N(Reales!J76)/J$10,0),N(Reales!J76)),SUMIF(Ap_MesV,5,Ap_MontoV)*J$9)</f>
        <v>0</v>
      </c>
      <c r="K294" s="48">
        <f>IF(K$8=1,IF(Reales!$C$76="PYG",IF(K$10&gt;0,N(Reales!K76)/K$10,0),N(Reales!K76)),SUMIF(Ap_MesV,6,Ap_MontoV)*K$9)</f>
        <v>0</v>
      </c>
      <c r="L294" s="48">
        <f>IF(L$8=1,IF(Reales!$C$76="PYG",IF(L$10&gt;0,N(Reales!L76)/L$10,0),N(Reales!L76)),SUMIF(Ap_MesV,7,Ap_MontoV)*L$9)</f>
        <v>0</v>
      </c>
      <c r="M294" s="48">
        <f>IF(M$8=1,IF(Reales!$C$76="PYG",IF(M$10&gt;0,N(Reales!M76)/M$10,0),N(Reales!M76)),SUMIF(Ap_MesV,8,Ap_MontoV)*M$9)</f>
        <v>0</v>
      </c>
      <c r="N294" s="48">
        <f>IF(N$8=1,IF(Reales!$C$76="PYG",IF(N$10&gt;0,N(Reales!N76)/N$10,0),N(Reales!N76)),SUMIF(Ap_MesV,9,Ap_MontoV)*N$9)</f>
        <v>0</v>
      </c>
      <c r="O294" s="48">
        <f>IF(O$8=1,IF(Reales!$C$76="PYG",IF(O$10&gt;0,N(Reales!O76)/O$10,0),N(Reales!O76)),SUMIF(Ap_MesV,10,Ap_MontoV)*O$9)</f>
        <v>0</v>
      </c>
      <c r="P294" s="48">
        <f>IF(P$8=1,IF(Reales!$C$76="PYG",IF(P$10&gt;0,N(Reales!P76)/P$10,0),N(Reales!P76)),SUMIF(Ap_MesV,11,Ap_MontoV)*P$9)</f>
        <v>0</v>
      </c>
      <c r="Q294" s="48">
        <f>IF(Q$8=1,IF(Reales!$C$76="PYG",IF(Q$10&gt;0,N(Reales!Q76)/Q$10,0),N(Reales!Q76)),SUMIF(Ap_MesV,12,Ap_MontoV)*Q$9)</f>
        <v>0</v>
      </c>
      <c r="R294" s="48">
        <f>IF(R$8=1,IF(Reales!$C$76="PYG",IF(R$10&gt;0,N(Reales!R76)/R$10,0),N(Reales!R76)),SUMIF(Ap_MesV,13,Ap_MontoV)*R$9)</f>
        <v>371928</v>
      </c>
      <c r="S294" s="48">
        <f>IF(S$8=1,IF(Reales!$C$76="PYG",IF(S$10&gt;0,N(Reales!S76)/S$10,0),N(Reales!S76)),SUMIF(Ap_MesV,14,Ap_MontoV)*S$9)</f>
        <v>0</v>
      </c>
      <c r="T294" s="48">
        <f>IF(T$8=1,IF(Reales!$C$76="PYG",IF(T$10&gt;0,N(Reales!T76)/T$10,0),N(Reales!T76)),SUMIF(Ap_MesV,15,Ap_MontoV)*T$9)</f>
        <v>0</v>
      </c>
      <c r="U294" s="48">
        <f>IF(U$8=1,IF(Reales!$C$76="PYG",IF(U$10&gt;0,N(Reales!U76)/U$10,0),N(Reales!U76)),SUMIF(Ap_MesV,16,Ap_MontoV)*U$9)</f>
        <v>0</v>
      </c>
      <c r="V294" s="48">
        <f>IF(V$8=1,IF(Reales!$C$76="PYG",IF(V$10&gt;0,N(Reales!V76)/V$10,0),N(Reales!V76)),SUMIF(Ap_MesV,17,Ap_MontoV)*V$9)</f>
        <v>0</v>
      </c>
      <c r="W294" s="48">
        <f>IF(W$8=1,IF(Reales!$C$76="PYG",IF(W$10&gt;0,N(Reales!W76)/W$10,0),N(Reales!W76)),SUMIF(Ap_MesV,18,Ap_MontoV)*W$9)</f>
        <v>0</v>
      </c>
      <c r="X294" s="48">
        <f>IF(X$8=1,IF(Reales!$C$76="PYG",IF(X$10&gt;0,N(Reales!X76)/X$10,0),N(Reales!X76)),SUMIF(Ap_MesV,19,Ap_MontoV)*X$9)</f>
        <v>0</v>
      </c>
      <c r="Y294" s="48">
        <f>IF(Y$8=1,IF(Reales!$C$76="PYG",IF(Y$10&gt;0,N(Reales!Y76)/Y$10,0),N(Reales!Y76)),SUMIF(Ap_MesV,20,Ap_MontoV)*Y$9)</f>
        <v>0</v>
      </c>
      <c r="Z294" s="48">
        <f>IF(Z$8=1,IF(Reales!$C$76="PYG",IF(Z$10&gt;0,N(Reales!Z76)/Z$10,0),N(Reales!Z76)),SUMIF(Ap_MesV,21,Ap_MontoV)*Z$9)</f>
        <v>0</v>
      </c>
      <c r="AA294" s="48">
        <f>IF(AA$8=1,IF(Reales!$C$76="PYG",IF(AA$10&gt;0,N(Reales!AA76)/AA$10,0),N(Reales!AA76)),SUMIF(Ap_MesV,22,Ap_MontoV)*AA$9)</f>
        <v>0</v>
      </c>
      <c r="AB294" s="48">
        <f>IF(AB$8=1,IF(Reales!$C$76="PYG",IF(AB$10&gt;0,N(Reales!AB76)/AB$10,0),N(Reales!AB76)),SUMIF(Ap_MesV,23,Ap_MontoV)*AB$9)</f>
        <v>0</v>
      </c>
      <c r="AC294" s="48">
        <f>IF(AC$8=1,IF(Reales!$C$76="PYG",IF(AC$10&gt;0,N(Reales!AC76)/AC$10,0),N(Reales!AC76)),SUMIF(Ap_MesV,24,Ap_MontoV)*AC$9)</f>
        <v>0</v>
      </c>
      <c r="AD294" s="48">
        <f>IF(AD$8=1,IF(Reales!$C$76="PYG",IF(AD$10&gt;0,N(Reales!AD76)/AD$10,0),N(Reales!AD76)),SUMIF(Ap_MesV,25,Ap_MontoV)*AD$9)</f>
        <v>0</v>
      </c>
      <c r="AE294" s="48">
        <f>IF(AE$8=1,IF(Reales!$C$76="PYG",IF(AE$10&gt;0,N(Reales!AE76)/AE$10,0),N(Reales!AE76)),SUMIF(Ap_MesV,26,Ap_MontoV)*AE$9)</f>
        <v>0</v>
      </c>
      <c r="AF294" s="48">
        <f>IF(AF$8=1,IF(Reales!$C$76="PYG",IF(AF$10&gt;0,N(Reales!AF76)/AF$10,0),N(Reales!AF76)),SUMIF(Ap_MesV,27,Ap_MontoV)*AF$9)</f>
        <v>0</v>
      </c>
      <c r="AG294" s="48">
        <f>IF(AG$8=1,IF(Reales!$C$76="PYG",IF(AG$10&gt;0,N(Reales!AG76)/AG$10,0),N(Reales!AG76)),SUMIF(Ap_MesV,28,Ap_MontoV)*AG$9)</f>
        <v>0</v>
      </c>
      <c r="AH294" s="48">
        <f>IF(AH$8=1,IF(Reales!$C$76="PYG",IF(AH$10&gt;0,N(Reales!AH76)/AH$10,0),N(Reales!AH76)),SUMIF(Ap_MesV,29,Ap_MontoV)*AH$9)</f>
        <v>0</v>
      </c>
      <c r="AI294" s="48">
        <f>IF(AI$8=1,IF(Reales!$C$76="PYG",IF(AI$10&gt;0,N(Reales!AI76)/AI$10,0),N(Reales!AI76)),SUMIF(Ap_MesV,30,Ap_MontoV)*AI$9)</f>
        <v>0</v>
      </c>
      <c r="AJ294" s="48">
        <f>IF(AJ$8=1,IF(Reales!$C$76="PYG",IF(AJ$10&gt;0,N(Reales!AJ76)/AJ$10,0),N(Reales!AJ76)),SUMIF(Ap_MesV,31,Ap_MontoV)*AJ$9)</f>
        <v>0</v>
      </c>
      <c r="AK294" s="48">
        <f>IF(AK$8=1,IF(Reales!$C$76="PYG",IF(AK$10&gt;0,N(Reales!AK76)/AK$10,0),N(Reales!AK76)),SUMIF(Ap_MesV,32,Ap_MontoV)*AK$9)</f>
        <v>0</v>
      </c>
      <c r="AL294" s="48">
        <f>IF(AL$8=1,IF(Reales!$C$76="PYG",IF(AL$10&gt;0,N(Reales!AL76)/AL$10,0),N(Reales!AL76)),SUMIF(Ap_MesV,33,Ap_MontoV)*AL$9)</f>
        <v>0</v>
      </c>
      <c r="AM294" s="48">
        <f>IF(AM$8=1,IF(Reales!$C$76="PYG",IF(AM$10&gt;0,N(Reales!AM76)/AM$10,0),N(Reales!AM76)),SUMIF(Ap_MesV,34,Ap_MontoV)*AM$9)</f>
        <v>0</v>
      </c>
      <c r="AN294" s="48">
        <f>IF(AN$8=1,IF(Reales!$C$76="PYG",IF(AN$10&gt;0,N(Reales!AN76)/AN$10,0),N(Reales!AN76)),SUMIF(Ap_MesV,35,Ap_MontoV)*AN$9)</f>
        <v>0</v>
      </c>
      <c r="AO294" s="48">
        <f>IF(AO$8=1,IF(Reales!$C$76="PYG",IF(AO$10&gt;0,N(Reales!AO76)/AO$10,0),N(Reales!AO76)),SUMIF(Ap_MesV,36,Ap_MontoV)*AO$9)</f>
        <v>0</v>
      </c>
      <c r="AP294" s="48">
        <f>IF(AP$8=1,IF(Reales!$C$76="PYG",IF(AP$10&gt;0,N(Reales!AP76)/AP$10,0),N(Reales!AP76)),SUMIF(Ap_MesV,37,Ap_MontoV)*AP$9)</f>
        <v>0</v>
      </c>
      <c r="AQ294" s="48">
        <f>IF(AQ$8=1,IF(Reales!$C$76="PYG",IF(AQ$10&gt;0,N(Reales!AQ76)/AQ$10,0),N(Reales!AQ76)),SUMIF(Ap_MesV,38,Ap_MontoV)*AQ$9)</f>
        <v>0</v>
      </c>
      <c r="AR294" s="48">
        <f>IF(AR$8=1,IF(Reales!$C$76="PYG",IF(AR$10&gt;0,N(Reales!AR76)/AR$10,0),N(Reales!AR76)),SUMIF(Ap_MesV,39,Ap_MontoV)*AR$9)</f>
        <v>0</v>
      </c>
      <c r="AS294" s="48">
        <f>IF(AS$8=1,IF(Reales!$C$76="PYG",IF(AS$10&gt;0,N(Reales!AS76)/AS$10,0),N(Reales!AS76)),SUMIF(Ap_MesV,40,Ap_MontoV)*AS$9)</f>
        <v>0</v>
      </c>
      <c r="AT294" s="48">
        <f>IF(AT$8=1,IF(Reales!$C$76="PYG",IF(AT$10&gt;0,N(Reales!AT76)/AT$10,0),N(Reales!AT76)),SUMIF(Ap_MesV,41,Ap_MontoV)*AT$9)</f>
        <v>0</v>
      </c>
      <c r="AU294" s="48">
        <f>IF(AU$8=1,IF(Reales!$C$76="PYG",IF(AU$10&gt;0,N(Reales!AU76)/AU$10,0),N(Reales!AU76)),SUMIF(Ap_MesV,42,Ap_MontoV)*AU$9)</f>
        <v>0</v>
      </c>
      <c r="AV294" s="48">
        <f>IF(AV$8=1,IF(Reales!$C$76="PYG",IF(AV$10&gt;0,N(Reales!AV76)/AV$10,0),N(Reales!AV76)),SUMIF(Ap_MesV,43,Ap_MontoV)*AV$9)</f>
        <v>0</v>
      </c>
      <c r="AW294" s="48">
        <f>IF(AW$8=1,IF(Reales!$C$76="PYG",IF(AW$10&gt;0,N(Reales!AW76)/AW$10,0),N(Reales!AW76)),SUMIF(Ap_MesV,44,Ap_MontoV)*AW$9)</f>
        <v>0</v>
      </c>
      <c r="AX294" s="48">
        <f>IF(AX$8=1,IF(Reales!$C$76="PYG",IF(AX$10&gt;0,N(Reales!AX76)/AX$10,0),N(Reales!AX76)),SUMIF(Ap_MesV,45,Ap_MontoV)*AX$9)</f>
        <v>0</v>
      </c>
      <c r="AY294" s="48">
        <f>IF(AY$8=1,IF(Reales!$C$76="PYG",IF(AY$10&gt;0,N(Reales!AY76)/AY$10,0),N(Reales!AY76)),SUMIF(Ap_MesV,46,Ap_MontoV)*AY$9)</f>
        <v>0</v>
      </c>
      <c r="AZ294" s="48">
        <f>IF(AZ$8=1,IF(Reales!$C$76="PYG",IF(AZ$10&gt;0,N(Reales!AZ76)/AZ$10,0),N(Reales!AZ76)),SUMIF(Ap_MesV,47,Ap_MontoV)*AZ$9)</f>
        <v>0</v>
      </c>
      <c r="BA294" s="48">
        <f>IF(BA$8=1,IF(Reales!$C$76="PYG",IF(BA$10&gt;0,N(Reales!BA76)/BA$10,0),N(Reales!BA76)),SUMIF(Ap_MesV,48,Ap_MontoV)*BA$9)</f>
        <v>0</v>
      </c>
      <c r="BB294" s="48">
        <f>IF(BB$8=1,IF(Reales!$C$76="PYG",IF(BB$10&gt;0,N(Reales!BB76)/BB$10,0),N(Reales!BB76)),SUMIF(Ap_MesV,49,Ap_MontoV)*BB$9)</f>
        <v>0</v>
      </c>
      <c r="BC294" s="48">
        <f>IF(BC$8=1,IF(Reales!$C$76="PYG",IF(BC$10&gt;0,N(Reales!BC76)/BC$10,0),N(Reales!BC76)),SUMIF(Ap_MesV,50,Ap_MontoV)*BC$9)</f>
        <v>0</v>
      </c>
      <c r="BD294" s="48">
        <f>IF(BD$8=1,IF(Reales!$C$76="PYG",IF(BD$10&gt;0,N(Reales!BD76)/BD$10,0),N(Reales!BD76)),SUMIF(Ap_MesV,51,Ap_MontoV)*BD$9)</f>
        <v>0</v>
      </c>
      <c r="BE294" s="48">
        <f>IF(BE$8=1,IF(Reales!$C$76="PYG",IF(BE$10&gt;0,N(Reales!BE76)/BE$10,0),N(Reales!BE76)),SUMIF(Ap_MesV,52,Ap_MontoV)*BE$9)</f>
        <v>0</v>
      </c>
      <c r="BF294" s="48">
        <f>IF(BF$8=1,IF(Reales!$C$76="PYG",IF(BF$10&gt;0,N(Reales!BF76)/BF$10,0),N(Reales!BF76)),SUMIF(Ap_MesV,53,Ap_MontoV)*BF$9)</f>
        <v>0</v>
      </c>
      <c r="BG294" s="48">
        <f>IF(BG$8=1,IF(Reales!$C$76="PYG",IF(BG$10&gt;0,N(Reales!BG76)/BG$10,0),N(Reales!BG76)),SUMIF(Ap_MesV,54,Ap_MontoV)*BG$9)</f>
        <v>0</v>
      </c>
      <c r="BH294" s="48">
        <f>IF(BH$8=1,IF(Reales!$C$76="PYG",IF(BH$10&gt;0,N(Reales!BH76)/BH$10,0),N(Reales!BH76)),SUMIF(Ap_MesV,55,Ap_MontoV)*BH$9)</f>
        <v>0</v>
      </c>
      <c r="BI294" s="48">
        <f>IF(BI$8=1,IF(Reales!$C$76="PYG",IF(BI$10&gt;0,N(Reales!BI76)/BI$10,0),N(Reales!BI76)),SUMIF(Ap_MesV,56,Ap_MontoV)*BI$9)</f>
        <v>0</v>
      </c>
      <c r="BJ294" s="48">
        <f>IF(BJ$8=1,IF(Reales!$C$76="PYG",IF(BJ$10&gt;0,N(Reales!BJ76)/BJ$10,0),N(Reales!BJ76)),SUMIF(Ap_MesV,57,Ap_MontoV)*BJ$9)</f>
        <v>0</v>
      </c>
      <c r="BK294" s="48">
        <f>IF(BK$8=1,IF(Reales!$C$76="PYG",IF(BK$10&gt;0,N(Reales!BK76)/BK$10,0),N(Reales!BK76)),SUMIF(Ap_MesV,58,Ap_MontoV)*BK$9)</f>
        <v>0</v>
      </c>
      <c r="BL294" s="48">
        <f>IF(BL$8=1,IF(Reales!$C$76="PYG",IF(BL$10&gt;0,N(Reales!BL76)/BL$10,0),N(Reales!BL76)),SUMIF(Ap_MesV,59,Ap_MontoV)*BL$9)</f>
        <v>0</v>
      </c>
      <c r="BM294" s="48">
        <f>IF(BM$8=1,IF(Reales!$C$76="PYG",IF(BM$10&gt;0,N(Reales!BM76)/BM$10,0),N(Reales!BM76)),SUMIF(Ap_MesV,60,Ap_MontoV)*BM$9)</f>
        <v>0</v>
      </c>
      <c r="BN294" s="48">
        <f>IF(BN$8=1,IF(Reales!$C$76="PYG",IF(BN$10&gt;0,N(Reales!BN76)/BN$10,0),N(Reales!BN76)),SUMIF(Ap_MesV,61,Ap_MontoV)*BN$9)</f>
        <v>0</v>
      </c>
      <c r="BO294" s="48">
        <f>IF(BO$8=1,IF(Reales!$C$76="PYG",IF(BO$10&gt;0,N(Reales!BO76)/BO$10,0),N(Reales!BO76)),SUMIF(Ap_MesV,62,Ap_MontoV)*BO$9)</f>
        <v>0</v>
      </c>
      <c r="BP294" s="48">
        <f>IF(BP$8=1,IF(Reales!$C$76="PYG",IF(BP$10&gt;0,N(Reales!BP76)/BP$10,0),N(Reales!BP76)),SUMIF(Ap_MesV,63,Ap_MontoV)*BP$9)</f>
        <v>0</v>
      </c>
      <c r="BQ294" s="48">
        <f>IF(BQ$8=1,IF(Reales!$C$76="PYG",IF(BQ$10&gt;0,N(Reales!BQ76)/BQ$10,0),N(Reales!BQ76)),SUMIF(Ap_MesV,64,Ap_MontoV)*BQ$9)</f>
        <v>0</v>
      </c>
      <c r="BR294" s="48">
        <f>IF(BR$8=1,IF(Reales!$C$76="PYG",IF(BR$10&gt;0,N(Reales!BR76)/BR$10,0),N(Reales!BR76)),SUMIF(Ap_MesV,65,Ap_MontoV)*BR$9)</f>
        <v>0</v>
      </c>
      <c r="BS294" s="48">
        <f>IF(BS$8=1,IF(Reales!$C$76="PYG",IF(BS$10&gt;0,N(Reales!BS76)/BS$10,0),N(Reales!BS76)),SUMIF(Ap_MesV,66,Ap_MontoV)*BS$9)</f>
        <v>0</v>
      </c>
      <c r="BT294" s="48">
        <f>IF(BT$8=1,IF(Reales!$C$76="PYG",IF(BT$10&gt;0,N(Reales!BT76)/BT$10,0),N(Reales!BT76)),SUMIF(Ap_MesV,67,Ap_MontoV)*BT$9)</f>
        <v>0</v>
      </c>
      <c r="BU294" s="48">
        <f>IF(BU$8=1,IF(Reales!$C$76="PYG",IF(BU$10&gt;0,N(Reales!BU76)/BU$10,0),N(Reales!BU76)),SUMIF(Ap_MesV,68,Ap_MontoV)*BU$9)</f>
        <v>0</v>
      </c>
      <c r="BV294" s="48">
        <f>IF(BV$8=1,IF(Reales!$C$76="PYG",IF(BV$10&gt;0,N(Reales!BV76)/BV$10,0),N(Reales!BV76)),SUMIF(Ap_MesV,69,Ap_MontoV)*BV$9)</f>
        <v>0</v>
      </c>
      <c r="BW294" s="48">
        <f>IF(BW$8=1,IF(Reales!$C$76="PYG",IF(BW$10&gt;0,N(Reales!BW76)/BW$10,0),N(Reales!BW76)),SUMIF(Ap_MesV,70,Ap_MontoV)*BW$9)</f>
        <v>0</v>
      </c>
      <c r="BX294" s="48">
        <f>IF(BX$8=1,IF(Reales!$C$76="PYG",IF(BX$10&gt;0,N(Reales!BX76)/BX$10,0),N(Reales!BX76)),SUMIF(Ap_MesV,71,Ap_MontoV)*BX$9)</f>
        <v>0</v>
      </c>
      <c r="BY294" s="48">
        <f>IF(BY$8=1,IF(Reales!$C$76="PYG",IF(BY$10&gt;0,N(Reales!BY76)/BY$10,0),N(Reales!BY76)),SUMIF(Ap_MesV,72,Ap_MontoV)*BY$9)</f>
        <v>0</v>
      </c>
      <c r="BZ294" s="48">
        <f>IF(BZ$8=1,IF(Reales!$C$76="PYG",IF(BZ$10&gt;0,N(Reales!BZ76)/BZ$10,0),N(Reales!BZ76)),SUMIF(Ap_MesV,73,Ap_MontoV)*BZ$9)</f>
        <v>0</v>
      </c>
      <c r="CA294" s="48">
        <f>IF(CA$8=1,IF(Reales!$C$76="PYG",IF(CA$10&gt;0,N(Reales!CA76)/CA$10,0),N(Reales!CA76)),SUMIF(Ap_MesV,74,Ap_MontoV)*CA$9)</f>
        <v>0</v>
      </c>
      <c r="CB294" s="48">
        <f>IF(CB$8=1,IF(Reales!$C$76="PYG",IF(CB$10&gt;0,N(Reales!CB76)/CB$10,0),N(Reales!CB76)),SUMIF(Ap_MesV,75,Ap_MontoV)*CB$9)</f>
        <v>0</v>
      </c>
      <c r="CC294" s="48">
        <f>IF(CC$8=1,IF(Reales!$C$76="PYG",IF(CC$10&gt;0,N(Reales!CC76)/CC$10,0),N(Reales!CC76)),SUMIF(Ap_MesV,76,Ap_MontoV)*CC$9)</f>
        <v>0</v>
      </c>
      <c r="CD294" s="48">
        <f>IF(CD$8=1,IF(Reales!$C$76="PYG",IF(CD$10&gt;0,N(Reales!CD76)/CD$10,0),N(Reales!CD76)),SUMIF(Ap_MesV,77,Ap_MontoV)*CD$9)</f>
        <v>0</v>
      </c>
      <c r="CE294" s="48">
        <f>IF(CE$8=1,IF(Reales!$C$76="PYG",IF(CE$10&gt;0,N(Reales!CE76)/CE$10,0),N(Reales!CE76)),SUMIF(Ap_MesV,78,Ap_MontoV)*CE$9)</f>
        <v>0</v>
      </c>
      <c r="CF294" s="48">
        <f>IF(CF$8=1,IF(Reales!$C$76="PYG",IF(CF$10&gt;0,N(Reales!CF76)/CF$10,0),N(Reales!CF76)),SUMIF(Ap_MesV,79,Ap_MontoV)*CF$9)</f>
        <v>0</v>
      </c>
      <c r="CG294" s="48">
        <f>IF(CG$8=1,IF(Reales!$C$76="PYG",IF(CG$10&gt;0,N(Reales!CG76)/CG$10,0),N(Reales!CG76)),SUMIF(Ap_MesV,80,Ap_MontoV)*CG$9)</f>
        <v>0</v>
      </c>
      <c r="CH294" s="48">
        <f>IF(CH$8=1,IF(Reales!$C$76="PYG",IF(CH$10&gt;0,N(Reales!CH76)/CH$10,0),N(Reales!CH76)),SUMIF(Ap_MesV,81,Ap_MontoV)*CH$9)</f>
        <v>0</v>
      </c>
      <c r="CI294" s="48">
        <f>IF(CI$8=1,IF(Reales!$C$76="PYG",IF(CI$10&gt;0,N(Reales!CI76)/CI$10,0),N(Reales!CI76)),SUMIF(Ap_MesV,82,Ap_MontoV)*CI$9)</f>
        <v>0</v>
      </c>
      <c r="CJ294" s="48">
        <f>IF(CJ$8=1,IF(Reales!$C$76="PYG",IF(CJ$10&gt;0,N(Reales!CJ76)/CJ$10,0),N(Reales!CJ76)),SUMIF(Ap_MesV,83,Ap_MontoV)*CJ$9)</f>
        <v>0</v>
      </c>
      <c r="CK294" s="48">
        <f>IF(CK$8=1,IF(Reales!$C$76="PYG",IF(CK$10&gt;0,N(Reales!CK76)/CK$10,0),N(Reales!CK76)),SUMIF(Ap_MesV,84,Ap_MontoV)*CK$9)</f>
        <v>0</v>
      </c>
      <c r="CL294" s="48">
        <f>IF(CL$8=1,IF(Reales!$C$76="PYG",IF(CL$10&gt;0,N(Reales!CL76)/CL$10,0),N(Reales!CL76)),SUMIF(Ap_MesV,85,Ap_MontoV)*CL$9)</f>
        <v>0</v>
      </c>
      <c r="CM294" s="48">
        <f>IF(CM$8=1,IF(Reales!$C$76="PYG",IF(CM$10&gt;0,N(Reales!CM76)/CM$10,0),N(Reales!CM76)),SUMIF(Ap_MesV,86,Ap_MontoV)*CM$9)</f>
        <v>0</v>
      </c>
      <c r="CN294" s="48">
        <f>IF(CN$8=1,IF(Reales!$C$76="PYG",IF(CN$10&gt;0,N(Reales!CN76)/CN$10,0),N(Reales!CN76)),SUMIF(Ap_MesV,87,Ap_MontoV)*CN$9)</f>
        <v>0</v>
      </c>
      <c r="CO294" s="48">
        <f>IF(CO$8=1,IF(Reales!$C$76="PYG",IF(CO$10&gt;0,N(Reales!CO76)/CO$10,0),N(Reales!CO76)),SUMIF(Ap_MesV,88,Ap_MontoV)*CO$9)</f>
        <v>0</v>
      </c>
      <c r="CP294" s="48">
        <f>IF(CP$8=1,IF(Reales!$C$76="PYG",IF(CP$10&gt;0,N(Reales!CP76)/CP$10,0),N(Reales!CP76)),SUMIF(Ap_MesV,89,Ap_MontoV)*CP$9)</f>
        <v>0</v>
      </c>
      <c r="CQ294" s="48">
        <f>IF(CQ$8=1,IF(Reales!$C$76="PYG",IF(CQ$10&gt;0,N(Reales!CQ76)/CQ$10,0),N(Reales!CQ76)),SUMIF(Ap_MesV,90,Ap_MontoV)*CQ$9)</f>
        <v>0</v>
      </c>
      <c r="CR294" s="48">
        <f>IF(CR$8=1,IF(Reales!$C$76="PYG",IF(CR$10&gt;0,N(Reales!CR76)/CR$10,0),N(Reales!CR76)),SUMIF(Ap_MesV,91,Ap_MontoV)*CR$9)</f>
        <v>0</v>
      </c>
      <c r="CS294" s="48">
        <f>IF(CS$8=1,IF(Reales!$C$76="PYG",IF(CS$10&gt;0,N(Reales!CS76)/CS$10,0),N(Reales!CS76)),SUMIF(Ap_MesV,92,Ap_MontoV)*CS$9)</f>
        <v>0</v>
      </c>
      <c r="CT294" s="48">
        <f>IF(CT$8=1,IF(Reales!$C$76="PYG",IF(CT$10&gt;0,N(Reales!CT76)/CT$10,0),N(Reales!CT76)),SUMIF(Ap_MesV,93,Ap_MontoV)*CT$9)</f>
        <v>0</v>
      </c>
      <c r="CU294" s="48">
        <f>IF(CU$8=1,IF(Reales!$C$76="PYG",IF(CU$10&gt;0,N(Reales!CU76)/CU$10,0),N(Reales!CU76)),SUMIF(Ap_MesV,94,Ap_MontoV)*CU$9)</f>
        <v>0</v>
      </c>
      <c r="CV294" s="48">
        <f>IF(CV$8=1,IF(Reales!$C$76="PYG",IF(CV$10&gt;0,N(Reales!CV76)/CV$10,0),N(Reales!CV76)),SUMIF(Ap_MesV,95,Ap_MontoV)*CV$9)</f>
        <v>0</v>
      </c>
      <c r="CW294" s="48">
        <f>IF(CW$8=1,IF(Reales!$C$76="PYG",IF(CW$10&gt;0,N(Reales!CW76)/CW$10,0),N(Reales!CW76)),SUMIF(Ap_MesV,96,Ap_MontoV)*CW$9)</f>
        <v>0</v>
      </c>
      <c r="CX294" s="48">
        <f>IF(CX$8=1,IF(Reales!$C$76="PYG",IF(CX$10&gt;0,N(Reales!CX76)/CX$10,0),N(Reales!CX76)),SUMIF(Ap_MesV,97,Ap_MontoV)*CX$9)</f>
        <v>0</v>
      </c>
      <c r="CY294" s="48">
        <f>IF(CY$8=1,IF(Reales!$C$76="PYG",IF(CY$10&gt;0,N(Reales!CY76)/CY$10,0),N(Reales!CY76)),SUMIF(Ap_MesV,98,Ap_MontoV)*CY$9)</f>
        <v>0</v>
      </c>
      <c r="CZ294" s="48">
        <f>IF(CZ$8=1,IF(Reales!$C$76="PYG",IF(CZ$10&gt;0,N(Reales!CZ76)/CZ$10,0),N(Reales!CZ76)),SUMIF(Ap_MesV,99,Ap_MontoV)*CZ$9)</f>
        <v>0</v>
      </c>
      <c r="DA294" s="48">
        <f>IF(DA$8=1,IF(Reales!$C$76="PYG",IF(DA$10&gt;0,N(Reales!DA76)/DA$10,0),N(Reales!DA76)),SUMIF(Ap_MesV,100,Ap_MontoV)*DA$9)</f>
        <v>0</v>
      </c>
      <c r="DB294" s="48">
        <f>IF(DB$8=1,IF(Reales!$C$76="PYG",IF(DB$10&gt;0,N(Reales!DB76)/DB$10,0),N(Reales!DB76)),SUMIF(Ap_MesV,101,Ap_MontoV)*DB$9)</f>
        <v>0</v>
      </c>
      <c r="DC294" s="48">
        <f>IF(DC$8=1,IF(Reales!$C$76="PYG",IF(DC$10&gt;0,N(Reales!DC76)/DC$10,0),N(Reales!DC76)),SUMIF(Ap_MesV,102,Ap_MontoV)*DC$9)</f>
        <v>0</v>
      </c>
      <c r="DD294" s="48">
        <f>IF(DD$8=1,IF(Reales!$C$76="PYG",IF(DD$10&gt;0,N(Reales!DD76)/DD$10,0),N(Reales!DD76)),SUMIF(Ap_MesV,103,Ap_MontoV)*DD$9)</f>
        <v>0</v>
      </c>
      <c r="DE294" s="48">
        <f>IF(DE$8=1,IF(Reales!$C$76="PYG",IF(DE$10&gt;0,N(Reales!DE76)/DE$10,0),N(Reales!DE76)),SUMIF(Ap_MesV,104,Ap_MontoV)*DE$9)</f>
        <v>0</v>
      </c>
      <c r="DF294" s="48">
        <f>IF(DF$8=1,IF(Reales!$C$76="PYG",IF(DF$10&gt;0,N(Reales!DF76)/DF$10,0),N(Reales!DF76)),SUMIF(Ap_MesV,105,Ap_MontoV)*DF$9)</f>
        <v>0</v>
      </c>
      <c r="DG294" s="48">
        <f>IF(DG$8=1,IF(Reales!$C$76="PYG",IF(DG$10&gt;0,N(Reales!DG76)/DG$10,0),N(Reales!DG76)),SUMIF(Ap_MesV,106,Ap_MontoV)*DG$9)</f>
        <v>0</v>
      </c>
      <c r="DH294" s="48">
        <f>IF(DH$8=1,IF(Reales!$C$76="PYG",IF(DH$10&gt;0,N(Reales!DH76)/DH$10,0),N(Reales!DH76)),SUMIF(Ap_MesV,107,Ap_MontoV)*DH$9)</f>
        <v>0</v>
      </c>
      <c r="DI294" s="48">
        <f>IF(DI$8=1,IF(Reales!$C$76="PYG",IF(DI$10&gt;0,N(Reales!DI76)/DI$10,0),N(Reales!DI76)),SUMIF(Ap_MesV,108,Ap_MontoV)*DI$9)</f>
        <v>0</v>
      </c>
      <c r="DJ294" s="48">
        <f>IF(DJ$8=1,IF(Reales!$C$76="PYG",IF(DJ$10&gt;0,N(Reales!DJ76)/DJ$10,0),N(Reales!DJ76)),SUMIF(Ap_MesV,109,Ap_MontoV)*DJ$9)</f>
        <v>0</v>
      </c>
      <c r="DK294" s="48">
        <f>IF(DK$8=1,IF(Reales!$C$76="PYG",IF(DK$10&gt;0,N(Reales!DK76)/DK$10,0),N(Reales!DK76)),SUMIF(Ap_MesV,110,Ap_MontoV)*DK$9)</f>
        <v>0</v>
      </c>
      <c r="DL294" s="48">
        <f>IF(DL$8=1,IF(Reales!$C$76="PYG",IF(DL$10&gt;0,N(Reales!DL76)/DL$10,0),N(Reales!DL76)),SUMIF(Ap_MesV,111,Ap_MontoV)*DL$9)</f>
        <v>0</v>
      </c>
      <c r="DM294" s="48">
        <f>IF(DM$8=1,IF(Reales!$C$76="PYG",IF(DM$10&gt;0,N(Reales!DM76)/DM$10,0),N(Reales!DM76)),SUMIF(Ap_MesV,112,Ap_MontoV)*DM$9)</f>
        <v>0</v>
      </c>
      <c r="DN294" s="48">
        <f>IF(DN$8=1,IF(Reales!$C$76="PYG",IF(DN$10&gt;0,N(Reales!DN76)/DN$10,0),N(Reales!DN76)),SUMIF(Ap_MesV,113,Ap_MontoV)*DN$9)</f>
        <v>0</v>
      </c>
      <c r="DO294" s="48">
        <f>IF(DO$8=1,IF(Reales!$C$76="PYG",IF(DO$10&gt;0,N(Reales!DO76)/DO$10,0),N(Reales!DO76)),SUMIF(Ap_MesV,114,Ap_MontoV)*DO$9)</f>
        <v>0</v>
      </c>
      <c r="DP294" s="48">
        <f>IF(DP$8=1,IF(Reales!$C$76="PYG",IF(DP$10&gt;0,N(Reales!DP76)/DP$10,0),N(Reales!DP76)),SUMIF(Ap_MesV,115,Ap_MontoV)*DP$9)</f>
        <v>0</v>
      </c>
      <c r="DQ294" s="48">
        <f>IF(DQ$8=1,IF(Reales!$C$76="PYG",IF(DQ$10&gt;0,N(Reales!DQ76)/DQ$10,0),N(Reales!DQ76)),SUMIF(Ap_MesV,116,Ap_MontoV)*DQ$9)</f>
        <v>0</v>
      </c>
      <c r="DR294" s="48">
        <f>IF(DR$8=1,IF(Reales!$C$76="PYG",IF(DR$10&gt;0,N(Reales!DR76)/DR$10,0),N(Reales!DR76)),SUMIF(Ap_MesV,117,Ap_MontoV)*DR$9)</f>
        <v>0</v>
      </c>
      <c r="DS294" s="48">
        <f>IF(DS$8=1,IF(Reales!$C$76="PYG",IF(DS$10&gt;0,N(Reales!DS76)/DS$10,0),N(Reales!DS76)),SUMIF(Ap_MesV,118,Ap_MontoV)*DS$9)</f>
        <v>0</v>
      </c>
      <c r="DT294" s="48">
        <f>IF(DT$8=1,IF(Reales!$C$76="PYG",IF(DT$10&gt;0,N(Reales!DT76)/DT$10,0),N(Reales!DT76)),SUMIF(Ap_MesV,119,Ap_MontoV)*DT$9)</f>
        <v>0</v>
      </c>
      <c r="DU294" s="48">
        <f>IF(DU$8=1,IF(Reales!$C$76="PYG",IF(DU$10&gt;0,N(Reales!DU76)/DU$10,0),N(Reales!DU76)),SUMIF(Ap_MesV,120,Ap_MontoV)*DU$9)</f>
        <v>0</v>
      </c>
      <c r="DV294" s="48">
        <f>IF(DV$8=1,IF(Reales!$C$76="PYG",IF(DV$10&gt;0,N(Reales!DV76)/DV$10,0),N(Reales!DV76)),SUMIF(Ap_MesV,121,Ap_MontoV)*DV$9)</f>
        <v>0</v>
      </c>
      <c r="DW294" s="48">
        <f>IF(DW$8=1,IF(Reales!$C$76="PYG",IF(DW$10&gt;0,N(Reales!DW76)/DW$10,0),N(Reales!DW76)),SUMIF(Ap_MesV,122,Ap_MontoV)*DW$9)</f>
        <v>0</v>
      </c>
      <c r="DX294" s="48">
        <f>IF(DX$8=1,IF(Reales!$C$76="PYG",IF(DX$10&gt;0,N(Reales!DX76)/DX$10,0),N(Reales!DX76)),SUMIF(Ap_MesV,123,Ap_MontoV)*DX$9)</f>
        <v>0</v>
      </c>
      <c r="DY294" s="48">
        <f>IF(DY$8=1,IF(Reales!$C$76="PYG",IF(DY$10&gt;0,N(Reales!DY76)/DY$10,0),N(Reales!DY76)),SUMIF(Ap_MesV,124,Ap_MontoV)*DY$9)</f>
        <v>0</v>
      </c>
      <c r="DZ294" s="48">
        <f>IF(DZ$8=1,IF(Reales!$C$76="PYG",IF(DZ$10&gt;0,N(Reales!DZ76)/DZ$10,0),N(Reales!DZ76)),SUMIF(Ap_MesV,125,Ap_MontoV)*DZ$9)</f>
        <v>0</v>
      </c>
      <c r="EA294" s="48">
        <f>IF(EA$8=1,IF(Reales!$C$76="PYG",IF(EA$10&gt;0,N(Reales!EA76)/EA$10,0),N(Reales!EA76)),SUMIF(Ap_MesV,126,Ap_MontoV)*EA$9)</f>
        <v>0</v>
      </c>
      <c r="EB294" s="48">
        <f>IF(EB$8=1,IF(Reales!$C$76="PYG",IF(EB$10&gt;0,N(Reales!EB76)/EB$10,0),N(Reales!EB76)),SUMIF(Ap_MesV,127,Ap_MontoV)*EB$9)</f>
        <v>0</v>
      </c>
      <c r="EC294" s="48">
        <f>IF(EC$8=1,IF(Reales!$C$76="PYG",IF(EC$10&gt;0,N(Reales!EC76)/EC$10,0),N(Reales!EC76)),SUMIF(Ap_MesV,128,Ap_MontoV)*EC$9)</f>
        <v>0</v>
      </c>
      <c r="ED294" s="48">
        <f>IF(ED$8=1,IF(Reales!$C$76="PYG",IF(ED$10&gt;0,N(Reales!ED76)/ED$10,0),N(Reales!ED76)),SUMIF(Ap_MesV,129,Ap_MontoV)*ED$9)</f>
        <v>0</v>
      </c>
      <c r="EE294" s="48">
        <f>IF(EE$8=1,IF(Reales!$C$76="PYG",IF(EE$10&gt;0,N(Reales!EE76)/EE$10,0),N(Reales!EE76)),SUMIF(Ap_MesV,130,Ap_MontoV)*EE$9)</f>
        <v>0</v>
      </c>
      <c r="EF294" s="48">
        <f>IF(EF$8=1,IF(Reales!$C$76="PYG",IF(EF$10&gt;0,N(Reales!EF76)/EF$10,0),N(Reales!EF76)),SUMIF(Ap_MesV,131,Ap_MontoV)*EF$9)</f>
        <v>0</v>
      </c>
      <c r="EG294" s="48">
        <f>IF(EG$8=1,IF(Reales!$C$76="PYG",IF(EG$10&gt;0,N(Reales!EG76)/EG$10,0),N(Reales!EG76)),SUMIF(Ap_MesV,132,Ap_MontoV)*EG$9)</f>
        <v>0</v>
      </c>
      <c r="EH294" s="48">
        <f>IF(EH$8=1,IF(Reales!$C$76="PYG",IF(EH$10&gt;0,N(Reales!EH76)/EH$10,0),N(Reales!EH76)),SUMIF(Ap_MesV,133,Ap_MontoV)*EH$9)</f>
        <v>0</v>
      </c>
      <c r="EI294" s="48">
        <f>IF(EI$8=1,IF(Reales!$C$76="PYG",IF(EI$10&gt;0,N(Reales!EI76)/EI$10,0),N(Reales!EI76)),SUMIF(Ap_MesV,134,Ap_MontoV)*EI$9)</f>
        <v>0</v>
      </c>
      <c r="EJ294" s="48">
        <f>IF(EJ$8=1,IF(Reales!$C$76="PYG",IF(EJ$10&gt;0,N(Reales!EJ76)/EJ$10,0),N(Reales!EJ76)),SUMIF(Ap_MesV,135,Ap_MontoV)*EJ$9)</f>
        <v>0</v>
      </c>
      <c r="EK294" s="48">
        <f>IF(EK$8=1,IF(Reales!$C$76="PYG",IF(EK$10&gt;0,N(Reales!EK76)/EK$10,0),N(Reales!EK76)),SUMIF(Ap_MesV,136,Ap_MontoV)*EK$9)</f>
        <v>0</v>
      </c>
      <c r="EL294" s="48">
        <f>IF(EL$8=1,IF(Reales!$C$76="PYG",IF(EL$10&gt;0,N(Reales!EL76)/EL$10,0),N(Reales!EL76)),SUMIF(Ap_MesV,137,Ap_MontoV)*EL$9)</f>
        <v>0</v>
      </c>
      <c r="EM294" s="48">
        <f>IF(EM$8=1,IF(Reales!$C$76="PYG",IF(EM$10&gt;0,N(Reales!EM76)/EM$10,0),N(Reales!EM76)),SUMIF(Ap_MesV,138,Ap_MontoV)*EM$9)</f>
        <v>0</v>
      </c>
      <c r="EN294" s="48">
        <f>IF(EN$8=1,IF(Reales!$C$76="PYG",IF(EN$10&gt;0,N(Reales!EN76)/EN$10,0),N(Reales!EN76)),SUMIF(Ap_MesV,139,Ap_MontoV)*EN$9)</f>
        <v>0</v>
      </c>
      <c r="EO294" s="48">
        <f>IF(EO$8=1,IF(Reales!$C$76="PYG",IF(EO$10&gt;0,N(Reales!EO76)/EO$10,0),N(Reales!EO76)),SUMIF(Ap_MesV,140,Ap_MontoV)*EO$9)</f>
        <v>0</v>
      </c>
      <c r="EP294" s="48">
        <f>IF(EP$8=1,IF(Reales!$C$76="PYG",IF(EP$10&gt;0,N(Reales!EP76)/EP$10,0),N(Reales!EP76)),SUMIF(Ap_MesV,141,Ap_MontoV)*EP$9)</f>
        <v>0</v>
      </c>
      <c r="EQ294" s="48">
        <f>IF(EQ$8=1,IF(Reales!$C$76="PYG",IF(EQ$10&gt;0,N(Reales!EQ76)/EQ$10,0),N(Reales!EQ76)),SUMIF(Ap_MesV,142,Ap_MontoV)*EQ$9)</f>
        <v>0</v>
      </c>
      <c r="ER294" s="48">
        <f>IF(ER$8=1,IF(Reales!$C$76="PYG",IF(ER$10&gt;0,N(Reales!ER76)/ER$10,0),N(Reales!ER76)),SUMIF(Ap_MesV,143,Ap_MontoV)*ER$9)</f>
        <v>0</v>
      </c>
      <c r="ES294" s="48">
        <f>IF(ES$8=1,IF(Reales!$C$76="PYG",IF(ES$10&gt;0,N(Reales!ES76)/ES$10,0),N(Reales!ES76)),SUMIF(Ap_MesV,144,Ap_MontoV)*ES$9)</f>
        <v>0</v>
      </c>
    </row>
    <row r="295" spans="1:149" x14ac:dyDescent="0.3">
      <c r="A295" s="14" t="s">
        <v>1344</v>
      </c>
      <c r="B295" s="18" t="s">
        <v>1174</v>
      </c>
      <c r="C295" s="18" t="s">
        <v>989</v>
      </c>
      <c r="F295" s="34">
        <f>IF(AND(N(V_LC_Lim)&gt;0,1&gt;=MAX(1,N(V_LC_Desde)),1&lt;=IF(N(V_LC_Hasta)=0,Fin,N(V_LC_Hasta))),1,0)</f>
        <v>0</v>
      </c>
      <c r="G295" s="34">
        <f>IF(AND(N(V_LC_Lim)&gt;0,2&gt;=MAX(1,N(V_LC_Desde)),2&lt;=IF(N(V_LC_Hasta)=0,Fin,N(V_LC_Hasta))),1,0)</f>
        <v>0</v>
      </c>
      <c r="H295" s="34">
        <f>IF(AND(N(V_LC_Lim)&gt;0,3&gt;=MAX(1,N(V_LC_Desde)),3&lt;=IF(N(V_LC_Hasta)=0,Fin,N(V_LC_Hasta))),1,0)</f>
        <v>0</v>
      </c>
      <c r="I295" s="34">
        <f>IF(AND(N(V_LC_Lim)&gt;0,4&gt;=MAX(1,N(V_LC_Desde)),4&lt;=IF(N(V_LC_Hasta)=0,Fin,N(V_LC_Hasta))),1,0)</f>
        <v>0</v>
      </c>
      <c r="J295" s="34">
        <f>IF(AND(N(V_LC_Lim)&gt;0,5&gt;=MAX(1,N(V_LC_Desde)),5&lt;=IF(N(V_LC_Hasta)=0,Fin,N(V_LC_Hasta))),1,0)</f>
        <v>0</v>
      </c>
      <c r="K295" s="34">
        <f>IF(AND(N(V_LC_Lim)&gt;0,6&gt;=MAX(1,N(V_LC_Desde)),6&lt;=IF(N(V_LC_Hasta)=0,Fin,N(V_LC_Hasta))),1,0)</f>
        <v>0</v>
      </c>
      <c r="L295" s="34">
        <f>IF(AND(N(V_LC_Lim)&gt;0,7&gt;=MAX(1,N(V_LC_Desde)),7&lt;=IF(N(V_LC_Hasta)=0,Fin,N(V_LC_Hasta))),1,0)</f>
        <v>0</v>
      </c>
      <c r="M295" s="34">
        <f>IF(AND(N(V_LC_Lim)&gt;0,8&gt;=MAX(1,N(V_LC_Desde)),8&lt;=IF(N(V_LC_Hasta)=0,Fin,N(V_LC_Hasta))),1,0)</f>
        <v>0</v>
      </c>
      <c r="N295" s="34">
        <f>IF(AND(N(V_LC_Lim)&gt;0,9&gt;=MAX(1,N(V_LC_Desde)),9&lt;=IF(N(V_LC_Hasta)=0,Fin,N(V_LC_Hasta))),1,0)</f>
        <v>0</v>
      </c>
      <c r="O295" s="34">
        <f>IF(AND(N(V_LC_Lim)&gt;0,10&gt;=MAX(1,N(V_LC_Desde)),10&lt;=IF(N(V_LC_Hasta)=0,Fin,N(V_LC_Hasta))),1,0)</f>
        <v>0</v>
      </c>
      <c r="P295" s="34">
        <f>IF(AND(N(V_LC_Lim)&gt;0,11&gt;=MAX(1,N(V_LC_Desde)),11&lt;=IF(N(V_LC_Hasta)=0,Fin,N(V_LC_Hasta))),1,0)</f>
        <v>0</v>
      </c>
      <c r="Q295" s="34">
        <f>IF(AND(N(V_LC_Lim)&gt;0,12&gt;=MAX(1,N(V_LC_Desde)),12&lt;=IF(N(V_LC_Hasta)=0,Fin,N(V_LC_Hasta))),1,0)</f>
        <v>0</v>
      </c>
      <c r="R295" s="34">
        <f>IF(AND(N(V_LC_Lim)&gt;0,13&gt;=MAX(1,N(V_LC_Desde)),13&lt;=IF(N(V_LC_Hasta)=0,Fin,N(V_LC_Hasta))),1,0)</f>
        <v>0</v>
      </c>
      <c r="S295" s="34">
        <f>IF(AND(N(V_LC_Lim)&gt;0,14&gt;=MAX(1,N(V_LC_Desde)),14&lt;=IF(N(V_LC_Hasta)=0,Fin,N(V_LC_Hasta))),1,0)</f>
        <v>0</v>
      </c>
      <c r="T295" s="34">
        <f>IF(AND(N(V_LC_Lim)&gt;0,15&gt;=MAX(1,N(V_LC_Desde)),15&lt;=IF(N(V_LC_Hasta)=0,Fin,N(V_LC_Hasta))),1,0)</f>
        <v>0</v>
      </c>
      <c r="U295" s="34">
        <f>IF(AND(N(V_LC_Lim)&gt;0,16&gt;=MAX(1,N(V_LC_Desde)),16&lt;=IF(N(V_LC_Hasta)=0,Fin,N(V_LC_Hasta))),1,0)</f>
        <v>0</v>
      </c>
      <c r="V295" s="34">
        <f>IF(AND(N(V_LC_Lim)&gt;0,17&gt;=MAX(1,N(V_LC_Desde)),17&lt;=IF(N(V_LC_Hasta)=0,Fin,N(V_LC_Hasta))),1,0)</f>
        <v>0</v>
      </c>
      <c r="W295" s="34">
        <f>IF(AND(N(V_LC_Lim)&gt;0,18&gt;=MAX(1,N(V_LC_Desde)),18&lt;=IF(N(V_LC_Hasta)=0,Fin,N(V_LC_Hasta))),1,0)</f>
        <v>0</v>
      </c>
      <c r="X295" s="34">
        <f>IF(AND(N(V_LC_Lim)&gt;0,19&gt;=MAX(1,N(V_LC_Desde)),19&lt;=IF(N(V_LC_Hasta)=0,Fin,N(V_LC_Hasta))),1,0)</f>
        <v>0</v>
      </c>
      <c r="Y295" s="34">
        <f>IF(AND(N(V_LC_Lim)&gt;0,20&gt;=MAX(1,N(V_LC_Desde)),20&lt;=IF(N(V_LC_Hasta)=0,Fin,N(V_LC_Hasta))),1,0)</f>
        <v>0</v>
      </c>
      <c r="Z295" s="34">
        <f>IF(AND(N(V_LC_Lim)&gt;0,21&gt;=MAX(1,N(V_LC_Desde)),21&lt;=IF(N(V_LC_Hasta)=0,Fin,N(V_LC_Hasta))),1,0)</f>
        <v>0</v>
      </c>
      <c r="AA295" s="34">
        <f>IF(AND(N(V_LC_Lim)&gt;0,22&gt;=MAX(1,N(V_LC_Desde)),22&lt;=IF(N(V_LC_Hasta)=0,Fin,N(V_LC_Hasta))),1,0)</f>
        <v>0</v>
      </c>
      <c r="AB295" s="34">
        <f>IF(AND(N(V_LC_Lim)&gt;0,23&gt;=MAX(1,N(V_LC_Desde)),23&lt;=IF(N(V_LC_Hasta)=0,Fin,N(V_LC_Hasta))),1,0)</f>
        <v>0</v>
      </c>
      <c r="AC295" s="34">
        <f>IF(AND(N(V_LC_Lim)&gt;0,24&gt;=MAX(1,N(V_LC_Desde)),24&lt;=IF(N(V_LC_Hasta)=0,Fin,N(V_LC_Hasta))),1,0)</f>
        <v>0</v>
      </c>
      <c r="AD295" s="34">
        <f>IF(AND(N(V_LC_Lim)&gt;0,25&gt;=MAX(1,N(V_LC_Desde)),25&lt;=IF(N(V_LC_Hasta)=0,Fin,N(V_LC_Hasta))),1,0)</f>
        <v>0</v>
      </c>
      <c r="AE295" s="34">
        <f>IF(AND(N(V_LC_Lim)&gt;0,26&gt;=MAX(1,N(V_LC_Desde)),26&lt;=IF(N(V_LC_Hasta)=0,Fin,N(V_LC_Hasta))),1,0)</f>
        <v>0</v>
      </c>
      <c r="AF295" s="34">
        <f>IF(AND(N(V_LC_Lim)&gt;0,27&gt;=MAX(1,N(V_LC_Desde)),27&lt;=IF(N(V_LC_Hasta)=0,Fin,N(V_LC_Hasta))),1,0)</f>
        <v>0</v>
      </c>
      <c r="AG295" s="34">
        <f>IF(AND(N(V_LC_Lim)&gt;0,28&gt;=MAX(1,N(V_LC_Desde)),28&lt;=IF(N(V_LC_Hasta)=0,Fin,N(V_LC_Hasta))),1,0)</f>
        <v>0</v>
      </c>
      <c r="AH295" s="34">
        <f>IF(AND(N(V_LC_Lim)&gt;0,29&gt;=MAX(1,N(V_LC_Desde)),29&lt;=IF(N(V_LC_Hasta)=0,Fin,N(V_LC_Hasta))),1,0)</f>
        <v>0</v>
      </c>
      <c r="AI295" s="34">
        <f>IF(AND(N(V_LC_Lim)&gt;0,30&gt;=MAX(1,N(V_LC_Desde)),30&lt;=IF(N(V_LC_Hasta)=0,Fin,N(V_LC_Hasta))),1,0)</f>
        <v>0</v>
      </c>
      <c r="AJ295" s="34">
        <f>IF(AND(N(V_LC_Lim)&gt;0,31&gt;=MAX(1,N(V_LC_Desde)),31&lt;=IF(N(V_LC_Hasta)=0,Fin,N(V_LC_Hasta))),1,0)</f>
        <v>0</v>
      </c>
      <c r="AK295" s="34">
        <f>IF(AND(N(V_LC_Lim)&gt;0,32&gt;=MAX(1,N(V_LC_Desde)),32&lt;=IF(N(V_LC_Hasta)=0,Fin,N(V_LC_Hasta))),1,0)</f>
        <v>0</v>
      </c>
      <c r="AL295" s="34">
        <f>IF(AND(N(V_LC_Lim)&gt;0,33&gt;=MAX(1,N(V_LC_Desde)),33&lt;=IF(N(V_LC_Hasta)=0,Fin,N(V_LC_Hasta))),1,0)</f>
        <v>0</v>
      </c>
      <c r="AM295" s="34">
        <f>IF(AND(N(V_LC_Lim)&gt;0,34&gt;=MAX(1,N(V_LC_Desde)),34&lt;=IF(N(V_LC_Hasta)=0,Fin,N(V_LC_Hasta))),1,0)</f>
        <v>0</v>
      </c>
      <c r="AN295" s="34">
        <f>IF(AND(N(V_LC_Lim)&gt;0,35&gt;=MAX(1,N(V_LC_Desde)),35&lt;=IF(N(V_LC_Hasta)=0,Fin,N(V_LC_Hasta))),1,0)</f>
        <v>0</v>
      </c>
      <c r="AO295" s="34">
        <f>IF(AND(N(V_LC_Lim)&gt;0,36&gt;=MAX(1,N(V_LC_Desde)),36&lt;=IF(N(V_LC_Hasta)=0,Fin,N(V_LC_Hasta))),1,0)</f>
        <v>0</v>
      </c>
      <c r="AP295" s="34">
        <f>IF(AND(N(V_LC_Lim)&gt;0,37&gt;=MAX(1,N(V_LC_Desde)),37&lt;=IF(N(V_LC_Hasta)=0,Fin,N(V_LC_Hasta))),1,0)</f>
        <v>0</v>
      </c>
      <c r="AQ295" s="34">
        <f>IF(AND(N(V_LC_Lim)&gt;0,38&gt;=MAX(1,N(V_LC_Desde)),38&lt;=IF(N(V_LC_Hasta)=0,Fin,N(V_LC_Hasta))),1,0)</f>
        <v>0</v>
      </c>
      <c r="AR295" s="34">
        <f>IF(AND(N(V_LC_Lim)&gt;0,39&gt;=MAX(1,N(V_LC_Desde)),39&lt;=IF(N(V_LC_Hasta)=0,Fin,N(V_LC_Hasta))),1,0)</f>
        <v>0</v>
      </c>
      <c r="AS295" s="34">
        <f>IF(AND(N(V_LC_Lim)&gt;0,40&gt;=MAX(1,N(V_LC_Desde)),40&lt;=IF(N(V_LC_Hasta)=0,Fin,N(V_LC_Hasta))),1,0)</f>
        <v>0</v>
      </c>
      <c r="AT295" s="34">
        <f>IF(AND(N(V_LC_Lim)&gt;0,41&gt;=MAX(1,N(V_LC_Desde)),41&lt;=IF(N(V_LC_Hasta)=0,Fin,N(V_LC_Hasta))),1,0)</f>
        <v>0</v>
      </c>
      <c r="AU295" s="34">
        <f>IF(AND(N(V_LC_Lim)&gt;0,42&gt;=MAX(1,N(V_LC_Desde)),42&lt;=IF(N(V_LC_Hasta)=0,Fin,N(V_LC_Hasta))),1,0)</f>
        <v>0</v>
      </c>
      <c r="AV295" s="34">
        <f>IF(AND(N(V_LC_Lim)&gt;0,43&gt;=MAX(1,N(V_LC_Desde)),43&lt;=IF(N(V_LC_Hasta)=0,Fin,N(V_LC_Hasta))),1,0)</f>
        <v>0</v>
      </c>
      <c r="AW295" s="34">
        <f>IF(AND(N(V_LC_Lim)&gt;0,44&gt;=MAX(1,N(V_LC_Desde)),44&lt;=IF(N(V_LC_Hasta)=0,Fin,N(V_LC_Hasta))),1,0)</f>
        <v>0</v>
      </c>
      <c r="AX295" s="34">
        <f>IF(AND(N(V_LC_Lim)&gt;0,45&gt;=MAX(1,N(V_LC_Desde)),45&lt;=IF(N(V_LC_Hasta)=0,Fin,N(V_LC_Hasta))),1,0)</f>
        <v>0</v>
      </c>
      <c r="AY295" s="34">
        <f>IF(AND(N(V_LC_Lim)&gt;0,46&gt;=MAX(1,N(V_LC_Desde)),46&lt;=IF(N(V_LC_Hasta)=0,Fin,N(V_LC_Hasta))),1,0)</f>
        <v>0</v>
      </c>
      <c r="AZ295" s="34">
        <f>IF(AND(N(V_LC_Lim)&gt;0,47&gt;=MAX(1,N(V_LC_Desde)),47&lt;=IF(N(V_LC_Hasta)=0,Fin,N(V_LC_Hasta))),1,0)</f>
        <v>0</v>
      </c>
      <c r="BA295" s="34">
        <f>IF(AND(N(V_LC_Lim)&gt;0,48&gt;=MAX(1,N(V_LC_Desde)),48&lt;=IF(N(V_LC_Hasta)=0,Fin,N(V_LC_Hasta))),1,0)</f>
        <v>0</v>
      </c>
      <c r="BB295" s="34">
        <f>IF(AND(N(V_LC_Lim)&gt;0,49&gt;=MAX(1,N(V_LC_Desde)),49&lt;=IF(N(V_LC_Hasta)=0,Fin,N(V_LC_Hasta))),1,0)</f>
        <v>0</v>
      </c>
      <c r="BC295" s="34">
        <f>IF(AND(N(V_LC_Lim)&gt;0,50&gt;=MAX(1,N(V_LC_Desde)),50&lt;=IF(N(V_LC_Hasta)=0,Fin,N(V_LC_Hasta))),1,0)</f>
        <v>0</v>
      </c>
      <c r="BD295" s="34">
        <f>IF(AND(N(V_LC_Lim)&gt;0,51&gt;=MAX(1,N(V_LC_Desde)),51&lt;=IF(N(V_LC_Hasta)=0,Fin,N(V_LC_Hasta))),1,0)</f>
        <v>0</v>
      </c>
      <c r="BE295" s="34">
        <f>IF(AND(N(V_LC_Lim)&gt;0,52&gt;=MAX(1,N(V_LC_Desde)),52&lt;=IF(N(V_LC_Hasta)=0,Fin,N(V_LC_Hasta))),1,0)</f>
        <v>0</v>
      </c>
      <c r="BF295" s="34">
        <f>IF(AND(N(V_LC_Lim)&gt;0,53&gt;=MAX(1,N(V_LC_Desde)),53&lt;=IF(N(V_LC_Hasta)=0,Fin,N(V_LC_Hasta))),1,0)</f>
        <v>0</v>
      </c>
      <c r="BG295" s="34">
        <f>IF(AND(N(V_LC_Lim)&gt;0,54&gt;=MAX(1,N(V_LC_Desde)),54&lt;=IF(N(V_LC_Hasta)=0,Fin,N(V_LC_Hasta))),1,0)</f>
        <v>0</v>
      </c>
      <c r="BH295" s="34">
        <f>IF(AND(N(V_LC_Lim)&gt;0,55&gt;=MAX(1,N(V_LC_Desde)),55&lt;=IF(N(V_LC_Hasta)=0,Fin,N(V_LC_Hasta))),1,0)</f>
        <v>0</v>
      </c>
      <c r="BI295" s="34">
        <f>IF(AND(N(V_LC_Lim)&gt;0,56&gt;=MAX(1,N(V_LC_Desde)),56&lt;=IF(N(V_LC_Hasta)=0,Fin,N(V_LC_Hasta))),1,0)</f>
        <v>0</v>
      </c>
      <c r="BJ295" s="34">
        <f>IF(AND(N(V_LC_Lim)&gt;0,57&gt;=MAX(1,N(V_LC_Desde)),57&lt;=IF(N(V_LC_Hasta)=0,Fin,N(V_LC_Hasta))),1,0)</f>
        <v>0</v>
      </c>
      <c r="BK295" s="34">
        <f>IF(AND(N(V_LC_Lim)&gt;0,58&gt;=MAX(1,N(V_LC_Desde)),58&lt;=IF(N(V_LC_Hasta)=0,Fin,N(V_LC_Hasta))),1,0)</f>
        <v>0</v>
      </c>
      <c r="BL295" s="34">
        <f>IF(AND(N(V_LC_Lim)&gt;0,59&gt;=MAX(1,N(V_LC_Desde)),59&lt;=IF(N(V_LC_Hasta)=0,Fin,N(V_LC_Hasta))),1,0)</f>
        <v>0</v>
      </c>
      <c r="BM295" s="34">
        <f>IF(AND(N(V_LC_Lim)&gt;0,60&gt;=MAX(1,N(V_LC_Desde)),60&lt;=IF(N(V_LC_Hasta)=0,Fin,N(V_LC_Hasta))),1,0)</f>
        <v>0</v>
      </c>
      <c r="BN295" s="34">
        <f>IF(AND(N(V_LC_Lim)&gt;0,61&gt;=MAX(1,N(V_LC_Desde)),61&lt;=IF(N(V_LC_Hasta)=0,Fin,N(V_LC_Hasta))),1,0)</f>
        <v>0</v>
      </c>
      <c r="BO295" s="34">
        <f>IF(AND(N(V_LC_Lim)&gt;0,62&gt;=MAX(1,N(V_LC_Desde)),62&lt;=IF(N(V_LC_Hasta)=0,Fin,N(V_LC_Hasta))),1,0)</f>
        <v>0</v>
      </c>
      <c r="BP295" s="34">
        <f>IF(AND(N(V_LC_Lim)&gt;0,63&gt;=MAX(1,N(V_LC_Desde)),63&lt;=IF(N(V_LC_Hasta)=0,Fin,N(V_LC_Hasta))),1,0)</f>
        <v>0</v>
      </c>
      <c r="BQ295" s="34">
        <f>IF(AND(N(V_LC_Lim)&gt;0,64&gt;=MAX(1,N(V_LC_Desde)),64&lt;=IF(N(V_LC_Hasta)=0,Fin,N(V_LC_Hasta))),1,0)</f>
        <v>0</v>
      </c>
      <c r="BR295" s="34">
        <f>IF(AND(N(V_LC_Lim)&gt;0,65&gt;=MAX(1,N(V_LC_Desde)),65&lt;=IF(N(V_LC_Hasta)=0,Fin,N(V_LC_Hasta))),1,0)</f>
        <v>0</v>
      </c>
      <c r="BS295" s="34">
        <f>IF(AND(N(V_LC_Lim)&gt;0,66&gt;=MAX(1,N(V_LC_Desde)),66&lt;=IF(N(V_LC_Hasta)=0,Fin,N(V_LC_Hasta))),1,0)</f>
        <v>0</v>
      </c>
      <c r="BT295" s="34">
        <f>IF(AND(N(V_LC_Lim)&gt;0,67&gt;=MAX(1,N(V_LC_Desde)),67&lt;=IF(N(V_LC_Hasta)=0,Fin,N(V_LC_Hasta))),1,0)</f>
        <v>0</v>
      </c>
      <c r="BU295" s="34">
        <f>IF(AND(N(V_LC_Lim)&gt;0,68&gt;=MAX(1,N(V_LC_Desde)),68&lt;=IF(N(V_LC_Hasta)=0,Fin,N(V_LC_Hasta))),1,0)</f>
        <v>0</v>
      </c>
      <c r="BV295" s="34">
        <f>IF(AND(N(V_LC_Lim)&gt;0,69&gt;=MAX(1,N(V_LC_Desde)),69&lt;=IF(N(V_LC_Hasta)=0,Fin,N(V_LC_Hasta))),1,0)</f>
        <v>0</v>
      </c>
      <c r="BW295" s="34">
        <f>IF(AND(N(V_LC_Lim)&gt;0,70&gt;=MAX(1,N(V_LC_Desde)),70&lt;=IF(N(V_LC_Hasta)=0,Fin,N(V_LC_Hasta))),1,0)</f>
        <v>0</v>
      </c>
      <c r="BX295" s="34">
        <f>IF(AND(N(V_LC_Lim)&gt;0,71&gt;=MAX(1,N(V_LC_Desde)),71&lt;=IF(N(V_LC_Hasta)=0,Fin,N(V_LC_Hasta))),1,0)</f>
        <v>0</v>
      </c>
      <c r="BY295" s="34">
        <f>IF(AND(N(V_LC_Lim)&gt;0,72&gt;=MAX(1,N(V_LC_Desde)),72&lt;=IF(N(V_LC_Hasta)=0,Fin,N(V_LC_Hasta))),1,0)</f>
        <v>0</v>
      </c>
      <c r="BZ295" s="34">
        <f>IF(AND(N(V_LC_Lim)&gt;0,73&gt;=MAX(1,N(V_LC_Desde)),73&lt;=IF(N(V_LC_Hasta)=0,Fin,N(V_LC_Hasta))),1,0)</f>
        <v>0</v>
      </c>
      <c r="CA295" s="34">
        <f>IF(AND(N(V_LC_Lim)&gt;0,74&gt;=MAX(1,N(V_LC_Desde)),74&lt;=IF(N(V_LC_Hasta)=0,Fin,N(V_LC_Hasta))),1,0)</f>
        <v>0</v>
      </c>
      <c r="CB295" s="34">
        <f>IF(AND(N(V_LC_Lim)&gt;0,75&gt;=MAX(1,N(V_LC_Desde)),75&lt;=IF(N(V_LC_Hasta)=0,Fin,N(V_LC_Hasta))),1,0)</f>
        <v>0</v>
      </c>
      <c r="CC295" s="34">
        <f>IF(AND(N(V_LC_Lim)&gt;0,76&gt;=MAX(1,N(V_LC_Desde)),76&lt;=IF(N(V_LC_Hasta)=0,Fin,N(V_LC_Hasta))),1,0)</f>
        <v>0</v>
      </c>
      <c r="CD295" s="34">
        <f>IF(AND(N(V_LC_Lim)&gt;0,77&gt;=MAX(1,N(V_LC_Desde)),77&lt;=IF(N(V_LC_Hasta)=0,Fin,N(V_LC_Hasta))),1,0)</f>
        <v>0</v>
      </c>
      <c r="CE295" s="34">
        <f>IF(AND(N(V_LC_Lim)&gt;0,78&gt;=MAX(1,N(V_LC_Desde)),78&lt;=IF(N(V_LC_Hasta)=0,Fin,N(V_LC_Hasta))),1,0)</f>
        <v>0</v>
      </c>
      <c r="CF295" s="34">
        <f>IF(AND(N(V_LC_Lim)&gt;0,79&gt;=MAX(1,N(V_LC_Desde)),79&lt;=IF(N(V_LC_Hasta)=0,Fin,N(V_LC_Hasta))),1,0)</f>
        <v>0</v>
      </c>
      <c r="CG295" s="34">
        <f>IF(AND(N(V_LC_Lim)&gt;0,80&gt;=MAX(1,N(V_LC_Desde)),80&lt;=IF(N(V_LC_Hasta)=0,Fin,N(V_LC_Hasta))),1,0)</f>
        <v>0</v>
      </c>
      <c r="CH295" s="34">
        <f>IF(AND(N(V_LC_Lim)&gt;0,81&gt;=MAX(1,N(V_LC_Desde)),81&lt;=IF(N(V_LC_Hasta)=0,Fin,N(V_LC_Hasta))),1,0)</f>
        <v>0</v>
      </c>
      <c r="CI295" s="34">
        <f>IF(AND(N(V_LC_Lim)&gt;0,82&gt;=MAX(1,N(V_LC_Desde)),82&lt;=IF(N(V_LC_Hasta)=0,Fin,N(V_LC_Hasta))),1,0)</f>
        <v>0</v>
      </c>
      <c r="CJ295" s="34">
        <f>IF(AND(N(V_LC_Lim)&gt;0,83&gt;=MAX(1,N(V_LC_Desde)),83&lt;=IF(N(V_LC_Hasta)=0,Fin,N(V_LC_Hasta))),1,0)</f>
        <v>0</v>
      </c>
      <c r="CK295" s="34">
        <f>IF(AND(N(V_LC_Lim)&gt;0,84&gt;=MAX(1,N(V_LC_Desde)),84&lt;=IF(N(V_LC_Hasta)=0,Fin,N(V_LC_Hasta))),1,0)</f>
        <v>0</v>
      </c>
      <c r="CL295" s="34">
        <f>IF(AND(N(V_LC_Lim)&gt;0,85&gt;=MAX(1,N(V_LC_Desde)),85&lt;=IF(N(V_LC_Hasta)=0,Fin,N(V_LC_Hasta))),1,0)</f>
        <v>0</v>
      </c>
      <c r="CM295" s="34">
        <f>IF(AND(N(V_LC_Lim)&gt;0,86&gt;=MAX(1,N(V_LC_Desde)),86&lt;=IF(N(V_LC_Hasta)=0,Fin,N(V_LC_Hasta))),1,0)</f>
        <v>0</v>
      </c>
      <c r="CN295" s="34">
        <f>IF(AND(N(V_LC_Lim)&gt;0,87&gt;=MAX(1,N(V_LC_Desde)),87&lt;=IF(N(V_LC_Hasta)=0,Fin,N(V_LC_Hasta))),1,0)</f>
        <v>0</v>
      </c>
      <c r="CO295" s="34">
        <f>IF(AND(N(V_LC_Lim)&gt;0,88&gt;=MAX(1,N(V_LC_Desde)),88&lt;=IF(N(V_LC_Hasta)=0,Fin,N(V_LC_Hasta))),1,0)</f>
        <v>0</v>
      </c>
      <c r="CP295" s="34">
        <f>IF(AND(N(V_LC_Lim)&gt;0,89&gt;=MAX(1,N(V_LC_Desde)),89&lt;=IF(N(V_LC_Hasta)=0,Fin,N(V_LC_Hasta))),1,0)</f>
        <v>0</v>
      </c>
      <c r="CQ295" s="34">
        <f>IF(AND(N(V_LC_Lim)&gt;0,90&gt;=MAX(1,N(V_LC_Desde)),90&lt;=IF(N(V_LC_Hasta)=0,Fin,N(V_LC_Hasta))),1,0)</f>
        <v>0</v>
      </c>
      <c r="CR295" s="34">
        <f>IF(AND(N(V_LC_Lim)&gt;0,91&gt;=MAX(1,N(V_LC_Desde)),91&lt;=IF(N(V_LC_Hasta)=0,Fin,N(V_LC_Hasta))),1,0)</f>
        <v>0</v>
      </c>
      <c r="CS295" s="34">
        <f>IF(AND(N(V_LC_Lim)&gt;0,92&gt;=MAX(1,N(V_LC_Desde)),92&lt;=IF(N(V_LC_Hasta)=0,Fin,N(V_LC_Hasta))),1,0)</f>
        <v>0</v>
      </c>
      <c r="CT295" s="34">
        <f>IF(AND(N(V_LC_Lim)&gt;0,93&gt;=MAX(1,N(V_LC_Desde)),93&lt;=IF(N(V_LC_Hasta)=0,Fin,N(V_LC_Hasta))),1,0)</f>
        <v>0</v>
      </c>
      <c r="CU295" s="34">
        <f>IF(AND(N(V_LC_Lim)&gt;0,94&gt;=MAX(1,N(V_LC_Desde)),94&lt;=IF(N(V_LC_Hasta)=0,Fin,N(V_LC_Hasta))),1,0)</f>
        <v>0</v>
      </c>
      <c r="CV295" s="34">
        <f>IF(AND(N(V_LC_Lim)&gt;0,95&gt;=MAX(1,N(V_LC_Desde)),95&lt;=IF(N(V_LC_Hasta)=0,Fin,N(V_LC_Hasta))),1,0)</f>
        <v>0</v>
      </c>
      <c r="CW295" s="34">
        <f>IF(AND(N(V_LC_Lim)&gt;0,96&gt;=MAX(1,N(V_LC_Desde)),96&lt;=IF(N(V_LC_Hasta)=0,Fin,N(V_LC_Hasta))),1,0)</f>
        <v>0</v>
      </c>
      <c r="CX295" s="34">
        <f>IF(AND(N(V_LC_Lim)&gt;0,97&gt;=MAX(1,N(V_LC_Desde)),97&lt;=IF(N(V_LC_Hasta)=0,Fin,N(V_LC_Hasta))),1,0)</f>
        <v>0</v>
      </c>
      <c r="CY295" s="34">
        <f>IF(AND(N(V_LC_Lim)&gt;0,98&gt;=MAX(1,N(V_LC_Desde)),98&lt;=IF(N(V_LC_Hasta)=0,Fin,N(V_LC_Hasta))),1,0)</f>
        <v>0</v>
      </c>
      <c r="CZ295" s="34">
        <f>IF(AND(N(V_LC_Lim)&gt;0,99&gt;=MAX(1,N(V_LC_Desde)),99&lt;=IF(N(V_LC_Hasta)=0,Fin,N(V_LC_Hasta))),1,0)</f>
        <v>0</v>
      </c>
      <c r="DA295" s="34">
        <f>IF(AND(N(V_LC_Lim)&gt;0,100&gt;=MAX(1,N(V_LC_Desde)),100&lt;=IF(N(V_LC_Hasta)=0,Fin,N(V_LC_Hasta))),1,0)</f>
        <v>0</v>
      </c>
      <c r="DB295" s="34">
        <f>IF(AND(N(V_LC_Lim)&gt;0,101&gt;=MAX(1,N(V_LC_Desde)),101&lt;=IF(N(V_LC_Hasta)=0,Fin,N(V_LC_Hasta))),1,0)</f>
        <v>0</v>
      </c>
      <c r="DC295" s="34">
        <f>IF(AND(N(V_LC_Lim)&gt;0,102&gt;=MAX(1,N(V_LC_Desde)),102&lt;=IF(N(V_LC_Hasta)=0,Fin,N(V_LC_Hasta))),1,0)</f>
        <v>0</v>
      </c>
      <c r="DD295" s="34">
        <f>IF(AND(N(V_LC_Lim)&gt;0,103&gt;=MAX(1,N(V_LC_Desde)),103&lt;=IF(N(V_LC_Hasta)=0,Fin,N(V_LC_Hasta))),1,0)</f>
        <v>0</v>
      </c>
      <c r="DE295" s="34">
        <f>IF(AND(N(V_LC_Lim)&gt;0,104&gt;=MAX(1,N(V_LC_Desde)),104&lt;=IF(N(V_LC_Hasta)=0,Fin,N(V_LC_Hasta))),1,0)</f>
        <v>0</v>
      </c>
      <c r="DF295" s="34">
        <f>IF(AND(N(V_LC_Lim)&gt;0,105&gt;=MAX(1,N(V_LC_Desde)),105&lt;=IF(N(V_LC_Hasta)=0,Fin,N(V_LC_Hasta))),1,0)</f>
        <v>0</v>
      </c>
      <c r="DG295" s="34">
        <f>IF(AND(N(V_LC_Lim)&gt;0,106&gt;=MAX(1,N(V_LC_Desde)),106&lt;=IF(N(V_LC_Hasta)=0,Fin,N(V_LC_Hasta))),1,0)</f>
        <v>0</v>
      </c>
      <c r="DH295" s="34">
        <f>IF(AND(N(V_LC_Lim)&gt;0,107&gt;=MAX(1,N(V_LC_Desde)),107&lt;=IF(N(V_LC_Hasta)=0,Fin,N(V_LC_Hasta))),1,0)</f>
        <v>0</v>
      </c>
      <c r="DI295" s="34">
        <f>IF(AND(N(V_LC_Lim)&gt;0,108&gt;=MAX(1,N(V_LC_Desde)),108&lt;=IF(N(V_LC_Hasta)=0,Fin,N(V_LC_Hasta))),1,0)</f>
        <v>0</v>
      </c>
      <c r="DJ295" s="34">
        <f>IF(AND(N(V_LC_Lim)&gt;0,109&gt;=MAX(1,N(V_LC_Desde)),109&lt;=IF(N(V_LC_Hasta)=0,Fin,N(V_LC_Hasta))),1,0)</f>
        <v>0</v>
      </c>
      <c r="DK295" s="34">
        <f>IF(AND(N(V_LC_Lim)&gt;0,110&gt;=MAX(1,N(V_LC_Desde)),110&lt;=IF(N(V_LC_Hasta)=0,Fin,N(V_LC_Hasta))),1,0)</f>
        <v>0</v>
      </c>
      <c r="DL295" s="34">
        <f>IF(AND(N(V_LC_Lim)&gt;0,111&gt;=MAX(1,N(V_LC_Desde)),111&lt;=IF(N(V_LC_Hasta)=0,Fin,N(V_LC_Hasta))),1,0)</f>
        <v>0</v>
      </c>
      <c r="DM295" s="34">
        <f>IF(AND(N(V_LC_Lim)&gt;0,112&gt;=MAX(1,N(V_LC_Desde)),112&lt;=IF(N(V_LC_Hasta)=0,Fin,N(V_LC_Hasta))),1,0)</f>
        <v>0</v>
      </c>
      <c r="DN295" s="34">
        <f>IF(AND(N(V_LC_Lim)&gt;0,113&gt;=MAX(1,N(V_LC_Desde)),113&lt;=IF(N(V_LC_Hasta)=0,Fin,N(V_LC_Hasta))),1,0)</f>
        <v>0</v>
      </c>
      <c r="DO295" s="34">
        <f>IF(AND(N(V_LC_Lim)&gt;0,114&gt;=MAX(1,N(V_LC_Desde)),114&lt;=IF(N(V_LC_Hasta)=0,Fin,N(V_LC_Hasta))),1,0)</f>
        <v>0</v>
      </c>
      <c r="DP295" s="34">
        <f>IF(AND(N(V_LC_Lim)&gt;0,115&gt;=MAX(1,N(V_LC_Desde)),115&lt;=IF(N(V_LC_Hasta)=0,Fin,N(V_LC_Hasta))),1,0)</f>
        <v>0</v>
      </c>
      <c r="DQ295" s="34">
        <f>IF(AND(N(V_LC_Lim)&gt;0,116&gt;=MAX(1,N(V_LC_Desde)),116&lt;=IF(N(V_LC_Hasta)=0,Fin,N(V_LC_Hasta))),1,0)</f>
        <v>0</v>
      </c>
      <c r="DR295" s="34">
        <f>IF(AND(N(V_LC_Lim)&gt;0,117&gt;=MAX(1,N(V_LC_Desde)),117&lt;=IF(N(V_LC_Hasta)=0,Fin,N(V_LC_Hasta))),1,0)</f>
        <v>0</v>
      </c>
      <c r="DS295" s="34">
        <f>IF(AND(N(V_LC_Lim)&gt;0,118&gt;=MAX(1,N(V_LC_Desde)),118&lt;=IF(N(V_LC_Hasta)=0,Fin,N(V_LC_Hasta))),1,0)</f>
        <v>0</v>
      </c>
      <c r="DT295" s="34">
        <f>IF(AND(N(V_LC_Lim)&gt;0,119&gt;=MAX(1,N(V_LC_Desde)),119&lt;=IF(N(V_LC_Hasta)=0,Fin,N(V_LC_Hasta))),1,0)</f>
        <v>0</v>
      </c>
      <c r="DU295" s="34">
        <f>IF(AND(N(V_LC_Lim)&gt;0,120&gt;=MAX(1,N(V_LC_Desde)),120&lt;=IF(N(V_LC_Hasta)=0,Fin,N(V_LC_Hasta))),1,0)</f>
        <v>0</v>
      </c>
      <c r="DV295" s="34">
        <f>IF(AND(N(V_LC_Lim)&gt;0,121&gt;=MAX(1,N(V_LC_Desde)),121&lt;=IF(N(V_LC_Hasta)=0,Fin,N(V_LC_Hasta))),1,0)</f>
        <v>0</v>
      </c>
      <c r="DW295" s="34">
        <f>IF(AND(N(V_LC_Lim)&gt;0,122&gt;=MAX(1,N(V_LC_Desde)),122&lt;=IF(N(V_LC_Hasta)=0,Fin,N(V_LC_Hasta))),1,0)</f>
        <v>0</v>
      </c>
      <c r="DX295" s="34">
        <f>IF(AND(N(V_LC_Lim)&gt;0,123&gt;=MAX(1,N(V_LC_Desde)),123&lt;=IF(N(V_LC_Hasta)=0,Fin,N(V_LC_Hasta))),1,0)</f>
        <v>0</v>
      </c>
      <c r="DY295" s="34">
        <f>IF(AND(N(V_LC_Lim)&gt;0,124&gt;=MAX(1,N(V_LC_Desde)),124&lt;=IF(N(V_LC_Hasta)=0,Fin,N(V_LC_Hasta))),1,0)</f>
        <v>0</v>
      </c>
      <c r="DZ295" s="34">
        <f>IF(AND(N(V_LC_Lim)&gt;0,125&gt;=MAX(1,N(V_LC_Desde)),125&lt;=IF(N(V_LC_Hasta)=0,Fin,N(V_LC_Hasta))),1,0)</f>
        <v>0</v>
      </c>
      <c r="EA295" s="34">
        <f>IF(AND(N(V_LC_Lim)&gt;0,126&gt;=MAX(1,N(V_LC_Desde)),126&lt;=IF(N(V_LC_Hasta)=0,Fin,N(V_LC_Hasta))),1,0)</f>
        <v>0</v>
      </c>
      <c r="EB295" s="34">
        <f>IF(AND(N(V_LC_Lim)&gt;0,127&gt;=MAX(1,N(V_LC_Desde)),127&lt;=IF(N(V_LC_Hasta)=0,Fin,N(V_LC_Hasta))),1,0)</f>
        <v>0</v>
      </c>
      <c r="EC295" s="34">
        <f>IF(AND(N(V_LC_Lim)&gt;0,128&gt;=MAX(1,N(V_LC_Desde)),128&lt;=IF(N(V_LC_Hasta)=0,Fin,N(V_LC_Hasta))),1,0)</f>
        <v>0</v>
      </c>
      <c r="ED295" s="34">
        <f>IF(AND(N(V_LC_Lim)&gt;0,129&gt;=MAX(1,N(V_LC_Desde)),129&lt;=IF(N(V_LC_Hasta)=0,Fin,N(V_LC_Hasta))),1,0)</f>
        <v>0</v>
      </c>
      <c r="EE295" s="34">
        <f>IF(AND(N(V_LC_Lim)&gt;0,130&gt;=MAX(1,N(V_LC_Desde)),130&lt;=IF(N(V_LC_Hasta)=0,Fin,N(V_LC_Hasta))),1,0)</f>
        <v>0</v>
      </c>
      <c r="EF295" s="34">
        <f>IF(AND(N(V_LC_Lim)&gt;0,131&gt;=MAX(1,N(V_LC_Desde)),131&lt;=IF(N(V_LC_Hasta)=0,Fin,N(V_LC_Hasta))),1,0)</f>
        <v>0</v>
      </c>
      <c r="EG295" s="34">
        <f>IF(AND(N(V_LC_Lim)&gt;0,132&gt;=MAX(1,N(V_LC_Desde)),132&lt;=IF(N(V_LC_Hasta)=0,Fin,N(V_LC_Hasta))),1,0)</f>
        <v>0</v>
      </c>
      <c r="EH295" s="34">
        <f>IF(AND(N(V_LC_Lim)&gt;0,133&gt;=MAX(1,N(V_LC_Desde)),133&lt;=IF(N(V_LC_Hasta)=0,Fin,N(V_LC_Hasta))),1,0)</f>
        <v>0</v>
      </c>
      <c r="EI295" s="34">
        <f>IF(AND(N(V_LC_Lim)&gt;0,134&gt;=MAX(1,N(V_LC_Desde)),134&lt;=IF(N(V_LC_Hasta)=0,Fin,N(V_LC_Hasta))),1,0)</f>
        <v>0</v>
      </c>
      <c r="EJ295" s="34">
        <f>IF(AND(N(V_LC_Lim)&gt;0,135&gt;=MAX(1,N(V_LC_Desde)),135&lt;=IF(N(V_LC_Hasta)=0,Fin,N(V_LC_Hasta))),1,0)</f>
        <v>0</v>
      </c>
      <c r="EK295" s="34">
        <f>IF(AND(N(V_LC_Lim)&gt;0,136&gt;=MAX(1,N(V_LC_Desde)),136&lt;=IF(N(V_LC_Hasta)=0,Fin,N(V_LC_Hasta))),1,0)</f>
        <v>0</v>
      </c>
      <c r="EL295" s="34">
        <f>IF(AND(N(V_LC_Lim)&gt;0,137&gt;=MAX(1,N(V_LC_Desde)),137&lt;=IF(N(V_LC_Hasta)=0,Fin,N(V_LC_Hasta))),1,0)</f>
        <v>0</v>
      </c>
      <c r="EM295" s="34">
        <f>IF(AND(N(V_LC_Lim)&gt;0,138&gt;=MAX(1,N(V_LC_Desde)),138&lt;=IF(N(V_LC_Hasta)=0,Fin,N(V_LC_Hasta))),1,0)</f>
        <v>0</v>
      </c>
      <c r="EN295" s="34">
        <f>IF(AND(N(V_LC_Lim)&gt;0,139&gt;=MAX(1,N(V_LC_Desde)),139&lt;=IF(N(V_LC_Hasta)=0,Fin,N(V_LC_Hasta))),1,0)</f>
        <v>0</v>
      </c>
      <c r="EO295" s="34">
        <f>IF(AND(N(V_LC_Lim)&gt;0,140&gt;=MAX(1,N(V_LC_Desde)),140&lt;=IF(N(V_LC_Hasta)=0,Fin,N(V_LC_Hasta))),1,0)</f>
        <v>0</v>
      </c>
      <c r="EP295" s="34">
        <f>IF(AND(N(V_LC_Lim)&gt;0,141&gt;=MAX(1,N(V_LC_Desde)),141&lt;=IF(N(V_LC_Hasta)=0,Fin,N(V_LC_Hasta))),1,0)</f>
        <v>0</v>
      </c>
      <c r="EQ295" s="34">
        <f>IF(AND(N(V_LC_Lim)&gt;0,142&gt;=MAX(1,N(V_LC_Desde)),142&lt;=IF(N(V_LC_Hasta)=0,Fin,N(V_LC_Hasta))),1,0)</f>
        <v>0</v>
      </c>
      <c r="ER295" s="34">
        <f>IF(AND(N(V_LC_Lim)&gt;0,143&gt;=MAX(1,N(V_LC_Desde)),143&lt;=IF(N(V_LC_Hasta)=0,Fin,N(V_LC_Hasta))),1,0)</f>
        <v>0</v>
      </c>
      <c r="ES295" s="34">
        <f>IF(AND(N(V_LC_Lim)&gt;0,144&gt;=MAX(1,N(V_LC_Desde)),144&lt;=IF(N(V_LC_Hasta)=0,Fin,N(V_LC_Hasta))),1,0)</f>
        <v>0</v>
      </c>
    </row>
    <row r="296" spans="1:149" x14ac:dyDescent="0.3">
      <c r="A296" s="14" t="s">
        <v>1345</v>
      </c>
      <c r="B296" s="18" t="s">
        <v>1176</v>
      </c>
      <c r="C296" s="18" t="s">
        <v>439</v>
      </c>
      <c r="E296" s="54">
        <f>SUM(F296:ES296)</f>
        <v>0</v>
      </c>
      <c r="F296" s="48">
        <f>IF(F$8=1,0,0*N(V_LC_Tasa)/12*F$9)</f>
        <v>0</v>
      </c>
      <c r="G296" s="48">
        <f t="shared" ref="G296:AL296" si="703">IF(G$8=1,0,F$301*N(V_LC_Tasa)/12*G$9)</f>
        <v>0</v>
      </c>
      <c r="H296" s="48">
        <f t="shared" si="703"/>
        <v>0</v>
      </c>
      <c r="I296" s="48">
        <f t="shared" si="703"/>
        <v>0</v>
      </c>
      <c r="J296" s="48">
        <f t="shared" si="703"/>
        <v>0</v>
      </c>
      <c r="K296" s="48">
        <f t="shared" si="703"/>
        <v>0</v>
      </c>
      <c r="L296" s="48">
        <f t="shared" si="703"/>
        <v>0</v>
      </c>
      <c r="M296" s="48">
        <f t="shared" si="703"/>
        <v>0</v>
      </c>
      <c r="N296" s="48">
        <f t="shared" si="703"/>
        <v>0</v>
      </c>
      <c r="O296" s="48">
        <f t="shared" si="703"/>
        <v>0</v>
      </c>
      <c r="P296" s="48">
        <f t="shared" si="703"/>
        <v>0</v>
      </c>
      <c r="Q296" s="48">
        <f t="shared" si="703"/>
        <v>0</v>
      </c>
      <c r="R296" s="48">
        <f t="shared" si="703"/>
        <v>0</v>
      </c>
      <c r="S296" s="48">
        <f t="shared" si="703"/>
        <v>0</v>
      </c>
      <c r="T296" s="48">
        <f t="shared" si="703"/>
        <v>0</v>
      </c>
      <c r="U296" s="48">
        <f t="shared" si="703"/>
        <v>0</v>
      </c>
      <c r="V296" s="48">
        <f t="shared" si="703"/>
        <v>0</v>
      </c>
      <c r="W296" s="48">
        <f t="shared" si="703"/>
        <v>0</v>
      </c>
      <c r="X296" s="48">
        <f t="shared" si="703"/>
        <v>0</v>
      </c>
      <c r="Y296" s="48">
        <f t="shared" si="703"/>
        <v>0</v>
      </c>
      <c r="Z296" s="48">
        <f t="shared" si="703"/>
        <v>0</v>
      </c>
      <c r="AA296" s="48">
        <f t="shared" si="703"/>
        <v>0</v>
      </c>
      <c r="AB296" s="48">
        <f t="shared" si="703"/>
        <v>0</v>
      </c>
      <c r="AC296" s="48">
        <f t="shared" si="703"/>
        <v>0</v>
      </c>
      <c r="AD296" s="48">
        <f t="shared" si="703"/>
        <v>0</v>
      </c>
      <c r="AE296" s="48">
        <f t="shared" si="703"/>
        <v>0</v>
      </c>
      <c r="AF296" s="48">
        <f t="shared" si="703"/>
        <v>0</v>
      </c>
      <c r="AG296" s="48">
        <f t="shared" si="703"/>
        <v>0</v>
      </c>
      <c r="AH296" s="48">
        <f t="shared" si="703"/>
        <v>0</v>
      </c>
      <c r="AI296" s="48">
        <f t="shared" si="703"/>
        <v>0</v>
      </c>
      <c r="AJ296" s="48">
        <f t="shared" si="703"/>
        <v>0</v>
      </c>
      <c r="AK296" s="48">
        <f t="shared" si="703"/>
        <v>0</v>
      </c>
      <c r="AL296" s="48">
        <f t="shared" si="703"/>
        <v>0</v>
      </c>
      <c r="AM296" s="48">
        <f t="shared" ref="AM296:BR296" si="704">IF(AM$8=1,0,AL$301*N(V_LC_Tasa)/12*AM$9)</f>
        <v>0</v>
      </c>
      <c r="AN296" s="48">
        <f t="shared" si="704"/>
        <v>0</v>
      </c>
      <c r="AO296" s="48">
        <f t="shared" si="704"/>
        <v>0</v>
      </c>
      <c r="AP296" s="48">
        <f t="shared" si="704"/>
        <v>0</v>
      </c>
      <c r="AQ296" s="48">
        <f t="shared" si="704"/>
        <v>0</v>
      </c>
      <c r="AR296" s="48">
        <f t="shared" si="704"/>
        <v>0</v>
      </c>
      <c r="AS296" s="48">
        <f t="shared" si="704"/>
        <v>0</v>
      </c>
      <c r="AT296" s="48">
        <f t="shared" si="704"/>
        <v>0</v>
      </c>
      <c r="AU296" s="48">
        <f t="shared" si="704"/>
        <v>0</v>
      </c>
      <c r="AV296" s="48">
        <f t="shared" si="704"/>
        <v>0</v>
      </c>
      <c r="AW296" s="48">
        <f t="shared" si="704"/>
        <v>0</v>
      </c>
      <c r="AX296" s="48">
        <f t="shared" si="704"/>
        <v>0</v>
      </c>
      <c r="AY296" s="48">
        <f t="shared" si="704"/>
        <v>0</v>
      </c>
      <c r="AZ296" s="48">
        <f t="shared" si="704"/>
        <v>0</v>
      </c>
      <c r="BA296" s="48">
        <f t="shared" si="704"/>
        <v>0</v>
      </c>
      <c r="BB296" s="48">
        <f t="shared" si="704"/>
        <v>0</v>
      </c>
      <c r="BC296" s="48">
        <f t="shared" si="704"/>
        <v>0</v>
      </c>
      <c r="BD296" s="48">
        <f t="shared" si="704"/>
        <v>0</v>
      </c>
      <c r="BE296" s="48">
        <f t="shared" si="704"/>
        <v>0</v>
      </c>
      <c r="BF296" s="48">
        <f t="shared" si="704"/>
        <v>0</v>
      </c>
      <c r="BG296" s="48">
        <f t="shared" si="704"/>
        <v>0</v>
      </c>
      <c r="BH296" s="48">
        <f t="shared" si="704"/>
        <v>0</v>
      </c>
      <c r="BI296" s="48">
        <f t="shared" si="704"/>
        <v>0</v>
      </c>
      <c r="BJ296" s="48">
        <f t="shared" si="704"/>
        <v>0</v>
      </c>
      <c r="BK296" s="48">
        <f t="shared" si="704"/>
        <v>0</v>
      </c>
      <c r="BL296" s="48">
        <f t="shared" si="704"/>
        <v>0</v>
      </c>
      <c r="BM296" s="48">
        <f t="shared" si="704"/>
        <v>0</v>
      </c>
      <c r="BN296" s="48">
        <f t="shared" si="704"/>
        <v>0</v>
      </c>
      <c r="BO296" s="48">
        <f t="shared" si="704"/>
        <v>0</v>
      </c>
      <c r="BP296" s="48">
        <f t="shared" si="704"/>
        <v>0</v>
      </c>
      <c r="BQ296" s="48">
        <f t="shared" si="704"/>
        <v>0</v>
      </c>
      <c r="BR296" s="48">
        <f t="shared" si="704"/>
        <v>0</v>
      </c>
      <c r="BS296" s="48">
        <f t="shared" ref="BS296:CX296" si="705">IF(BS$8=1,0,BR$301*N(V_LC_Tasa)/12*BS$9)</f>
        <v>0</v>
      </c>
      <c r="BT296" s="48">
        <f t="shared" si="705"/>
        <v>0</v>
      </c>
      <c r="BU296" s="48">
        <f t="shared" si="705"/>
        <v>0</v>
      </c>
      <c r="BV296" s="48">
        <f t="shared" si="705"/>
        <v>0</v>
      </c>
      <c r="BW296" s="48">
        <f t="shared" si="705"/>
        <v>0</v>
      </c>
      <c r="BX296" s="48">
        <f t="shared" si="705"/>
        <v>0</v>
      </c>
      <c r="BY296" s="48">
        <f t="shared" si="705"/>
        <v>0</v>
      </c>
      <c r="BZ296" s="48">
        <f t="shared" si="705"/>
        <v>0</v>
      </c>
      <c r="CA296" s="48">
        <f t="shared" si="705"/>
        <v>0</v>
      </c>
      <c r="CB296" s="48">
        <f t="shared" si="705"/>
        <v>0</v>
      </c>
      <c r="CC296" s="48">
        <f t="shared" si="705"/>
        <v>0</v>
      </c>
      <c r="CD296" s="48">
        <f t="shared" si="705"/>
        <v>0</v>
      </c>
      <c r="CE296" s="48">
        <f t="shared" si="705"/>
        <v>0</v>
      </c>
      <c r="CF296" s="48">
        <f t="shared" si="705"/>
        <v>0</v>
      </c>
      <c r="CG296" s="48">
        <f t="shared" si="705"/>
        <v>0</v>
      </c>
      <c r="CH296" s="48">
        <f t="shared" si="705"/>
        <v>0</v>
      </c>
      <c r="CI296" s="48">
        <f t="shared" si="705"/>
        <v>0</v>
      </c>
      <c r="CJ296" s="48">
        <f t="shared" si="705"/>
        <v>0</v>
      </c>
      <c r="CK296" s="48">
        <f t="shared" si="705"/>
        <v>0</v>
      </c>
      <c r="CL296" s="48">
        <f t="shared" si="705"/>
        <v>0</v>
      </c>
      <c r="CM296" s="48">
        <f t="shared" si="705"/>
        <v>0</v>
      </c>
      <c r="CN296" s="48">
        <f t="shared" si="705"/>
        <v>0</v>
      </c>
      <c r="CO296" s="48">
        <f t="shared" si="705"/>
        <v>0</v>
      </c>
      <c r="CP296" s="48">
        <f t="shared" si="705"/>
        <v>0</v>
      </c>
      <c r="CQ296" s="48">
        <f t="shared" si="705"/>
        <v>0</v>
      </c>
      <c r="CR296" s="48">
        <f t="shared" si="705"/>
        <v>0</v>
      </c>
      <c r="CS296" s="48">
        <f t="shared" si="705"/>
        <v>0</v>
      </c>
      <c r="CT296" s="48">
        <f t="shared" si="705"/>
        <v>0</v>
      </c>
      <c r="CU296" s="48">
        <f t="shared" si="705"/>
        <v>0</v>
      </c>
      <c r="CV296" s="48">
        <f t="shared" si="705"/>
        <v>0</v>
      </c>
      <c r="CW296" s="48">
        <f t="shared" si="705"/>
        <v>0</v>
      </c>
      <c r="CX296" s="48">
        <f t="shared" si="705"/>
        <v>0</v>
      </c>
      <c r="CY296" s="48">
        <f t="shared" ref="CY296:ED296" si="706">IF(CY$8=1,0,CX$301*N(V_LC_Tasa)/12*CY$9)</f>
        <v>0</v>
      </c>
      <c r="CZ296" s="48">
        <f t="shared" si="706"/>
        <v>0</v>
      </c>
      <c r="DA296" s="48">
        <f t="shared" si="706"/>
        <v>0</v>
      </c>
      <c r="DB296" s="48">
        <f t="shared" si="706"/>
        <v>0</v>
      </c>
      <c r="DC296" s="48">
        <f t="shared" si="706"/>
        <v>0</v>
      </c>
      <c r="DD296" s="48">
        <f t="shared" si="706"/>
        <v>0</v>
      </c>
      <c r="DE296" s="48">
        <f t="shared" si="706"/>
        <v>0</v>
      </c>
      <c r="DF296" s="48">
        <f t="shared" si="706"/>
        <v>0</v>
      </c>
      <c r="DG296" s="48">
        <f t="shared" si="706"/>
        <v>0</v>
      </c>
      <c r="DH296" s="48">
        <f t="shared" si="706"/>
        <v>0</v>
      </c>
      <c r="DI296" s="48">
        <f t="shared" si="706"/>
        <v>0</v>
      </c>
      <c r="DJ296" s="48">
        <f t="shared" si="706"/>
        <v>0</v>
      </c>
      <c r="DK296" s="48">
        <f t="shared" si="706"/>
        <v>0</v>
      </c>
      <c r="DL296" s="48">
        <f t="shared" si="706"/>
        <v>0</v>
      </c>
      <c r="DM296" s="48">
        <f t="shared" si="706"/>
        <v>0</v>
      </c>
      <c r="DN296" s="48">
        <f t="shared" si="706"/>
        <v>0</v>
      </c>
      <c r="DO296" s="48">
        <f t="shared" si="706"/>
        <v>0</v>
      </c>
      <c r="DP296" s="48">
        <f t="shared" si="706"/>
        <v>0</v>
      </c>
      <c r="DQ296" s="48">
        <f t="shared" si="706"/>
        <v>0</v>
      </c>
      <c r="DR296" s="48">
        <f t="shared" si="706"/>
        <v>0</v>
      </c>
      <c r="DS296" s="48">
        <f t="shared" si="706"/>
        <v>0</v>
      </c>
      <c r="DT296" s="48">
        <f t="shared" si="706"/>
        <v>0</v>
      </c>
      <c r="DU296" s="48">
        <f t="shared" si="706"/>
        <v>0</v>
      </c>
      <c r="DV296" s="48">
        <f t="shared" si="706"/>
        <v>0</v>
      </c>
      <c r="DW296" s="48">
        <f t="shared" si="706"/>
        <v>0</v>
      </c>
      <c r="DX296" s="48">
        <f t="shared" si="706"/>
        <v>0</v>
      </c>
      <c r="DY296" s="48">
        <f t="shared" si="706"/>
        <v>0</v>
      </c>
      <c r="DZ296" s="48">
        <f t="shared" si="706"/>
        <v>0</v>
      </c>
      <c r="EA296" s="48">
        <f t="shared" si="706"/>
        <v>0</v>
      </c>
      <c r="EB296" s="48">
        <f t="shared" si="706"/>
        <v>0</v>
      </c>
      <c r="EC296" s="48">
        <f t="shared" si="706"/>
        <v>0</v>
      </c>
      <c r="ED296" s="48">
        <f t="shared" si="706"/>
        <v>0</v>
      </c>
      <c r="EE296" s="48">
        <f t="shared" ref="EE296:ES296" si="707">IF(EE$8=1,0,ED$301*N(V_LC_Tasa)/12*EE$9)</f>
        <v>0</v>
      </c>
      <c r="EF296" s="48">
        <f t="shared" si="707"/>
        <v>0</v>
      </c>
      <c r="EG296" s="48">
        <f t="shared" si="707"/>
        <v>0</v>
      </c>
      <c r="EH296" s="48">
        <f t="shared" si="707"/>
        <v>0</v>
      </c>
      <c r="EI296" s="48">
        <f t="shared" si="707"/>
        <v>0</v>
      </c>
      <c r="EJ296" s="48">
        <f t="shared" si="707"/>
        <v>0</v>
      </c>
      <c r="EK296" s="48">
        <f t="shared" si="707"/>
        <v>0</v>
      </c>
      <c r="EL296" s="48">
        <f t="shared" si="707"/>
        <v>0</v>
      </c>
      <c r="EM296" s="48">
        <f t="shared" si="707"/>
        <v>0</v>
      </c>
      <c r="EN296" s="48">
        <f t="shared" si="707"/>
        <v>0</v>
      </c>
      <c r="EO296" s="48">
        <f t="shared" si="707"/>
        <v>0</v>
      </c>
      <c r="EP296" s="48">
        <f t="shared" si="707"/>
        <v>0</v>
      </c>
      <c r="EQ296" s="48">
        <f t="shared" si="707"/>
        <v>0</v>
      </c>
      <c r="ER296" s="48">
        <f t="shared" si="707"/>
        <v>0</v>
      </c>
      <c r="ES296" s="48">
        <f t="shared" si="707"/>
        <v>0</v>
      </c>
    </row>
    <row r="297" spans="1:149" x14ac:dyDescent="0.3">
      <c r="A297" s="14" t="s">
        <v>1346</v>
      </c>
      <c r="B297" s="18" t="s">
        <v>1178</v>
      </c>
      <c r="C297" s="18" t="s">
        <v>439</v>
      </c>
      <c r="E297" s="54">
        <f>MIN(F297:ES297)</f>
        <v>-311740.11867261783</v>
      </c>
      <c r="F297" s="48">
        <f>0+F$272-F$273+F$292-F$293-F$261*F$9+F$294</f>
        <v>535727.93036655965</v>
      </c>
      <c r="G297" s="48">
        <f t="shared" ref="G297:AL297" si="708">F$310+G$272-G$273+G$292-G$293-G$261*G$9+G$294</f>
        <v>555194.83809214947</v>
      </c>
      <c r="H297" s="48">
        <f t="shared" si="708"/>
        <v>574661.74581773928</v>
      </c>
      <c r="I297" s="48">
        <f t="shared" si="708"/>
        <v>594128.6535433291</v>
      </c>
      <c r="J297" s="48">
        <f t="shared" si="708"/>
        <v>613595.56126891891</v>
      </c>
      <c r="K297" s="48">
        <f t="shared" si="708"/>
        <v>633062.46899450873</v>
      </c>
      <c r="L297" s="48">
        <f t="shared" si="708"/>
        <v>610406.07262541074</v>
      </c>
      <c r="M297" s="48">
        <f t="shared" si="708"/>
        <v>587781.26873438375</v>
      </c>
      <c r="N297" s="48">
        <f t="shared" si="708"/>
        <v>565188.2942650133</v>
      </c>
      <c r="O297" s="48">
        <f t="shared" si="708"/>
        <v>542627.38793796184</v>
      </c>
      <c r="P297" s="48">
        <f t="shared" si="708"/>
        <v>520098.79026429675</v>
      </c>
      <c r="Q297" s="48">
        <f t="shared" si="708"/>
        <v>497602.74355891842</v>
      </c>
      <c r="R297" s="48">
        <f t="shared" si="708"/>
        <v>129920.95007681983</v>
      </c>
      <c r="S297" s="48">
        <f t="shared" si="708"/>
        <v>145489.64205416848</v>
      </c>
      <c r="T297" s="48">
        <f t="shared" si="708"/>
        <v>161091.62290329867</v>
      </c>
      <c r="U297" s="48">
        <f t="shared" si="708"/>
        <v>176727.1422907488</v>
      </c>
      <c r="V297" s="48">
        <f t="shared" si="708"/>
        <v>192396.45175555622</v>
      </c>
      <c r="W297" s="48">
        <f t="shared" si="708"/>
        <v>208099.80472330115</v>
      </c>
      <c r="X297" s="48">
        <f t="shared" si="708"/>
        <v>223837.4565202556</v>
      </c>
      <c r="Y297" s="48">
        <f t="shared" si="708"/>
        <v>239609.66438763862</v>
      </c>
      <c r="Z297" s="48">
        <f t="shared" si="708"/>
        <v>255416.68749597843</v>
      </c>
      <c r="AA297" s="48">
        <f t="shared" si="708"/>
        <v>271258.7869595823</v>
      </c>
      <c r="AB297" s="48">
        <f t="shared" si="708"/>
        <v>287136.22585111461</v>
      </c>
      <c r="AC297" s="48">
        <f t="shared" si="708"/>
        <v>303049.26921628485</v>
      </c>
      <c r="AD297" s="48">
        <f t="shared" si="708"/>
        <v>-311740.11867261783</v>
      </c>
      <c r="AE297" s="48">
        <f t="shared" si="708"/>
        <v>-259166.43538560325</v>
      </c>
      <c r="AF297" s="48">
        <f t="shared" si="708"/>
        <v>-206556.34050101833</v>
      </c>
      <c r="AG297" s="48">
        <f t="shared" si="708"/>
        <v>-153909.56093188128</v>
      </c>
      <c r="AH297" s="48">
        <f t="shared" si="708"/>
        <v>-101225.82154305796</v>
      </c>
      <c r="AI297" s="48">
        <f t="shared" si="708"/>
        <v>-48504.845135900723</v>
      </c>
      <c r="AJ297" s="48">
        <f t="shared" si="708"/>
        <v>4253.6475672279266</v>
      </c>
      <c r="AK297" s="48">
        <f t="shared" si="708"/>
        <v>57049.937938547795</v>
      </c>
      <c r="AL297" s="48">
        <f t="shared" si="708"/>
        <v>109884.30946057029</v>
      </c>
      <c r="AM297" s="48">
        <f t="shared" ref="AM297:BR297" si="709">AL$310+AM$272-AM$273+AM$292-AM$293-AM$261*AM$9+AM$294</f>
        <v>162757.04774192569</v>
      </c>
      <c r="AN297" s="48">
        <f t="shared" si="709"/>
        <v>215668.44053330901</v>
      </c>
      <c r="AO297" s="48">
        <f t="shared" si="709"/>
        <v>268618.77774354542</v>
      </c>
      <c r="AP297" s="48">
        <f t="shared" si="709"/>
        <v>-204392.16946280262</v>
      </c>
      <c r="AQ297" s="48">
        <f t="shared" si="709"/>
        <v>-118554.51596007869</v>
      </c>
      <c r="AR297" s="48">
        <f t="shared" si="709"/>
        <v>-32677.035200777082</v>
      </c>
      <c r="AS297" s="48">
        <f t="shared" si="709"/>
        <v>53240.571519526515</v>
      </c>
      <c r="AT297" s="48">
        <f t="shared" si="709"/>
        <v>139198.60514553962</v>
      </c>
      <c r="AU297" s="48">
        <f t="shared" si="709"/>
        <v>225197.36887905505</v>
      </c>
      <c r="AV297" s="48">
        <f t="shared" si="709"/>
        <v>311237.16819587909</v>
      </c>
      <c r="AW297" s="48">
        <f t="shared" si="709"/>
        <v>397318.31086288649</v>
      </c>
      <c r="AX297" s="48">
        <f t="shared" si="709"/>
        <v>483441.10695520375</v>
      </c>
      <c r="AY297" s="48">
        <f t="shared" si="709"/>
        <v>569605.86887352064</v>
      </c>
      <c r="AZ297" s="48">
        <f t="shared" si="709"/>
        <v>655812.91136153205</v>
      </c>
      <c r="BA297" s="48">
        <f t="shared" si="709"/>
        <v>742062.55152351083</v>
      </c>
      <c r="BB297" s="48">
        <f t="shared" si="709"/>
        <v>791565.14613266732</v>
      </c>
      <c r="BC297" s="48">
        <f t="shared" si="709"/>
        <v>879220.5274828797</v>
      </c>
      <c r="BD297" s="48">
        <f t="shared" si="709"/>
        <v>966919.47216105205</v>
      </c>
      <c r="BE297" s="48">
        <f t="shared" si="709"/>
        <v>1054662.3068921438</v>
      </c>
      <c r="BF297" s="48">
        <f t="shared" si="709"/>
        <v>337495.9824706302</v>
      </c>
      <c r="BG297" s="48">
        <f t="shared" si="709"/>
        <v>425327.58730256773</v>
      </c>
      <c r="BH297" s="48">
        <f t="shared" si="709"/>
        <v>513204.07713857811</v>
      </c>
      <c r="BI297" s="48">
        <f t="shared" si="709"/>
        <v>601125.78861619195</v>
      </c>
      <c r="BJ297" s="48">
        <f t="shared" si="709"/>
        <v>689093.06089772133</v>
      </c>
      <c r="BK297" s="48">
        <f t="shared" si="709"/>
        <v>777106.23568919546</v>
      </c>
      <c r="BL297" s="48">
        <f t="shared" si="709"/>
        <v>865165.657259439</v>
      </c>
      <c r="BM297" s="48">
        <f t="shared" si="709"/>
        <v>953271.67245929094</v>
      </c>
      <c r="BN297" s="48">
        <f t="shared" si="709"/>
        <v>1070847.2577885205</v>
      </c>
      <c r="BO297" s="48">
        <f t="shared" si="709"/>
        <v>1226147.6995863467</v>
      </c>
      <c r="BP297" s="48">
        <f t="shared" si="709"/>
        <v>1381448.141384173</v>
      </c>
      <c r="BQ297" s="48">
        <f t="shared" si="709"/>
        <v>1536748.5831819992</v>
      </c>
      <c r="BR297" s="48">
        <f t="shared" si="709"/>
        <v>228122.48061160432</v>
      </c>
      <c r="BS297" s="48">
        <f t="shared" ref="BS297:CX297" si="710">BR$310+BS$272-BS$273+BS$292-BS$293-BS$261*BS$9+BS$294</f>
        <v>383422.92240943044</v>
      </c>
      <c r="BT297" s="48">
        <f t="shared" si="710"/>
        <v>538723.36420725659</v>
      </c>
      <c r="BU297" s="48">
        <f t="shared" si="710"/>
        <v>694023.80600508268</v>
      </c>
      <c r="BV297" s="48">
        <f t="shared" si="710"/>
        <v>849324.24780290877</v>
      </c>
      <c r="BW297" s="48">
        <f t="shared" si="710"/>
        <v>1004624.6896007349</v>
      </c>
      <c r="BX297" s="48">
        <f t="shared" si="710"/>
        <v>1159925.1313985609</v>
      </c>
      <c r="BY297" s="48">
        <f t="shared" si="710"/>
        <v>1315225.5731963872</v>
      </c>
      <c r="BZ297" s="48">
        <f t="shared" si="710"/>
        <v>1436551.7024610057</v>
      </c>
      <c r="CA297" s="48">
        <f t="shared" si="710"/>
        <v>1595967.7249504055</v>
      </c>
      <c r="CB297" s="48">
        <f t="shared" si="710"/>
        <v>1755383.7474398054</v>
      </c>
      <c r="CC297" s="48">
        <f t="shared" si="710"/>
        <v>1914799.7699292053</v>
      </c>
      <c r="CD297" s="48">
        <f t="shared" si="710"/>
        <v>280027.09984469111</v>
      </c>
      <c r="CE297" s="48">
        <f t="shared" si="710"/>
        <v>439443.12233409099</v>
      </c>
      <c r="CF297" s="48">
        <f t="shared" si="710"/>
        <v>598859.14482349087</v>
      </c>
      <c r="CG297" s="48">
        <f t="shared" si="710"/>
        <v>758275.16731289076</v>
      </c>
      <c r="CH297" s="48">
        <f t="shared" si="710"/>
        <v>917691.18980229064</v>
      </c>
      <c r="CI297" s="48">
        <f t="shared" si="710"/>
        <v>1077107.2122916905</v>
      </c>
      <c r="CJ297" s="48">
        <f t="shared" si="710"/>
        <v>1236523.2347810904</v>
      </c>
      <c r="CK297" s="48">
        <f t="shared" si="710"/>
        <v>1395939.2572704903</v>
      </c>
      <c r="CL297" s="48">
        <f t="shared" si="710"/>
        <v>1521040.8581222596</v>
      </c>
      <c r="CM297" s="48">
        <f t="shared" si="710"/>
        <v>1684600.6766685471</v>
      </c>
      <c r="CN297" s="48">
        <f t="shared" si="710"/>
        <v>1848160.4952148346</v>
      </c>
      <c r="CO297" s="48">
        <f t="shared" si="710"/>
        <v>2011720.3137611221</v>
      </c>
      <c r="CP297" s="48">
        <f t="shared" si="710"/>
        <v>331704.47143461113</v>
      </c>
      <c r="CQ297" s="48">
        <f t="shared" si="710"/>
        <v>495264.28998089861</v>
      </c>
      <c r="CR297" s="48">
        <f t="shared" si="710"/>
        <v>658824.10852718609</v>
      </c>
      <c r="CS297" s="48">
        <f t="shared" si="710"/>
        <v>822383.92707347358</v>
      </c>
      <c r="CT297" s="48">
        <f t="shared" si="710"/>
        <v>985943.74561976106</v>
      </c>
      <c r="CU297" s="48">
        <f t="shared" si="710"/>
        <v>1149503.5641660485</v>
      </c>
      <c r="CV297" s="48">
        <f t="shared" si="710"/>
        <v>1313063.382712336</v>
      </c>
      <c r="CW297" s="48">
        <f t="shared" si="710"/>
        <v>1476623.2012586235</v>
      </c>
      <c r="CX297" s="48">
        <f t="shared" si="710"/>
        <v>1605525.0789581952</v>
      </c>
      <c r="CY297" s="48">
        <f t="shared" ref="CY297:ED297" si="711">CX$310+CY$272-CY$273+CY$292-CY$293-CY$261*CY$9+CY$294</f>
        <v>1773256.8086071028</v>
      </c>
      <c r="CZ297" s="48">
        <f t="shared" si="711"/>
        <v>1940988.5382560105</v>
      </c>
      <c r="DA297" s="48">
        <f t="shared" si="711"/>
        <v>2108720.2679049182</v>
      </c>
      <c r="DB297" s="48">
        <f t="shared" si="711"/>
        <v>383150.78399837611</v>
      </c>
      <c r="DC297" s="48">
        <f t="shared" si="711"/>
        <v>550882.51364728366</v>
      </c>
      <c r="DD297" s="48">
        <f t="shared" si="711"/>
        <v>718614.24329619121</v>
      </c>
      <c r="DE297" s="48">
        <f t="shared" si="711"/>
        <v>886345.97294509877</v>
      </c>
      <c r="DF297" s="48">
        <f t="shared" si="711"/>
        <v>1054077.7025940064</v>
      </c>
      <c r="DG297" s="48">
        <f t="shared" si="711"/>
        <v>1221809.4322429141</v>
      </c>
      <c r="DH297" s="48">
        <f t="shared" si="711"/>
        <v>1389541.1618918218</v>
      </c>
      <c r="DI297" s="48">
        <f t="shared" si="711"/>
        <v>1557272.8915407294</v>
      </c>
      <c r="DJ297" s="48">
        <f t="shared" si="711"/>
        <v>1689999.7166970377</v>
      </c>
      <c r="DK297" s="48">
        <f t="shared" si="711"/>
        <v>1861931.3598121237</v>
      </c>
      <c r="DL297" s="48">
        <f t="shared" si="711"/>
        <v>2033863.0029272097</v>
      </c>
      <c r="DM297" s="48">
        <f t="shared" si="711"/>
        <v>2205794.6460422957</v>
      </c>
      <c r="DN297" s="48">
        <f t="shared" si="711"/>
        <v>434362.14237049187</v>
      </c>
      <c r="DO297" s="48">
        <f t="shared" si="711"/>
        <v>606293.785485578</v>
      </c>
      <c r="DP297" s="48">
        <f t="shared" si="711"/>
        <v>778225.42860066413</v>
      </c>
      <c r="DQ297" s="48">
        <f t="shared" si="711"/>
        <v>950157.07171575027</v>
      </c>
      <c r="DR297" s="48">
        <f t="shared" si="711"/>
        <v>1122088.7148308363</v>
      </c>
      <c r="DS297" s="48">
        <f t="shared" si="711"/>
        <v>1294020.3579459223</v>
      </c>
      <c r="DT297" s="48">
        <f t="shared" si="711"/>
        <v>1465952.0010610083</v>
      </c>
      <c r="DU297" s="48">
        <f t="shared" si="711"/>
        <v>1637883.6441760943</v>
      </c>
      <c r="DV297" s="48">
        <f t="shared" si="711"/>
        <v>1637883.6441760943</v>
      </c>
      <c r="DW297" s="48">
        <f t="shared" si="711"/>
        <v>1637883.6441760943</v>
      </c>
      <c r="DX297" s="48">
        <f t="shared" si="711"/>
        <v>1637883.6441760943</v>
      </c>
      <c r="DY297" s="48">
        <f t="shared" si="711"/>
        <v>1637883.6441760943</v>
      </c>
      <c r="DZ297" s="48">
        <f t="shared" si="711"/>
        <v>1637883.6441760943</v>
      </c>
      <c r="EA297" s="48">
        <f t="shared" si="711"/>
        <v>1637883.6441760943</v>
      </c>
      <c r="EB297" s="48">
        <f t="shared" si="711"/>
        <v>1637883.6441760943</v>
      </c>
      <c r="EC297" s="48">
        <f t="shared" si="711"/>
        <v>1637883.6441760943</v>
      </c>
      <c r="ED297" s="48">
        <f t="shared" si="711"/>
        <v>1637883.6441760943</v>
      </c>
      <c r="EE297" s="48">
        <f t="shared" ref="EE297:ES297" si="712">ED$310+EE$272-EE$273+EE$292-EE$293-EE$261*EE$9+EE$294</f>
        <v>1637883.6441760943</v>
      </c>
      <c r="EF297" s="48">
        <f t="shared" si="712"/>
        <v>1637883.6441760943</v>
      </c>
      <c r="EG297" s="48">
        <f t="shared" si="712"/>
        <v>1637883.6441760943</v>
      </c>
      <c r="EH297" s="48">
        <f t="shared" si="712"/>
        <v>1637883.6441760943</v>
      </c>
      <c r="EI297" s="48">
        <f t="shared" si="712"/>
        <v>1637883.6441760943</v>
      </c>
      <c r="EJ297" s="48">
        <f t="shared" si="712"/>
        <v>1637883.6441760943</v>
      </c>
      <c r="EK297" s="48">
        <f t="shared" si="712"/>
        <v>1637883.6441760943</v>
      </c>
      <c r="EL297" s="48">
        <f t="shared" si="712"/>
        <v>1637883.6441760943</v>
      </c>
      <c r="EM297" s="48">
        <f t="shared" si="712"/>
        <v>1637883.6441760943</v>
      </c>
      <c r="EN297" s="48">
        <f t="shared" si="712"/>
        <v>1637883.6441760943</v>
      </c>
      <c r="EO297" s="48">
        <f t="shared" si="712"/>
        <v>1637883.6441760943</v>
      </c>
      <c r="EP297" s="48">
        <f t="shared" si="712"/>
        <v>1637883.6441760943</v>
      </c>
      <c r="EQ297" s="48">
        <f t="shared" si="712"/>
        <v>1637883.6441760943</v>
      </c>
      <c r="ER297" s="48">
        <f t="shared" si="712"/>
        <v>1637883.6441760943</v>
      </c>
      <c r="ES297" s="48">
        <f t="shared" si="712"/>
        <v>1637883.6441760943</v>
      </c>
    </row>
    <row r="298" spans="1:149" x14ac:dyDescent="0.3">
      <c r="A298" s="14" t="s">
        <v>1347</v>
      </c>
      <c r="B298" s="18" t="s">
        <v>353</v>
      </c>
      <c r="C298" s="18" t="s">
        <v>439</v>
      </c>
      <c r="F298" s="48">
        <f t="shared" ref="F298:AK298" si="713">F$227*V_CajaMin/DiasMes*F$9</f>
        <v>39863.013698630137</v>
      </c>
      <c r="G298" s="48">
        <f t="shared" si="713"/>
        <v>39863.013698630137</v>
      </c>
      <c r="H298" s="48">
        <f t="shared" si="713"/>
        <v>39863.013698630137</v>
      </c>
      <c r="I298" s="48">
        <f t="shared" si="713"/>
        <v>39863.013698630137</v>
      </c>
      <c r="J298" s="48">
        <f t="shared" si="713"/>
        <v>39863.013698630137</v>
      </c>
      <c r="K298" s="48">
        <f t="shared" si="713"/>
        <v>39863.013698630137</v>
      </c>
      <c r="L298" s="48">
        <f t="shared" si="713"/>
        <v>39863.013698630137</v>
      </c>
      <c r="M298" s="48">
        <f t="shared" si="713"/>
        <v>39863.013698630137</v>
      </c>
      <c r="N298" s="48">
        <f t="shared" si="713"/>
        <v>39863.013698630137</v>
      </c>
      <c r="O298" s="48">
        <f t="shared" si="713"/>
        <v>39863.013698630137</v>
      </c>
      <c r="P298" s="48">
        <f t="shared" si="713"/>
        <v>39863.013698630137</v>
      </c>
      <c r="Q298" s="48">
        <f t="shared" si="713"/>
        <v>39863.013698630137</v>
      </c>
      <c r="R298" s="48">
        <f t="shared" si="713"/>
        <v>50804.38356164383</v>
      </c>
      <c r="S298" s="48">
        <f t="shared" si="713"/>
        <v>50804.38356164383</v>
      </c>
      <c r="T298" s="48">
        <f t="shared" si="713"/>
        <v>50804.38356164383</v>
      </c>
      <c r="U298" s="48">
        <f t="shared" si="713"/>
        <v>50804.38356164383</v>
      </c>
      <c r="V298" s="48">
        <f t="shared" si="713"/>
        <v>50804.38356164383</v>
      </c>
      <c r="W298" s="48">
        <f t="shared" si="713"/>
        <v>50804.38356164383</v>
      </c>
      <c r="X298" s="48">
        <f t="shared" si="713"/>
        <v>50804.38356164383</v>
      </c>
      <c r="Y298" s="48">
        <f t="shared" si="713"/>
        <v>50804.38356164383</v>
      </c>
      <c r="Z298" s="48">
        <f t="shared" si="713"/>
        <v>50804.38356164383</v>
      </c>
      <c r="AA298" s="48">
        <f t="shared" si="713"/>
        <v>50804.38356164383</v>
      </c>
      <c r="AB298" s="48">
        <f t="shared" si="713"/>
        <v>50804.38356164383</v>
      </c>
      <c r="AC298" s="48">
        <f t="shared" si="713"/>
        <v>50804.38356164383</v>
      </c>
      <c r="AD298" s="48">
        <f t="shared" si="713"/>
        <v>61960.594520547944</v>
      </c>
      <c r="AE298" s="48">
        <f t="shared" si="713"/>
        <v>61960.594520547944</v>
      </c>
      <c r="AF298" s="48">
        <f t="shared" si="713"/>
        <v>61960.594520547944</v>
      </c>
      <c r="AG298" s="48">
        <f t="shared" si="713"/>
        <v>61960.594520547944</v>
      </c>
      <c r="AH298" s="48">
        <f t="shared" si="713"/>
        <v>61960.594520547944</v>
      </c>
      <c r="AI298" s="48">
        <f t="shared" si="713"/>
        <v>61960.594520547944</v>
      </c>
      <c r="AJ298" s="48">
        <f t="shared" si="713"/>
        <v>61960.594520547944</v>
      </c>
      <c r="AK298" s="48">
        <f t="shared" si="713"/>
        <v>61960.594520547944</v>
      </c>
      <c r="AL298" s="48">
        <f t="shared" ref="AL298:BQ298" si="714">AL$227*V_CajaMin/DiasMes*AL$9</f>
        <v>61960.594520547944</v>
      </c>
      <c r="AM298" s="48">
        <f t="shared" si="714"/>
        <v>61960.594520547944</v>
      </c>
      <c r="AN298" s="48">
        <f t="shared" si="714"/>
        <v>61960.594520547944</v>
      </c>
      <c r="AO298" s="48">
        <f t="shared" si="714"/>
        <v>61960.594520547944</v>
      </c>
      <c r="AP298" s="48">
        <f t="shared" si="714"/>
        <v>71387.156958904103</v>
      </c>
      <c r="AQ298" s="48">
        <f t="shared" si="714"/>
        <v>71387.156958904103</v>
      </c>
      <c r="AR298" s="48">
        <f t="shared" si="714"/>
        <v>71387.156958904103</v>
      </c>
      <c r="AS298" s="48">
        <f t="shared" si="714"/>
        <v>71387.156958904103</v>
      </c>
      <c r="AT298" s="48">
        <f t="shared" si="714"/>
        <v>71387.156958904103</v>
      </c>
      <c r="AU298" s="48">
        <f t="shared" si="714"/>
        <v>71387.156958904103</v>
      </c>
      <c r="AV298" s="48">
        <f t="shared" si="714"/>
        <v>71387.156958904103</v>
      </c>
      <c r="AW298" s="48">
        <f t="shared" si="714"/>
        <v>71387.156958904103</v>
      </c>
      <c r="AX298" s="48">
        <f t="shared" si="714"/>
        <v>71387.156958904103</v>
      </c>
      <c r="AY298" s="48">
        <f t="shared" si="714"/>
        <v>71387.156958904103</v>
      </c>
      <c r="AZ298" s="48">
        <f t="shared" si="714"/>
        <v>71387.156958904103</v>
      </c>
      <c r="BA298" s="48">
        <f t="shared" si="714"/>
        <v>71387.156958904103</v>
      </c>
      <c r="BB298" s="48">
        <f t="shared" si="714"/>
        <v>72101.02852849316</v>
      </c>
      <c r="BC298" s="48">
        <f t="shared" si="714"/>
        <v>72101.02852849316</v>
      </c>
      <c r="BD298" s="48">
        <f t="shared" si="714"/>
        <v>72101.02852849316</v>
      </c>
      <c r="BE298" s="48">
        <f t="shared" si="714"/>
        <v>72101.02852849316</v>
      </c>
      <c r="BF298" s="48">
        <f t="shared" si="714"/>
        <v>72101.02852849316</v>
      </c>
      <c r="BG298" s="48">
        <f t="shared" si="714"/>
        <v>72101.02852849316</v>
      </c>
      <c r="BH298" s="48">
        <f t="shared" si="714"/>
        <v>72101.02852849316</v>
      </c>
      <c r="BI298" s="48">
        <f t="shared" si="714"/>
        <v>72101.02852849316</v>
      </c>
      <c r="BJ298" s="48">
        <f t="shared" si="714"/>
        <v>72101.02852849316</v>
      </c>
      <c r="BK298" s="48">
        <f t="shared" si="714"/>
        <v>72101.02852849316</v>
      </c>
      <c r="BL298" s="48">
        <f t="shared" si="714"/>
        <v>72101.02852849316</v>
      </c>
      <c r="BM298" s="48">
        <f t="shared" si="714"/>
        <v>72101.02852849316</v>
      </c>
      <c r="BN298" s="48">
        <f t="shared" si="714"/>
        <v>72822.038813778083</v>
      </c>
      <c r="BO298" s="48">
        <f t="shared" si="714"/>
        <v>72822.038813778083</v>
      </c>
      <c r="BP298" s="48">
        <f t="shared" si="714"/>
        <v>72822.038813778083</v>
      </c>
      <c r="BQ298" s="48">
        <f t="shared" si="714"/>
        <v>72822.038813778083</v>
      </c>
      <c r="BR298" s="48">
        <f t="shared" ref="BR298:CW298" si="715">BR$227*V_CajaMin/DiasMes*BR$9</f>
        <v>72822.038813778083</v>
      </c>
      <c r="BS298" s="48">
        <f t="shared" si="715"/>
        <v>72822.038813778083</v>
      </c>
      <c r="BT298" s="48">
        <f t="shared" si="715"/>
        <v>72822.038813778083</v>
      </c>
      <c r="BU298" s="48">
        <f t="shared" si="715"/>
        <v>72822.038813778083</v>
      </c>
      <c r="BV298" s="48">
        <f t="shared" si="715"/>
        <v>72822.038813778083</v>
      </c>
      <c r="BW298" s="48">
        <f t="shared" si="715"/>
        <v>72822.038813778083</v>
      </c>
      <c r="BX298" s="48">
        <f t="shared" si="715"/>
        <v>72822.038813778083</v>
      </c>
      <c r="BY298" s="48">
        <f t="shared" si="715"/>
        <v>72822.038813778083</v>
      </c>
      <c r="BZ298" s="48">
        <f t="shared" si="715"/>
        <v>73550.259201915862</v>
      </c>
      <c r="CA298" s="48">
        <f t="shared" si="715"/>
        <v>73550.259201915862</v>
      </c>
      <c r="CB298" s="48">
        <f t="shared" si="715"/>
        <v>73550.259201915862</v>
      </c>
      <c r="CC298" s="48">
        <f t="shared" si="715"/>
        <v>73550.259201915862</v>
      </c>
      <c r="CD298" s="48">
        <f t="shared" si="715"/>
        <v>73550.259201915862</v>
      </c>
      <c r="CE298" s="48">
        <f t="shared" si="715"/>
        <v>73550.259201915862</v>
      </c>
      <c r="CF298" s="48">
        <f t="shared" si="715"/>
        <v>73550.259201915862</v>
      </c>
      <c r="CG298" s="48">
        <f t="shared" si="715"/>
        <v>73550.259201915862</v>
      </c>
      <c r="CH298" s="48">
        <f t="shared" si="715"/>
        <v>73550.259201915862</v>
      </c>
      <c r="CI298" s="48">
        <f t="shared" si="715"/>
        <v>73550.259201915862</v>
      </c>
      <c r="CJ298" s="48">
        <f t="shared" si="715"/>
        <v>73550.259201915862</v>
      </c>
      <c r="CK298" s="48">
        <f t="shared" si="715"/>
        <v>73550.259201915862</v>
      </c>
      <c r="CL298" s="48">
        <f t="shared" si="715"/>
        <v>74285.761793935002</v>
      </c>
      <c r="CM298" s="48">
        <f t="shared" si="715"/>
        <v>74285.761793935002</v>
      </c>
      <c r="CN298" s="48">
        <f t="shared" si="715"/>
        <v>74285.761793935002</v>
      </c>
      <c r="CO298" s="48">
        <f t="shared" si="715"/>
        <v>74285.761793935002</v>
      </c>
      <c r="CP298" s="48">
        <f t="shared" si="715"/>
        <v>74285.761793935002</v>
      </c>
      <c r="CQ298" s="48">
        <f t="shared" si="715"/>
        <v>74285.761793935002</v>
      </c>
      <c r="CR298" s="48">
        <f t="shared" si="715"/>
        <v>74285.761793935002</v>
      </c>
      <c r="CS298" s="48">
        <f t="shared" si="715"/>
        <v>74285.761793935002</v>
      </c>
      <c r="CT298" s="48">
        <f t="shared" si="715"/>
        <v>74285.761793935002</v>
      </c>
      <c r="CU298" s="48">
        <f t="shared" si="715"/>
        <v>74285.761793935002</v>
      </c>
      <c r="CV298" s="48">
        <f t="shared" si="715"/>
        <v>74285.761793935002</v>
      </c>
      <c r="CW298" s="48">
        <f t="shared" si="715"/>
        <v>74285.761793935002</v>
      </c>
      <c r="CX298" s="48">
        <f t="shared" ref="CX298:EC298" si="716">CX$227*V_CajaMin/DiasMes*CX$9</f>
        <v>75028.619411874359</v>
      </c>
      <c r="CY298" s="48">
        <f t="shared" si="716"/>
        <v>75028.619411874359</v>
      </c>
      <c r="CZ298" s="48">
        <f t="shared" si="716"/>
        <v>75028.619411874359</v>
      </c>
      <c r="DA298" s="48">
        <f t="shared" si="716"/>
        <v>75028.619411874359</v>
      </c>
      <c r="DB298" s="48">
        <f t="shared" si="716"/>
        <v>75028.619411874359</v>
      </c>
      <c r="DC298" s="48">
        <f t="shared" si="716"/>
        <v>75028.619411874359</v>
      </c>
      <c r="DD298" s="48">
        <f t="shared" si="716"/>
        <v>75028.619411874359</v>
      </c>
      <c r="DE298" s="48">
        <f t="shared" si="716"/>
        <v>75028.619411874359</v>
      </c>
      <c r="DF298" s="48">
        <f t="shared" si="716"/>
        <v>75028.619411874359</v>
      </c>
      <c r="DG298" s="48">
        <f t="shared" si="716"/>
        <v>75028.619411874359</v>
      </c>
      <c r="DH298" s="48">
        <f t="shared" si="716"/>
        <v>75028.619411874359</v>
      </c>
      <c r="DI298" s="48">
        <f t="shared" si="716"/>
        <v>75028.619411874359</v>
      </c>
      <c r="DJ298" s="48">
        <f t="shared" si="716"/>
        <v>75778.905605993117</v>
      </c>
      <c r="DK298" s="48">
        <f t="shared" si="716"/>
        <v>75778.905605993117</v>
      </c>
      <c r="DL298" s="48">
        <f t="shared" si="716"/>
        <v>75778.905605993117</v>
      </c>
      <c r="DM298" s="48">
        <f t="shared" si="716"/>
        <v>75778.905605993117</v>
      </c>
      <c r="DN298" s="48">
        <f t="shared" si="716"/>
        <v>75778.905605993117</v>
      </c>
      <c r="DO298" s="48">
        <f t="shared" si="716"/>
        <v>75778.905605993117</v>
      </c>
      <c r="DP298" s="48">
        <f t="shared" si="716"/>
        <v>75778.905605993117</v>
      </c>
      <c r="DQ298" s="48">
        <f t="shared" si="716"/>
        <v>75778.905605993117</v>
      </c>
      <c r="DR298" s="48">
        <f t="shared" si="716"/>
        <v>75778.905605993117</v>
      </c>
      <c r="DS298" s="48">
        <f t="shared" si="716"/>
        <v>75778.905605993117</v>
      </c>
      <c r="DT298" s="48">
        <f t="shared" si="716"/>
        <v>75778.905605993117</v>
      </c>
      <c r="DU298" s="48">
        <f t="shared" si="716"/>
        <v>75778.905605993117</v>
      </c>
      <c r="DV298" s="48">
        <f t="shared" si="716"/>
        <v>0</v>
      </c>
      <c r="DW298" s="48">
        <f t="shared" si="716"/>
        <v>0</v>
      </c>
      <c r="DX298" s="48">
        <f t="shared" si="716"/>
        <v>0</v>
      </c>
      <c r="DY298" s="48">
        <f t="shared" si="716"/>
        <v>0</v>
      </c>
      <c r="DZ298" s="48">
        <f t="shared" si="716"/>
        <v>0</v>
      </c>
      <c r="EA298" s="48">
        <f t="shared" si="716"/>
        <v>0</v>
      </c>
      <c r="EB298" s="48">
        <f t="shared" si="716"/>
        <v>0</v>
      </c>
      <c r="EC298" s="48">
        <f t="shared" si="716"/>
        <v>0</v>
      </c>
      <c r="ED298" s="48">
        <f t="shared" ref="ED298:ES298" si="717">ED$227*V_CajaMin/DiasMes*ED$9</f>
        <v>0</v>
      </c>
      <c r="EE298" s="48">
        <f t="shared" si="717"/>
        <v>0</v>
      </c>
      <c r="EF298" s="48">
        <f t="shared" si="717"/>
        <v>0</v>
      </c>
      <c r="EG298" s="48">
        <f t="shared" si="717"/>
        <v>0</v>
      </c>
      <c r="EH298" s="48">
        <f t="shared" si="717"/>
        <v>0</v>
      </c>
      <c r="EI298" s="48">
        <f t="shared" si="717"/>
        <v>0</v>
      </c>
      <c r="EJ298" s="48">
        <f t="shared" si="717"/>
        <v>0</v>
      </c>
      <c r="EK298" s="48">
        <f t="shared" si="717"/>
        <v>0</v>
      </c>
      <c r="EL298" s="48">
        <f t="shared" si="717"/>
        <v>0</v>
      </c>
      <c r="EM298" s="48">
        <f t="shared" si="717"/>
        <v>0</v>
      </c>
      <c r="EN298" s="48">
        <f t="shared" si="717"/>
        <v>0</v>
      </c>
      <c r="EO298" s="48">
        <f t="shared" si="717"/>
        <v>0</v>
      </c>
      <c r="EP298" s="48">
        <f t="shared" si="717"/>
        <v>0</v>
      </c>
      <c r="EQ298" s="48">
        <f t="shared" si="717"/>
        <v>0</v>
      </c>
      <c r="ER298" s="48">
        <f t="shared" si="717"/>
        <v>0</v>
      </c>
      <c r="ES298" s="48">
        <f t="shared" si="717"/>
        <v>0</v>
      </c>
    </row>
    <row r="299" spans="1:149" x14ac:dyDescent="0.3">
      <c r="A299" s="14" t="s">
        <v>1348</v>
      </c>
      <c r="B299" s="18" t="s">
        <v>1181</v>
      </c>
      <c r="C299" s="18" t="s">
        <v>439</v>
      </c>
      <c r="E299" s="54">
        <f>SUM(F299:ES299)</f>
        <v>0</v>
      </c>
      <c r="F299" s="48">
        <f>IF(F$8=1,0,IF(F$295=1,MIN(MAX(0,N(V_LC_Lim)-0),MAX(0,F$298-F$297)),0)*F$9)</f>
        <v>0</v>
      </c>
      <c r="G299" s="48">
        <f t="shared" ref="G299:AL299" si="718">IF(G$8=1,0,IF(G$295=1,MIN(MAX(0,N(V_LC_Lim)-F$301),MAX(0,G$298-G$297)),0)*G$9)</f>
        <v>0</v>
      </c>
      <c r="H299" s="48">
        <f t="shared" si="718"/>
        <v>0</v>
      </c>
      <c r="I299" s="48">
        <f t="shared" si="718"/>
        <v>0</v>
      </c>
      <c r="J299" s="48">
        <f t="shared" si="718"/>
        <v>0</v>
      </c>
      <c r="K299" s="48">
        <f t="shared" si="718"/>
        <v>0</v>
      </c>
      <c r="L299" s="48">
        <f t="shared" si="718"/>
        <v>0</v>
      </c>
      <c r="M299" s="48">
        <f t="shared" si="718"/>
        <v>0</v>
      </c>
      <c r="N299" s="48">
        <f t="shared" si="718"/>
        <v>0</v>
      </c>
      <c r="O299" s="48">
        <f t="shared" si="718"/>
        <v>0</v>
      </c>
      <c r="P299" s="48">
        <f t="shared" si="718"/>
        <v>0</v>
      </c>
      <c r="Q299" s="48">
        <f t="shared" si="718"/>
        <v>0</v>
      </c>
      <c r="R299" s="48">
        <f t="shared" si="718"/>
        <v>0</v>
      </c>
      <c r="S299" s="48">
        <f t="shared" si="718"/>
        <v>0</v>
      </c>
      <c r="T299" s="48">
        <f t="shared" si="718"/>
        <v>0</v>
      </c>
      <c r="U299" s="48">
        <f t="shared" si="718"/>
        <v>0</v>
      </c>
      <c r="V299" s="48">
        <f t="shared" si="718"/>
        <v>0</v>
      </c>
      <c r="W299" s="48">
        <f t="shared" si="718"/>
        <v>0</v>
      </c>
      <c r="X299" s="48">
        <f t="shared" si="718"/>
        <v>0</v>
      </c>
      <c r="Y299" s="48">
        <f t="shared" si="718"/>
        <v>0</v>
      </c>
      <c r="Z299" s="48">
        <f t="shared" si="718"/>
        <v>0</v>
      </c>
      <c r="AA299" s="48">
        <f t="shared" si="718"/>
        <v>0</v>
      </c>
      <c r="AB299" s="48">
        <f t="shared" si="718"/>
        <v>0</v>
      </c>
      <c r="AC299" s="48">
        <f t="shared" si="718"/>
        <v>0</v>
      </c>
      <c r="AD299" s="48">
        <f t="shared" si="718"/>
        <v>0</v>
      </c>
      <c r="AE299" s="48">
        <f t="shared" si="718"/>
        <v>0</v>
      </c>
      <c r="AF299" s="48">
        <f t="shared" si="718"/>
        <v>0</v>
      </c>
      <c r="AG299" s="48">
        <f t="shared" si="718"/>
        <v>0</v>
      </c>
      <c r="AH299" s="48">
        <f t="shared" si="718"/>
        <v>0</v>
      </c>
      <c r="AI299" s="48">
        <f t="shared" si="718"/>
        <v>0</v>
      </c>
      <c r="AJ299" s="48">
        <f t="shared" si="718"/>
        <v>0</v>
      </c>
      <c r="AK299" s="48">
        <f t="shared" si="718"/>
        <v>0</v>
      </c>
      <c r="AL299" s="48">
        <f t="shared" si="718"/>
        <v>0</v>
      </c>
      <c r="AM299" s="48">
        <f t="shared" ref="AM299:BR299" si="719">IF(AM$8=1,0,IF(AM$295=1,MIN(MAX(0,N(V_LC_Lim)-AL$301),MAX(0,AM$298-AM$297)),0)*AM$9)</f>
        <v>0</v>
      </c>
      <c r="AN299" s="48">
        <f t="shared" si="719"/>
        <v>0</v>
      </c>
      <c r="AO299" s="48">
        <f t="shared" si="719"/>
        <v>0</v>
      </c>
      <c r="AP299" s="48">
        <f t="shared" si="719"/>
        <v>0</v>
      </c>
      <c r="AQ299" s="48">
        <f t="shared" si="719"/>
        <v>0</v>
      </c>
      <c r="AR299" s="48">
        <f t="shared" si="719"/>
        <v>0</v>
      </c>
      <c r="AS299" s="48">
        <f t="shared" si="719"/>
        <v>0</v>
      </c>
      <c r="AT299" s="48">
        <f t="shared" si="719"/>
        <v>0</v>
      </c>
      <c r="AU299" s="48">
        <f t="shared" si="719"/>
        <v>0</v>
      </c>
      <c r="AV299" s="48">
        <f t="shared" si="719"/>
        <v>0</v>
      </c>
      <c r="AW299" s="48">
        <f t="shared" si="719"/>
        <v>0</v>
      </c>
      <c r="AX299" s="48">
        <f t="shared" si="719"/>
        <v>0</v>
      </c>
      <c r="AY299" s="48">
        <f t="shared" si="719"/>
        <v>0</v>
      </c>
      <c r="AZ299" s="48">
        <f t="shared" si="719"/>
        <v>0</v>
      </c>
      <c r="BA299" s="48">
        <f t="shared" si="719"/>
        <v>0</v>
      </c>
      <c r="BB299" s="48">
        <f t="shared" si="719"/>
        <v>0</v>
      </c>
      <c r="BC299" s="48">
        <f t="shared" si="719"/>
        <v>0</v>
      </c>
      <c r="BD299" s="48">
        <f t="shared" si="719"/>
        <v>0</v>
      </c>
      <c r="BE299" s="48">
        <f t="shared" si="719"/>
        <v>0</v>
      </c>
      <c r="BF299" s="48">
        <f t="shared" si="719"/>
        <v>0</v>
      </c>
      <c r="BG299" s="48">
        <f t="shared" si="719"/>
        <v>0</v>
      </c>
      <c r="BH299" s="48">
        <f t="shared" si="719"/>
        <v>0</v>
      </c>
      <c r="BI299" s="48">
        <f t="shared" si="719"/>
        <v>0</v>
      </c>
      <c r="BJ299" s="48">
        <f t="shared" si="719"/>
        <v>0</v>
      </c>
      <c r="BK299" s="48">
        <f t="shared" si="719"/>
        <v>0</v>
      </c>
      <c r="BL299" s="48">
        <f t="shared" si="719"/>
        <v>0</v>
      </c>
      <c r="BM299" s="48">
        <f t="shared" si="719"/>
        <v>0</v>
      </c>
      <c r="BN299" s="48">
        <f t="shared" si="719"/>
        <v>0</v>
      </c>
      <c r="BO299" s="48">
        <f t="shared" si="719"/>
        <v>0</v>
      </c>
      <c r="BP299" s="48">
        <f t="shared" si="719"/>
        <v>0</v>
      </c>
      <c r="BQ299" s="48">
        <f t="shared" si="719"/>
        <v>0</v>
      </c>
      <c r="BR299" s="48">
        <f t="shared" si="719"/>
        <v>0</v>
      </c>
      <c r="BS299" s="48">
        <f t="shared" ref="BS299:CX299" si="720">IF(BS$8=1,0,IF(BS$295=1,MIN(MAX(0,N(V_LC_Lim)-BR$301),MAX(0,BS$298-BS$297)),0)*BS$9)</f>
        <v>0</v>
      </c>
      <c r="BT299" s="48">
        <f t="shared" si="720"/>
        <v>0</v>
      </c>
      <c r="BU299" s="48">
        <f t="shared" si="720"/>
        <v>0</v>
      </c>
      <c r="BV299" s="48">
        <f t="shared" si="720"/>
        <v>0</v>
      </c>
      <c r="BW299" s="48">
        <f t="shared" si="720"/>
        <v>0</v>
      </c>
      <c r="BX299" s="48">
        <f t="shared" si="720"/>
        <v>0</v>
      </c>
      <c r="BY299" s="48">
        <f t="shared" si="720"/>
        <v>0</v>
      </c>
      <c r="BZ299" s="48">
        <f t="shared" si="720"/>
        <v>0</v>
      </c>
      <c r="CA299" s="48">
        <f t="shared" si="720"/>
        <v>0</v>
      </c>
      <c r="CB299" s="48">
        <f t="shared" si="720"/>
        <v>0</v>
      </c>
      <c r="CC299" s="48">
        <f t="shared" si="720"/>
        <v>0</v>
      </c>
      <c r="CD299" s="48">
        <f t="shared" si="720"/>
        <v>0</v>
      </c>
      <c r="CE299" s="48">
        <f t="shared" si="720"/>
        <v>0</v>
      </c>
      <c r="CF299" s="48">
        <f t="shared" si="720"/>
        <v>0</v>
      </c>
      <c r="CG299" s="48">
        <f t="shared" si="720"/>
        <v>0</v>
      </c>
      <c r="CH299" s="48">
        <f t="shared" si="720"/>
        <v>0</v>
      </c>
      <c r="CI299" s="48">
        <f t="shared" si="720"/>
        <v>0</v>
      </c>
      <c r="CJ299" s="48">
        <f t="shared" si="720"/>
        <v>0</v>
      </c>
      <c r="CK299" s="48">
        <f t="shared" si="720"/>
        <v>0</v>
      </c>
      <c r="CL299" s="48">
        <f t="shared" si="720"/>
        <v>0</v>
      </c>
      <c r="CM299" s="48">
        <f t="shared" si="720"/>
        <v>0</v>
      </c>
      <c r="CN299" s="48">
        <f t="shared" si="720"/>
        <v>0</v>
      </c>
      <c r="CO299" s="48">
        <f t="shared" si="720"/>
        <v>0</v>
      </c>
      <c r="CP299" s="48">
        <f t="shared" si="720"/>
        <v>0</v>
      </c>
      <c r="CQ299" s="48">
        <f t="shared" si="720"/>
        <v>0</v>
      </c>
      <c r="CR299" s="48">
        <f t="shared" si="720"/>
        <v>0</v>
      </c>
      <c r="CS299" s="48">
        <f t="shared" si="720"/>
        <v>0</v>
      </c>
      <c r="CT299" s="48">
        <f t="shared" si="720"/>
        <v>0</v>
      </c>
      <c r="CU299" s="48">
        <f t="shared" si="720"/>
        <v>0</v>
      </c>
      <c r="CV299" s="48">
        <f t="shared" si="720"/>
        <v>0</v>
      </c>
      <c r="CW299" s="48">
        <f t="shared" si="720"/>
        <v>0</v>
      </c>
      <c r="CX299" s="48">
        <f t="shared" si="720"/>
        <v>0</v>
      </c>
      <c r="CY299" s="48">
        <f t="shared" ref="CY299:ED299" si="721">IF(CY$8=1,0,IF(CY$295=1,MIN(MAX(0,N(V_LC_Lim)-CX$301),MAX(0,CY$298-CY$297)),0)*CY$9)</f>
        <v>0</v>
      </c>
      <c r="CZ299" s="48">
        <f t="shared" si="721"/>
        <v>0</v>
      </c>
      <c r="DA299" s="48">
        <f t="shared" si="721"/>
        <v>0</v>
      </c>
      <c r="DB299" s="48">
        <f t="shared" si="721"/>
        <v>0</v>
      </c>
      <c r="DC299" s="48">
        <f t="shared" si="721"/>
        <v>0</v>
      </c>
      <c r="DD299" s="48">
        <f t="shared" si="721"/>
        <v>0</v>
      </c>
      <c r="DE299" s="48">
        <f t="shared" si="721"/>
        <v>0</v>
      </c>
      <c r="DF299" s="48">
        <f t="shared" si="721"/>
        <v>0</v>
      </c>
      <c r="DG299" s="48">
        <f t="shared" si="721"/>
        <v>0</v>
      </c>
      <c r="DH299" s="48">
        <f t="shared" si="721"/>
        <v>0</v>
      </c>
      <c r="DI299" s="48">
        <f t="shared" si="721"/>
        <v>0</v>
      </c>
      <c r="DJ299" s="48">
        <f t="shared" si="721"/>
        <v>0</v>
      </c>
      <c r="DK299" s="48">
        <f t="shared" si="721"/>
        <v>0</v>
      </c>
      <c r="DL299" s="48">
        <f t="shared" si="721"/>
        <v>0</v>
      </c>
      <c r="DM299" s="48">
        <f t="shared" si="721"/>
        <v>0</v>
      </c>
      <c r="DN299" s="48">
        <f t="shared" si="721"/>
        <v>0</v>
      </c>
      <c r="DO299" s="48">
        <f t="shared" si="721"/>
        <v>0</v>
      </c>
      <c r="DP299" s="48">
        <f t="shared" si="721"/>
        <v>0</v>
      </c>
      <c r="DQ299" s="48">
        <f t="shared" si="721"/>
        <v>0</v>
      </c>
      <c r="DR299" s="48">
        <f t="shared" si="721"/>
        <v>0</v>
      </c>
      <c r="DS299" s="48">
        <f t="shared" si="721"/>
        <v>0</v>
      </c>
      <c r="DT299" s="48">
        <f t="shared" si="721"/>
        <v>0</v>
      </c>
      <c r="DU299" s="48">
        <f t="shared" si="721"/>
        <v>0</v>
      </c>
      <c r="DV299" s="48">
        <f t="shared" si="721"/>
        <v>0</v>
      </c>
      <c r="DW299" s="48">
        <f t="shared" si="721"/>
        <v>0</v>
      </c>
      <c r="DX299" s="48">
        <f t="shared" si="721"/>
        <v>0</v>
      </c>
      <c r="DY299" s="48">
        <f t="shared" si="721"/>
        <v>0</v>
      </c>
      <c r="DZ299" s="48">
        <f t="shared" si="721"/>
        <v>0</v>
      </c>
      <c r="EA299" s="48">
        <f t="shared" si="721"/>
        <v>0</v>
      </c>
      <c r="EB299" s="48">
        <f t="shared" si="721"/>
        <v>0</v>
      </c>
      <c r="EC299" s="48">
        <f t="shared" si="721"/>
        <v>0</v>
      </c>
      <c r="ED299" s="48">
        <f t="shared" si="721"/>
        <v>0</v>
      </c>
      <c r="EE299" s="48">
        <f t="shared" ref="EE299:ES299" si="722">IF(EE$8=1,0,IF(EE$295=1,MIN(MAX(0,N(V_LC_Lim)-ED$301),MAX(0,EE$298-EE$297)),0)*EE$9)</f>
        <v>0</v>
      </c>
      <c r="EF299" s="48">
        <f t="shared" si="722"/>
        <v>0</v>
      </c>
      <c r="EG299" s="48">
        <f t="shared" si="722"/>
        <v>0</v>
      </c>
      <c r="EH299" s="48">
        <f t="shared" si="722"/>
        <v>0</v>
      </c>
      <c r="EI299" s="48">
        <f t="shared" si="722"/>
        <v>0</v>
      </c>
      <c r="EJ299" s="48">
        <f t="shared" si="722"/>
        <v>0</v>
      </c>
      <c r="EK299" s="48">
        <f t="shared" si="722"/>
        <v>0</v>
      </c>
      <c r="EL299" s="48">
        <f t="shared" si="722"/>
        <v>0</v>
      </c>
      <c r="EM299" s="48">
        <f t="shared" si="722"/>
        <v>0</v>
      </c>
      <c r="EN299" s="48">
        <f t="shared" si="722"/>
        <v>0</v>
      </c>
      <c r="EO299" s="48">
        <f t="shared" si="722"/>
        <v>0</v>
      </c>
      <c r="EP299" s="48">
        <f t="shared" si="722"/>
        <v>0</v>
      </c>
      <c r="EQ299" s="48">
        <f t="shared" si="722"/>
        <v>0</v>
      </c>
      <c r="ER299" s="48">
        <f t="shared" si="722"/>
        <v>0</v>
      </c>
      <c r="ES299" s="48">
        <f t="shared" si="722"/>
        <v>0</v>
      </c>
    </row>
    <row r="300" spans="1:149" x14ac:dyDescent="0.3">
      <c r="A300" s="14" t="s">
        <v>1349</v>
      </c>
      <c r="B300" s="18" t="s">
        <v>1183</v>
      </c>
      <c r="C300" s="18" t="s">
        <v>439</v>
      </c>
      <c r="E300" s="54">
        <f>SUM(F300:ES300)</f>
        <v>0</v>
      </c>
      <c r="F300" s="48">
        <f>IF(F$8=1,0,IF(F$295=1,MIN(0,MAX(0,F$297-F$298)),0)*F$9)</f>
        <v>0</v>
      </c>
      <c r="G300" s="48">
        <f t="shared" ref="G300:AL300" si="723">IF(G$8=1,0,IF(G$295=1,MIN(F$301,MAX(0,G$297-G$298)),F$301)*G$9)</f>
        <v>0</v>
      </c>
      <c r="H300" s="48">
        <f t="shared" si="723"/>
        <v>0</v>
      </c>
      <c r="I300" s="48">
        <f t="shared" si="723"/>
        <v>0</v>
      </c>
      <c r="J300" s="48">
        <f t="shared" si="723"/>
        <v>0</v>
      </c>
      <c r="K300" s="48">
        <f t="shared" si="723"/>
        <v>0</v>
      </c>
      <c r="L300" s="48">
        <f t="shared" si="723"/>
        <v>0</v>
      </c>
      <c r="M300" s="48">
        <f t="shared" si="723"/>
        <v>0</v>
      </c>
      <c r="N300" s="48">
        <f t="shared" si="723"/>
        <v>0</v>
      </c>
      <c r="O300" s="48">
        <f t="shared" si="723"/>
        <v>0</v>
      </c>
      <c r="P300" s="48">
        <f t="shared" si="723"/>
        <v>0</v>
      </c>
      <c r="Q300" s="48">
        <f t="shared" si="723"/>
        <v>0</v>
      </c>
      <c r="R300" s="48">
        <f t="shared" si="723"/>
        <v>0</v>
      </c>
      <c r="S300" s="48">
        <f t="shared" si="723"/>
        <v>0</v>
      </c>
      <c r="T300" s="48">
        <f t="shared" si="723"/>
        <v>0</v>
      </c>
      <c r="U300" s="48">
        <f t="shared" si="723"/>
        <v>0</v>
      </c>
      <c r="V300" s="48">
        <f t="shared" si="723"/>
        <v>0</v>
      </c>
      <c r="W300" s="48">
        <f t="shared" si="723"/>
        <v>0</v>
      </c>
      <c r="X300" s="48">
        <f t="shared" si="723"/>
        <v>0</v>
      </c>
      <c r="Y300" s="48">
        <f t="shared" si="723"/>
        <v>0</v>
      </c>
      <c r="Z300" s="48">
        <f t="shared" si="723"/>
        <v>0</v>
      </c>
      <c r="AA300" s="48">
        <f t="shared" si="723"/>
        <v>0</v>
      </c>
      <c r="AB300" s="48">
        <f t="shared" si="723"/>
        <v>0</v>
      </c>
      <c r="AC300" s="48">
        <f t="shared" si="723"/>
        <v>0</v>
      </c>
      <c r="AD300" s="48">
        <f t="shared" si="723"/>
        <v>0</v>
      </c>
      <c r="AE300" s="48">
        <f t="shared" si="723"/>
        <v>0</v>
      </c>
      <c r="AF300" s="48">
        <f t="shared" si="723"/>
        <v>0</v>
      </c>
      <c r="AG300" s="48">
        <f t="shared" si="723"/>
        <v>0</v>
      </c>
      <c r="AH300" s="48">
        <f t="shared" si="723"/>
        <v>0</v>
      </c>
      <c r="AI300" s="48">
        <f t="shared" si="723"/>
        <v>0</v>
      </c>
      <c r="AJ300" s="48">
        <f t="shared" si="723"/>
        <v>0</v>
      </c>
      <c r="AK300" s="48">
        <f t="shared" si="723"/>
        <v>0</v>
      </c>
      <c r="AL300" s="48">
        <f t="shared" si="723"/>
        <v>0</v>
      </c>
      <c r="AM300" s="48">
        <f t="shared" ref="AM300:BR300" si="724">IF(AM$8=1,0,IF(AM$295=1,MIN(AL$301,MAX(0,AM$297-AM$298)),AL$301)*AM$9)</f>
        <v>0</v>
      </c>
      <c r="AN300" s="48">
        <f t="shared" si="724"/>
        <v>0</v>
      </c>
      <c r="AO300" s="48">
        <f t="shared" si="724"/>
        <v>0</v>
      </c>
      <c r="AP300" s="48">
        <f t="shared" si="724"/>
        <v>0</v>
      </c>
      <c r="AQ300" s="48">
        <f t="shared" si="724"/>
        <v>0</v>
      </c>
      <c r="AR300" s="48">
        <f t="shared" si="724"/>
        <v>0</v>
      </c>
      <c r="AS300" s="48">
        <f t="shared" si="724"/>
        <v>0</v>
      </c>
      <c r="AT300" s="48">
        <f t="shared" si="724"/>
        <v>0</v>
      </c>
      <c r="AU300" s="48">
        <f t="shared" si="724"/>
        <v>0</v>
      </c>
      <c r="AV300" s="48">
        <f t="shared" si="724"/>
        <v>0</v>
      </c>
      <c r="AW300" s="48">
        <f t="shared" si="724"/>
        <v>0</v>
      </c>
      <c r="AX300" s="48">
        <f t="shared" si="724"/>
        <v>0</v>
      </c>
      <c r="AY300" s="48">
        <f t="shared" si="724"/>
        <v>0</v>
      </c>
      <c r="AZ300" s="48">
        <f t="shared" si="724"/>
        <v>0</v>
      </c>
      <c r="BA300" s="48">
        <f t="shared" si="724"/>
        <v>0</v>
      </c>
      <c r="BB300" s="48">
        <f t="shared" si="724"/>
        <v>0</v>
      </c>
      <c r="BC300" s="48">
        <f t="shared" si="724"/>
        <v>0</v>
      </c>
      <c r="BD300" s="48">
        <f t="shared" si="724"/>
        <v>0</v>
      </c>
      <c r="BE300" s="48">
        <f t="shared" si="724"/>
        <v>0</v>
      </c>
      <c r="BF300" s="48">
        <f t="shared" si="724"/>
        <v>0</v>
      </c>
      <c r="BG300" s="48">
        <f t="shared" si="724"/>
        <v>0</v>
      </c>
      <c r="BH300" s="48">
        <f t="shared" si="724"/>
        <v>0</v>
      </c>
      <c r="BI300" s="48">
        <f t="shared" si="724"/>
        <v>0</v>
      </c>
      <c r="BJ300" s="48">
        <f t="shared" si="724"/>
        <v>0</v>
      </c>
      <c r="BK300" s="48">
        <f t="shared" si="724"/>
        <v>0</v>
      </c>
      <c r="BL300" s="48">
        <f t="shared" si="724"/>
        <v>0</v>
      </c>
      <c r="BM300" s="48">
        <f t="shared" si="724"/>
        <v>0</v>
      </c>
      <c r="BN300" s="48">
        <f t="shared" si="724"/>
        <v>0</v>
      </c>
      <c r="BO300" s="48">
        <f t="shared" si="724"/>
        <v>0</v>
      </c>
      <c r="BP300" s="48">
        <f t="shared" si="724"/>
        <v>0</v>
      </c>
      <c r="BQ300" s="48">
        <f t="shared" si="724"/>
        <v>0</v>
      </c>
      <c r="BR300" s="48">
        <f t="shared" si="724"/>
        <v>0</v>
      </c>
      <c r="BS300" s="48">
        <f t="shared" ref="BS300:CX300" si="725">IF(BS$8=1,0,IF(BS$295=1,MIN(BR$301,MAX(0,BS$297-BS$298)),BR$301)*BS$9)</f>
        <v>0</v>
      </c>
      <c r="BT300" s="48">
        <f t="shared" si="725"/>
        <v>0</v>
      </c>
      <c r="BU300" s="48">
        <f t="shared" si="725"/>
        <v>0</v>
      </c>
      <c r="BV300" s="48">
        <f t="shared" si="725"/>
        <v>0</v>
      </c>
      <c r="BW300" s="48">
        <f t="shared" si="725"/>
        <v>0</v>
      </c>
      <c r="BX300" s="48">
        <f t="shared" si="725"/>
        <v>0</v>
      </c>
      <c r="BY300" s="48">
        <f t="shared" si="725"/>
        <v>0</v>
      </c>
      <c r="BZ300" s="48">
        <f t="shared" si="725"/>
        <v>0</v>
      </c>
      <c r="CA300" s="48">
        <f t="shared" si="725"/>
        <v>0</v>
      </c>
      <c r="CB300" s="48">
        <f t="shared" si="725"/>
        <v>0</v>
      </c>
      <c r="CC300" s="48">
        <f t="shared" si="725"/>
        <v>0</v>
      </c>
      <c r="CD300" s="48">
        <f t="shared" si="725"/>
        <v>0</v>
      </c>
      <c r="CE300" s="48">
        <f t="shared" si="725"/>
        <v>0</v>
      </c>
      <c r="CF300" s="48">
        <f t="shared" si="725"/>
        <v>0</v>
      </c>
      <c r="CG300" s="48">
        <f t="shared" si="725"/>
        <v>0</v>
      </c>
      <c r="CH300" s="48">
        <f t="shared" si="725"/>
        <v>0</v>
      </c>
      <c r="CI300" s="48">
        <f t="shared" si="725"/>
        <v>0</v>
      </c>
      <c r="CJ300" s="48">
        <f t="shared" si="725"/>
        <v>0</v>
      </c>
      <c r="CK300" s="48">
        <f t="shared" si="725"/>
        <v>0</v>
      </c>
      <c r="CL300" s="48">
        <f t="shared" si="725"/>
        <v>0</v>
      </c>
      <c r="CM300" s="48">
        <f t="shared" si="725"/>
        <v>0</v>
      </c>
      <c r="CN300" s="48">
        <f t="shared" si="725"/>
        <v>0</v>
      </c>
      <c r="CO300" s="48">
        <f t="shared" si="725"/>
        <v>0</v>
      </c>
      <c r="CP300" s="48">
        <f t="shared" si="725"/>
        <v>0</v>
      </c>
      <c r="CQ300" s="48">
        <f t="shared" si="725"/>
        <v>0</v>
      </c>
      <c r="CR300" s="48">
        <f t="shared" si="725"/>
        <v>0</v>
      </c>
      <c r="CS300" s="48">
        <f t="shared" si="725"/>
        <v>0</v>
      </c>
      <c r="CT300" s="48">
        <f t="shared" si="725"/>
        <v>0</v>
      </c>
      <c r="CU300" s="48">
        <f t="shared" si="725"/>
        <v>0</v>
      </c>
      <c r="CV300" s="48">
        <f t="shared" si="725"/>
        <v>0</v>
      </c>
      <c r="CW300" s="48">
        <f t="shared" si="725"/>
        <v>0</v>
      </c>
      <c r="CX300" s="48">
        <f t="shared" si="725"/>
        <v>0</v>
      </c>
      <c r="CY300" s="48">
        <f t="shared" ref="CY300:ED300" si="726">IF(CY$8=1,0,IF(CY$295=1,MIN(CX$301,MAX(0,CY$297-CY$298)),CX$301)*CY$9)</f>
        <v>0</v>
      </c>
      <c r="CZ300" s="48">
        <f t="shared" si="726"/>
        <v>0</v>
      </c>
      <c r="DA300" s="48">
        <f t="shared" si="726"/>
        <v>0</v>
      </c>
      <c r="DB300" s="48">
        <f t="shared" si="726"/>
        <v>0</v>
      </c>
      <c r="DC300" s="48">
        <f t="shared" si="726"/>
        <v>0</v>
      </c>
      <c r="DD300" s="48">
        <f t="shared" si="726"/>
        <v>0</v>
      </c>
      <c r="DE300" s="48">
        <f t="shared" si="726"/>
        <v>0</v>
      </c>
      <c r="DF300" s="48">
        <f t="shared" si="726"/>
        <v>0</v>
      </c>
      <c r="DG300" s="48">
        <f t="shared" si="726"/>
        <v>0</v>
      </c>
      <c r="DH300" s="48">
        <f t="shared" si="726"/>
        <v>0</v>
      </c>
      <c r="DI300" s="48">
        <f t="shared" si="726"/>
        <v>0</v>
      </c>
      <c r="DJ300" s="48">
        <f t="shared" si="726"/>
        <v>0</v>
      </c>
      <c r="DK300" s="48">
        <f t="shared" si="726"/>
        <v>0</v>
      </c>
      <c r="DL300" s="48">
        <f t="shared" si="726"/>
        <v>0</v>
      </c>
      <c r="DM300" s="48">
        <f t="shared" si="726"/>
        <v>0</v>
      </c>
      <c r="DN300" s="48">
        <f t="shared" si="726"/>
        <v>0</v>
      </c>
      <c r="DO300" s="48">
        <f t="shared" si="726"/>
        <v>0</v>
      </c>
      <c r="DP300" s="48">
        <f t="shared" si="726"/>
        <v>0</v>
      </c>
      <c r="DQ300" s="48">
        <f t="shared" si="726"/>
        <v>0</v>
      </c>
      <c r="DR300" s="48">
        <f t="shared" si="726"/>
        <v>0</v>
      </c>
      <c r="DS300" s="48">
        <f t="shared" si="726"/>
        <v>0</v>
      </c>
      <c r="DT300" s="48">
        <f t="shared" si="726"/>
        <v>0</v>
      </c>
      <c r="DU300" s="48">
        <f t="shared" si="726"/>
        <v>0</v>
      </c>
      <c r="DV300" s="48">
        <f t="shared" si="726"/>
        <v>0</v>
      </c>
      <c r="DW300" s="48">
        <f t="shared" si="726"/>
        <v>0</v>
      </c>
      <c r="DX300" s="48">
        <f t="shared" si="726"/>
        <v>0</v>
      </c>
      <c r="DY300" s="48">
        <f t="shared" si="726"/>
        <v>0</v>
      </c>
      <c r="DZ300" s="48">
        <f t="shared" si="726"/>
        <v>0</v>
      </c>
      <c r="EA300" s="48">
        <f t="shared" si="726"/>
        <v>0</v>
      </c>
      <c r="EB300" s="48">
        <f t="shared" si="726"/>
        <v>0</v>
      </c>
      <c r="EC300" s="48">
        <f t="shared" si="726"/>
        <v>0</v>
      </c>
      <c r="ED300" s="48">
        <f t="shared" si="726"/>
        <v>0</v>
      </c>
      <c r="EE300" s="48">
        <f t="shared" ref="EE300:ES300" si="727">IF(EE$8=1,0,IF(EE$295=1,MIN(ED$301,MAX(0,EE$297-EE$298)),ED$301)*EE$9)</f>
        <v>0</v>
      </c>
      <c r="EF300" s="48">
        <f t="shared" si="727"/>
        <v>0</v>
      </c>
      <c r="EG300" s="48">
        <f t="shared" si="727"/>
        <v>0</v>
      </c>
      <c r="EH300" s="48">
        <f t="shared" si="727"/>
        <v>0</v>
      </c>
      <c r="EI300" s="48">
        <f t="shared" si="727"/>
        <v>0</v>
      </c>
      <c r="EJ300" s="48">
        <f t="shared" si="727"/>
        <v>0</v>
      </c>
      <c r="EK300" s="48">
        <f t="shared" si="727"/>
        <v>0</v>
      </c>
      <c r="EL300" s="48">
        <f t="shared" si="727"/>
        <v>0</v>
      </c>
      <c r="EM300" s="48">
        <f t="shared" si="727"/>
        <v>0</v>
      </c>
      <c r="EN300" s="48">
        <f t="shared" si="727"/>
        <v>0</v>
      </c>
      <c r="EO300" s="48">
        <f t="shared" si="727"/>
        <v>0</v>
      </c>
      <c r="EP300" s="48">
        <f t="shared" si="727"/>
        <v>0</v>
      </c>
      <c r="EQ300" s="48">
        <f t="shared" si="727"/>
        <v>0</v>
      </c>
      <c r="ER300" s="48">
        <f t="shared" si="727"/>
        <v>0</v>
      </c>
      <c r="ES300" s="48">
        <f t="shared" si="727"/>
        <v>0</v>
      </c>
    </row>
    <row r="301" spans="1:149" x14ac:dyDescent="0.3">
      <c r="A301" s="14" t="s">
        <v>1350</v>
      </c>
      <c r="B301" s="18" t="s">
        <v>1185</v>
      </c>
      <c r="C301" s="18" t="s">
        <v>439</v>
      </c>
      <c r="E301" s="54">
        <f>MAX(F301:ES301)</f>
        <v>0</v>
      </c>
      <c r="F301" s="48">
        <f>IF(F$8=1,IF(1=Corte,N(V_LC_Saldo0),0),0+F$299-F$300)</f>
        <v>0</v>
      </c>
      <c r="G301" s="48">
        <f>IF(G$8=1,IF(2=Corte,N(V_LC_Saldo0),0),F$301+G$299-G$300)</f>
        <v>0</v>
      </c>
      <c r="H301" s="48">
        <f>IF(H$8=1,IF(3=Corte,N(V_LC_Saldo0),0),G$301+H$299-H$300)</f>
        <v>0</v>
      </c>
      <c r="I301" s="48">
        <f>IF(I$8=1,IF(4=Corte,N(V_LC_Saldo0),0),H$301+I$299-I$300)</f>
        <v>0</v>
      </c>
      <c r="J301" s="48">
        <f>IF(J$8=1,IF(5=Corte,N(V_LC_Saldo0),0),I$301+J$299-J$300)</f>
        <v>0</v>
      </c>
      <c r="K301" s="48">
        <f>IF(K$8=1,IF(6=Corte,N(V_LC_Saldo0),0),J$301+K$299-K$300)</f>
        <v>0</v>
      </c>
      <c r="L301" s="48">
        <f>IF(L$8=1,IF(7=Corte,N(V_LC_Saldo0),0),K$301+L$299-L$300)</f>
        <v>0</v>
      </c>
      <c r="M301" s="48">
        <f>IF(M$8=1,IF(8=Corte,N(V_LC_Saldo0),0),L$301+M$299-M$300)</f>
        <v>0</v>
      </c>
      <c r="N301" s="48">
        <f>IF(N$8=1,IF(9=Corte,N(V_LC_Saldo0),0),M$301+N$299-N$300)</f>
        <v>0</v>
      </c>
      <c r="O301" s="48">
        <f>IF(O$8=1,IF(10=Corte,N(V_LC_Saldo0),0),N$301+O$299-O$300)</f>
        <v>0</v>
      </c>
      <c r="P301" s="48">
        <f>IF(P$8=1,IF(11=Corte,N(V_LC_Saldo0),0),O$301+P$299-P$300)</f>
        <v>0</v>
      </c>
      <c r="Q301" s="48">
        <f>IF(Q$8=1,IF(12=Corte,N(V_LC_Saldo0),0),P$301+Q$299-Q$300)</f>
        <v>0</v>
      </c>
      <c r="R301" s="48">
        <f>IF(R$8=1,IF(13=Corte,N(V_LC_Saldo0),0),Q$301+R$299-R$300)</f>
        <v>0</v>
      </c>
      <c r="S301" s="48">
        <f>IF(S$8=1,IF(14=Corte,N(V_LC_Saldo0),0),R$301+S$299-S$300)</f>
        <v>0</v>
      </c>
      <c r="T301" s="48">
        <f>IF(T$8=1,IF(15=Corte,N(V_LC_Saldo0),0),S$301+T$299-T$300)</f>
        <v>0</v>
      </c>
      <c r="U301" s="48">
        <f>IF(U$8=1,IF(16=Corte,N(V_LC_Saldo0),0),T$301+U$299-U$300)</f>
        <v>0</v>
      </c>
      <c r="V301" s="48">
        <f>IF(V$8=1,IF(17=Corte,N(V_LC_Saldo0),0),U$301+V$299-V$300)</f>
        <v>0</v>
      </c>
      <c r="W301" s="48">
        <f>IF(W$8=1,IF(18=Corte,N(V_LC_Saldo0),0),V$301+W$299-W$300)</f>
        <v>0</v>
      </c>
      <c r="X301" s="48">
        <f>IF(X$8=1,IF(19=Corte,N(V_LC_Saldo0),0),W$301+X$299-X$300)</f>
        <v>0</v>
      </c>
      <c r="Y301" s="48">
        <f>IF(Y$8=1,IF(20=Corte,N(V_LC_Saldo0),0),X$301+Y$299-Y$300)</f>
        <v>0</v>
      </c>
      <c r="Z301" s="48">
        <f>IF(Z$8=1,IF(21=Corte,N(V_LC_Saldo0),0),Y$301+Z$299-Z$300)</f>
        <v>0</v>
      </c>
      <c r="AA301" s="48">
        <f>IF(AA$8=1,IF(22=Corte,N(V_LC_Saldo0),0),Z$301+AA$299-AA$300)</f>
        <v>0</v>
      </c>
      <c r="AB301" s="48">
        <f>IF(AB$8=1,IF(23=Corte,N(V_LC_Saldo0),0),AA$301+AB$299-AB$300)</f>
        <v>0</v>
      </c>
      <c r="AC301" s="48">
        <f>IF(AC$8=1,IF(24=Corte,N(V_LC_Saldo0),0),AB$301+AC$299-AC$300)</f>
        <v>0</v>
      </c>
      <c r="AD301" s="48">
        <f>IF(AD$8=1,IF(25=Corte,N(V_LC_Saldo0),0),AC$301+AD$299-AD$300)</f>
        <v>0</v>
      </c>
      <c r="AE301" s="48">
        <f>IF(AE$8=1,IF(26=Corte,N(V_LC_Saldo0),0),AD$301+AE$299-AE$300)</f>
        <v>0</v>
      </c>
      <c r="AF301" s="48">
        <f>IF(AF$8=1,IF(27=Corte,N(V_LC_Saldo0),0),AE$301+AF$299-AF$300)</f>
        <v>0</v>
      </c>
      <c r="AG301" s="48">
        <f>IF(AG$8=1,IF(28=Corte,N(V_LC_Saldo0),0),AF$301+AG$299-AG$300)</f>
        <v>0</v>
      </c>
      <c r="AH301" s="48">
        <f>IF(AH$8=1,IF(29=Corte,N(V_LC_Saldo0),0),AG$301+AH$299-AH$300)</f>
        <v>0</v>
      </c>
      <c r="AI301" s="48">
        <f>IF(AI$8=1,IF(30=Corte,N(V_LC_Saldo0),0),AH$301+AI$299-AI$300)</f>
        <v>0</v>
      </c>
      <c r="AJ301" s="48">
        <f>IF(AJ$8=1,IF(31=Corte,N(V_LC_Saldo0),0),AI$301+AJ$299-AJ$300)</f>
        <v>0</v>
      </c>
      <c r="AK301" s="48">
        <f>IF(AK$8=1,IF(32=Corte,N(V_LC_Saldo0),0),AJ$301+AK$299-AK$300)</f>
        <v>0</v>
      </c>
      <c r="AL301" s="48">
        <f>IF(AL$8=1,IF(33=Corte,N(V_LC_Saldo0),0),AK$301+AL$299-AL$300)</f>
        <v>0</v>
      </c>
      <c r="AM301" s="48">
        <f>IF(AM$8=1,IF(34=Corte,N(V_LC_Saldo0),0),AL$301+AM$299-AM$300)</f>
        <v>0</v>
      </c>
      <c r="AN301" s="48">
        <f>IF(AN$8=1,IF(35=Corte,N(V_LC_Saldo0),0),AM$301+AN$299-AN$300)</f>
        <v>0</v>
      </c>
      <c r="AO301" s="48">
        <f>IF(AO$8=1,IF(36=Corte,N(V_LC_Saldo0),0),AN$301+AO$299-AO$300)</f>
        <v>0</v>
      </c>
      <c r="AP301" s="48">
        <f>IF(AP$8=1,IF(37=Corte,N(V_LC_Saldo0),0),AO$301+AP$299-AP$300)</f>
        <v>0</v>
      </c>
      <c r="AQ301" s="48">
        <f>IF(AQ$8=1,IF(38=Corte,N(V_LC_Saldo0),0),AP$301+AQ$299-AQ$300)</f>
        <v>0</v>
      </c>
      <c r="AR301" s="48">
        <f>IF(AR$8=1,IF(39=Corte,N(V_LC_Saldo0),0),AQ$301+AR$299-AR$300)</f>
        <v>0</v>
      </c>
      <c r="AS301" s="48">
        <f>IF(AS$8=1,IF(40=Corte,N(V_LC_Saldo0),0),AR$301+AS$299-AS$300)</f>
        <v>0</v>
      </c>
      <c r="AT301" s="48">
        <f>IF(AT$8=1,IF(41=Corte,N(V_LC_Saldo0),0),AS$301+AT$299-AT$300)</f>
        <v>0</v>
      </c>
      <c r="AU301" s="48">
        <f>IF(AU$8=1,IF(42=Corte,N(V_LC_Saldo0),0),AT$301+AU$299-AU$300)</f>
        <v>0</v>
      </c>
      <c r="AV301" s="48">
        <f>IF(AV$8=1,IF(43=Corte,N(V_LC_Saldo0),0),AU$301+AV$299-AV$300)</f>
        <v>0</v>
      </c>
      <c r="AW301" s="48">
        <f>IF(AW$8=1,IF(44=Corte,N(V_LC_Saldo0),0),AV$301+AW$299-AW$300)</f>
        <v>0</v>
      </c>
      <c r="AX301" s="48">
        <f>IF(AX$8=1,IF(45=Corte,N(V_LC_Saldo0),0),AW$301+AX$299-AX$300)</f>
        <v>0</v>
      </c>
      <c r="AY301" s="48">
        <f>IF(AY$8=1,IF(46=Corte,N(V_LC_Saldo0),0),AX$301+AY$299-AY$300)</f>
        <v>0</v>
      </c>
      <c r="AZ301" s="48">
        <f>IF(AZ$8=1,IF(47=Corte,N(V_LC_Saldo0),0),AY$301+AZ$299-AZ$300)</f>
        <v>0</v>
      </c>
      <c r="BA301" s="48">
        <f>IF(BA$8=1,IF(48=Corte,N(V_LC_Saldo0),0),AZ$301+BA$299-BA$300)</f>
        <v>0</v>
      </c>
      <c r="BB301" s="48">
        <f>IF(BB$8=1,IF(49=Corte,N(V_LC_Saldo0),0),BA$301+BB$299-BB$300)</f>
        <v>0</v>
      </c>
      <c r="BC301" s="48">
        <f>IF(BC$8=1,IF(50=Corte,N(V_LC_Saldo0),0),BB$301+BC$299-BC$300)</f>
        <v>0</v>
      </c>
      <c r="BD301" s="48">
        <f>IF(BD$8=1,IF(51=Corte,N(V_LC_Saldo0),0),BC$301+BD$299-BD$300)</f>
        <v>0</v>
      </c>
      <c r="BE301" s="48">
        <f>IF(BE$8=1,IF(52=Corte,N(V_LC_Saldo0),0),BD$301+BE$299-BE$300)</f>
        <v>0</v>
      </c>
      <c r="BF301" s="48">
        <f>IF(BF$8=1,IF(53=Corte,N(V_LC_Saldo0),0),BE$301+BF$299-BF$300)</f>
        <v>0</v>
      </c>
      <c r="BG301" s="48">
        <f>IF(BG$8=1,IF(54=Corte,N(V_LC_Saldo0),0),BF$301+BG$299-BG$300)</f>
        <v>0</v>
      </c>
      <c r="BH301" s="48">
        <f>IF(BH$8=1,IF(55=Corte,N(V_LC_Saldo0),0),BG$301+BH$299-BH$300)</f>
        <v>0</v>
      </c>
      <c r="BI301" s="48">
        <f>IF(BI$8=1,IF(56=Corte,N(V_LC_Saldo0),0),BH$301+BI$299-BI$300)</f>
        <v>0</v>
      </c>
      <c r="BJ301" s="48">
        <f>IF(BJ$8=1,IF(57=Corte,N(V_LC_Saldo0),0),BI$301+BJ$299-BJ$300)</f>
        <v>0</v>
      </c>
      <c r="BK301" s="48">
        <f>IF(BK$8=1,IF(58=Corte,N(V_LC_Saldo0),0),BJ$301+BK$299-BK$300)</f>
        <v>0</v>
      </c>
      <c r="BL301" s="48">
        <f>IF(BL$8=1,IF(59=Corte,N(V_LC_Saldo0),0),BK$301+BL$299-BL$300)</f>
        <v>0</v>
      </c>
      <c r="BM301" s="48">
        <f>IF(BM$8=1,IF(60=Corte,N(V_LC_Saldo0),0),BL$301+BM$299-BM$300)</f>
        <v>0</v>
      </c>
      <c r="BN301" s="48">
        <f>IF(BN$8=1,IF(61=Corte,N(V_LC_Saldo0),0),BM$301+BN$299-BN$300)</f>
        <v>0</v>
      </c>
      <c r="BO301" s="48">
        <f>IF(BO$8=1,IF(62=Corte,N(V_LC_Saldo0),0),BN$301+BO$299-BO$300)</f>
        <v>0</v>
      </c>
      <c r="BP301" s="48">
        <f>IF(BP$8=1,IF(63=Corte,N(V_LC_Saldo0),0),BO$301+BP$299-BP$300)</f>
        <v>0</v>
      </c>
      <c r="BQ301" s="48">
        <f>IF(BQ$8=1,IF(64=Corte,N(V_LC_Saldo0),0),BP$301+BQ$299-BQ$300)</f>
        <v>0</v>
      </c>
      <c r="BR301" s="48">
        <f>IF(BR$8=1,IF(65=Corte,N(V_LC_Saldo0),0),BQ$301+BR$299-BR$300)</f>
        <v>0</v>
      </c>
      <c r="BS301" s="48">
        <f>IF(BS$8=1,IF(66=Corte,N(V_LC_Saldo0),0),BR$301+BS$299-BS$300)</f>
        <v>0</v>
      </c>
      <c r="BT301" s="48">
        <f>IF(BT$8=1,IF(67=Corte,N(V_LC_Saldo0),0),BS$301+BT$299-BT$300)</f>
        <v>0</v>
      </c>
      <c r="BU301" s="48">
        <f>IF(BU$8=1,IF(68=Corte,N(V_LC_Saldo0),0),BT$301+BU$299-BU$300)</f>
        <v>0</v>
      </c>
      <c r="BV301" s="48">
        <f>IF(BV$8=1,IF(69=Corte,N(V_LC_Saldo0),0),BU$301+BV$299-BV$300)</f>
        <v>0</v>
      </c>
      <c r="BW301" s="48">
        <f>IF(BW$8=1,IF(70=Corte,N(V_LC_Saldo0),0),BV$301+BW$299-BW$300)</f>
        <v>0</v>
      </c>
      <c r="BX301" s="48">
        <f>IF(BX$8=1,IF(71=Corte,N(V_LC_Saldo0),0),BW$301+BX$299-BX$300)</f>
        <v>0</v>
      </c>
      <c r="BY301" s="48">
        <f>IF(BY$8=1,IF(72=Corte,N(V_LC_Saldo0),0),BX$301+BY$299-BY$300)</f>
        <v>0</v>
      </c>
      <c r="BZ301" s="48">
        <f>IF(BZ$8=1,IF(73=Corte,N(V_LC_Saldo0),0),BY$301+BZ$299-BZ$300)</f>
        <v>0</v>
      </c>
      <c r="CA301" s="48">
        <f>IF(CA$8=1,IF(74=Corte,N(V_LC_Saldo0),0),BZ$301+CA$299-CA$300)</f>
        <v>0</v>
      </c>
      <c r="CB301" s="48">
        <f>IF(CB$8=1,IF(75=Corte,N(V_LC_Saldo0),0),CA$301+CB$299-CB$300)</f>
        <v>0</v>
      </c>
      <c r="CC301" s="48">
        <f>IF(CC$8=1,IF(76=Corte,N(V_LC_Saldo0),0),CB$301+CC$299-CC$300)</f>
        <v>0</v>
      </c>
      <c r="CD301" s="48">
        <f>IF(CD$8=1,IF(77=Corte,N(V_LC_Saldo0),0),CC$301+CD$299-CD$300)</f>
        <v>0</v>
      </c>
      <c r="CE301" s="48">
        <f>IF(CE$8=1,IF(78=Corte,N(V_LC_Saldo0),0),CD$301+CE$299-CE$300)</f>
        <v>0</v>
      </c>
      <c r="CF301" s="48">
        <f>IF(CF$8=1,IF(79=Corte,N(V_LC_Saldo0),0),CE$301+CF$299-CF$300)</f>
        <v>0</v>
      </c>
      <c r="CG301" s="48">
        <f>IF(CG$8=1,IF(80=Corte,N(V_LC_Saldo0),0),CF$301+CG$299-CG$300)</f>
        <v>0</v>
      </c>
      <c r="CH301" s="48">
        <f>IF(CH$8=1,IF(81=Corte,N(V_LC_Saldo0),0),CG$301+CH$299-CH$300)</f>
        <v>0</v>
      </c>
      <c r="CI301" s="48">
        <f>IF(CI$8=1,IF(82=Corte,N(V_LC_Saldo0),0),CH$301+CI$299-CI$300)</f>
        <v>0</v>
      </c>
      <c r="CJ301" s="48">
        <f>IF(CJ$8=1,IF(83=Corte,N(V_LC_Saldo0),0),CI$301+CJ$299-CJ$300)</f>
        <v>0</v>
      </c>
      <c r="CK301" s="48">
        <f>IF(CK$8=1,IF(84=Corte,N(V_LC_Saldo0),0),CJ$301+CK$299-CK$300)</f>
        <v>0</v>
      </c>
      <c r="CL301" s="48">
        <f>IF(CL$8=1,IF(85=Corte,N(V_LC_Saldo0),0),CK$301+CL$299-CL$300)</f>
        <v>0</v>
      </c>
      <c r="CM301" s="48">
        <f>IF(CM$8=1,IF(86=Corte,N(V_LC_Saldo0),0),CL$301+CM$299-CM$300)</f>
        <v>0</v>
      </c>
      <c r="CN301" s="48">
        <f>IF(CN$8=1,IF(87=Corte,N(V_LC_Saldo0),0),CM$301+CN$299-CN$300)</f>
        <v>0</v>
      </c>
      <c r="CO301" s="48">
        <f>IF(CO$8=1,IF(88=Corte,N(V_LC_Saldo0),0),CN$301+CO$299-CO$300)</f>
        <v>0</v>
      </c>
      <c r="CP301" s="48">
        <f>IF(CP$8=1,IF(89=Corte,N(V_LC_Saldo0),0),CO$301+CP$299-CP$300)</f>
        <v>0</v>
      </c>
      <c r="CQ301" s="48">
        <f>IF(CQ$8=1,IF(90=Corte,N(V_LC_Saldo0),0),CP$301+CQ$299-CQ$300)</f>
        <v>0</v>
      </c>
      <c r="CR301" s="48">
        <f>IF(CR$8=1,IF(91=Corte,N(V_LC_Saldo0),0),CQ$301+CR$299-CR$300)</f>
        <v>0</v>
      </c>
      <c r="CS301" s="48">
        <f>IF(CS$8=1,IF(92=Corte,N(V_LC_Saldo0),0),CR$301+CS$299-CS$300)</f>
        <v>0</v>
      </c>
      <c r="CT301" s="48">
        <f>IF(CT$8=1,IF(93=Corte,N(V_LC_Saldo0),0),CS$301+CT$299-CT$300)</f>
        <v>0</v>
      </c>
      <c r="CU301" s="48">
        <f>IF(CU$8=1,IF(94=Corte,N(V_LC_Saldo0),0),CT$301+CU$299-CU$300)</f>
        <v>0</v>
      </c>
      <c r="CV301" s="48">
        <f>IF(CV$8=1,IF(95=Corte,N(V_LC_Saldo0),0),CU$301+CV$299-CV$300)</f>
        <v>0</v>
      </c>
      <c r="CW301" s="48">
        <f>IF(CW$8=1,IF(96=Corte,N(V_LC_Saldo0),0),CV$301+CW$299-CW$300)</f>
        <v>0</v>
      </c>
      <c r="CX301" s="48">
        <f>IF(CX$8=1,IF(97=Corte,N(V_LC_Saldo0),0),CW$301+CX$299-CX$300)</f>
        <v>0</v>
      </c>
      <c r="CY301" s="48">
        <f>IF(CY$8=1,IF(98=Corte,N(V_LC_Saldo0),0),CX$301+CY$299-CY$300)</f>
        <v>0</v>
      </c>
      <c r="CZ301" s="48">
        <f>IF(CZ$8=1,IF(99=Corte,N(V_LC_Saldo0),0),CY$301+CZ$299-CZ$300)</f>
        <v>0</v>
      </c>
      <c r="DA301" s="48">
        <f>IF(DA$8=1,IF(100=Corte,N(V_LC_Saldo0),0),CZ$301+DA$299-DA$300)</f>
        <v>0</v>
      </c>
      <c r="DB301" s="48">
        <f>IF(DB$8=1,IF(101=Corte,N(V_LC_Saldo0),0),DA$301+DB$299-DB$300)</f>
        <v>0</v>
      </c>
      <c r="DC301" s="48">
        <f>IF(DC$8=1,IF(102=Corte,N(V_LC_Saldo0),0),DB$301+DC$299-DC$300)</f>
        <v>0</v>
      </c>
      <c r="DD301" s="48">
        <f>IF(DD$8=1,IF(103=Corte,N(V_LC_Saldo0),0),DC$301+DD$299-DD$300)</f>
        <v>0</v>
      </c>
      <c r="DE301" s="48">
        <f>IF(DE$8=1,IF(104=Corte,N(V_LC_Saldo0),0),DD$301+DE$299-DE$300)</f>
        <v>0</v>
      </c>
      <c r="DF301" s="48">
        <f>IF(DF$8=1,IF(105=Corte,N(V_LC_Saldo0),0),DE$301+DF$299-DF$300)</f>
        <v>0</v>
      </c>
      <c r="DG301" s="48">
        <f>IF(DG$8=1,IF(106=Corte,N(V_LC_Saldo0),0),DF$301+DG$299-DG$300)</f>
        <v>0</v>
      </c>
      <c r="DH301" s="48">
        <f>IF(DH$8=1,IF(107=Corte,N(V_LC_Saldo0),0),DG$301+DH$299-DH$300)</f>
        <v>0</v>
      </c>
      <c r="DI301" s="48">
        <f>IF(DI$8=1,IF(108=Corte,N(V_LC_Saldo0),0),DH$301+DI$299-DI$300)</f>
        <v>0</v>
      </c>
      <c r="DJ301" s="48">
        <f>IF(DJ$8=1,IF(109=Corte,N(V_LC_Saldo0),0),DI$301+DJ$299-DJ$300)</f>
        <v>0</v>
      </c>
      <c r="DK301" s="48">
        <f>IF(DK$8=1,IF(110=Corte,N(V_LC_Saldo0),0),DJ$301+DK$299-DK$300)</f>
        <v>0</v>
      </c>
      <c r="DL301" s="48">
        <f>IF(DL$8=1,IF(111=Corte,N(V_LC_Saldo0),0),DK$301+DL$299-DL$300)</f>
        <v>0</v>
      </c>
      <c r="DM301" s="48">
        <f>IF(DM$8=1,IF(112=Corte,N(V_LC_Saldo0),0),DL$301+DM$299-DM$300)</f>
        <v>0</v>
      </c>
      <c r="DN301" s="48">
        <f>IF(DN$8=1,IF(113=Corte,N(V_LC_Saldo0),0),DM$301+DN$299-DN$300)</f>
        <v>0</v>
      </c>
      <c r="DO301" s="48">
        <f>IF(DO$8=1,IF(114=Corte,N(V_LC_Saldo0),0),DN$301+DO$299-DO$300)</f>
        <v>0</v>
      </c>
      <c r="DP301" s="48">
        <f>IF(DP$8=1,IF(115=Corte,N(V_LC_Saldo0),0),DO$301+DP$299-DP$300)</f>
        <v>0</v>
      </c>
      <c r="DQ301" s="48">
        <f>IF(DQ$8=1,IF(116=Corte,N(V_LC_Saldo0),0),DP$301+DQ$299-DQ$300)</f>
        <v>0</v>
      </c>
      <c r="DR301" s="48">
        <f>IF(DR$8=1,IF(117=Corte,N(V_LC_Saldo0),0),DQ$301+DR$299-DR$300)</f>
        <v>0</v>
      </c>
      <c r="DS301" s="48">
        <f>IF(DS$8=1,IF(118=Corte,N(V_LC_Saldo0),0),DR$301+DS$299-DS$300)</f>
        <v>0</v>
      </c>
      <c r="DT301" s="48">
        <f>IF(DT$8=1,IF(119=Corte,N(V_LC_Saldo0),0),DS$301+DT$299-DT$300)</f>
        <v>0</v>
      </c>
      <c r="DU301" s="48">
        <f>IF(DU$8=1,IF(120=Corte,N(V_LC_Saldo0),0),DT$301+DU$299-DU$300)</f>
        <v>0</v>
      </c>
      <c r="DV301" s="48">
        <f>IF(DV$8=1,IF(121=Corte,N(V_LC_Saldo0),0),DU$301+DV$299-DV$300)</f>
        <v>0</v>
      </c>
      <c r="DW301" s="48">
        <f>IF(DW$8=1,IF(122=Corte,N(V_LC_Saldo0),0),DV$301+DW$299-DW$300)</f>
        <v>0</v>
      </c>
      <c r="DX301" s="48">
        <f>IF(DX$8=1,IF(123=Corte,N(V_LC_Saldo0),0),DW$301+DX$299-DX$300)</f>
        <v>0</v>
      </c>
      <c r="DY301" s="48">
        <f>IF(DY$8=1,IF(124=Corte,N(V_LC_Saldo0),0),DX$301+DY$299-DY$300)</f>
        <v>0</v>
      </c>
      <c r="DZ301" s="48">
        <f>IF(DZ$8=1,IF(125=Corte,N(V_LC_Saldo0),0),DY$301+DZ$299-DZ$300)</f>
        <v>0</v>
      </c>
      <c r="EA301" s="48">
        <f>IF(EA$8=1,IF(126=Corte,N(V_LC_Saldo0),0),DZ$301+EA$299-EA$300)</f>
        <v>0</v>
      </c>
      <c r="EB301" s="48">
        <f>IF(EB$8=1,IF(127=Corte,N(V_LC_Saldo0),0),EA$301+EB$299-EB$300)</f>
        <v>0</v>
      </c>
      <c r="EC301" s="48">
        <f>IF(EC$8=1,IF(128=Corte,N(V_LC_Saldo0),0),EB$301+EC$299-EC$300)</f>
        <v>0</v>
      </c>
      <c r="ED301" s="48">
        <f>IF(ED$8=1,IF(129=Corte,N(V_LC_Saldo0),0),EC$301+ED$299-ED$300)</f>
        <v>0</v>
      </c>
      <c r="EE301" s="48">
        <f>IF(EE$8=1,IF(130=Corte,N(V_LC_Saldo0),0),ED$301+EE$299-EE$300)</f>
        <v>0</v>
      </c>
      <c r="EF301" s="48">
        <f>IF(EF$8=1,IF(131=Corte,N(V_LC_Saldo0),0),EE$301+EF$299-EF$300)</f>
        <v>0</v>
      </c>
      <c r="EG301" s="48">
        <f>IF(EG$8=1,IF(132=Corte,N(V_LC_Saldo0),0),EF$301+EG$299-EG$300)</f>
        <v>0</v>
      </c>
      <c r="EH301" s="48">
        <f>IF(EH$8=1,IF(133=Corte,N(V_LC_Saldo0),0),EG$301+EH$299-EH$300)</f>
        <v>0</v>
      </c>
      <c r="EI301" s="48">
        <f>IF(EI$8=1,IF(134=Corte,N(V_LC_Saldo0),0),EH$301+EI$299-EI$300)</f>
        <v>0</v>
      </c>
      <c r="EJ301" s="48">
        <f>IF(EJ$8=1,IF(135=Corte,N(V_LC_Saldo0),0),EI$301+EJ$299-EJ$300)</f>
        <v>0</v>
      </c>
      <c r="EK301" s="48">
        <f>IF(EK$8=1,IF(136=Corte,N(V_LC_Saldo0),0),EJ$301+EK$299-EK$300)</f>
        <v>0</v>
      </c>
      <c r="EL301" s="48">
        <f>IF(EL$8=1,IF(137=Corte,N(V_LC_Saldo0),0),EK$301+EL$299-EL$300)</f>
        <v>0</v>
      </c>
      <c r="EM301" s="48">
        <f>IF(EM$8=1,IF(138=Corte,N(V_LC_Saldo0),0),EL$301+EM$299-EM$300)</f>
        <v>0</v>
      </c>
      <c r="EN301" s="48">
        <f>IF(EN$8=1,IF(139=Corte,N(V_LC_Saldo0),0),EM$301+EN$299-EN$300)</f>
        <v>0</v>
      </c>
      <c r="EO301" s="48">
        <f>IF(EO$8=1,IF(140=Corte,N(V_LC_Saldo0),0),EN$301+EO$299-EO$300)</f>
        <v>0</v>
      </c>
      <c r="EP301" s="48">
        <f>IF(EP$8=1,IF(141=Corte,N(V_LC_Saldo0),0),EO$301+EP$299-EP$300)</f>
        <v>0</v>
      </c>
      <c r="EQ301" s="48">
        <f>IF(EQ$8=1,IF(142=Corte,N(V_LC_Saldo0),0),EP$301+EQ$299-EQ$300)</f>
        <v>0</v>
      </c>
      <c r="ER301" s="48">
        <f>IF(ER$8=1,IF(143=Corte,N(V_LC_Saldo0),0),EQ$301+ER$299-ER$300)</f>
        <v>0</v>
      </c>
      <c r="ES301" s="48">
        <f>IF(ES$8=1,IF(144=Corte,N(V_LC_Saldo0),0),ER$301+ES$299-ES$300)</f>
        <v>0</v>
      </c>
    </row>
    <row r="302" spans="1:149" x14ac:dyDescent="0.3">
      <c r="A302" s="14" t="s">
        <v>1351</v>
      </c>
      <c r="B302" s="18" t="s">
        <v>1187</v>
      </c>
      <c r="C302" s="18" t="s">
        <v>439</v>
      </c>
      <c r="E302" s="54">
        <f>SUM(F302:ES302)</f>
        <v>2791587</v>
      </c>
      <c r="F302" s="48">
        <f t="shared" ref="F302:AK302" si="728">F$292+F$299</f>
        <v>2791587</v>
      </c>
      <c r="G302" s="48">
        <f t="shared" si="728"/>
        <v>0</v>
      </c>
      <c r="H302" s="48">
        <f t="shared" si="728"/>
        <v>0</v>
      </c>
      <c r="I302" s="48">
        <f t="shared" si="728"/>
        <v>0</v>
      </c>
      <c r="J302" s="48">
        <f t="shared" si="728"/>
        <v>0</v>
      </c>
      <c r="K302" s="48">
        <f t="shared" si="728"/>
        <v>0</v>
      </c>
      <c r="L302" s="48">
        <f t="shared" si="728"/>
        <v>0</v>
      </c>
      <c r="M302" s="48">
        <f t="shared" si="728"/>
        <v>0</v>
      </c>
      <c r="N302" s="48">
        <f t="shared" si="728"/>
        <v>0</v>
      </c>
      <c r="O302" s="48">
        <f t="shared" si="728"/>
        <v>0</v>
      </c>
      <c r="P302" s="48">
        <f t="shared" si="728"/>
        <v>0</v>
      </c>
      <c r="Q302" s="48">
        <f t="shared" si="728"/>
        <v>0</v>
      </c>
      <c r="R302" s="48">
        <f t="shared" si="728"/>
        <v>0</v>
      </c>
      <c r="S302" s="48">
        <f t="shared" si="728"/>
        <v>0</v>
      </c>
      <c r="T302" s="48">
        <f t="shared" si="728"/>
        <v>0</v>
      </c>
      <c r="U302" s="48">
        <f t="shared" si="728"/>
        <v>0</v>
      </c>
      <c r="V302" s="48">
        <f t="shared" si="728"/>
        <v>0</v>
      </c>
      <c r="W302" s="48">
        <f t="shared" si="728"/>
        <v>0</v>
      </c>
      <c r="X302" s="48">
        <f t="shared" si="728"/>
        <v>0</v>
      </c>
      <c r="Y302" s="48">
        <f t="shared" si="728"/>
        <v>0</v>
      </c>
      <c r="Z302" s="48">
        <f t="shared" si="728"/>
        <v>0</v>
      </c>
      <c r="AA302" s="48">
        <f t="shared" si="728"/>
        <v>0</v>
      </c>
      <c r="AB302" s="48">
        <f t="shared" si="728"/>
        <v>0</v>
      </c>
      <c r="AC302" s="48">
        <f t="shared" si="728"/>
        <v>0</v>
      </c>
      <c r="AD302" s="48">
        <f t="shared" si="728"/>
        <v>0</v>
      </c>
      <c r="AE302" s="48">
        <f t="shared" si="728"/>
        <v>0</v>
      </c>
      <c r="AF302" s="48">
        <f t="shared" si="728"/>
        <v>0</v>
      </c>
      <c r="AG302" s="48">
        <f t="shared" si="728"/>
        <v>0</v>
      </c>
      <c r="AH302" s="48">
        <f t="shared" si="728"/>
        <v>0</v>
      </c>
      <c r="AI302" s="48">
        <f t="shared" si="728"/>
        <v>0</v>
      </c>
      <c r="AJ302" s="48">
        <f t="shared" si="728"/>
        <v>0</v>
      </c>
      <c r="AK302" s="48">
        <f t="shared" si="728"/>
        <v>0</v>
      </c>
      <c r="AL302" s="48">
        <f t="shared" ref="AL302:BQ302" si="729">AL$292+AL$299</f>
        <v>0</v>
      </c>
      <c r="AM302" s="48">
        <f t="shared" si="729"/>
        <v>0</v>
      </c>
      <c r="AN302" s="48">
        <f t="shared" si="729"/>
        <v>0</v>
      </c>
      <c r="AO302" s="48">
        <f t="shared" si="729"/>
        <v>0</v>
      </c>
      <c r="AP302" s="48">
        <f t="shared" si="729"/>
        <v>0</v>
      </c>
      <c r="AQ302" s="48">
        <f t="shared" si="729"/>
        <v>0</v>
      </c>
      <c r="AR302" s="48">
        <f t="shared" si="729"/>
        <v>0</v>
      </c>
      <c r="AS302" s="48">
        <f t="shared" si="729"/>
        <v>0</v>
      </c>
      <c r="AT302" s="48">
        <f t="shared" si="729"/>
        <v>0</v>
      </c>
      <c r="AU302" s="48">
        <f t="shared" si="729"/>
        <v>0</v>
      </c>
      <c r="AV302" s="48">
        <f t="shared" si="729"/>
        <v>0</v>
      </c>
      <c r="AW302" s="48">
        <f t="shared" si="729"/>
        <v>0</v>
      </c>
      <c r="AX302" s="48">
        <f t="shared" si="729"/>
        <v>0</v>
      </c>
      <c r="AY302" s="48">
        <f t="shared" si="729"/>
        <v>0</v>
      </c>
      <c r="AZ302" s="48">
        <f t="shared" si="729"/>
        <v>0</v>
      </c>
      <c r="BA302" s="48">
        <f t="shared" si="729"/>
        <v>0</v>
      </c>
      <c r="BB302" s="48">
        <f t="shared" si="729"/>
        <v>0</v>
      </c>
      <c r="BC302" s="48">
        <f t="shared" si="729"/>
        <v>0</v>
      </c>
      <c r="BD302" s="48">
        <f t="shared" si="729"/>
        <v>0</v>
      </c>
      <c r="BE302" s="48">
        <f t="shared" si="729"/>
        <v>0</v>
      </c>
      <c r="BF302" s="48">
        <f t="shared" si="729"/>
        <v>0</v>
      </c>
      <c r="BG302" s="48">
        <f t="shared" si="729"/>
        <v>0</v>
      </c>
      <c r="BH302" s="48">
        <f t="shared" si="729"/>
        <v>0</v>
      </c>
      <c r="BI302" s="48">
        <f t="shared" si="729"/>
        <v>0</v>
      </c>
      <c r="BJ302" s="48">
        <f t="shared" si="729"/>
        <v>0</v>
      </c>
      <c r="BK302" s="48">
        <f t="shared" si="729"/>
        <v>0</v>
      </c>
      <c r="BL302" s="48">
        <f t="shared" si="729"/>
        <v>0</v>
      </c>
      <c r="BM302" s="48">
        <f t="shared" si="729"/>
        <v>0</v>
      </c>
      <c r="BN302" s="48">
        <f t="shared" si="729"/>
        <v>0</v>
      </c>
      <c r="BO302" s="48">
        <f t="shared" si="729"/>
        <v>0</v>
      </c>
      <c r="BP302" s="48">
        <f t="shared" si="729"/>
        <v>0</v>
      </c>
      <c r="BQ302" s="48">
        <f t="shared" si="729"/>
        <v>0</v>
      </c>
      <c r="BR302" s="48">
        <f t="shared" ref="BR302:CW302" si="730">BR$292+BR$299</f>
        <v>0</v>
      </c>
      <c r="BS302" s="48">
        <f t="shared" si="730"/>
        <v>0</v>
      </c>
      <c r="BT302" s="48">
        <f t="shared" si="730"/>
        <v>0</v>
      </c>
      <c r="BU302" s="48">
        <f t="shared" si="730"/>
        <v>0</v>
      </c>
      <c r="BV302" s="48">
        <f t="shared" si="730"/>
        <v>0</v>
      </c>
      <c r="BW302" s="48">
        <f t="shared" si="730"/>
        <v>0</v>
      </c>
      <c r="BX302" s="48">
        <f t="shared" si="730"/>
        <v>0</v>
      </c>
      <c r="BY302" s="48">
        <f t="shared" si="730"/>
        <v>0</v>
      </c>
      <c r="BZ302" s="48">
        <f t="shared" si="730"/>
        <v>0</v>
      </c>
      <c r="CA302" s="48">
        <f t="shared" si="730"/>
        <v>0</v>
      </c>
      <c r="CB302" s="48">
        <f t="shared" si="730"/>
        <v>0</v>
      </c>
      <c r="CC302" s="48">
        <f t="shared" si="730"/>
        <v>0</v>
      </c>
      <c r="CD302" s="48">
        <f t="shared" si="730"/>
        <v>0</v>
      </c>
      <c r="CE302" s="48">
        <f t="shared" si="730"/>
        <v>0</v>
      </c>
      <c r="CF302" s="48">
        <f t="shared" si="730"/>
        <v>0</v>
      </c>
      <c r="CG302" s="48">
        <f t="shared" si="730"/>
        <v>0</v>
      </c>
      <c r="CH302" s="48">
        <f t="shared" si="730"/>
        <v>0</v>
      </c>
      <c r="CI302" s="48">
        <f t="shared" si="730"/>
        <v>0</v>
      </c>
      <c r="CJ302" s="48">
        <f t="shared" si="730"/>
        <v>0</v>
      </c>
      <c r="CK302" s="48">
        <f t="shared" si="730"/>
        <v>0</v>
      </c>
      <c r="CL302" s="48">
        <f t="shared" si="730"/>
        <v>0</v>
      </c>
      <c r="CM302" s="48">
        <f t="shared" si="730"/>
        <v>0</v>
      </c>
      <c r="CN302" s="48">
        <f t="shared" si="730"/>
        <v>0</v>
      </c>
      <c r="CO302" s="48">
        <f t="shared" si="730"/>
        <v>0</v>
      </c>
      <c r="CP302" s="48">
        <f t="shared" si="730"/>
        <v>0</v>
      </c>
      <c r="CQ302" s="48">
        <f t="shared" si="730"/>
        <v>0</v>
      </c>
      <c r="CR302" s="48">
        <f t="shared" si="730"/>
        <v>0</v>
      </c>
      <c r="CS302" s="48">
        <f t="shared" si="730"/>
        <v>0</v>
      </c>
      <c r="CT302" s="48">
        <f t="shared" si="730"/>
        <v>0</v>
      </c>
      <c r="CU302" s="48">
        <f t="shared" si="730"/>
        <v>0</v>
      </c>
      <c r="CV302" s="48">
        <f t="shared" si="730"/>
        <v>0</v>
      </c>
      <c r="CW302" s="48">
        <f t="shared" si="730"/>
        <v>0</v>
      </c>
      <c r="CX302" s="48">
        <f t="shared" ref="CX302:EC302" si="731">CX$292+CX$299</f>
        <v>0</v>
      </c>
      <c r="CY302" s="48">
        <f t="shared" si="731"/>
        <v>0</v>
      </c>
      <c r="CZ302" s="48">
        <f t="shared" si="731"/>
        <v>0</v>
      </c>
      <c r="DA302" s="48">
        <f t="shared" si="731"/>
        <v>0</v>
      </c>
      <c r="DB302" s="48">
        <f t="shared" si="731"/>
        <v>0</v>
      </c>
      <c r="DC302" s="48">
        <f t="shared" si="731"/>
        <v>0</v>
      </c>
      <c r="DD302" s="48">
        <f t="shared" si="731"/>
        <v>0</v>
      </c>
      <c r="DE302" s="48">
        <f t="shared" si="731"/>
        <v>0</v>
      </c>
      <c r="DF302" s="48">
        <f t="shared" si="731"/>
        <v>0</v>
      </c>
      <c r="DG302" s="48">
        <f t="shared" si="731"/>
        <v>0</v>
      </c>
      <c r="DH302" s="48">
        <f t="shared" si="731"/>
        <v>0</v>
      </c>
      <c r="DI302" s="48">
        <f t="shared" si="731"/>
        <v>0</v>
      </c>
      <c r="DJ302" s="48">
        <f t="shared" si="731"/>
        <v>0</v>
      </c>
      <c r="DK302" s="48">
        <f t="shared" si="731"/>
        <v>0</v>
      </c>
      <c r="DL302" s="48">
        <f t="shared" si="731"/>
        <v>0</v>
      </c>
      <c r="DM302" s="48">
        <f t="shared" si="731"/>
        <v>0</v>
      </c>
      <c r="DN302" s="48">
        <f t="shared" si="731"/>
        <v>0</v>
      </c>
      <c r="DO302" s="48">
        <f t="shared" si="731"/>
        <v>0</v>
      </c>
      <c r="DP302" s="48">
        <f t="shared" si="731"/>
        <v>0</v>
      </c>
      <c r="DQ302" s="48">
        <f t="shared" si="731"/>
        <v>0</v>
      </c>
      <c r="DR302" s="48">
        <f t="shared" si="731"/>
        <v>0</v>
      </c>
      <c r="DS302" s="48">
        <f t="shared" si="731"/>
        <v>0</v>
      </c>
      <c r="DT302" s="48">
        <f t="shared" si="731"/>
        <v>0</v>
      </c>
      <c r="DU302" s="48">
        <f t="shared" si="731"/>
        <v>0</v>
      </c>
      <c r="DV302" s="48">
        <f t="shared" si="731"/>
        <v>0</v>
      </c>
      <c r="DW302" s="48">
        <f t="shared" si="731"/>
        <v>0</v>
      </c>
      <c r="DX302" s="48">
        <f t="shared" si="731"/>
        <v>0</v>
      </c>
      <c r="DY302" s="48">
        <f t="shared" si="731"/>
        <v>0</v>
      </c>
      <c r="DZ302" s="48">
        <f t="shared" si="731"/>
        <v>0</v>
      </c>
      <c r="EA302" s="48">
        <f t="shared" si="731"/>
        <v>0</v>
      </c>
      <c r="EB302" s="48">
        <f t="shared" si="731"/>
        <v>0</v>
      </c>
      <c r="EC302" s="48">
        <f t="shared" si="731"/>
        <v>0</v>
      </c>
      <c r="ED302" s="48">
        <f t="shared" ref="ED302:ES302" si="732">ED$292+ED$299</f>
        <v>0</v>
      </c>
      <c r="EE302" s="48">
        <f t="shared" si="732"/>
        <v>0</v>
      </c>
      <c r="EF302" s="48">
        <f t="shared" si="732"/>
        <v>0</v>
      </c>
      <c r="EG302" s="48">
        <f t="shared" si="732"/>
        <v>0</v>
      </c>
      <c r="EH302" s="48">
        <f t="shared" si="732"/>
        <v>0</v>
      </c>
      <c r="EI302" s="48">
        <f t="shared" si="732"/>
        <v>0</v>
      </c>
      <c r="EJ302" s="48">
        <f t="shared" si="732"/>
        <v>0</v>
      </c>
      <c r="EK302" s="48">
        <f t="shared" si="732"/>
        <v>0</v>
      </c>
      <c r="EL302" s="48">
        <f t="shared" si="732"/>
        <v>0</v>
      </c>
      <c r="EM302" s="48">
        <f t="shared" si="732"/>
        <v>0</v>
      </c>
      <c r="EN302" s="48">
        <f t="shared" si="732"/>
        <v>0</v>
      </c>
      <c r="EO302" s="48">
        <f t="shared" si="732"/>
        <v>0</v>
      </c>
      <c r="EP302" s="48">
        <f t="shared" si="732"/>
        <v>0</v>
      </c>
      <c r="EQ302" s="48">
        <f t="shared" si="732"/>
        <v>0</v>
      </c>
      <c r="ER302" s="48">
        <f t="shared" si="732"/>
        <v>0</v>
      </c>
      <c r="ES302" s="48">
        <f t="shared" si="732"/>
        <v>0</v>
      </c>
    </row>
    <row r="303" spans="1:149" x14ac:dyDescent="0.3">
      <c r="A303" s="14" t="s">
        <v>1352</v>
      </c>
      <c r="B303" s="18" t="s">
        <v>1189</v>
      </c>
      <c r="C303" s="18" t="s">
        <v>439</v>
      </c>
      <c r="E303" s="54">
        <f>SUM(F303:ES303)</f>
        <v>2791587.0000000005</v>
      </c>
      <c r="F303" s="48">
        <f t="shared" ref="F303:AK303" si="733">F$293+F$300</f>
        <v>0</v>
      </c>
      <c r="G303" s="48">
        <f t="shared" si="733"/>
        <v>0</v>
      </c>
      <c r="H303" s="48">
        <f t="shared" si="733"/>
        <v>0</v>
      </c>
      <c r="I303" s="48">
        <f t="shared" si="733"/>
        <v>0</v>
      </c>
      <c r="J303" s="48">
        <f t="shared" si="733"/>
        <v>0</v>
      </c>
      <c r="K303" s="48">
        <f t="shared" si="733"/>
        <v>0</v>
      </c>
      <c r="L303" s="48">
        <f t="shared" si="733"/>
        <v>42123.304094687759</v>
      </c>
      <c r="M303" s="48">
        <f t="shared" si="733"/>
        <v>42439.228875397908</v>
      </c>
      <c r="N303" s="48">
        <f t="shared" si="733"/>
        <v>42757.52309196339</v>
      </c>
      <c r="O303" s="48">
        <f t="shared" si="733"/>
        <v>43078.20451515312</v>
      </c>
      <c r="P303" s="48">
        <f t="shared" si="733"/>
        <v>43401.291049016771</v>
      </c>
      <c r="Q303" s="48">
        <f t="shared" si="733"/>
        <v>43726.800731884396</v>
      </c>
      <c r="R303" s="48">
        <f t="shared" si="733"/>
        <v>44054.751737373532</v>
      </c>
      <c r="S303" s="48">
        <f t="shared" si="733"/>
        <v>44385.16237540383</v>
      </c>
      <c r="T303" s="48">
        <f t="shared" si="733"/>
        <v>44718.051093219357</v>
      </c>
      <c r="U303" s="48">
        <f t="shared" si="733"/>
        <v>45053.436476418501</v>
      </c>
      <c r="V303" s="48">
        <f t="shared" si="733"/>
        <v>45391.337249991644</v>
      </c>
      <c r="W303" s="48">
        <f t="shared" si="733"/>
        <v>45731.772279366574</v>
      </c>
      <c r="X303" s="48">
        <f t="shared" si="733"/>
        <v>46074.760571461826</v>
      </c>
      <c r="Y303" s="48">
        <f t="shared" si="733"/>
        <v>46420.321275747789</v>
      </c>
      <c r="Z303" s="48">
        <f t="shared" si="733"/>
        <v>46768.473685315897</v>
      </c>
      <c r="AA303" s="48">
        <f t="shared" si="733"/>
        <v>47119.237237955764</v>
      </c>
      <c r="AB303" s="48">
        <f t="shared" si="733"/>
        <v>47472.631517240428</v>
      </c>
      <c r="AC303" s="48">
        <f t="shared" si="733"/>
        <v>47828.676253619735</v>
      </c>
      <c r="AD303" s="48">
        <f t="shared" si="733"/>
        <v>48187.391325521887</v>
      </c>
      <c r="AE303" s="48">
        <f t="shared" si="733"/>
        <v>48548.796760463301</v>
      </c>
      <c r="AF303" s="48">
        <f t="shared" si="733"/>
        <v>48912.912736166778</v>
      </c>
      <c r="AG303" s="48">
        <f t="shared" si="733"/>
        <v>49279.759581688028</v>
      </c>
      <c r="AH303" s="48">
        <f t="shared" si="733"/>
        <v>49649.357778550686</v>
      </c>
      <c r="AI303" s="48">
        <f t="shared" si="733"/>
        <v>50021.727961889817</v>
      </c>
      <c r="AJ303" s="48">
        <f t="shared" si="733"/>
        <v>50396.89092160399</v>
      </c>
      <c r="AK303" s="48">
        <f t="shared" si="733"/>
        <v>50774.867603516017</v>
      </c>
      <c r="AL303" s="48">
        <f t="shared" ref="AL303:BQ303" si="734">AL$293+AL$300</f>
        <v>51155.679110542391</v>
      </c>
      <c r="AM303" s="48">
        <f t="shared" si="734"/>
        <v>51539.346703871459</v>
      </c>
      <c r="AN303" s="48">
        <f t="shared" si="734"/>
        <v>51925.891804150495</v>
      </c>
      <c r="AO303" s="48">
        <f t="shared" si="734"/>
        <v>52315.335992681619</v>
      </c>
      <c r="AP303" s="48">
        <f t="shared" si="734"/>
        <v>52707.701012626734</v>
      </c>
      <c r="AQ303" s="48">
        <f t="shared" si="734"/>
        <v>53103.008770221437</v>
      </c>
      <c r="AR303" s="48">
        <f t="shared" si="734"/>
        <v>53501.281335998094</v>
      </c>
      <c r="AS303" s="48">
        <f t="shared" si="734"/>
        <v>53902.540946018082</v>
      </c>
      <c r="AT303" s="48">
        <f t="shared" si="734"/>
        <v>54306.810003113213</v>
      </c>
      <c r="AU303" s="48">
        <f t="shared" si="734"/>
        <v>54714.111078136564</v>
      </c>
      <c r="AV303" s="48">
        <f t="shared" si="734"/>
        <v>55124.466911222589</v>
      </c>
      <c r="AW303" s="48">
        <f t="shared" si="734"/>
        <v>55537.900413056755</v>
      </c>
      <c r="AX303" s="48">
        <f t="shared" si="734"/>
        <v>55954.434666154688</v>
      </c>
      <c r="AY303" s="48">
        <f t="shared" si="734"/>
        <v>56374.092926150843</v>
      </c>
      <c r="AZ303" s="48">
        <f t="shared" si="734"/>
        <v>56796.898623096975</v>
      </c>
      <c r="BA303" s="48">
        <f t="shared" si="734"/>
        <v>57222.875362770203</v>
      </c>
      <c r="BB303" s="48">
        <f t="shared" si="734"/>
        <v>57652.046927990981</v>
      </c>
      <c r="BC303" s="48">
        <f t="shared" si="734"/>
        <v>58084.437279950915</v>
      </c>
      <c r="BD303" s="48">
        <f t="shared" si="734"/>
        <v>58520.070559550542</v>
      </c>
      <c r="BE303" s="48">
        <f t="shared" si="734"/>
        <v>58958.971088747174</v>
      </c>
      <c r="BF303" s="48">
        <f t="shared" si="734"/>
        <v>59401.163371912779</v>
      </c>
      <c r="BG303" s="48">
        <f t="shared" si="734"/>
        <v>59846.672097202121</v>
      </c>
      <c r="BH303" s="48">
        <f t="shared" si="734"/>
        <v>60295.522137931141</v>
      </c>
      <c r="BI303" s="48">
        <f t="shared" si="734"/>
        <v>60747.738553965624</v>
      </c>
      <c r="BJ303" s="48">
        <f t="shared" si="734"/>
        <v>61203.346593120361</v>
      </c>
      <c r="BK303" s="48">
        <f t="shared" si="734"/>
        <v>61662.37169256877</v>
      </c>
      <c r="BL303" s="48">
        <f t="shared" si="734"/>
        <v>62124.839480263036</v>
      </c>
      <c r="BM303" s="48">
        <f t="shared" si="734"/>
        <v>62590.775776366791</v>
      </c>
      <c r="BN303" s="48">
        <f t="shared" si="734"/>
        <v>0</v>
      </c>
      <c r="BO303" s="48">
        <f t="shared" si="734"/>
        <v>0</v>
      </c>
      <c r="BP303" s="48">
        <f t="shared" si="734"/>
        <v>0</v>
      </c>
      <c r="BQ303" s="48">
        <f t="shared" si="734"/>
        <v>0</v>
      </c>
      <c r="BR303" s="48">
        <f t="shared" ref="BR303:CW303" si="735">BR$293+BR$300</f>
        <v>0</v>
      </c>
      <c r="BS303" s="48">
        <f t="shared" si="735"/>
        <v>0</v>
      </c>
      <c r="BT303" s="48">
        <f t="shared" si="735"/>
        <v>0</v>
      </c>
      <c r="BU303" s="48">
        <f t="shared" si="735"/>
        <v>0</v>
      </c>
      <c r="BV303" s="48">
        <f t="shared" si="735"/>
        <v>0</v>
      </c>
      <c r="BW303" s="48">
        <f t="shared" si="735"/>
        <v>0</v>
      </c>
      <c r="BX303" s="48">
        <f t="shared" si="735"/>
        <v>0</v>
      </c>
      <c r="BY303" s="48">
        <f t="shared" si="735"/>
        <v>0</v>
      </c>
      <c r="BZ303" s="48">
        <f t="shared" si="735"/>
        <v>0</v>
      </c>
      <c r="CA303" s="48">
        <f t="shared" si="735"/>
        <v>0</v>
      </c>
      <c r="CB303" s="48">
        <f t="shared" si="735"/>
        <v>0</v>
      </c>
      <c r="CC303" s="48">
        <f t="shared" si="735"/>
        <v>0</v>
      </c>
      <c r="CD303" s="48">
        <f t="shared" si="735"/>
        <v>0</v>
      </c>
      <c r="CE303" s="48">
        <f t="shared" si="735"/>
        <v>0</v>
      </c>
      <c r="CF303" s="48">
        <f t="shared" si="735"/>
        <v>0</v>
      </c>
      <c r="CG303" s="48">
        <f t="shared" si="735"/>
        <v>0</v>
      </c>
      <c r="CH303" s="48">
        <f t="shared" si="735"/>
        <v>0</v>
      </c>
      <c r="CI303" s="48">
        <f t="shared" si="735"/>
        <v>0</v>
      </c>
      <c r="CJ303" s="48">
        <f t="shared" si="735"/>
        <v>0</v>
      </c>
      <c r="CK303" s="48">
        <f t="shared" si="735"/>
        <v>0</v>
      </c>
      <c r="CL303" s="48">
        <f t="shared" si="735"/>
        <v>0</v>
      </c>
      <c r="CM303" s="48">
        <f t="shared" si="735"/>
        <v>0</v>
      </c>
      <c r="CN303" s="48">
        <f t="shared" si="735"/>
        <v>0</v>
      </c>
      <c r="CO303" s="48">
        <f t="shared" si="735"/>
        <v>0</v>
      </c>
      <c r="CP303" s="48">
        <f t="shared" si="735"/>
        <v>0</v>
      </c>
      <c r="CQ303" s="48">
        <f t="shared" si="735"/>
        <v>0</v>
      </c>
      <c r="CR303" s="48">
        <f t="shared" si="735"/>
        <v>0</v>
      </c>
      <c r="CS303" s="48">
        <f t="shared" si="735"/>
        <v>0</v>
      </c>
      <c r="CT303" s="48">
        <f t="shared" si="735"/>
        <v>0</v>
      </c>
      <c r="CU303" s="48">
        <f t="shared" si="735"/>
        <v>0</v>
      </c>
      <c r="CV303" s="48">
        <f t="shared" si="735"/>
        <v>0</v>
      </c>
      <c r="CW303" s="48">
        <f t="shared" si="735"/>
        <v>0</v>
      </c>
      <c r="CX303" s="48">
        <f t="shared" ref="CX303:EC303" si="736">CX$293+CX$300</f>
        <v>0</v>
      </c>
      <c r="CY303" s="48">
        <f t="shared" si="736"/>
        <v>0</v>
      </c>
      <c r="CZ303" s="48">
        <f t="shared" si="736"/>
        <v>0</v>
      </c>
      <c r="DA303" s="48">
        <f t="shared" si="736"/>
        <v>0</v>
      </c>
      <c r="DB303" s="48">
        <f t="shared" si="736"/>
        <v>0</v>
      </c>
      <c r="DC303" s="48">
        <f t="shared" si="736"/>
        <v>0</v>
      </c>
      <c r="DD303" s="48">
        <f t="shared" si="736"/>
        <v>0</v>
      </c>
      <c r="DE303" s="48">
        <f t="shared" si="736"/>
        <v>0</v>
      </c>
      <c r="DF303" s="48">
        <f t="shared" si="736"/>
        <v>0</v>
      </c>
      <c r="DG303" s="48">
        <f t="shared" si="736"/>
        <v>0</v>
      </c>
      <c r="DH303" s="48">
        <f t="shared" si="736"/>
        <v>0</v>
      </c>
      <c r="DI303" s="48">
        <f t="shared" si="736"/>
        <v>0</v>
      </c>
      <c r="DJ303" s="48">
        <f t="shared" si="736"/>
        <v>0</v>
      </c>
      <c r="DK303" s="48">
        <f t="shared" si="736"/>
        <v>0</v>
      </c>
      <c r="DL303" s="48">
        <f t="shared" si="736"/>
        <v>0</v>
      </c>
      <c r="DM303" s="48">
        <f t="shared" si="736"/>
        <v>0</v>
      </c>
      <c r="DN303" s="48">
        <f t="shared" si="736"/>
        <v>0</v>
      </c>
      <c r="DO303" s="48">
        <f t="shared" si="736"/>
        <v>0</v>
      </c>
      <c r="DP303" s="48">
        <f t="shared" si="736"/>
        <v>0</v>
      </c>
      <c r="DQ303" s="48">
        <f t="shared" si="736"/>
        <v>0</v>
      </c>
      <c r="DR303" s="48">
        <f t="shared" si="736"/>
        <v>0</v>
      </c>
      <c r="DS303" s="48">
        <f t="shared" si="736"/>
        <v>0</v>
      </c>
      <c r="DT303" s="48">
        <f t="shared" si="736"/>
        <v>0</v>
      </c>
      <c r="DU303" s="48">
        <f t="shared" si="736"/>
        <v>0</v>
      </c>
      <c r="DV303" s="48">
        <f t="shared" si="736"/>
        <v>0</v>
      </c>
      <c r="DW303" s="48">
        <f t="shared" si="736"/>
        <v>0</v>
      </c>
      <c r="DX303" s="48">
        <f t="shared" si="736"/>
        <v>0</v>
      </c>
      <c r="DY303" s="48">
        <f t="shared" si="736"/>
        <v>0</v>
      </c>
      <c r="DZ303" s="48">
        <f t="shared" si="736"/>
        <v>0</v>
      </c>
      <c r="EA303" s="48">
        <f t="shared" si="736"/>
        <v>0</v>
      </c>
      <c r="EB303" s="48">
        <f t="shared" si="736"/>
        <v>0</v>
      </c>
      <c r="EC303" s="48">
        <f t="shared" si="736"/>
        <v>0</v>
      </c>
      <c r="ED303" s="48">
        <f t="shared" ref="ED303:ES303" si="737">ED$293+ED$300</f>
        <v>0</v>
      </c>
      <c r="EE303" s="48">
        <f t="shared" si="737"/>
        <v>0</v>
      </c>
      <c r="EF303" s="48">
        <f t="shared" si="737"/>
        <v>0</v>
      </c>
      <c r="EG303" s="48">
        <f t="shared" si="737"/>
        <v>0</v>
      </c>
      <c r="EH303" s="48">
        <f t="shared" si="737"/>
        <v>0</v>
      </c>
      <c r="EI303" s="48">
        <f t="shared" si="737"/>
        <v>0</v>
      </c>
      <c r="EJ303" s="48">
        <f t="shared" si="737"/>
        <v>0</v>
      </c>
      <c r="EK303" s="48">
        <f t="shared" si="737"/>
        <v>0</v>
      </c>
      <c r="EL303" s="48">
        <f t="shared" si="737"/>
        <v>0</v>
      </c>
      <c r="EM303" s="48">
        <f t="shared" si="737"/>
        <v>0</v>
      </c>
      <c r="EN303" s="48">
        <f t="shared" si="737"/>
        <v>0</v>
      </c>
      <c r="EO303" s="48">
        <f t="shared" si="737"/>
        <v>0</v>
      </c>
      <c r="EP303" s="48">
        <f t="shared" si="737"/>
        <v>0</v>
      </c>
      <c r="EQ303" s="48">
        <f t="shared" si="737"/>
        <v>0</v>
      </c>
      <c r="ER303" s="48">
        <f t="shared" si="737"/>
        <v>0</v>
      </c>
      <c r="ES303" s="48">
        <f t="shared" si="737"/>
        <v>0</v>
      </c>
    </row>
    <row r="304" spans="1:149" x14ac:dyDescent="0.3">
      <c r="A304" s="14" t="s">
        <v>1353</v>
      </c>
      <c r="B304" s="68" t="s">
        <v>1191</v>
      </c>
      <c r="C304" s="18" t="s">
        <v>439</v>
      </c>
      <c r="E304" s="54">
        <f>MAX(F304:ES304)</f>
        <v>2791587</v>
      </c>
      <c r="F304" s="22">
        <f>0+F$302-F$303</f>
        <v>2791587</v>
      </c>
      <c r="G304" s="22">
        <f t="shared" ref="G304:AL304" si="738">F$304+G$302-G$303</f>
        <v>2791587</v>
      </c>
      <c r="H304" s="22">
        <f t="shared" si="738"/>
        <v>2791587</v>
      </c>
      <c r="I304" s="22">
        <f t="shared" si="738"/>
        <v>2791587</v>
      </c>
      <c r="J304" s="22">
        <f t="shared" si="738"/>
        <v>2791587</v>
      </c>
      <c r="K304" s="22">
        <f t="shared" si="738"/>
        <v>2791587</v>
      </c>
      <c r="L304" s="22">
        <f t="shared" si="738"/>
        <v>2749463.6959053124</v>
      </c>
      <c r="M304" s="22">
        <f t="shared" si="738"/>
        <v>2707024.4670299147</v>
      </c>
      <c r="N304" s="22">
        <f t="shared" si="738"/>
        <v>2664266.9439379512</v>
      </c>
      <c r="O304" s="22">
        <f t="shared" si="738"/>
        <v>2621188.7394227982</v>
      </c>
      <c r="P304" s="22">
        <f t="shared" si="738"/>
        <v>2577787.4483737815</v>
      </c>
      <c r="Q304" s="22">
        <f t="shared" si="738"/>
        <v>2534060.6476418972</v>
      </c>
      <c r="R304" s="22">
        <f t="shared" si="738"/>
        <v>2490005.8959045238</v>
      </c>
      <c r="S304" s="22">
        <f t="shared" si="738"/>
        <v>2445620.7335291198</v>
      </c>
      <c r="T304" s="22">
        <f t="shared" si="738"/>
        <v>2400902.6824359004</v>
      </c>
      <c r="U304" s="22">
        <f t="shared" si="738"/>
        <v>2355849.2459594822</v>
      </c>
      <c r="V304" s="22">
        <f t="shared" si="738"/>
        <v>2310457.9087094907</v>
      </c>
      <c r="W304" s="22">
        <f t="shared" si="738"/>
        <v>2264726.1364301243</v>
      </c>
      <c r="X304" s="22">
        <f t="shared" si="738"/>
        <v>2218651.3758586626</v>
      </c>
      <c r="Y304" s="22">
        <f t="shared" si="738"/>
        <v>2172231.0545829148</v>
      </c>
      <c r="Z304" s="22">
        <f t="shared" si="738"/>
        <v>2125462.580897599</v>
      </c>
      <c r="AA304" s="22">
        <f t="shared" si="738"/>
        <v>2078343.3436596433</v>
      </c>
      <c r="AB304" s="22">
        <f t="shared" si="738"/>
        <v>2030870.7121424028</v>
      </c>
      <c r="AC304" s="22">
        <f t="shared" si="738"/>
        <v>1983042.0358887829</v>
      </c>
      <c r="AD304" s="22">
        <f t="shared" si="738"/>
        <v>1934854.644563261</v>
      </c>
      <c r="AE304" s="22">
        <f t="shared" si="738"/>
        <v>1886305.8478027976</v>
      </c>
      <c r="AF304" s="22">
        <f t="shared" si="738"/>
        <v>1837392.9350666308</v>
      </c>
      <c r="AG304" s="22">
        <f t="shared" si="738"/>
        <v>1788113.1754849427</v>
      </c>
      <c r="AH304" s="22">
        <f t="shared" si="738"/>
        <v>1738463.8177063921</v>
      </c>
      <c r="AI304" s="22">
        <f t="shared" si="738"/>
        <v>1688442.0897445022</v>
      </c>
      <c r="AJ304" s="22">
        <f t="shared" si="738"/>
        <v>1638045.1988228983</v>
      </c>
      <c r="AK304" s="22">
        <f t="shared" si="738"/>
        <v>1587270.3312193824</v>
      </c>
      <c r="AL304" s="22">
        <f t="shared" si="738"/>
        <v>1536114.6521088399</v>
      </c>
      <c r="AM304" s="22">
        <f t="shared" ref="AM304:BR304" si="739">AL$304+AM$302-AM$303</f>
        <v>1484575.3054049686</v>
      </c>
      <c r="AN304" s="22">
        <f t="shared" si="739"/>
        <v>1432649.413600818</v>
      </c>
      <c r="AO304" s="22">
        <f t="shared" si="739"/>
        <v>1380334.0776081365</v>
      </c>
      <c r="AP304" s="22">
        <f t="shared" si="739"/>
        <v>1327626.3765955097</v>
      </c>
      <c r="AQ304" s="22">
        <f t="shared" si="739"/>
        <v>1274523.3678252883</v>
      </c>
      <c r="AR304" s="22">
        <f t="shared" si="739"/>
        <v>1221022.0864892902</v>
      </c>
      <c r="AS304" s="22">
        <f t="shared" si="739"/>
        <v>1167119.545543272</v>
      </c>
      <c r="AT304" s="22">
        <f t="shared" si="739"/>
        <v>1112812.7355401588</v>
      </c>
      <c r="AU304" s="22">
        <f t="shared" si="739"/>
        <v>1058098.6244620222</v>
      </c>
      <c r="AV304" s="22">
        <f t="shared" si="739"/>
        <v>1002974.1575507997</v>
      </c>
      <c r="AW304" s="22">
        <f t="shared" si="739"/>
        <v>947436.25713774294</v>
      </c>
      <c r="AX304" s="22">
        <f t="shared" si="739"/>
        <v>891481.82247158827</v>
      </c>
      <c r="AY304" s="22">
        <f t="shared" si="739"/>
        <v>835107.72954543738</v>
      </c>
      <c r="AZ304" s="22">
        <f t="shared" si="739"/>
        <v>778310.83092234039</v>
      </c>
      <c r="BA304" s="22">
        <f t="shared" si="739"/>
        <v>721087.95555957023</v>
      </c>
      <c r="BB304" s="22">
        <f t="shared" si="739"/>
        <v>663435.90863157925</v>
      </c>
      <c r="BC304" s="22">
        <f t="shared" si="739"/>
        <v>605351.47135162831</v>
      </c>
      <c r="BD304" s="22">
        <f t="shared" si="739"/>
        <v>546831.40079207777</v>
      </c>
      <c r="BE304" s="22">
        <f t="shared" si="739"/>
        <v>487872.42970333062</v>
      </c>
      <c r="BF304" s="22">
        <f t="shared" si="739"/>
        <v>428471.26633141784</v>
      </c>
      <c r="BG304" s="22">
        <f t="shared" si="739"/>
        <v>368624.59423421574</v>
      </c>
      <c r="BH304" s="22">
        <f t="shared" si="739"/>
        <v>308329.0720962846</v>
      </c>
      <c r="BI304" s="22">
        <f t="shared" si="739"/>
        <v>247581.33354231896</v>
      </c>
      <c r="BJ304" s="22">
        <f t="shared" si="739"/>
        <v>186377.98694919859</v>
      </c>
      <c r="BK304" s="22">
        <f t="shared" si="739"/>
        <v>124715.61525662983</v>
      </c>
      <c r="BL304" s="22">
        <f t="shared" si="739"/>
        <v>62590.775776366791</v>
      </c>
      <c r="BM304" s="22">
        <f t="shared" si="739"/>
        <v>0</v>
      </c>
      <c r="BN304" s="22">
        <f t="shared" si="739"/>
        <v>0</v>
      </c>
      <c r="BO304" s="22">
        <f t="shared" si="739"/>
        <v>0</v>
      </c>
      <c r="BP304" s="22">
        <f t="shared" si="739"/>
        <v>0</v>
      </c>
      <c r="BQ304" s="22">
        <f t="shared" si="739"/>
        <v>0</v>
      </c>
      <c r="BR304" s="22">
        <f t="shared" si="739"/>
        <v>0</v>
      </c>
      <c r="BS304" s="22">
        <f t="shared" ref="BS304:CX304" si="740">BR$304+BS$302-BS$303</f>
        <v>0</v>
      </c>
      <c r="BT304" s="22">
        <f t="shared" si="740"/>
        <v>0</v>
      </c>
      <c r="BU304" s="22">
        <f t="shared" si="740"/>
        <v>0</v>
      </c>
      <c r="BV304" s="22">
        <f t="shared" si="740"/>
        <v>0</v>
      </c>
      <c r="BW304" s="22">
        <f t="shared" si="740"/>
        <v>0</v>
      </c>
      <c r="BX304" s="22">
        <f t="shared" si="740"/>
        <v>0</v>
      </c>
      <c r="BY304" s="22">
        <f t="shared" si="740"/>
        <v>0</v>
      </c>
      <c r="BZ304" s="22">
        <f t="shared" si="740"/>
        <v>0</v>
      </c>
      <c r="CA304" s="22">
        <f t="shared" si="740"/>
        <v>0</v>
      </c>
      <c r="CB304" s="22">
        <f t="shared" si="740"/>
        <v>0</v>
      </c>
      <c r="CC304" s="22">
        <f t="shared" si="740"/>
        <v>0</v>
      </c>
      <c r="CD304" s="22">
        <f t="shared" si="740"/>
        <v>0</v>
      </c>
      <c r="CE304" s="22">
        <f t="shared" si="740"/>
        <v>0</v>
      </c>
      <c r="CF304" s="22">
        <f t="shared" si="740"/>
        <v>0</v>
      </c>
      <c r="CG304" s="22">
        <f t="shared" si="740"/>
        <v>0</v>
      </c>
      <c r="CH304" s="22">
        <f t="shared" si="740"/>
        <v>0</v>
      </c>
      <c r="CI304" s="22">
        <f t="shared" si="740"/>
        <v>0</v>
      </c>
      <c r="CJ304" s="22">
        <f t="shared" si="740"/>
        <v>0</v>
      </c>
      <c r="CK304" s="22">
        <f t="shared" si="740"/>
        <v>0</v>
      </c>
      <c r="CL304" s="22">
        <f t="shared" si="740"/>
        <v>0</v>
      </c>
      <c r="CM304" s="22">
        <f t="shared" si="740"/>
        <v>0</v>
      </c>
      <c r="CN304" s="22">
        <f t="shared" si="740"/>
        <v>0</v>
      </c>
      <c r="CO304" s="22">
        <f t="shared" si="740"/>
        <v>0</v>
      </c>
      <c r="CP304" s="22">
        <f t="shared" si="740"/>
        <v>0</v>
      </c>
      <c r="CQ304" s="22">
        <f t="shared" si="740"/>
        <v>0</v>
      </c>
      <c r="CR304" s="22">
        <f t="shared" si="740"/>
        <v>0</v>
      </c>
      <c r="CS304" s="22">
        <f t="shared" si="740"/>
        <v>0</v>
      </c>
      <c r="CT304" s="22">
        <f t="shared" si="740"/>
        <v>0</v>
      </c>
      <c r="CU304" s="22">
        <f t="shared" si="740"/>
        <v>0</v>
      </c>
      <c r="CV304" s="22">
        <f t="shared" si="740"/>
        <v>0</v>
      </c>
      <c r="CW304" s="22">
        <f t="shared" si="740"/>
        <v>0</v>
      </c>
      <c r="CX304" s="22">
        <f t="shared" si="740"/>
        <v>0</v>
      </c>
      <c r="CY304" s="22">
        <f t="shared" ref="CY304:ED304" si="741">CX$304+CY$302-CY$303</f>
        <v>0</v>
      </c>
      <c r="CZ304" s="22">
        <f t="shared" si="741"/>
        <v>0</v>
      </c>
      <c r="DA304" s="22">
        <f t="shared" si="741"/>
        <v>0</v>
      </c>
      <c r="DB304" s="22">
        <f t="shared" si="741"/>
        <v>0</v>
      </c>
      <c r="DC304" s="22">
        <f t="shared" si="741"/>
        <v>0</v>
      </c>
      <c r="DD304" s="22">
        <f t="shared" si="741"/>
        <v>0</v>
      </c>
      <c r="DE304" s="22">
        <f t="shared" si="741"/>
        <v>0</v>
      </c>
      <c r="DF304" s="22">
        <f t="shared" si="741"/>
        <v>0</v>
      </c>
      <c r="DG304" s="22">
        <f t="shared" si="741"/>
        <v>0</v>
      </c>
      <c r="DH304" s="22">
        <f t="shared" si="741"/>
        <v>0</v>
      </c>
      <c r="DI304" s="22">
        <f t="shared" si="741"/>
        <v>0</v>
      </c>
      <c r="DJ304" s="22">
        <f t="shared" si="741"/>
        <v>0</v>
      </c>
      <c r="DK304" s="22">
        <f t="shared" si="741"/>
        <v>0</v>
      </c>
      <c r="DL304" s="22">
        <f t="shared" si="741"/>
        <v>0</v>
      </c>
      <c r="DM304" s="22">
        <f t="shared" si="741"/>
        <v>0</v>
      </c>
      <c r="DN304" s="22">
        <f t="shared" si="741"/>
        <v>0</v>
      </c>
      <c r="DO304" s="22">
        <f t="shared" si="741"/>
        <v>0</v>
      </c>
      <c r="DP304" s="22">
        <f t="shared" si="741"/>
        <v>0</v>
      </c>
      <c r="DQ304" s="22">
        <f t="shared" si="741"/>
        <v>0</v>
      </c>
      <c r="DR304" s="22">
        <f t="shared" si="741"/>
        <v>0</v>
      </c>
      <c r="DS304" s="22">
        <f t="shared" si="741"/>
        <v>0</v>
      </c>
      <c r="DT304" s="22">
        <f t="shared" si="741"/>
        <v>0</v>
      </c>
      <c r="DU304" s="22">
        <f t="shared" si="741"/>
        <v>0</v>
      </c>
      <c r="DV304" s="22">
        <f t="shared" si="741"/>
        <v>0</v>
      </c>
      <c r="DW304" s="22">
        <f t="shared" si="741"/>
        <v>0</v>
      </c>
      <c r="DX304" s="22">
        <f t="shared" si="741"/>
        <v>0</v>
      </c>
      <c r="DY304" s="22">
        <f t="shared" si="741"/>
        <v>0</v>
      </c>
      <c r="DZ304" s="22">
        <f t="shared" si="741"/>
        <v>0</v>
      </c>
      <c r="EA304" s="22">
        <f t="shared" si="741"/>
        <v>0</v>
      </c>
      <c r="EB304" s="22">
        <f t="shared" si="741"/>
        <v>0</v>
      </c>
      <c r="EC304" s="22">
        <f t="shared" si="741"/>
        <v>0</v>
      </c>
      <c r="ED304" s="22">
        <f t="shared" si="741"/>
        <v>0</v>
      </c>
      <c r="EE304" s="22">
        <f t="shared" ref="EE304:ES304" si="742">ED$304+EE$302-EE$303</f>
        <v>0</v>
      </c>
      <c r="EF304" s="22">
        <f t="shared" si="742"/>
        <v>0</v>
      </c>
      <c r="EG304" s="22">
        <f t="shared" si="742"/>
        <v>0</v>
      </c>
      <c r="EH304" s="22">
        <f t="shared" si="742"/>
        <v>0</v>
      </c>
      <c r="EI304" s="22">
        <f t="shared" si="742"/>
        <v>0</v>
      </c>
      <c r="EJ304" s="22">
        <f t="shared" si="742"/>
        <v>0</v>
      </c>
      <c r="EK304" s="22">
        <f t="shared" si="742"/>
        <v>0</v>
      </c>
      <c r="EL304" s="22">
        <f t="shared" si="742"/>
        <v>0</v>
      </c>
      <c r="EM304" s="22">
        <f t="shared" si="742"/>
        <v>0</v>
      </c>
      <c r="EN304" s="22">
        <f t="shared" si="742"/>
        <v>0</v>
      </c>
      <c r="EO304" s="22">
        <f t="shared" si="742"/>
        <v>0</v>
      </c>
      <c r="EP304" s="22">
        <f t="shared" si="742"/>
        <v>0</v>
      </c>
      <c r="EQ304" s="22">
        <f t="shared" si="742"/>
        <v>0</v>
      </c>
      <c r="ER304" s="22">
        <f t="shared" si="742"/>
        <v>0</v>
      </c>
      <c r="ES304" s="22">
        <f t="shared" si="742"/>
        <v>0</v>
      </c>
    </row>
    <row r="305" spans="1:149" x14ac:dyDescent="0.3">
      <c r="A305" s="14" t="s">
        <v>1354</v>
      </c>
      <c r="B305" s="18" t="s">
        <v>1193</v>
      </c>
      <c r="C305" s="18" t="s">
        <v>439</v>
      </c>
      <c r="E305" s="54">
        <f>MIN(F305:ES305)</f>
        <v>-311740.11867261783</v>
      </c>
      <c r="F305" s="48">
        <f t="shared" ref="F305:AK305" si="743">F$297+F$299-F$300</f>
        <v>535727.93036655965</v>
      </c>
      <c r="G305" s="48">
        <f t="shared" si="743"/>
        <v>555194.83809214947</v>
      </c>
      <c r="H305" s="48">
        <f t="shared" si="743"/>
        <v>574661.74581773928</v>
      </c>
      <c r="I305" s="48">
        <f t="shared" si="743"/>
        <v>594128.6535433291</v>
      </c>
      <c r="J305" s="48">
        <f t="shared" si="743"/>
        <v>613595.56126891891</v>
      </c>
      <c r="K305" s="48">
        <f t="shared" si="743"/>
        <v>633062.46899450873</v>
      </c>
      <c r="L305" s="48">
        <f t="shared" si="743"/>
        <v>610406.07262541074</v>
      </c>
      <c r="M305" s="48">
        <f t="shared" si="743"/>
        <v>587781.26873438375</v>
      </c>
      <c r="N305" s="48">
        <f t="shared" si="743"/>
        <v>565188.2942650133</v>
      </c>
      <c r="O305" s="48">
        <f t="shared" si="743"/>
        <v>542627.38793796184</v>
      </c>
      <c r="P305" s="48">
        <f t="shared" si="743"/>
        <v>520098.79026429675</v>
      </c>
      <c r="Q305" s="48">
        <f t="shared" si="743"/>
        <v>497602.74355891842</v>
      </c>
      <c r="R305" s="48">
        <f t="shared" si="743"/>
        <v>129920.95007681983</v>
      </c>
      <c r="S305" s="48">
        <f t="shared" si="743"/>
        <v>145489.64205416848</v>
      </c>
      <c r="T305" s="48">
        <f t="shared" si="743"/>
        <v>161091.62290329867</v>
      </c>
      <c r="U305" s="48">
        <f t="shared" si="743"/>
        <v>176727.1422907488</v>
      </c>
      <c r="V305" s="48">
        <f t="shared" si="743"/>
        <v>192396.45175555622</v>
      </c>
      <c r="W305" s="48">
        <f t="shared" si="743"/>
        <v>208099.80472330115</v>
      </c>
      <c r="X305" s="48">
        <f t="shared" si="743"/>
        <v>223837.4565202556</v>
      </c>
      <c r="Y305" s="48">
        <f t="shared" si="743"/>
        <v>239609.66438763862</v>
      </c>
      <c r="Z305" s="48">
        <f t="shared" si="743"/>
        <v>255416.68749597843</v>
      </c>
      <c r="AA305" s="48">
        <f t="shared" si="743"/>
        <v>271258.7869595823</v>
      </c>
      <c r="AB305" s="48">
        <f t="shared" si="743"/>
        <v>287136.22585111461</v>
      </c>
      <c r="AC305" s="48">
        <f t="shared" si="743"/>
        <v>303049.26921628485</v>
      </c>
      <c r="AD305" s="48">
        <f t="shared" si="743"/>
        <v>-311740.11867261783</v>
      </c>
      <c r="AE305" s="48">
        <f t="shared" si="743"/>
        <v>-259166.43538560325</v>
      </c>
      <c r="AF305" s="48">
        <f t="shared" si="743"/>
        <v>-206556.34050101833</v>
      </c>
      <c r="AG305" s="48">
        <f t="shared" si="743"/>
        <v>-153909.56093188128</v>
      </c>
      <c r="AH305" s="48">
        <f t="shared" si="743"/>
        <v>-101225.82154305796</v>
      </c>
      <c r="AI305" s="48">
        <f t="shared" si="743"/>
        <v>-48504.845135900723</v>
      </c>
      <c r="AJ305" s="48">
        <f t="shared" si="743"/>
        <v>4253.6475672279266</v>
      </c>
      <c r="AK305" s="48">
        <f t="shared" si="743"/>
        <v>57049.937938547795</v>
      </c>
      <c r="AL305" s="48">
        <f t="shared" ref="AL305:BQ305" si="744">AL$297+AL$299-AL$300</f>
        <v>109884.30946057029</v>
      </c>
      <c r="AM305" s="48">
        <f t="shared" si="744"/>
        <v>162757.04774192569</v>
      </c>
      <c r="AN305" s="48">
        <f t="shared" si="744"/>
        <v>215668.44053330901</v>
      </c>
      <c r="AO305" s="48">
        <f t="shared" si="744"/>
        <v>268618.77774354542</v>
      </c>
      <c r="AP305" s="48">
        <f t="shared" si="744"/>
        <v>-204392.16946280262</v>
      </c>
      <c r="AQ305" s="48">
        <f t="shared" si="744"/>
        <v>-118554.51596007869</v>
      </c>
      <c r="AR305" s="48">
        <f t="shared" si="744"/>
        <v>-32677.035200777082</v>
      </c>
      <c r="AS305" s="48">
        <f t="shared" si="744"/>
        <v>53240.571519526515</v>
      </c>
      <c r="AT305" s="48">
        <f t="shared" si="744"/>
        <v>139198.60514553962</v>
      </c>
      <c r="AU305" s="48">
        <f t="shared" si="744"/>
        <v>225197.36887905505</v>
      </c>
      <c r="AV305" s="48">
        <f t="shared" si="744"/>
        <v>311237.16819587909</v>
      </c>
      <c r="AW305" s="48">
        <f t="shared" si="744"/>
        <v>397318.31086288649</v>
      </c>
      <c r="AX305" s="48">
        <f t="shared" si="744"/>
        <v>483441.10695520375</v>
      </c>
      <c r="AY305" s="48">
        <f t="shared" si="744"/>
        <v>569605.86887352064</v>
      </c>
      <c r="AZ305" s="48">
        <f t="shared" si="744"/>
        <v>655812.91136153205</v>
      </c>
      <c r="BA305" s="48">
        <f t="shared" si="744"/>
        <v>742062.55152351083</v>
      </c>
      <c r="BB305" s="48">
        <f t="shared" si="744"/>
        <v>791565.14613266732</v>
      </c>
      <c r="BC305" s="48">
        <f t="shared" si="744"/>
        <v>879220.5274828797</v>
      </c>
      <c r="BD305" s="48">
        <f t="shared" si="744"/>
        <v>966919.47216105205</v>
      </c>
      <c r="BE305" s="48">
        <f t="shared" si="744"/>
        <v>1054662.3068921438</v>
      </c>
      <c r="BF305" s="48">
        <f t="shared" si="744"/>
        <v>337495.9824706302</v>
      </c>
      <c r="BG305" s="48">
        <f t="shared" si="744"/>
        <v>425327.58730256773</v>
      </c>
      <c r="BH305" s="48">
        <f t="shared" si="744"/>
        <v>513204.07713857811</v>
      </c>
      <c r="BI305" s="48">
        <f t="shared" si="744"/>
        <v>601125.78861619195</v>
      </c>
      <c r="BJ305" s="48">
        <f t="shared" si="744"/>
        <v>689093.06089772133</v>
      </c>
      <c r="BK305" s="48">
        <f t="shared" si="744"/>
        <v>777106.23568919546</v>
      </c>
      <c r="BL305" s="48">
        <f t="shared" si="744"/>
        <v>865165.657259439</v>
      </c>
      <c r="BM305" s="48">
        <f t="shared" si="744"/>
        <v>953271.67245929094</v>
      </c>
      <c r="BN305" s="48">
        <f t="shared" si="744"/>
        <v>1070847.2577885205</v>
      </c>
      <c r="BO305" s="48">
        <f t="shared" si="744"/>
        <v>1226147.6995863467</v>
      </c>
      <c r="BP305" s="48">
        <f t="shared" si="744"/>
        <v>1381448.141384173</v>
      </c>
      <c r="BQ305" s="48">
        <f t="shared" si="744"/>
        <v>1536748.5831819992</v>
      </c>
      <c r="BR305" s="48">
        <f t="shared" ref="BR305:CW305" si="745">BR$297+BR$299-BR$300</f>
        <v>228122.48061160432</v>
      </c>
      <c r="BS305" s="48">
        <f t="shared" si="745"/>
        <v>383422.92240943044</v>
      </c>
      <c r="BT305" s="48">
        <f t="shared" si="745"/>
        <v>538723.36420725659</v>
      </c>
      <c r="BU305" s="48">
        <f t="shared" si="745"/>
        <v>694023.80600508268</v>
      </c>
      <c r="BV305" s="48">
        <f t="shared" si="745"/>
        <v>849324.24780290877</v>
      </c>
      <c r="BW305" s="48">
        <f t="shared" si="745"/>
        <v>1004624.6896007349</v>
      </c>
      <c r="BX305" s="48">
        <f t="shared" si="745"/>
        <v>1159925.1313985609</v>
      </c>
      <c r="BY305" s="48">
        <f t="shared" si="745"/>
        <v>1315225.5731963872</v>
      </c>
      <c r="BZ305" s="48">
        <f t="shared" si="745"/>
        <v>1436551.7024610057</v>
      </c>
      <c r="CA305" s="48">
        <f t="shared" si="745"/>
        <v>1595967.7249504055</v>
      </c>
      <c r="CB305" s="48">
        <f t="shared" si="745"/>
        <v>1755383.7474398054</v>
      </c>
      <c r="CC305" s="48">
        <f t="shared" si="745"/>
        <v>1914799.7699292053</v>
      </c>
      <c r="CD305" s="48">
        <f t="shared" si="745"/>
        <v>280027.09984469111</v>
      </c>
      <c r="CE305" s="48">
        <f t="shared" si="745"/>
        <v>439443.12233409099</v>
      </c>
      <c r="CF305" s="48">
        <f t="shared" si="745"/>
        <v>598859.14482349087</v>
      </c>
      <c r="CG305" s="48">
        <f t="shared" si="745"/>
        <v>758275.16731289076</v>
      </c>
      <c r="CH305" s="48">
        <f t="shared" si="745"/>
        <v>917691.18980229064</v>
      </c>
      <c r="CI305" s="48">
        <f t="shared" si="745"/>
        <v>1077107.2122916905</v>
      </c>
      <c r="CJ305" s="48">
        <f t="shared" si="745"/>
        <v>1236523.2347810904</v>
      </c>
      <c r="CK305" s="48">
        <f t="shared" si="745"/>
        <v>1395939.2572704903</v>
      </c>
      <c r="CL305" s="48">
        <f t="shared" si="745"/>
        <v>1521040.8581222596</v>
      </c>
      <c r="CM305" s="48">
        <f t="shared" si="745"/>
        <v>1684600.6766685471</v>
      </c>
      <c r="CN305" s="48">
        <f t="shared" si="745"/>
        <v>1848160.4952148346</v>
      </c>
      <c r="CO305" s="48">
        <f t="shared" si="745"/>
        <v>2011720.3137611221</v>
      </c>
      <c r="CP305" s="48">
        <f t="shared" si="745"/>
        <v>331704.47143461113</v>
      </c>
      <c r="CQ305" s="48">
        <f t="shared" si="745"/>
        <v>495264.28998089861</v>
      </c>
      <c r="CR305" s="48">
        <f t="shared" si="745"/>
        <v>658824.10852718609</v>
      </c>
      <c r="CS305" s="48">
        <f t="shared" si="745"/>
        <v>822383.92707347358</v>
      </c>
      <c r="CT305" s="48">
        <f t="shared" si="745"/>
        <v>985943.74561976106</v>
      </c>
      <c r="CU305" s="48">
        <f t="shared" si="745"/>
        <v>1149503.5641660485</v>
      </c>
      <c r="CV305" s="48">
        <f t="shared" si="745"/>
        <v>1313063.382712336</v>
      </c>
      <c r="CW305" s="48">
        <f t="shared" si="745"/>
        <v>1476623.2012586235</v>
      </c>
      <c r="CX305" s="48">
        <f t="shared" ref="CX305:EC305" si="746">CX$297+CX$299-CX$300</f>
        <v>1605525.0789581952</v>
      </c>
      <c r="CY305" s="48">
        <f t="shared" si="746"/>
        <v>1773256.8086071028</v>
      </c>
      <c r="CZ305" s="48">
        <f t="shared" si="746"/>
        <v>1940988.5382560105</v>
      </c>
      <c r="DA305" s="48">
        <f t="shared" si="746"/>
        <v>2108720.2679049182</v>
      </c>
      <c r="DB305" s="48">
        <f t="shared" si="746"/>
        <v>383150.78399837611</v>
      </c>
      <c r="DC305" s="48">
        <f t="shared" si="746"/>
        <v>550882.51364728366</v>
      </c>
      <c r="DD305" s="48">
        <f t="shared" si="746"/>
        <v>718614.24329619121</v>
      </c>
      <c r="DE305" s="48">
        <f t="shared" si="746"/>
        <v>886345.97294509877</v>
      </c>
      <c r="DF305" s="48">
        <f t="shared" si="746"/>
        <v>1054077.7025940064</v>
      </c>
      <c r="DG305" s="48">
        <f t="shared" si="746"/>
        <v>1221809.4322429141</v>
      </c>
      <c r="DH305" s="48">
        <f t="shared" si="746"/>
        <v>1389541.1618918218</v>
      </c>
      <c r="DI305" s="48">
        <f t="shared" si="746"/>
        <v>1557272.8915407294</v>
      </c>
      <c r="DJ305" s="48">
        <f t="shared" si="746"/>
        <v>1689999.7166970377</v>
      </c>
      <c r="DK305" s="48">
        <f t="shared" si="746"/>
        <v>1861931.3598121237</v>
      </c>
      <c r="DL305" s="48">
        <f t="shared" si="746"/>
        <v>2033863.0029272097</v>
      </c>
      <c r="DM305" s="48">
        <f t="shared" si="746"/>
        <v>2205794.6460422957</v>
      </c>
      <c r="DN305" s="48">
        <f t="shared" si="746"/>
        <v>434362.14237049187</v>
      </c>
      <c r="DO305" s="48">
        <f t="shared" si="746"/>
        <v>606293.785485578</v>
      </c>
      <c r="DP305" s="48">
        <f t="shared" si="746"/>
        <v>778225.42860066413</v>
      </c>
      <c r="DQ305" s="48">
        <f t="shared" si="746"/>
        <v>950157.07171575027</v>
      </c>
      <c r="DR305" s="48">
        <f t="shared" si="746"/>
        <v>1122088.7148308363</v>
      </c>
      <c r="DS305" s="48">
        <f t="shared" si="746"/>
        <v>1294020.3579459223</v>
      </c>
      <c r="DT305" s="48">
        <f t="shared" si="746"/>
        <v>1465952.0010610083</v>
      </c>
      <c r="DU305" s="48">
        <f t="shared" si="746"/>
        <v>1637883.6441760943</v>
      </c>
      <c r="DV305" s="48">
        <f t="shared" si="746"/>
        <v>1637883.6441760943</v>
      </c>
      <c r="DW305" s="48">
        <f t="shared" si="746"/>
        <v>1637883.6441760943</v>
      </c>
      <c r="DX305" s="48">
        <f t="shared" si="746"/>
        <v>1637883.6441760943</v>
      </c>
      <c r="DY305" s="48">
        <f t="shared" si="746"/>
        <v>1637883.6441760943</v>
      </c>
      <c r="DZ305" s="48">
        <f t="shared" si="746"/>
        <v>1637883.6441760943</v>
      </c>
      <c r="EA305" s="48">
        <f t="shared" si="746"/>
        <v>1637883.6441760943</v>
      </c>
      <c r="EB305" s="48">
        <f t="shared" si="746"/>
        <v>1637883.6441760943</v>
      </c>
      <c r="EC305" s="48">
        <f t="shared" si="746"/>
        <v>1637883.6441760943</v>
      </c>
      <c r="ED305" s="48">
        <f t="shared" ref="ED305:ES305" si="747">ED$297+ED$299-ED$300</f>
        <v>1637883.6441760943</v>
      </c>
      <c r="EE305" s="48">
        <f t="shared" si="747"/>
        <v>1637883.6441760943</v>
      </c>
      <c r="EF305" s="48">
        <f t="shared" si="747"/>
        <v>1637883.6441760943</v>
      </c>
      <c r="EG305" s="48">
        <f t="shared" si="747"/>
        <v>1637883.6441760943</v>
      </c>
      <c r="EH305" s="48">
        <f t="shared" si="747"/>
        <v>1637883.6441760943</v>
      </c>
      <c r="EI305" s="48">
        <f t="shared" si="747"/>
        <v>1637883.6441760943</v>
      </c>
      <c r="EJ305" s="48">
        <f t="shared" si="747"/>
        <v>1637883.6441760943</v>
      </c>
      <c r="EK305" s="48">
        <f t="shared" si="747"/>
        <v>1637883.6441760943</v>
      </c>
      <c r="EL305" s="48">
        <f t="shared" si="747"/>
        <v>1637883.6441760943</v>
      </c>
      <c r="EM305" s="48">
        <f t="shared" si="747"/>
        <v>1637883.6441760943</v>
      </c>
      <c r="EN305" s="48">
        <f t="shared" si="747"/>
        <v>1637883.6441760943</v>
      </c>
      <c r="EO305" s="48">
        <f t="shared" si="747"/>
        <v>1637883.6441760943</v>
      </c>
      <c r="EP305" s="48">
        <f t="shared" si="747"/>
        <v>1637883.6441760943</v>
      </c>
      <c r="EQ305" s="48">
        <f t="shared" si="747"/>
        <v>1637883.6441760943</v>
      </c>
      <c r="ER305" s="48">
        <f t="shared" si="747"/>
        <v>1637883.6441760943</v>
      </c>
      <c r="ES305" s="48">
        <f t="shared" si="747"/>
        <v>1637883.6441760943</v>
      </c>
    </row>
    <row r="306" spans="1:149" x14ac:dyDescent="0.3">
      <c r="A306" s="14" t="s">
        <v>1355</v>
      </c>
      <c r="B306" s="18" t="s">
        <v>1195</v>
      </c>
      <c r="C306" s="18" t="s">
        <v>439</v>
      </c>
      <c r="F306" s="48">
        <f>IF(F$7=1,F$263,0+F$263)</f>
        <v>13500.890308923073</v>
      </c>
      <c r="G306" s="48">
        <f t="shared" ref="G306:AL306" si="748">IF(G$7=1,G$263,F$306+G$263)</f>
        <v>27001.780617846147</v>
      </c>
      <c r="H306" s="48">
        <f t="shared" si="748"/>
        <v>40502.67092676922</v>
      </c>
      <c r="I306" s="48">
        <f t="shared" si="748"/>
        <v>54003.561235692294</v>
      </c>
      <c r="J306" s="48">
        <f t="shared" si="748"/>
        <v>67504.451544615367</v>
      </c>
      <c r="K306" s="48">
        <f t="shared" si="748"/>
        <v>81005.341853538441</v>
      </c>
      <c r="L306" s="48">
        <f t="shared" si="748"/>
        <v>94506.232162461514</v>
      </c>
      <c r="M306" s="48">
        <f t="shared" si="748"/>
        <v>108354.63973016576</v>
      </c>
      <c r="N306" s="48">
        <f t="shared" si="748"/>
        <v>122553.17093609204</v>
      </c>
      <c r="O306" s="48">
        <f t="shared" si="748"/>
        <v>137104.45170752701</v>
      </c>
      <c r="P306" s="48">
        <f t="shared" si="748"/>
        <v>152011.12766621201</v>
      </c>
      <c r="Q306" s="48">
        <f t="shared" si="748"/>
        <v>167275.86427605138</v>
      </c>
      <c r="R306" s="48">
        <f t="shared" si="748"/>
        <v>52791.051900919134</v>
      </c>
      <c r="S306" s="48">
        <f t="shared" si="748"/>
        <v>105945.5555036716</v>
      </c>
      <c r="T306" s="48">
        <f t="shared" si="748"/>
        <v>159466.23669602117</v>
      </c>
      <c r="U306" s="48">
        <f t="shared" si="748"/>
        <v>213355.84180988977</v>
      </c>
      <c r="V306" s="48">
        <f t="shared" si="748"/>
        <v>267617.13777468883</v>
      </c>
      <c r="W306" s="48">
        <f t="shared" si="748"/>
        <v>322252.91227180033</v>
      </c>
      <c r="X306" s="48">
        <f t="shared" si="748"/>
        <v>377265.97389021661</v>
      </c>
      <c r="Y306" s="48">
        <f t="shared" si="748"/>
        <v>432659.15228334744</v>
      </c>
      <c r="Z306" s="48">
        <f t="shared" si="748"/>
        <v>488435.2983270032</v>
      </c>
      <c r="AA306" s="48">
        <f t="shared" si="748"/>
        <v>544597.28427856276</v>
      </c>
      <c r="AB306" s="48">
        <f t="shared" si="748"/>
        <v>601148.00393733545</v>
      </c>
      <c r="AC306" s="48">
        <f t="shared" si="748"/>
        <v>658090.37280612544</v>
      </c>
      <c r="AD306" s="48">
        <f t="shared" si="748"/>
        <v>93925.583319042329</v>
      </c>
      <c r="AE306" s="48">
        <f t="shared" si="748"/>
        <v>188248.71261652024</v>
      </c>
      <c r="AF306" s="48">
        <f t="shared" si="748"/>
        <v>282972.36948727194</v>
      </c>
      <c r="AG306" s="48">
        <f t="shared" si="748"/>
        <v>378099.55788809701</v>
      </c>
      <c r="AH306" s="48">
        <f t="shared" si="748"/>
        <v>473633.30430547101</v>
      </c>
      <c r="AI306" s="48">
        <f t="shared" si="748"/>
        <v>569576.65792451811</v>
      </c>
      <c r="AJ306" s="48">
        <f t="shared" si="748"/>
        <v>665932.69079925073</v>
      </c>
      <c r="AK306" s="48">
        <f t="shared" si="748"/>
        <v>762704.49802408658</v>
      </c>
      <c r="AL306" s="48">
        <f t="shared" si="748"/>
        <v>859895.19790665153</v>
      </c>
      <c r="AM306" s="48">
        <f t="shared" ref="AM306:BR306" si="749">IF(AM$7=1,AM$263,AL$306+AM$263)</f>
        <v>957507.93214187841</v>
      </c>
      <c r="AN306" s="48">
        <f t="shared" si="749"/>
        <v>1055545.8659874122</v>
      </c>
      <c r="AO306" s="48">
        <f t="shared" si="749"/>
        <v>1154012.1884403303</v>
      </c>
      <c r="AP306" s="48">
        <f t="shared" si="749"/>
        <v>131706.47298959119</v>
      </c>
      <c r="AQ306" s="48">
        <f t="shared" si="749"/>
        <v>263847.78451253654</v>
      </c>
      <c r="AR306" s="48">
        <f t="shared" si="749"/>
        <v>396427.19585783622</v>
      </c>
      <c r="AS306" s="48">
        <f t="shared" si="749"/>
        <v>529447.9927741579</v>
      </c>
      <c r="AT306" s="48">
        <f t="shared" si="749"/>
        <v>662913.48565328424</v>
      </c>
      <c r="AU306" s="48">
        <f t="shared" si="749"/>
        <v>796827.00971493626</v>
      </c>
      <c r="AV306" s="48">
        <f t="shared" si="749"/>
        <v>931191.92519298289</v>
      </c>
      <c r="AW306" s="48">
        <f t="shared" si="749"/>
        <v>1066011.6175230471</v>
      </c>
      <c r="AX306" s="48">
        <f t="shared" si="749"/>
        <v>1201289.497531519</v>
      </c>
      <c r="AY306" s="48">
        <f t="shared" si="749"/>
        <v>1337029.0016259868</v>
      </c>
      <c r="AZ306" s="48">
        <f t="shared" si="749"/>
        <v>1473233.5919870953</v>
      </c>
      <c r="BA306" s="48">
        <f t="shared" si="749"/>
        <v>1609906.7567618443</v>
      </c>
      <c r="BB306" s="48">
        <f t="shared" si="749"/>
        <v>138464.83849300735</v>
      </c>
      <c r="BC306" s="48">
        <f t="shared" si="749"/>
        <v>277405.30637317058</v>
      </c>
      <c r="BD306" s="48">
        <f t="shared" si="749"/>
        <v>416824.97086089343</v>
      </c>
      <c r="BE306" s="48">
        <f t="shared" si="749"/>
        <v>556727.42593073263</v>
      </c>
      <c r="BF306" s="48">
        <f t="shared" si="749"/>
        <v>697116.29251205397</v>
      </c>
      <c r="BG306" s="48">
        <f t="shared" si="749"/>
        <v>837995.2186911935</v>
      </c>
      <c r="BH306" s="48">
        <f t="shared" si="749"/>
        <v>979367.87991513498</v>
      </c>
      <c r="BI306" s="48">
        <f t="shared" si="749"/>
        <v>1121237.9791967145</v>
      </c>
      <c r="BJ306" s="48">
        <f t="shared" si="749"/>
        <v>1263609.247321364</v>
      </c>
      <c r="BK306" s="48">
        <f t="shared" si="749"/>
        <v>1406485.4430554069</v>
      </c>
      <c r="BL306" s="48">
        <f t="shared" si="749"/>
        <v>1549870.3533559134</v>
      </c>
      <c r="BM306" s="48">
        <f t="shared" si="749"/>
        <v>1693767.7935821321</v>
      </c>
      <c r="BN306" s="48">
        <f t="shared" si="749"/>
        <v>149515.72438115947</v>
      </c>
      <c r="BO306" s="48">
        <f t="shared" si="749"/>
        <v>299031.44876231893</v>
      </c>
      <c r="BP306" s="48">
        <f t="shared" si="749"/>
        <v>448547.1731434784</v>
      </c>
      <c r="BQ306" s="48">
        <f t="shared" si="749"/>
        <v>598062.89752463787</v>
      </c>
      <c r="BR306" s="48">
        <f t="shared" si="749"/>
        <v>747578.62190579739</v>
      </c>
      <c r="BS306" s="48">
        <f t="shared" ref="BS306:CX306" si="750">IF(BS$7=1,BS$263,BR$306+BS$263)</f>
        <v>897094.34628695692</v>
      </c>
      <c r="BT306" s="48">
        <f t="shared" si="750"/>
        <v>1046610.0706681164</v>
      </c>
      <c r="BU306" s="48">
        <f t="shared" si="750"/>
        <v>1196125.795049276</v>
      </c>
      <c r="BV306" s="48">
        <f t="shared" si="750"/>
        <v>1345641.5194304355</v>
      </c>
      <c r="BW306" s="48">
        <f t="shared" si="750"/>
        <v>1495157.243811595</v>
      </c>
      <c r="BX306" s="48">
        <f t="shared" si="750"/>
        <v>1644672.9681927545</v>
      </c>
      <c r="BY306" s="48">
        <f t="shared" si="750"/>
        <v>1794188.6925739141</v>
      </c>
      <c r="BZ306" s="48">
        <f t="shared" si="750"/>
        <v>153631.3050727332</v>
      </c>
      <c r="CA306" s="48">
        <f t="shared" si="750"/>
        <v>307262.6101454664</v>
      </c>
      <c r="CB306" s="48">
        <f t="shared" si="750"/>
        <v>460893.9152181996</v>
      </c>
      <c r="CC306" s="48">
        <f t="shared" si="750"/>
        <v>614525.2202909328</v>
      </c>
      <c r="CD306" s="48">
        <f t="shared" si="750"/>
        <v>768156.52536366601</v>
      </c>
      <c r="CE306" s="48">
        <f t="shared" si="750"/>
        <v>921787.83043639921</v>
      </c>
      <c r="CF306" s="48">
        <f t="shared" si="750"/>
        <v>1075419.1355091324</v>
      </c>
      <c r="CG306" s="48">
        <f t="shared" si="750"/>
        <v>1229050.4405818656</v>
      </c>
      <c r="CH306" s="48">
        <f t="shared" si="750"/>
        <v>1382681.7456545988</v>
      </c>
      <c r="CI306" s="48">
        <f t="shared" si="750"/>
        <v>1536313.050727332</v>
      </c>
      <c r="CJ306" s="48">
        <f t="shared" si="750"/>
        <v>1689944.3558000652</v>
      </c>
      <c r="CK306" s="48">
        <f t="shared" si="750"/>
        <v>1843575.6608727984</v>
      </c>
      <c r="CL306" s="48">
        <f t="shared" si="750"/>
        <v>157775.1011296208</v>
      </c>
      <c r="CM306" s="48">
        <f t="shared" si="750"/>
        <v>315550.2022592416</v>
      </c>
      <c r="CN306" s="48">
        <f t="shared" si="750"/>
        <v>473325.3033888624</v>
      </c>
      <c r="CO306" s="48">
        <f t="shared" si="750"/>
        <v>631100.40451848321</v>
      </c>
      <c r="CP306" s="48">
        <f t="shared" si="750"/>
        <v>788875.50564810401</v>
      </c>
      <c r="CQ306" s="48">
        <f t="shared" si="750"/>
        <v>946650.60677772481</v>
      </c>
      <c r="CR306" s="48">
        <f t="shared" si="750"/>
        <v>1104425.7079073456</v>
      </c>
      <c r="CS306" s="48">
        <f t="shared" si="750"/>
        <v>1262200.8090369664</v>
      </c>
      <c r="CT306" s="48">
        <f t="shared" si="750"/>
        <v>1419975.9101665872</v>
      </c>
      <c r="CU306" s="48">
        <f t="shared" si="750"/>
        <v>1577751.011296208</v>
      </c>
      <c r="CV306" s="48">
        <f t="shared" si="750"/>
        <v>1735526.1124258288</v>
      </c>
      <c r="CW306" s="48">
        <f t="shared" si="750"/>
        <v>1893301.2135554496</v>
      </c>
      <c r="CX306" s="48">
        <f t="shared" si="750"/>
        <v>161947.01223224087</v>
      </c>
      <c r="CY306" s="48">
        <f t="shared" ref="CY306:ED306" si="751">IF(CY$7=1,CY$263,CX$306+CY$263)</f>
        <v>323894.02446448174</v>
      </c>
      <c r="CZ306" s="48">
        <f t="shared" si="751"/>
        <v>485841.03669672261</v>
      </c>
      <c r="DA306" s="48">
        <f t="shared" si="751"/>
        <v>647788.04892896349</v>
      </c>
      <c r="DB306" s="48">
        <f t="shared" si="751"/>
        <v>809735.06116120436</v>
      </c>
      <c r="DC306" s="48">
        <f t="shared" si="751"/>
        <v>971682.07339344523</v>
      </c>
      <c r="DD306" s="48">
        <f t="shared" si="751"/>
        <v>1133629.0856256862</v>
      </c>
      <c r="DE306" s="48">
        <f t="shared" si="751"/>
        <v>1295576.097857927</v>
      </c>
      <c r="DF306" s="48">
        <f t="shared" si="751"/>
        <v>1457523.1100901677</v>
      </c>
      <c r="DG306" s="48">
        <f t="shared" si="751"/>
        <v>1619470.1223224085</v>
      </c>
      <c r="DH306" s="48">
        <f t="shared" si="751"/>
        <v>1781417.1345546492</v>
      </c>
      <c r="DI306" s="48">
        <f t="shared" si="751"/>
        <v>1943364.14678689</v>
      </c>
      <c r="DJ306" s="48">
        <f t="shared" si="751"/>
        <v>166146.92569841945</v>
      </c>
      <c r="DK306" s="48">
        <f t="shared" si="751"/>
        <v>332293.8513968389</v>
      </c>
      <c r="DL306" s="48">
        <f t="shared" si="751"/>
        <v>498440.77709525835</v>
      </c>
      <c r="DM306" s="48">
        <f t="shared" si="751"/>
        <v>664587.7027936778</v>
      </c>
      <c r="DN306" s="48">
        <f t="shared" si="751"/>
        <v>830734.62849209725</v>
      </c>
      <c r="DO306" s="48">
        <f t="shared" si="751"/>
        <v>996881.5541905167</v>
      </c>
      <c r="DP306" s="48">
        <f t="shared" si="751"/>
        <v>1163028.479888936</v>
      </c>
      <c r="DQ306" s="48">
        <f t="shared" si="751"/>
        <v>1329175.4055873556</v>
      </c>
      <c r="DR306" s="48">
        <f t="shared" si="751"/>
        <v>1495322.3312857752</v>
      </c>
      <c r="DS306" s="48">
        <f t="shared" si="751"/>
        <v>1661469.2569841947</v>
      </c>
      <c r="DT306" s="48">
        <f t="shared" si="751"/>
        <v>1827616.1826826143</v>
      </c>
      <c r="DU306" s="48">
        <f t="shared" si="751"/>
        <v>1993763.1083810339</v>
      </c>
      <c r="DV306" s="48">
        <f t="shared" si="751"/>
        <v>0</v>
      </c>
      <c r="DW306" s="48">
        <f t="shared" si="751"/>
        <v>0</v>
      </c>
      <c r="DX306" s="48">
        <f t="shared" si="751"/>
        <v>0</v>
      </c>
      <c r="DY306" s="48">
        <f t="shared" si="751"/>
        <v>0</v>
      </c>
      <c r="DZ306" s="48">
        <f t="shared" si="751"/>
        <v>0</v>
      </c>
      <c r="EA306" s="48">
        <f t="shared" si="751"/>
        <v>0</v>
      </c>
      <c r="EB306" s="48">
        <f t="shared" si="751"/>
        <v>0</v>
      </c>
      <c r="EC306" s="48">
        <f t="shared" si="751"/>
        <v>0</v>
      </c>
      <c r="ED306" s="48">
        <f t="shared" si="751"/>
        <v>0</v>
      </c>
      <c r="EE306" s="48">
        <f t="shared" ref="EE306:ES306" si="752">IF(EE$7=1,EE$263,ED$306+EE$263)</f>
        <v>0</v>
      </c>
      <c r="EF306" s="48">
        <f t="shared" si="752"/>
        <v>0</v>
      </c>
      <c r="EG306" s="48">
        <f t="shared" si="752"/>
        <v>0</v>
      </c>
      <c r="EH306" s="48">
        <f t="shared" si="752"/>
        <v>0</v>
      </c>
      <c r="EI306" s="48">
        <f t="shared" si="752"/>
        <v>0</v>
      </c>
      <c r="EJ306" s="48">
        <f t="shared" si="752"/>
        <v>0</v>
      </c>
      <c r="EK306" s="48">
        <f t="shared" si="752"/>
        <v>0</v>
      </c>
      <c r="EL306" s="48">
        <f t="shared" si="752"/>
        <v>0</v>
      </c>
      <c r="EM306" s="48">
        <f t="shared" si="752"/>
        <v>0</v>
      </c>
      <c r="EN306" s="48">
        <f t="shared" si="752"/>
        <v>0</v>
      </c>
      <c r="EO306" s="48">
        <f t="shared" si="752"/>
        <v>0</v>
      </c>
      <c r="EP306" s="48">
        <f t="shared" si="752"/>
        <v>0</v>
      </c>
      <c r="EQ306" s="48">
        <f t="shared" si="752"/>
        <v>0</v>
      </c>
      <c r="ER306" s="48">
        <f t="shared" si="752"/>
        <v>0</v>
      </c>
      <c r="ES306" s="48">
        <f t="shared" si="752"/>
        <v>0</v>
      </c>
    </row>
    <row r="307" spans="1:149" x14ac:dyDescent="0.3">
      <c r="A307" s="14" t="s">
        <v>1356</v>
      </c>
      <c r="B307" s="18" t="s">
        <v>1197</v>
      </c>
      <c r="C307" s="18" t="s">
        <v>439</v>
      </c>
      <c r="F307" s="48">
        <f>0</f>
        <v>0</v>
      </c>
      <c r="G307" s="48">
        <f t="shared" ref="G307:AL307" si="753">IF(G$7=1,F$306,F$307)</f>
        <v>0</v>
      </c>
      <c r="H307" s="48">
        <f t="shared" si="753"/>
        <v>0</v>
      </c>
      <c r="I307" s="48">
        <f t="shared" si="753"/>
        <v>0</v>
      </c>
      <c r="J307" s="48">
        <f t="shared" si="753"/>
        <v>0</v>
      </c>
      <c r="K307" s="48">
        <f t="shared" si="753"/>
        <v>0</v>
      </c>
      <c r="L307" s="48">
        <f t="shared" si="753"/>
        <v>0</v>
      </c>
      <c r="M307" s="48">
        <f t="shared" si="753"/>
        <v>0</v>
      </c>
      <c r="N307" s="48">
        <f t="shared" si="753"/>
        <v>0</v>
      </c>
      <c r="O307" s="48">
        <f t="shared" si="753"/>
        <v>0</v>
      </c>
      <c r="P307" s="48">
        <f t="shared" si="753"/>
        <v>0</v>
      </c>
      <c r="Q307" s="48">
        <f t="shared" si="753"/>
        <v>0</v>
      </c>
      <c r="R307" s="48">
        <f t="shared" si="753"/>
        <v>167275.86427605138</v>
      </c>
      <c r="S307" s="48">
        <f t="shared" si="753"/>
        <v>167275.86427605138</v>
      </c>
      <c r="T307" s="48">
        <f t="shared" si="753"/>
        <v>167275.86427605138</v>
      </c>
      <c r="U307" s="48">
        <f t="shared" si="753"/>
        <v>167275.86427605138</v>
      </c>
      <c r="V307" s="48">
        <f t="shared" si="753"/>
        <v>167275.86427605138</v>
      </c>
      <c r="W307" s="48">
        <f t="shared" si="753"/>
        <v>167275.86427605138</v>
      </c>
      <c r="X307" s="48">
        <f t="shared" si="753"/>
        <v>167275.86427605138</v>
      </c>
      <c r="Y307" s="48">
        <f t="shared" si="753"/>
        <v>167275.86427605138</v>
      </c>
      <c r="Z307" s="48">
        <f t="shared" si="753"/>
        <v>167275.86427605138</v>
      </c>
      <c r="AA307" s="48">
        <f t="shared" si="753"/>
        <v>167275.86427605138</v>
      </c>
      <c r="AB307" s="48">
        <f t="shared" si="753"/>
        <v>167275.86427605138</v>
      </c>
      <c r="AC307" s="48">
        <f t="shared" si="753"/>
        <v>167275.86427605138</v>
      </c>
      <c r="AD307" s="48">
        <f t="shared" si="753"/>
        <v>658090.37280612544</v>
      </c>
      <c r="AE307" s="48">
        <f t="shared" si="753"/>
        <v>658090.37280612544</v>
      </c>
      <c r="AF307" s="48">
        <f t="shared" si="753"/>
        <v>658090.37280612544</v>
      </c>
      <c r="AG307" s="48">
        <f t="shared" si="753"/>
        <v>658090.37280612544</v>
      </c>
      <c r="AH307" s="48">
        <f t="shared" si="753"/>
        <v>658090.37280612544</v>
      </c>
      <c r="AI307" s="48">
        <f t="shared" si="753"/>
        <v>658090.37280612544</v>
      </c>
      <c r="AJ307" s="48">
        <f t="shared" si="753"/>
        <v>658090.37280612544</v>
      </c>
      <c r="AK307" s="48">
        <f t="shared" si="753"/>
        <v>658090.37280612544</v>
      </c>
      <c r="AL307" s="48">
        <f t="shared" si="753"/>
        <v>658090.37280612544</v>
      </c>
      <c r="AM307" s="48">
        <f t="shared" ref="AM307:BR307" si="754">IF(AM$7=1,AL$306,AL$307)</f>
        <v>658090.37280612544</v>
      </c>
      <c r="AN307" s="48">
        <f t="shared" si="754"/>
        <v>658090.37280612544</v>
      </c>
      <c r="AO307" s="48">
        <f t="shared" si="754"/>
        <v>658090.37280612544</v>
      </c>
      <c r="AP307" s="48">
        <f t="shared" si="754"/>
        <v>1154012.1884403303</v>
      </c>
      <c r="AQ307" s="48">
        <f t="shared" si="754"/>
        <v>1154012.1884403303</v>
      </c>
      <c r="AR307" s="48">
        <f t="shared" si="754"/>
        <v>1154012.1884403303</v>
      </c>
      <c r="AS307" s="48">
        <f t="shared" si="754"/>
        <v>1154012.1884403303</v>
      </c>
      <c r="AT307" s="48">
        <f t="shared" si="754"/>
        <v>1154012.1884403303</v>
      </c>
      <c r="AU307" s="48">
        <f t="shared" si="754"/>
        <v>1154012.1884403303</v>
      </c>
      <c r="AV307" s="48">
        <f t="shared" si="754"/>
        <v>1154012.1884403303</v>
      </c>
      <c r="AW307" s="48">
        <f t="shared" si="754"/>
        <v>1154012.1884403303</v>
      </c>
      <c r="AX307" s="48">
        <f t="shared" si="754"/>
        <v>1154012.1884403303</v>
      </c>
      <c r="AY307" s="48">
        <f t="shared" si="754"/>
        <v>1154012.1884403303</v>
      </c>
      <c r="AZ307" s="48">
        <f t="shared" si="754"/>
        <v>1154012.1884403303</v>
      </c>
      <c r="BA307" s="48">
        <f t="shared" si="754"/>
        <v>1154012.1884403303</v>
      </c>
      <c r="BB307" s="48">
        <f t="shared" si="754"/>
        <v>1609906.7567618443</v>
      </c>
      <c r="BC307" s="48">
        <f t="shared" si="754"/>
        <v>1609906.7567618443</v>
      </c>
      <c r="BD307" s="48">
        <f t="shared" si="754"/>
        <v>1609906.7567618443</v>
      </c>
      <c r="BE307" s="48">
        <f t="shared" si="754"/>
        <v>1609906.7567618443</v>
      </c>
      <c r="BF307" s="48">
        <f t="shared" si="754"/>
        <v>1609906.7567618443</v>
      </c>
      <c r="BG307" s="48">
        <f t="shared" si="754"/>
        <v>1609906.7567618443</v>
      </c>
      <c r="BH307" s="48">
        <f t="shared" si="754"/>
        <v>1609906.7567618443</v>
      </c>
      <c r="BI307" s="48">
        <f t="shared" si="754"/>
        <v>1609906.7567618443</v>
      </c>
      <c r="BJ307" s="48">
        <f t="shared" si="754"/>
        <v>1609906.7567618443</v>
      </c>
      <c r="BK307" s="48">
        <f t="shared" si="754"/>
        <v>1609906.7567618443</v>
      </c>
      <c r="BL307" s="48">
        <f t="shared" si="754"/>
        <v>1609906.7567618443</v>
      </c>
      <c r="BM307" s="48">
        <f t="shared" si="754"/>
        <v>1609906.7567618443</v>
      </c>
      <c r="BN307" s="48">
        <f t="shared" si="754"/>
        <v>1693767.7935821321</v>
      </c>
      <c r="BO307" s="48">
        <f t="shared" si="754"/>
        <v>1693767.7935821321</v>
      </c>
      <c r="BP307" s="48">
        <f t="shared" si="754"/>
        <v>1693767.7935821321</v>
      </c>
      <c r="BQ307" s="48">
        <f t="shared" si="754"/>
        <v>1693767.7935821321</v>
      </c>
      <c r="BR307" s="48">
        <f t="shared" si="754"/>
        <v>1693767.7935821321</v>
      </c>
      <c r="BS307" s="48">
        <f t="shared" ref="BS307:CX307" si="755">IF(BS$7=1,BR$306,BR$307)</f>
        <v>1693767.7935821321</v>
      </c>
      <c r="BT307" s="48">
        <f t="shared" si="755"/>
        <v>1693767.7935821321</v>
      </c>
      <c r="BU307" s="48">
        <f t="shared" si="755"/>
        <v>1693767.7935821321</v>
      </c>
      <c r="BV307" s="48">
        <f t="shared" si="755"/>
        <v>1693767.7935821321</v>
      </c>
      <c r="BW307" s="48">
        <f t="shared" si="755"/>
        <v>1693767.7935821321</v>
      </c>
      <c r="BX307" s="48">
        <f t="shared" si="755"/>
        <v>1693767.7935821321</v>
      </c>
      <c r="BY307" s="48">
        <f t="shared" si="755"/>
        <v>1693767.7935821321</v>
      </c>
      <c r="BZ307" s="48">
        <f t="shared" si="755"/>
        <v>1794188.6925739141</v>
      </c>
      <c r="CA307" s="48">
        <f t="shared" si="755"/>
        <v>1794188.6925739141</v>
      </c>
      <c r="CB307" s="48">
        <f t="shared" si="755"/>
        <v>1794188.6925739141</v>
      </c>
      <c r="CC307" s="48">
        <f t="shared" si="755"/>
        <v>1794188.6925739141</v>
      </c>
      <c r="CD307" s="48">
        <f t="shared" si="755"/>
        <v>1794188.6925739141</v>
      </c>
      <c r="CE307" s="48">
        <f t="shared" si="755"/>
        <v>1794188.6925739141</v>
      </c>
      <c r="CF307" s="48">
        <f t="shared" si="755"/>
        <v>1794188.6925739141</v>
      </c>
      <c r="CG307" s="48">
        <f t="shared" si="755"/>
        <v>1794188.6925739141</v>
      </c>
      <c r="CH307" s="48">
        <f t="shared" si="755"/>
        <v>1794188.6925739141</v>
      </c>
      <c r="CI307" s="48">
        <f t="shared" si="755"/>
        <v>1794188.6925739141</v>
      </c>
      <c r="CJ307" s="48">
        <f t="shared" si="755"/>
        <v>1794188.6925739141</v>
      </c>
      <c r="CK307" s="48">
        <f t="shared" si="755"/>
        <v>1794188.6925739141</v>
      </c>
      <c r="CL307" s="48">
        <f t="shared" si="755"/>
        <v>1843575.6608727984</v>
      </c>
      <c r="CM307" s="48">
        <f t="shared" si="755"/>
        <v>1843575.6608727984</v>
      </c>
      <c r="CN307" s="48">
        <f t="shared" si="755"/>
        <v>1843575.6608727984</v>
      </c>
      <c r="CO307" s="48">
        <f t="shared" si="755"/>
        <v>1843575.6608727984</v>
      </c>
      <c r="CP307" s="48">
        <f t="shared" si="755"/>
        <v>1843575.6608727984</v>
      </c>
      <c r="CQ307" s="48">
        <f t="shared" si="755"/>
        <v>1843575.6608727984</v>
      </c>
      <c r="CR307" s="48">
        <f t="shared" si="755"/>
        <v>1843575.6608727984</v>
      </c>
      <c r="CS307" s="48">
        <f t="shared" si="755"/>
        <v>1843575.6608727984</v>
      </c>
      <c r="CT307" s="48">
        <f t="shared" si="755"/>
        <v>1843575.6608727984</v>
      </c>
      <c r="CU307" s="48">
        <f t="shared" si="755"/>
        <v>1843575.6608727984</v>
      </c>
      <c r="CV307" s="48">
        <f t="shared" si="755"/>
        <v>1843575.6608727984</v>
      </c>
      <c r="CW307" s="48">
        <f t="shared" si="755"/>
        <v>1843575.6608727984</v>
      </c>
      <c r="CX307" s="48">
        <f t="shared" si="755"/>
        <v>1893301.2135554496</v>
      </c>
      <c r="CY307" s="48">
        <f t="shared" ref="CY307:ED307" si="756">IF(CY$7=1,CX$306,CX$307)</f>
        <v>1893301.2135554496</v>
      </c>
      <c r="CZ307" s="48">
        <f t="shared" si="756"/>
        <v>1893301.2135554496</v>
      </c>
      <c r="DA307" s="48">
        <f t="shared" si="756"/>
        <v>1893301.2135554496</v>
      </c>
      <c r="DB307" s="48">
        <f t="shared" si="756"/>
        <v>1893301.2135554496</v>
      </c>
      <c r="DC307" s="48">
        <f t="shared" si="756"/>
        <v>1893301.2135554496</v>
      </c>
      <c r="DD307" s="48">
        <f t="shared" si="756"/>
        <v>1893301.2135554496</v>
      </c>
      <c r="DE307" s="48">
        <f t="shared" si="756"/>
        <v>1893301.2135554496</v>
      </c>
      <c r="DF307" s="48">
        <f t="shared" si="756"/>
        <v>1893301.2135554496</v>
      </c>
      <c r="DG307" s="48">
        <f t="shared" si="756"/>
        <v>1893301.2135554496</v>
      </c>
      <c r="DH307" s="48">
        <f t="shared" si="756"/>
        <v>1893301.2135554496</v>
      </c>
      <c r="DI307" s="48">
        <f t="shared" si="756"/>
        <v>1893301.2135554496</v>
      </c>
      <c r="DJ307" s="48">
        <f t="shared" si="756"/>
        <v>1943364.14678689</v>
      </c>
      <c r="DK307" s="48">
        <f t="shared" si="756"/>
        <v>1943364.14678689</v>
      </c>
      <c r="DL307" s="48">
        <f t="shared" si="756"/>
        <v>1943364.14678689</v>
      </c>
      <c r="DM307" s="48">
        <f t="shared" si="756"/>
        <v>1943364.14678689</v>
      </c>
      <c r="DN307" s="48">
        <f t="shared" si="756"/>
        <v>1943364.14678689</v>
      </c>
      <c r="DO307" s="48">
        <f t="shared" si="756"/>
        <v>1943364.14678689</v>
      </c>
      <c r="DP307" s="48">
        <f t="shared" si="756"/>
        <v>1943364.14678689</v>
      </c>
      <c r="DQ307" s="48">
        <f t="shared" si="756"/>
        <v>1943364.14678689</v>
      </c>
      <c r="DR307" s="48">
        <f t="shared" si="756"/>
        <v>1943364.14678689</v>
      </c>
      <c r="DS307" s="48">
        <f t="shared" si="756"/>
        <v>1943364.14678689</v>
      </c>
      <c r="DT307" s="48">
        <f t="shared" si="756"/>
        <v>1943364.14678689</v>
      </c>
      <c r="DU307" s="48">
        <f t="shared" si="756"/>
        <v>1943364.14678689</v>
      </c>
      <c r="DV307" s="48">
        <f t="shared" si="756"/>
        <v>1993763.1083810339</v>
      </c>
      <c r="DW307" s="48">
        <f t="shared" si="756"/>
        <v>1993763.1083810339</v>
      </c>
      <c r="DX307" s="48">
        <f t="shared" si="756"/>
        <v>1993763.1083810339</v>
      </c>
      <c r="DY307" s="48">
        <f t="shared" si="756"/>
        <v>1993763.1083810339</v>
      </c>
      <c r="DZ307" s="48">
        <f t="shared" si="756"/>
        <v>1993763.1083810339</v>
      </c>
      <c r="EA307" s="48">
        <f t="shared" si="756"/>
        <v>1993763.1083810339</v>
      </c>
      <c r="EB307" s="48">
        <f t="shared" si="756"/>
        <v>1993763.1083810339</v>
      </c>
      <c r="EC307" s="48">
        <f t="shared" si="756"/>
        <v>1993763.1083810339</v>
      </c>
      <c r="ED307" s="48">
        <f t="shared" si="756"/>
        <v>1993763.1083810339</v>
      </c>
      <c r="EE307" s="48">
        <f t="shared" ref="EE307:ES307" si="757">IF(EE$7=1,ED$306,ED$307)</f>
        <v>1993763.1083810339</v>
      </c>
      <c r="EF307" s="48">
        <f t="shared" si="757"/>
        <v>1993763.1083810339</v>
      </c>
      <c r="EG307" s="48">
        <f t="shared" si="757"/>
        <v>1993763.1083810339</v>
      </c>
      <c r="EH307" s="48">
        <f t="shared" si="757"/>
        <v>0</v>
      </c>
      <c r="EI307" s="48">
        <f t="shared" si="757"/>
        <v>0</v>
      </c>
      <c r="EJ307" s="48">
        <f t="shared" si="757"/>
        <v>0</v>
      </c>
      <c r="EK307" s="48">
        <f t="shared" si="757"/>
        <v>0</v>
      </c>
      <c r="EL307" s="48">
        <f t="shared" si="757"/>
        <v>0</v>
      </c>
      <c r="EM307" s="48">
        <f t="shared" si="757"/>
        <v>0</v>
      </c>
      <c r="EN307" s="48">
        <f t="shared" si="757"/>
        <v>0</v>
      </c>
      <c r="EO307" s="48">
        <f t="shared" si="757"/>
        <v>0</v>
      </c>
      <c r="EP307" s="48">
        <f t="shared" si="757"/>
        <v>0</v>
      </c>
      <c r="EQ307" s="48">
        <f t="shared" si="757"/>
        <v>0</v>
      </c>
      <c r="ER307" s="48">
        <f t="shared" si="757"/>
        <v>0</v>
      </c>
      <c r="ES307" s="48">
        <f t="shared" si="757"/>
        <v>0</v>
      </c>
    </row>
    <row r="308" spans="1:149" x14ac:dyDescent="0.3">
      <c r="A308" s="14" t="s">
        <v>1357</v>
      </c>
      <c r="B308" s="18" t="s">
        <v>1199</v>
      </c>
      <c r="C308" s="18" t="s">
        <v>439</v>
      </c>
      <c r="E308" s="54">
        <f>SUM(F308:ES308)</f>
        <v>10319354.542284206</v>
      </c>
      <c r="F308" s="48">
        <f t="shared" ref="F308:AK308" si="758">IF(AND(F$7=MAX(1,V_MesDiv),F$6&gt;=2),INDEX(Payout_V,1,MIN(10,F$6-1))*MAX(0,F$307),0)*F$9</f>
        <v>0</v>
      </c>
      <c r="G308" s="48">
        <f t="shared" si="758"/>
        <v>0</v>
      </c>
      <c r="H308" s="48">
        <f t="shared" si="758"/>
        <v>0</v>
      </c>
      <c r="I308" s="48">
        <f t="shared" si="758"/>
        <v>0</v>
      </c>
      <c r="J308" s="48">
        <f t="shared" si="758"/>
        <v>0</v>
      </c>
      <c r="K308" s="48">
        <f t="shared" si="758"/>
        <v>0</v>
      </c>
      <c r="L308" s="48">
        <f t="shared" si="758"/>
        <v>0</v>
      </c>
      <c r="M308" s="48">
        <f t="shared" si="758"/>
        <v>0</v>
      </c>
      <c r="N308" s="48">
        <f t="shared" si="758"/>
        <v>0</v>
      </c>
      <c r="O308" s="48">
        <f t="shared" si="758"/>
        <v>0</v>
      </c>
      <c r="P308" s="48">
        <f t="shared" si="758"/>
        <v>0</v>
      </c>
      <c r="Q308" s="48">
        <f t="shared" si="758"/>
        <v>0</v>
      </c>
      <c r="R308" s="48">
        <f t="shared" si="758"/>
        <v>0</v>
      </c>
      <c r="S308" s="48">
        <f t="shared" si="758"/>
        <v>0</v>
      </c>
      <c r="T308" s="48">
        <f t="shared" si="758"/>
        <v>0</v>
      </c>
      <c r="U308" s="48">
        <f t="shared" si="758"/>
        <v>0</v>
      </c>
      <c r="V308" s="48">
        <f t="shared" si="758"/>
        <v>0</v>
      </c>
      <c r="W308" s="48">
        <f t="shared" si="758"/>
        <v>0</v>
      </c>
      <c r="X308" s="48">
        <f t="shared" si="758"/>
        <v>0</v>
      </c>
      <c r="Y308" s="48">
        <f t="shared" si="758"/>
        <v>0</v>
      </c>
      <c r="Z308" s="48">
        <f t="shared" si="758"/>
        <v>0</v>
      </c>
      <c r="AA308" s="48">
        <f t="shared" si="758"/>
        <v>0</v>
      </c>
      <c r="AB308" s="48">
        <f t="shared" si="758"/>
        <v>0</v>
      </c>
      <c r="AC308" s="48">
        <f t="shared" si="758"/>
        <v>0</v>
      </c>
      <c r="AD308" s="48">
        <f t="shared" si="758"/>
        <v>0</v>
      </c>
      <c r="AE308" s="48">
        <f t="shared" si="758"/>
        <v>0</v>
      </c>
      <c r="AF308" s="48">
        <f t="shared" si="758"/>
        <v>0</v>
      </c>
      <c r="AG308" s="48">
        <f t="shared" si="758"/>
        <v>0</v>
      </c>
      <c r="AH308" s="48">
        <f t="shared" si="758"/>
        <v>0</v>
      </c>
      <c r="AI308" s="48">
        <f t="shared" si="758"/>
        <v>0</v>
      </c>
      <c r="AJ308" s="48">
        <f t="shared" si="758"/>
        <v>0</v>
      </c>
      <c r="AK308" s="48">
        <f t="shared" si="758"/>
        <v>0</v>
      </c>
      <c r="AL308" s="48">
        <f t="shared" ref="AL308:BQ308" si="759">IF(AND(AL$7=MAX(1,V_MesDiv),AL$6&gt;=2),INDEX(Payout_V,1,MIN(10,AL$6-1))*MAX(0,AL$307),0)*AL$9</f>
        <v>0</v>
      </c>
      <c r="AM308" s="48">
        <f t="shared" si="759"/>
        <v>0</v>
      </c>
      <c r="AN308" s="48">
        <f t="shared" si="759"/>
        <v>0</v>
      </c>
      <c r="AO308" s="48">
        <f t="shared" si="759"/>
        <v>0</v>
      </c>
      <c r="AP308" s="48">
        <f t="shared" si="759"/>
        <v>0</v>
      </c>
      <c r="AQ308" s="48">
        <f t="shared" si="759"/>
        <v>0</v>
      </c>
      <c r="AR308" s="48">
        <f t="shared" si="759"/>
        <v>0</v>
      </c>
      <c r="AS308" s="48">
        <f t="shared" si="759"/>
        <v>346203.65653209906</v>
      </c>
      <c r="AT308" s="48">
        <f t="shared" si="759"/>
        <v>0</v>
      </c>
      <c r="AU308" s="48">
        <f t="shared" si="759"/>
        <v>0</v>
      </c>
      <c r="AV308" s="48">
        <f t="shared" si="759"/>
        <v>0</v>
      </c>
      <c r="AW308" s="48">
        <f t="shared" si="759"/>
        <v>0</v>
      </c>
      <c r="AX308" s="48">
        <f t="shared" si="759"/>
        <v>0</v>
      </c>
      <c r="AY308" s="48">
        <f t="shared" si="759"/>
        <v>0</v>
      </c>
      <c r="AZ308" s="48">
        <f t="shared" si="759"/>
        <v>0</v>
      </c>
      <c r="BA308" s="48">
        <f t="shared" si="759"/>
        <v>0</v>
      </c>
      <c r="BB308" s="48">
        <f t="shared" si="759"/>
        <v>0</v>
      </c>
      <c r="BC308" s="48">
        <f t="shared" si="759"/>
        <v>0</v>
      </c>
      <c r="BD308" s="48">
        <f t="shared" si="759"/>
        <v>0</v>
      </c>
      <c r="BE308" s="48">
        <f t="shared" si="759"/>
        <v>804953.37838092213</v>
      </c>
      <c r="BF308" s="48">
        <f t="shared" si="759"/>
        <v>0</v>
      </c>
      <c r="BG308" s="48">
        <f t="shared" si="759"/>
        <v>0</v>
      </c>
      <c r="BH308" s="48">
        <f t="shared" si="759"/>
        <v>0</v>
      </c>
      <c r="BI308" s="48">
        <f t="shared" si="759"/>
        <v>0</v>
      </c>
      <c r="BJ308" s="48">
        <f t="shared" si="759"/>
        <v>0</v>
      </c>
      <c r="BK308" s="48">
        <f t="shared" si="759"/>
        <v>0</v>
      </c>
      <c r="BL308" s="48">
        <f t="shared" si="759"/>
        <v>0</v>
      </c>
      <c r="BM308" s="48">
        <f t="shared" si="759"/>
        <v>0</v>
      </c>
      <c r="BN308" s="48">
        <f t="shared" si="759"/>
        <v>0</v>
      </c>
      <c r="BO308" s="48">
        <f t="shared" si="759"/>
        <v>0</v>
      </c>
      <c r="BP308" s="48">
        <f t="shared" si="759"/>
        <v>0</v>
      </c>
      <c r="BQ308" s="48">
        <f t="shared" si="759"/>
        <v>1693767.7935821321</v>
      </c>
      <c r="BR308" s="48">
        <f t="shared" ref="BR308:CW308" si="760">IF(AND(BR$7=MAX(1,V_MesDiv),BR$6&gt;=2),INDEX(Payout_V,1,MIN(10,BR$6-1))*MAX(0,BR$307),0)*BR$9</f>
        <v>0</v>
      </c>
      <c r="BS308" s="48">
        <f t="shared" si="760"/>
        <v>0</v>
      </c>
      <c r="BT308" s="48">
        <f t="shared" si="760"/>
        <v>0</v>
      </c>
      <c r="BU308" s="48">
        <f t="shared" si="760"/>
        <v>0</v>
      </c>
      <c r="BV308" s="48">
        <f t="shared" si="760"/>
        <v>0</v>
      </c>
      <c r="BW308" s="48">
        <f t="shared" si="760"/>
        <v>0</v>
      </c>
      <c r="BX308" s="48">
        <f t="shared" si="760"/>
        <v>0</v>
      </c>
      <c r="BY308" s="48">
        <f t="shared" si="760"/>
        <v>0</v>
      </c>
      <c r="BZ308" s="48">
        <f t="shared" si="760"/>
        <v>0</v>
      </c>
      <c r="CA308" s="48">
        <f t="shared" si="760"/>
        <v>0</v>
      </c>
      <c r="CB308" s="48">
        <f t="shared" si="760"/>
        <v>0</v>
      </c>
      <c r="CC308" s="48">
        <f t="shared" si="760"/>
        <v>1794188.6925739141</v>
      </c>
      <c r="CD308" s="48">
        <f t="shared" si="760"/>
        <v>0</v>
      </c>
      <c r="CE308" s="48">
        <f t="shared" si="760"/>
        <v>0</v>
      </c>
      <c r="CF308" s="48">
        <f t="shared" si="760"/>
        <v>0</v>
      </c>
      <c r="CG308" s="48">
        <f t="shared" si="760"/>
        <v>0</v>
      </c>
      <c r="CH308" s="48">
        <f t="shared" si="760"/>
        <v>0</v>
      </c>
      <c r="CI308" s="48">
        <f t="shared" si="760"/>
        <v>0</v>
      </c>
      <c r="CJ308" s="48">
        <f t="shared" si="760"/>
        <v>0</v>
      </c>
      <c r="CK308" s="48">
        <f t="shared" si="760"/>
        <v>0</v>
      </c>
      <c r="CL308" s="48">
        <f t="shared" si="760"/>
        <v>0</v>
      </c>
      <c r="CM308" s="48">
        <f t="shared" si="760"/>
        <v>0</v>
      </c>
      <c r="CN308" s="48">
        <f t="shared" si="760"/>
        <v>0</v>
      </c>
      <c r="CO308" s="48">
        <f t="shared" si="760"/>
        <v>1843575.6608727984</v>
      </c>
      <c r="CP308" s="48">
        <f t="shared" si="760"/>
        <v>0</v>
      </c>
      <c r="CQ308" s="48">
        <f t="shared" si="760"/>
        <v>0</v>
      </c>
      <c r="CR308" s="48">
        <f t="shared" si="760"/>
        <v>0</v>
      </c>
      <c r="CS308" s="48">
        <f t="shared" si="760"/>
        <v>0</v>
      </c>
      <c r="CT308" s="48">
        <f t="shared" si="760"/>
        <v>0</v>
      </c>
      <c r="CU308" s="48">
        <f t="shared" si="760"/>
        <v>0</v>
      </c>
      <c r="CV308" s="48">
        <f t="shared" si="760"/>
        <v>0</v>
      </c>
      <c r="CW308" s="48">
        <f t="shared" si="760"/>
        <v>0</v>
      </c>
      <c r="CX308" s="48">
        <f t="shared" ref="CX308:EC308" si="761">IF(AND(CX$7=MAX(1,V_MesDiv),CX$6&gt;=2),INDEX(Payout_V,1,MIN(10,CX$6-1))*MAX(0,CX$307),0)*CX$9</f>
        <v>0</v>
      </c>
      <c r="CY308" s="48">
        <f t="shared" si="761"/>
        <v>0</v>
      </c>
      <c r="CZ308" s="48">
        <f t="shared" si="761"/>
        <v>0</v>
      </c>
      <c r="DA308" s="48">
        <f t="shared" si="761"/>
        <v>1893301.2135554496</v>
      </c>
      <c r="DB308" s="48">
        <f t="shared" si="761"/>
        <v>0</v>
      </c>
      <c r="DC308" s="48">
        <f t="shared" si="761"/>
        <v>0</v>
      </c>
      <c r="DD308" s="48">
        <f t="shared" si="761"/>
        <v>0</v>
      </c>
      <c r="DE308" s="48">
        <f t="shared" si="761"/>
        <v>0</v>
      </c>
      <c r="DF308" s="48">
        <f t="shared" si="761"/>
        <v>0</v>
      </c>
      <c r="DG308" s="48">
        <f t="shared" si="761"/>
        <v>0</v>
      </c>
      <c r="DH308" s="48">
        <f t="shared" si="761"/>
        <v>0</v>
      </c>
      <c r="DI308" s="48">
        <f t="shared" si="761"/>
        <v>0</v>
      </c>
      <c r="DJ308" s="48">
        <f t="shared" si="761"/>
        <v>0</v>
      </c>
      <c r="DK308" s="48">
        <f t="shared" si="761"/>
        <v>0</v>
      </c>
      <c r="DL308" s="48">
        <f t="shared" si="761"/>
        <v>0</v>
      </c>
      <c r="DM308" s="48">
        <f t="shared" si="761"/>
        <v>1943364.14678689</v>
      </c>
      <c r="DN308" s="48">
        <f t="shared" si="761"/>
        <v>0</v>
      </c>
      <c r="DO308" s="48">
        <f t="shared" si="761"/>
        <v>0</v>
      </c>
      <c r="DP308" s="48">
        <f t="shared" si="761"/>
        <v>0</v>
      </c>
      <c r="DQ308" s="48">
        <f t="shared" si="761"/>
        <v>0</v>
      </c>
      <c r="DR308" s="48">
        <f t="shared" si="761"/>
        <v>0</v>
      </c>
      <c r="DS308" s="48">
        <f t="shared" si="761"/>
        <v>0</v>
      </c>
      <c r="DT308" s="48">
        <f t="shared" si="761"/>
        <v>0</v>
      </c>
      <c r="DU308" s="48">
        <f t="shared" si="761"/>
        <v>0</v>
      </c>
      <c r="DV308" s="48">
        <f t="shared" si="761"/>
        <v>0</v>
      </c>
      <c r="DW308" s="48">
        <f t="shared" si="761"/>
        <v>0</v>
      </c>
      <c r="DX308" s="48">
        <f t="shared" si="761"/>
        <v>0</v>
      </c>
      <c r="DY308" s="48">
        <f t="shared" si="761"/>
        <v>0</v>
      </c>
      <c r="DZ308" s="48">
        <f t="shared" si="761"/>
        <v>0</v>
      </c>
      <c r="EA308" s="48">
        <f t="shared" si="761"/>
        <v>0</v>
      </c>
      <c r="EB308" s="48">
        <f t="shared" si="761"/>
        <v>0</v>
      </c>
      <c r="EC308" s="48">
        <f t="shared" si="761"/>
        <v>0</v>
      </c>
      <c r="ED308" s="48">
        <f t="shared" ref="ED308:ES308" si="762">IF(AND(ED$7=MAX(1,V_MesDiv),ED$6&gt;=2),INDEX(Payout_V,1,MIN(10,ED$6-1))*MAX(0,ED$307),0)*ED$9</f>
        <v>0</v>
      </c>
      <c r="EE308" s="48">
        <f t="shared" si="762"/>
        <v>0</v>
      </c>
      <c r="EF308" s="48">
        <f t="shared" si="762"/>
        <v>0</v>
      </c>
      <c r="EG308" s="48">
        <f t="shared" si="762"/>
        <v>0</v>
      </c>
      <c r="EH308" s="48">
        <f t="shared" si="762"/>
        <v>0</v>
      </c>
      <c r="EI308" s="48">
        <f t="shared" si="762"/>
        <v>0</v>
      </c>
      <c r="EJ308" s="48">
        <f t="shared" si="762"/>
        <v>0</v>
      </c>
      <c r="EK308" s="48">
        <f t="shared" si="762"/>
        <v>0</v>
      </c>
      <c r="EL308" s="48">
        <f t="shared" si="762"/>
        <v>0</v>
      </c>
      <c r="EM308" s="48">
        <f t="shared" si="762"/>
        <v>0</v>
      </c>
      <c r="EN308" s="48">
        <f t="shared" si="762"/>
        <v>0</v>
      </c>
      <c r="EO308" s="48">
        <f t="shared" si="762"/>
        <v>0</v>
      </c>
      <c r="EP308" s="48">
        <f t="shared" si="762"/>
        <v>0</v>
      </c>
      <c r="EQ308" s="48">
        <f t="shared" si="762"/>
        <v>0</v>
      </c>
      <c r="ER308" s="48">
        <f t="shared" si="762"/>
        <v>0</v>
      </c>
      <c r="ES308" s="48">
        <f t="shared" si="762"/>
        <v>0</v>
      </c>
    </row>
    <row r="309" spans="1:149" x14ac:dyDescent="0.3">
      <c r="A309" s="14" t="s">
        <v>1358</v>
      </c>
      <c r="B309" s="18" t="s">
        <v>1201</v>
      </c>
      <c r="C309" s="18" t="s">
        <v>439</v>
      </c>
      <c r="E309" s="54">
        <f>SUM(F309:ES309)</f>
        <v>9743309.6365381964</v>
      </c>
      <c r="F309" s="48">
        <f>IF(F$8=1,IF(Reales!$C$77="PYG",IF(F$10&gt;0,N(Reales!F77)/F$10,0),N(Reales!F77)),MIN(F$308,MAX(0,F$305-F$298)))</f>
        <v>0</v>
      </c>
      <c r="G309" s="48">
        <f>IF(G$8=1,IF(Reales!$C$77="PYG",IF(G$10&gt;0,N(Reales!G77)/G$10,0),N(Reales!G77)),MIN(G$308,MAX(0,G$305-G$298)))</f>
        <v>0</v>
      </c>
      <c r="H309" s="48">
        <f>IF(H$8=1,IF(Reales!$C$77="PYG",IF(H$10&gt;0,N(Reales!H77)/H$10,0),N(Reales!H77)),MIN(H$308,MAX(0,H$305-H$298)))</f>
        <v>0</v>
      </c>
      <c r="I309" s="48">
        <f>IF(I$8=1,IF(Reales!$C$77="PYG",IF(I$10&gt;0,N(Reales!I77)/I$10,0),N(Reales!I77)),MIN(I$308,MAX(0,I$305-I$298)))</f>
        <v>0</v>
      </c>
      <c r="J309" s="48">
        <f>IF(J$8=1,IF(Reales!$C$77="PYG",IF(J$10&gt;0,N(Reales!J77)/J$10,0),N(Reales!J77)),MIN(J$308,MAX(0,J$305-J$298)))</f>
        <v>0</v>
      </c>
      <c r="K309" s="48">
        <f>IF(K$8=1,IF(Reales!$C$77="PYG",IF(K$10&gt;0,N(Reales!K77)/K$10,0),N(Reales!K77)),MIN(K$308,MAX(0,K$305-K$298)))</f>
        <v>0</v>
      </c>
      <c r="L309" s="48">
        <f>IF(L$8=1,IF(Reales!$C$77="PYG",IF(L$10&gt;0,N(Reales!L77)/L$10,0),N(Reales!L77)),MIN(L$308,MAX(0,L$305-L$298)))</f>
        <v>0</v>
      </c>
      <c r="M309" s="48">
        <f>IF(M$8=1,IF(Reales!$C$77="PYG",IF(M$10&gt;0,N(Reales!M77)/M$10,0),N(Reales!M77)),MIN(M$308,MAX(0,M$305-M$298)))</f>
        <v>0</v>
      </c>
      <c r="N309" s="48">
        <f>IF(N$8=1,IF(Reales!$C$77="PYG",IF(N$10&gt;0,N(Reales!N77)/N$10,0),N(Reales!N77)),MIN(N$308,MAX(0,N$305-N$298)))</f>
        <v>0</v>
      </c>
      <c r="O309" s="48">
        <f>IF(O$8=1,IF(Reales!$C$77="PYG",IF(O$10&gt;0,N(Reales!O77)/O$10,0),N(Reales!O77)),MIN(O$308,MAX(0,O$305-O$298)))</f>
        <v>0</v>
      </c>
      <c r="P309" s="48">
        <f>IF(P$8=1,IF(Reales!$C$77="PYG",IF(P$10&gt;0,N(Reales!P77)/P$10,0),N(Reales!P77)),MIN(P$308,MAX(0,P$305-P$298)))</f>
        <v>0</v>
      </c>
      <c r="Q309" s="48">
        <f>IF(Q$8=1,IF(Reales!$C$77="PYG",IF(Q$10&gt;0,N(Reales!Q77)/Q$10,0),N(Reales!Q77)),MIN(Q$308,MAX(0,Q$305-Q$298)))</f>
        <v>0</v>
      </c>
      <c r="R309" s="48">
        <f>IF(R$8=1,IF(Reales!$C$77="PYG",IF(R$10&gt;0,N(Reales!R77)/R$10,0),N(Reales!R77)),MIN(R$308,MAX(0,R$305-R$298)))</f>
        <v>0</v>
      </c>
      <c r="S309" s="48">
        <f>IF(S$8=1,IF(Reales!$C$77="PYG",IF(S$10&gt;0,N(Reales!S77)/S$10,0),N(Reales!S77)),MIN(S$308,MAX(0,S$305-S$298)))</f>
        <v>0</v>
      </c>
      <c r="T309" s="48">
        <f>IF(T$8=1,IF(Reales!$C$77="PYG",IF(T$10&gt;0,N(Reales!T77)/T$10,0),N(Reales!T77)),MIN(T$308,MAX(0,T$305-T$298)))</f>
        <v>0</v>
      </c>
      <c r="U309" s="48">
        <f>IF(U$8=1,IF(Reales!$C$77="PYG",IF(U$10&gt;0,N(Reales!U77)/U$10,0),N(Reales!U77)),MIN(U$308,MAX(0,U$305-U$298)))</f>
        <v>0</v>
      </c>
      <c r="V309" s="48">
        <f>IF(V$8=1,IF(Reales!$C$77="PYG",IF(V$10&gt;0,N(Reales!V77)/V$10,0),N(Reales!V77)),MIN(V$308,MAX(0,V$305-V$298)))</f>
        <v>0</v>
      </c>
      <c r="W309" s="48">
        <f>IF(W$8=1,IF(Reales!$C$77="PYG",IF(W$10&gt;0,N(Reales!W77)/W$10,0),N(Reales!W77)),MIN(W$308,MAX(0,W$305-W$298)))</f>
        <v>0</v>
      </c>
      <c r="X309" s="48">
        <f>IF(X$8=1,IF(Reales!$C$77="PYG",IF(X$10&gt;0,N(Reales!X77)/X$10,0),N(Reales!X77)),MIN(X$308,MAX(0,X$305-X$298)))</f>
        <v>0</v>
      </c>
      <c r="Y309" s="48">
        <f>IF(Y$8=1,IF(Reales!$C$77="PYG",IF(Y$10&gt;0,N(Reales!Y77)/Y$10,0),N(Reales!Y77)),MIN(Y$308,MAX(0,Y$305-Y$298)))</f>
        <v>0</v>
      </c>
      <c r="Z309" s="48">
        <f>IF(Z$8=1,IF(Reales!$C$77="PYG",IF(Z$10&gt;0,N(Reales!Z77)/Z$10,0),N(Reales!Z77)),MIN(Z$308,MAX(0,Z$305-Z$298)))</f>
        <v>0</v>
      </c>
      <c r="AA309" s="48">
        <f>IF(AA$8=1,IF(Reales!$C$77="PYG",IF(AA$10&gt;0,N(Reales!AA77)/AA$10,0),N(Reales!AA77)),MIN(AA$308,MAX(0,AA$305-AA$298)))</f>
        <v>0</v>
      </c>
      <c r="AB309" s="48">
        <f>IF(AB$8=1,IF(Reales!$C$77="PYG",IF(AB$10&gt;0,N(Reales!AB77)/AB$10,0),N(Reales!AB77)),MIN(AB$308,MAX(0,AB$305-AB$298)))</f>
        <v>0</v>
      </c>
      <c r="AC309" s="48">
        <f>IF(AC$8=1,IF(Reales!$C$77="PYG",IF(AC$10&gt;0,N(Reales!AC77)/AC$10,0),N(Reales!AC77)),MIN(AC$308,MAX(0,AC$305-AC$298)))</f>
        <v>0</v>
      </c>
      <c r="AD309" s="48">
        <f>IF(AD$8=1,IF(Reales!$C$77="PYG",IF(AD$10&gt;0,N(Reales!AD77)/AD$10,0),N(Reales!AD77)),MIN(AD$308,MAX(0,AD$305-AD$298)))</f>
        <v>0</v>
      </c>
      <c r="AE309" s="48">
        <f>IF(AE$8=1,IF(Reales!$C$77="PYG",IF(AE$10&gt;0,N(Reales!AE77)/AE$10,0),N(Reales!AE77)),MIN(AE$308,MAX(0,AE$305-AE$298)))</f>
        <v>0</v>
      </c>
      <c r="AF309" s="48">
        <f>IF(AF$8=1,IF(Reales!$C$77="PYG",IF(AF$10&gt;0,N(Reales!AF77)/AF$10,0),N(Reales!AF77)),MIN(AF$308,MAX(0,AF$305-AF$298)))</f>
        <v>0</v>
      </c>
      <c r="AG309" s="48">
        <f>IF(AG$8=1,IF(Reales!$C$77="PYG",IF(AG$10&gt;0,N(Reales!AG77)/AG$10,0),N(Reales!AG77)),MIN(AG$308,MAX(0,AG$305-AG$298)))</f>
        <v>0</v>
      </c>
      <c r="AH309" s="48">
        <f>IF(AH$8=1,IF(Reales!$C$77="PYG",IF(AH$10&gt;0,N(Reales!AH77)/AH$10,0),N(Reales!AH77)),MIN(AH$308,MAX(0,AH$305-AH$298)))</f>
        <v>0</v>
      </c>
      <c r="AI309" s="48">
        <f>IF(AI$8=1,IF(Reales!$C$77="PYG",IF(AI$10&gt;0,N(Reales!AI77)/AI$10,0),N(Reales!AI77)),MIN(AI$308,MAX(0,AI$305-AI$298)))</f>
        <v>0</v>
      </c>
      <c r="AJ309" s="48">
        <f>IF(AJ$8=1,IF(Reales!$C$77="PYG",IF(AJ$10&gt;0,N(Reales!AJ77)/AJ$10,0),N(Reales!AJ77)),MIN(AJ$308,MAX(0,AJ$305-AJ$298)))</f>
        <v>0</v>
      </c>
      <c r="AK309" s="48">
        <f>IF(AK$8=1,IF(Reales!$C$77="PYG",IF(AK$10&gt;0,N(Reales!AK77)/AK$10,0),N(Reales!AK77)),MIN(AK$308,MAX(0,AK$305-AK$298)))</f>
        <v>0</v>
      </c>
      <c r="AL309" s="48">
        <f>IF(AL$8=1,IF(Reales!$C$77="PYG",IF(AL$10&gt;0,N(Reales!AL77)/AL$10,0),N(Reales!AL77)),MIN(AL$308,MAX(0,AL$305-AL$298)))</f>
        <v>0</v>
      </c>
      <c r="AM309" s="48">
        <f>IF(AM$8=1,IF(Reales!$C$77="PYG",IF(AM$10&gt;0,N(Reales!AM77)/AM$10,0),N(Reales!AM77)),MIN(AM$308,MAX(0,AM$305-AM$298)))</f>
        <v>0</v>
      </c>
      <c r="AN309" s="48">
        <f>IF(AN$8=1,IF(Reales!$C$77="PYG",IF(AN$10&gt;0,N(Reales!AN77)/AN$10,0),N(Reales!AN77)),MIN(AN$308,MAX(0,AN$305-AN$298)))</f>
        <v>0</v>
      </c>
      <c r="AO309" s="48">
        <f>IF(AO$8=1,IF(Reales!$C$77="PYG",IF(AO$10&gt;0,N(Reales!AO77)/AO$10,0),N(Reales!AO77)),MIN(AO$308,MAX(0,AO$305-AO$298)))</f>
        <v>0</v>
      </c>
      <c r="AP309" s="48">
        <f>IF(AP$8=1,IF(Reales!$C$77="PYG",IF(AP$10&gt;0,N(Reales!AP77)/AP$10,0),N(Reales!AP77)),MIN(AP$308,MAX(0,AP$305-AP$298)))</f>
        <v>0</v>
      </c>
      <c r="AQ309" s="48">
        <f>IF(AQ$8=1,IF(Reales!$C$77="PYG",IF(AQ$10&gt;0,N(Reales!AQ77)/AQ$10,0),N(Reales!AQ77)),MIN(AQ$308,MAX(0,AQ$305-AQ$298)))</f>
        <v>0</v>
      </c>
      <c r="AR309" s="48">
        <f>IF(AR$8=1,IF(Reales!$C$77="PYG",IF(AR$10&gt;0,N(Reales!AR77)/AR$10,0),N(Reales!AR77)),MIN(AR$308,MAX(0,AR$305-AR$298)))</f>
        <v>0</v>
      </c>
      <c r="AS309" s="48">
        <f>IF(AS$8=1,IF(Reales!$C$77="PYG",IF(AS$10&gt;0,N(Reales!AS77)/AS$10,0),N(Reales!AS77)),MIN(AS$308,MAX(0,AS$305-AS$298)))</f>
        <v>0</v>
      </c>
      <c r="AT309" s="48">
        <f>IF(AT$8=1,IF(Reales!$C$77="PYG",IF(AT$10&gt;0,N(Reales!AT77)/AT$10,0),N(Reales!AT77)),MIN(AT$308,MAX(0,AT$305-AT$298)))</f>
        <v>0</v>
      </c>
      <c r="AU309" s="48">
        <f>IF(AU$8=1,IF(Reales!$C$77="PYG",IF(AU$10&gt;0,N(Reales!AU77)/AU$10,0),N(Reales!AU77)),MIN(AU$308,MAX(0,AU$305-AU$298)))</f>
        <v>0</v>
      </c>
      <c r="AV309" s="48">
        <f>IF(AV$8=1,IF(Reales!$C$77="PYG",IF(AV$10&gt;0,N(Reales!AV77)/AV$10,0),N(Reales!AV77)),MIN(AV$308,MAX(0,AV$305-AV$298)))</f>
        <v>0</v>
      </c>
      <c r="AW309" s="48">
        <f>IF(AW$8=1,IF(Reales!$C$77="PYG",IF(AW$10&gt;0,N(Reales!AW77)/AW$10,0),N(Reales!AW77)),MIN(AW$308,MAX(0,AW$305-AW$298)))</f>
        <v>0</v>
      </c>
      <c r="AX309" s="48">
        <f>IF(AX$8=1,IF(Reales!$C$77="PYG",IF(AX$10&gt;0,N(Reales!AX77)/AX$10,0),N(Reales!AX77)),MIN(AX$308,MAX(0,AX$305-AX$298)))</f>
        <v>0</v>
      </c>
      <c r="AY309" s="48">
        <f>IF(AY$8=1,IF(Reales!$C$77="PYG",IF(AY$10&gt;0,N(Reales!AY77)/AY$10,0),N(Reales!AY77)),MIN(AY$308,MAX(0,AY$305-AY$298)))</f>
        <v>0</v>
      </c>
      <c r="AZ309" s="48">
        <f>IF(AZ$8=1,IF(Reales!$C$77="PYG",IF(AZ$10&gt;0,N(Reales!AZ77)/AZ$10,0),N(Reales!AZ77)),MIN(AZ$308,MAX(0,AZ$305-AZ$298)))</f>
        <v>0</v>
      </c>
      <c r="BA309" s="48">
        <f>IF(BA$8=1,IF(Reales!$C$77="PYG",IF(BA$10&gt;0,N(Reales!BA77)/BA$10,0),N(Reales!BA77)),MIN(BA$308,MAX(0,BA$305-BA$298)))</f>
        <v>0</v>
      </c>
      <c r="BB309" s="48">
        <f>IF(BB$8=1,IF(Reales!$C$77="PYG",IF(BB$10&gt;0,N(Reales!BB77)/BB$10,0),N(Reales!BB77)),MIN(BB$308,MAX(0,BB$305-BB$298)))</f>
        <v>0</v>
      </c>
      <c r="BC309" s="48">
        <f>IF(BC$8=1,IF(Reales!$C$77="PYG",IF(BC$10&gt;0,N(Reales!BC77)/BC$10,0),N(Reales!BC77)),MIN(BC$308,MAX(0,BC$305-BC$298)))</f>
        <v>0</v>
      </c>
      <c r="BD309" s="48">
        <f>IF(BD$8=1,IF(Reales!$C$77="PYG",IF(BD$10&gt;0,N(Reales!BD77)/BD$10,0),N(Reales!BD77)),MIN(BD$308,MAX(0,BD$305-BD$298)))</f>
        <v>0</v>
      </c>
      <c r="BE309" s="48">
        <f>IF(BE$8=1,IF(Reales!$C$77="PYG",IF(BE$10&gt;0,N(Reales!BE77)/BE$10,0),N(Reales!BE77)),MIN(BE$308,MAX(0,BE$305-BE$298)))</f>
        <v>804953.37838092213</v>
      </c>
      <c r="BF309" s="48">
        <f>IF(BF$8=1,IF(Reales!$C$77="PYG",IF(BF$10&gt;0,N(Reales!BF77)/BF$10,0),N(Reales!BF77)),MIN(BF$308,MAX(0,BF$305-BF$298)))</f>
        <v>0</v>
      </c>
      <c r="BG309" s="48">
        <f>IF(BG$8=1,IF(Reales!$C$77="PYG",IF(BG$10&gt;0,N(Reales!BG77)/BG$10,0),N(Reales!BG77)),MIN(BG$308,MAX(0,BG$305-BG$298)))</f>
        <v>0</v>
      </c>
      <c r="BH309" s="48">
        <f>IF(BH$8=1,IF(Reales!$C$77="PYG",IF(BH$10&gt;0,N(Reales!BH77)/BH$10,0),N(Reales!BH77)),MIN(BH$308,MAX(0,BH$305-BH$298)))</f>
        <v>0</v>
      </c>
      <c r="BI309" s="48">
        <f>IF(BI$8=1,IF(Reales!$C$77="PYG",IF(BI$10&gt;0,N(Reales!BI77)/BI$10,0),N(Reales!BI77)),MIN(BI$308,MAX(0,BI$305-BI$298)))</f>
        <v>0</v>
      </c>
      <c r="BJ309" s="48">
        <f>IF(BJ$8=1,IF(Reales!$C$77="PYG",IF(BJ$10&gt;0,N(Reales!BJ77)/BJ$10,0),N(Reales!BJ77)),MIN(BJ$308,MAX(0,BJ$305-BJ$298)))</f>
        <v>0</v>
      </c>
      <c r="BK309" s="48">
        <f>IF(BK$8=1,IF(Reales!$C$77="PYG",IF(BK$10&gt;0,N(Reales!BK77)/BK$10,0),N(Reales!BK77)),MIN(BK$308,MAX(0,BK$305-BK$298)))</f>
        <v>0</v>
      </c>
      <c r="BL309" s="48">
        <f>IF(BL$8=1,IF(Reales!$C$77="PYG",IF(BL$10&gt;0,N(Reales!BL77)/BL$10,0),N(Reales!BL77)),MIN(BL$308,MAX(0,BL$305-BL$298)))</f>
        <v>0</v>
      </c>
      <c r="BM309" s="48">
        <f>IF(BM$8=1,IF(Reales!$C$77="PYG",IF(BM$10&gt;0,N(Reales!BM77)/BM$10,0),N(Reales!BM77)),MIN(BM$308,MAX(0,BM$305-BM$298)))</f>
        <v>0</v>
      </c>
      <c r="BN309" s="48">
        <f>IF(BN$8=1,IF(Reales!$C$77="PYG",IF(BN$10&gt;0,N(Reales!BN77)/BN$10,0),N(Reales!BN77)),MIN(BN$308,MAX(0,BN$305-BN$298)))</f>
        <v>0</v>
      </c>
      <c r="BO309" s="48">
        <f>IF(BO$8=1,IF(Reales!$C$77="PYG",IF(BO$10&gt;0,N(Reales!BO77)/BO$10,0),N(Reales!BO77)),MIN(BO$308,MAX(0,BO$305-BO$298)))</f>
        <v>0</v>
      </c>
      <c r="BP309" s="48">
        <f>IF(BP$8=1,IF(Reales!$C$77="PYG",IF(BP$10&gt;0,N(Reales!BP77)/BP$10,0),N(Reales!BP77)),MIN(BP$308,MAX(0,BP$305-BP$298)))</f>
        <v>0</v>
      </c>
      <c r="BQ309" s="48">
        <f>IF(BQ$8=1,IF(Reales!$C$77="PYG",IF(BQ$10&gt;0,N(Reales!BQ77)/BQ$10,0),N(Reales!BQ77)),MIN(BQ$308,MAX(0,BQ$305-BQ$298)))</f>
        <v>1463926.544368221</v>
      </c>
      <c r="BR309" s="48">
        <f>IF(BR$8=1,IF(Reales!$C$77="PYG",IF(BR$10&gt;0,N(Reales!BR77)/BR$10,0),N(Reales!BR77)),MIN(BR$308,MAX(0,BR$305-BR$298)))</f>
        <v>0</v>
      </c>
      <c r="BS309" s="48">
        <f>IF(BS$8=1,IF(Reales!$C$77="PYG",IF(BS$10&gt;0,N(Reales!BS77)/BS$10,0),N(Reales!BS77)),MIN(BS$308,MAX(0,BS$305-BS$298)))</f>
        <v>0</v>
      </c>
      <c r="BT309" s="48">
        <f>IF(BT$8=1,IF(Reales!$C$77="PYG",IF(BT$10&gt;0,N(Reales!BT77)/BT$10,0),N(Reales!BT77)),MIN(BT$308,MAX(0,BT$305-BT$298)))</f>
        <v>0</v>
      </c>
      <c r="BU309" s="48">
        <f>IF(BU$8=1,IF(Reales!$C$77="PYG",IF(BU$10&gt;0,N(Reales!BU77)/BU$10,0),N(Reales!BU77)),MIN(BU$308,MAX(0,BU$305-BU$298)))</f>
        <v>0</v>
      </c>
      <c r="BV309" s="48">
        <f>IF(BV$8=1,IF(Reales!$C$77="PYG",IF(BV$10&gt;0,N(Reales!BV77)/BV$10,0),N(Reales!BV77)),MIN(BV$308,MAX(0,BV$305-BV$298)))</f>
        <v>0</v>
      </c>
      <c r="BW309" s="48">
        <f>IF(BW$8=1,IF(Reales!$C$77="PYG",IF(BW$10&gt;0,N(Reales!BW77)/BW$10,0),N(Reales!BW77)),MIN(BW$308,MAX(0,BW$305-BW$298)))</f>
        <v>0</v>
      </c>
      <c r="BX309" s="48">
        <f>IF(BX$8=1,IF(Reales!$C$77="PYG",IF(BX$10&gt;0,N(Reales!BX77)/BX$10,0),N(Reales!BX77)),MIN(BX$308,MAX(0,BX$305-BX$298)))</f>
        <v>0</v>
      </c>
      <c r="BY309" s="48">
        <f>IF(BY$8=1,IF(Reales!$C$77="PYG",IF(BY$10&gt;0,N(Reales!BY77)/BY$10,0),N(Reales!BY77)),MIN(BY$308,MAX(0,BY$305-BY$298)))</f>
        <v>0</v>
      </c>
      <c r="BZ309" s="48">
        <f>IF(BZ$8=1,IF(Reales!$C$77="PYG",IF(BZ$10&gt;0,N(Reales!BZ77)/BZ$10,0),N(Reales!BZ77)),MIN(BZ$308,MAX(0,BZ$305-BZ$298)))</f>
        <v>0</v>
      </c>
      <c r="CA309" s="48">
        <f>IF(CA$8=1,IF(Reales!$C$77="PYG",IF(CA$10&gt;0,N(Reales!CA77)/CA$10,0),N(Reales!CA77)),MIN(CA$308,MAX(0,CA$305-CA$298)))</f>
        <v>0</v>
      </c>
      <c r="CB309" s="48">
        <f>IF(CB$8=1,IF(Reales!$C$77="PYG",IF(CB$10&gt;0,N(Reales!CB77)/CB$10,0),N(Reales!CB77)),MIN(CB$308,MAX(0,CB$305-CB$298)))</f>
        <v>0</v>
      </c>
      <c r="CC309" s="48">
        <f>IF(CC$8=1,IF(Reales!$C$77="PYG",IF(CC$10&gt;0,N(Reales!CC77)/CC$10,0),N(Reales!CC77)),MIN(CC$308,MAX(0,CC$305-CC$298)))</f>
        <v>1794188.6925739141</v>
      </c>
      <c r="CD309" s="48">
        <f>IF(CD$8=1,IF(Reales!$C$77="PYG",IF(CD$10&gt;0,N(Reales!CD77)/CD$10,0),N(Reales!CD77)),MIN(CD$308,MAX(0,CD$305-CD$298)))</f>
        <v>0</v>
      </c>
      <c r="CE309" s="48">
        <f>IF(CE$8=1,IF(Reales!$C$77="PYG",IF(CE$10&gt;0,N(Reales!CE77)/CE$10,0),N(Reales!CE77)),MIN(CE$308,MAX(0,CE$305-CE$298)))</f>
        <v>0</v>
      </c>
      <c r="CF309" s="48">
        <f>IF(CF$8=1,IF(Reales!$C$77="PYG",IF(CF$10&gt;0,N(Reales!CF77)/CF$10,0),N(Reales!CF77)),MIN(CF$308,MAX(0,CF$305-CF$298)))</f>
        <v>0</v>
      </c>
      <c r="CG309" s="48">
        <f>IF(CG$8=1,IF(Reales!$C$77="PYG",IF(CG$10&gt;0,N(Reales!CG77)/CG$10,0),N(Reales!CG77)),MIN(CG$308,MAX(0,CG$305-CG$298)))</f>
        <v>0</v>
      </c>
      <c r="CH309" s="48">
        <f>IF(CH$8=1,IF(Reales!$C$77="PYG",IF(CH$10&gt;0,N(Reales!CH77)/CH$10,0),N(Reales!CH77)),MIN(CH$308,MAX(0,CH$305-CH$298)))</f>
        <v>0</v>
      </c>
      <c r="CI309" s="48">
        <f>IF(CI$8=1,IF(Reales!$C$77="PYG",IF(CI$10&gt;0,N(Reales!CI77)/CI$10,0),N(Reales!CI77)),MIN(CI$308,MAX(0,CI$305-CI$298)))</f>
        <v>0</v>
      </c>
      <c r="CJ309" s="48">
        <f>IF(CJ$8=1,IF(Reales!$C$77="PYG",IF(CJ$10&gt;0,N(Reales!CJ77)/CJ$10,0),N(Reales!CJ77)),MIN(CJ$308,MAX(0,CJ$305-CJ$298)))</f>
        <v>0</v>
      </c>
      <c r="CK309" s="48">
        <f>IF(CK$8=1,IF(Reales!$C$77="PYG",IF(CK$10&gt;0,N(Reales!CK77)/CK$10,0),N(Reales!CK77)),MIN(CK$308,MAX(0,CK$305-CK$298)))</f>
        <v>0</v>
      </c>
      <c r="CL309" s="48">
        <f>IF(CL$8=1,IF(Reales!$C$77="PYG",IF(CL$10&gt;0,N(Reales!CL77)/CL$10,0),N(Reales!CL77)),MIN(CL$308,MAX(0,CL$305-CL$298)))</f>
        <v>0</v>
      </c>
      <c r="CM309" s="48">
        <f>IF(CM$8=1,IF(Reales!$C$77="PYG",IF(CM$10&gt;0,N(Reales!CM77)/CM$10,0),N(Reales!CM77)),MIN(CM$308,MAX(0,CM$305-CM$298)))</f>
        <v>0</v>
      </c>
      <c r="CN309" s="48">
        <f>IF(CN$8=1,IF(Reales!$C$77="PYG",IF(CN$10&gt;0,N(Reales!CN77)/CN$10,0),N(Reales!CN77)),MIN(CN$308,MAX(0,CN$305-CN$298)))</f>
        <v>0</v>
      </c>
      <c r="CO309" s="48">
        <f>IF(CO$8=1,IF(Reales!$C$77="PYG",IF(CO$10&gt;0,N(Reales!CO77)/CO$10,0),N(Reales!CO77)),MIN(CO$308,MAX(0,CO$305-CO$298)))</f>
        <v>1843575.6608727984</v>
      </c>
      <c r="CP309" s="48">
        <f>IF(CP$8=1,IF(Reales!$C$77="PYG",IF(CP$10&gt;0,N(Reales!CP77)/CP$10,0),N(Reales!CP77)),MIN(CP$308,MAX(0,CP$305-CP$298)))</f>
        <v>0</v>
      </c>
      <c r="CQ309" s="48">
        <f>IF(CQ$8=1,IF(Reales!$C$77="PYG",IF(CQ$10&gt;0,N(Reales!CQ77)/CQ$10,0),N(Reales!CQ77)),MIN(CQ$308,MAX(0,CQ$305-CQ$298)))</f>
        <v>0</v>
      </c>
      <c r="CR309" s="48">
        <f>IF(CR$8=1,IF(Reales!$C$77="PYG",IF(CR$10&gt;0,N(Reales!CR77)/CR$10,0),N(Reales!CR77)),MIN(CR$308,MAX(0,CR$305-CR$298)))</f>
        <v>0</v>
      </c>
      <c r="CS309" s="48">
        <f>IF(CS$8=1,IF(Reales!$C$77="PYG",IF(CS$10&gt;0,N(Reales!CS77)/CS$10,0),N(Reales!CS77)),MIN(CS$308,MAX(0,CS$305-CS$298)))</f>
        <v>0</v>
      </c>
      <c r="CT309" s="48">
        <f>IF(CT$8=1,IF(Reales!$C$77="PYG",IF(CT$10&gt;0,N(Reales!CT77)/CT$10,0),N(Reales!CT77)),MIN(CT$308,MAX(0,CT$305-CT$298)))</f>
        <v>0</v>
      </c>
      <c r="CU309" s="48">
        <f>IF(CU$8=1,IF(Reales!$C$77="PYG",IF(CU$10&gt;0,N(Reales!CU77)/CU$10,0),N(Reales!CU77)),MIN(CU$308,MAX(0,CU$305-CU$298)))</f>
        <v>0</v>
      </c>
      <c r="CV309" s="48">
        <f>IF(CV$8=1,IF(Reales!$C$77="PYG",IF(CV$10&gt;0,N(Reales!CV77)/CV$10,0),N(Reales!CV77)),MIN(CV$308,MAX(0,CV$305-CV$298)))</f>
        <v>0</v>
      </c>
      <c r="CW309" s="48">
        <f>IF(CW$8=1,IF(Reales!$C$77="PYG",IF(CW$10&gt;0,N(Reales!CW77)/CW$10,0),N(Reales!CW77)),MIN(CW$308,MAX(0,CW$305-CW$298)))</f>
        <v>0</v>
      </c>
      <c r="CX309" s="48">
        <f>IF(CX$8=1,IF(Reales!$C$77="PYG",IF(CX$10&gt;0,N(Reales!CX77)/CX$10,0),N(Reales!CX77)),MIN(CX$308,MAX(0,CX$305-CX$298)))</f>
        <v>0</v>
      </c>
      <c r="CY309" s="48">
        <f>IF(CY$8=1,IF(Reales!$C$77="PYG",IF(CY$10&gt;0,N(Reales!CY77)/CY$10,0),N(Reales!CY77)),MIN(CY$308,MAX(0,CY$305-CY$298)))</f>
        <v>0</v>
      </c>
      <c r="CZ309" s="48">
        <f>IF(CZ$8=1,IF(Reales!$C$77="PYG",IF(CZ$10&gt;0,N(Reales!CZ77)/CZ$10,0),N(Reales!CZ77)),MIN(CZ$308,MAX(0,CZ$305-CZ$298)))</f>
        <v>0</v>
      </c>
      <c r="DA309" s="48">
        <f>IF(DA$8=1,IF(Reales!$C$77="PYG",IF(DA$10&gt;0,N(Reales!DA77)/DA$10,0),N(Reales!DA77)),MIN(DA$308,MAX(0,DA$305-DA$298)))</f>
        <v>1893301.2135554496</v>
      </c>
      <c r="DB309" s="48">
        <f>IF(DB$8=1,IF(Reales!$C$77="PYG",IF(DB$10&gt;0,N(Reales!DB77)/DB$10,0),N(Reales!DB77)),MIN(DB$308,MAX(0,DB$305-DB$298)))</f>
        <v>0</v>
      </c>
      <c r="DC309" s="48">
        <f>IF(DC$8=1,IF(Reales!$C$77="PYG",IF(DC$10&gt;0,N(Reales!DC77)/DC$10,0),N(Reales!DC77)),MIN(DC$308,MAX(0,DC$305-DC$298)))</f>
        <v>0</v>
      </c>
      <c r="DD309" s="48">
        <f>IF(DD$8=1,IF(Reales!$C$77="PYG",IF(DD$10&gt;0,N(Reales!DD77)/DD$10,0),N(Reales!DD77)),MIN(DD$308,MAX(0,DD$305-DD$298)))</f>
        <v>0</v>
      </c>
      <c r="DE309" s="48">
        <f>IF(DE$8=1,IF(Reales!$C$77="PYG",IF(DE$10&gt;0,N(Reales!DE77)/DE$10,0),N(Reales!DE77)),MIN(DE$308,MAX(0,DE$305-DE$298)))</f>
        <v>0</v>
      </c>
      <c r="DF309" s="48">
        <f>IF(DF$8=1,IF(Reales!$C$77="PYG",IF(DF$10&gt;0,N(Reales!DF77)/DF$10,0),N(Reales!DF77)),MIN(DF$308,MAX(0,DF$305-DF$298)))</f>
        <v>0</v>
      </c>
      <c r="DG309" s="48">
        <f>IF(DG$8=1,IF(Reales!$C$77="PYG",IF(DG$10&gt;0,N(Reales!DG77)/DG$10,0),N(Reales!DG77)),MIN(DG$308,MAX(0,DG$305-DG$298)))</f>
        <v>0</v>
      </c>
      <c r="DH309" s="48">
        <f>IF(DH$8=1,IF(Reales!$C$77="PYG",IF(DH$10&gt;0,N(Reales!DH77)/DH$10,0),N(Reales!DH77)),MIN(DH$308,MAX(0,DH$305-DH$298)))</f>
        <v>0</v>
      </c>
      <c r="DI309" s="48">
        <f>IF(DI$8=1,IF(Reales!$C$77="PYG",IF(DI$10&gt;0,N(Reales!DI77)/DI$10,0),N(Reales!DI77)),MIN(DI$308,MAX(0,DI$305-DI$298)))</f>
        <v>0</v>
      </c>
      <c r="DJ309" s="48">
        <f>IF(DJ$8=1,IF(Reales!$C$77="PYG",IF(DJ$10&gt;0,N(Reales!DJ77)/DJ$10,0),N(Reales!DJ77)),MIN(DJ$308,MAX(0,DJ$305-DJ$298)))</f>
        <v>0</v>
      </c>
      <c r="DK309" s="48">
        <f>IF(DK$8=1,IF(Reales!$C$77="PYG",IF(DK$10&gt;0,N(Reales!DK77)/DK$10,0),N(Reales!DK77)),MIN(DK$308,MAX(0,DK$305-DK$298)))</f>
        <v>0</v>
      </c>
      <c r="DL309" s="48">
        <f>IF(DL$8=1,IF(Reales!$C$77="PYG",IF(DL$10&gt;0,N(Reales!DL77)/DL$10,0),N(Reales!DL77)),MIN(DL$308,MAX(0,DL$305-DL$298)))</f>
        <v>0</v>
      </c>
      <c r="DM309" s="48">
        <f>IF(DM$8=1,IF(Reales!$C$77="PYG",IF(DM$10&gt;0,N(Reales!DM77)/DM$10,0),N(Reales!DM77)),MIN(DM$308,MAX(0,DM$305-DM$298)))</f>
        <v>1943364.14678689</v>
      </c>
      <c r="DN309" s="48">
        <f>IF(DN$8=1,IF(Reales!$C$77="PYG",IF(DN$10&gt;0,N(Reales!DN77)/DN$10,0),N(Reales!DN77)),MIN(DN$308,MAX(0,DN$305-DN$298)))</f>
        <v>0</v>
      </c>
      <c r="DO309" s="48">
        <f>IF(DO$8=1,IF(Reales!$C$77="PYG",IF(DO$10&gt;0,N(Reales!DO77)/DO$10,0),N(Reales!DO77)),MIN(DO$308,MAX(0,DO$305-DO$298)))</f>
        <v>0</v>
      </c>
      <c r="DP309" s="48">
        <f>IF(DP$8=1,IF(Reales!$C$77="PYG",IF(DP$10&gt;0,N(Reales!DP77)/DP$10,0),N(Reales!DP77)),MIN(DP$308,MAX(0,DP$305-DP$298)))</f>
        <v>0</v>
      </c>
      <c r="DQ309" s="48">
        <f>IF(DQ$8=1,IF(Reales!$C$77="PYG",IF(DQ$10&gt;0,N(Reales!DQ77)/DQ$10,0),N(Reales!DQ77)),MIN(DQ$308,MAX(0,DQ$305-DQ$298)))</f>
        <v>0</v>
      </c>
      <c r="DR309" s="48">
        <f>IF(DR$8=1,IF(Reales!$C$77="PYG",IF(DR$10&gt;0,N(Reales!DR77)/DR$10,0),N(Reales!DR77)),MIN(DR$308,MAX(0,DR$305-DR$298)))</f>
        <v>0</v>
      </c>
      <c r="DS309" s="48">
        <f>IF(DS$8=1,IF(Reales!$C$77="PYG",IF(DS$10&gt;0,N(Reales!DS77)/DS$10,0),N(Reales!DS77)),MIN(DS$308,MAX(0,DS$305-DS$298)))</f>
        <v>0</v>
      </c>
      <c r="DT309" s="48">
        <f>IF(DT$8=1,IF(Reales!$C$77="PYG",IF(DT$10&gt;0,N(Reales!DT77)/DT$10,0),N(Reales!DT77)),MIN(DT$308,MAX(0,DT$305-DT$298)))</f>
        <v>0</v>
      </c>
      <c r="DU309" s="48">
        <f>IF(DU$8=1,IF(Reales!$C$77="PYG",IF(DU$10&gt;0,N(Reales!DU77)/DU$10,0),N(Reales!DU77)),MIN(DU$308,MAX(0,DU$305-DU$298)))</f>
        <v>0</v>
      </c>
      <c r="DV309" s="48">
        <f>IF(DV$8=1,IF(Reales!$C$77="PYG",IF(DV$10&gt;0,N(Reales!DV77)/DV$10,0),N(Reales!DV77)),MIN(DV$308,MAX(0,DV$305-DV$298)))</f>
        <v>0</v>
      </c>
      <c r="DW309" s="48">
        <f>IF(DW$8=1,IF(Reales!$C$77="PYG",IF(DW$10&gt;0,N(Reales!DW77)/DW$10,0),N(Reales!DW77)),MIN(DW$308,MAX(0,DW$305-DW$298)))</f>
        <v>0</v>
      </c>
      <c r="DX309" s="48">
        <f>IF(DX$8=1,IF(Reales!$C$77="PYG",IF(DX$10&gt;0,N(Reales!DX77)/DX$10,0),N(Reales!DX77)),MIN(DX$308,MAX(0,DX$305-DX$298)))</f>
        <v>0</v>
      </c>
      <c r="DY309" s="48">
        <f>IF(DY$8=1,IF(Reales!$C$77="PYG",IF(DY$10&gt;0,N(Reales!DY77)/DY$10,0),N(Reales!DY77)),MIN(DY$308,MAX(0,DY$305-DY$298)))</f>
        <v>0</v>
      </c>
      <c r="DZ309" s="48">
        <f>IF(DZ$8=1,IF(Reales!$C$77="PYG",IF(DZ$10&gt;0,N(Reales!DZ77)/DZ$10,0),N(Reales!DZ77)),MIN(DZ$308,MAX(0,DZ$305-DZ$298)))</f>
        <v>0</v>
      </c>
      <c r="EA309" s="48">
        <f>IF(EA$8=1,IF(Reales!$C$77="PYG",IF(EA$10&gt;0,N(Reales!EA77)/EA$10,0),N(Reales!EA77)),MIN(EA$308,MAX(0,EA$305-EA$298)))</f>
        <v>0</v>
      </c>
      <c r="EB309" s="48">
        <f>IF(EB$8=1,IF(Reales!$C$77="PYG",IF(EB$10&gt;0,N(Reales!EB77)/EB$10,0),N(Reales!EB77)),MIN(EB$308,MAX(0,EB$305-EB$298)))</f>
        <v>0</v>
      </c>
      <c r="EC309" s="48">
        <f>IF(EC$8=1,IF(Reales!$C$77="PYG",IF(EC$10&gt;0,N(Reales!EC77)/EC$10,0),N(Reales!EC77)),MIN(EC$308,MAX(0,EC$305-EC$298)))</f>
        <v>0</v>
      </c>
      <c r="ED309" s="48">
        <f>IF(ED$8=1,IF(Reales!$C$77="PYG",IF(ED$10&gt;0,N(Reales!ED77)/ED$10,0),N(Reales!ED77)),MIN(ED$308,MAX(0,ED$305-ED$298)))</f>
        <v>0</v>
      </c>
      <c r="EE309" s="48">
        <f>IF(EE$8=1,IF(Reales!$C$77="PYG",IF(EE$10&gt;0,N(Reales!EE77)/EE$10,0),N(Reales!EE77)),MIN(EE$308,MAX(0,EE$305-EE$298)))</f>
        <v>0</v>
      </c>
      <c r="EF309" s="48">
        <f>IF(EF$8=1,IF(Reales!$C$77="PYG",IF(EF$10&gt;0,N(Reales!EF77)/EF$10,0),N(Reales!EF77)),MIN(EF$308,MAX(0,EF$305-EF$298)))</f>
        <v>0</v>
      </c>
      <c r="EG309" s="48">
        <f>IF(EG$8=1,IF(Reales!$C$77="PYG",IF(EG$10&gt;0,N(Reales!EG77)/EG$10,0),N(Reales!EG77)),MIN(EG$308,MAX(0,EG$305-EG$298)))</f>
        <v>0</v>
      </c>
      <c r="EH309" s="48">
        <f>IF(EH$8=1,IF(Reales!$C$77="PYG",IF(EH$10&gt;0,N(Reales!EH77)/EH$10,0),N(Reales!EH77)),MIN(EH$308,MAX(0,EH$305-EH$298)))</f>
        <v>0</v>
      </c>
      <c r="EI309" s="48">
        <f>IF(EI$8=1,IF(Reales!$C$77="PYG",IF(EI$10&gt;0,N(Reales!EI77)/EI$10,0),N(Reales!EI77)),MIN(EI$308,MAX(0,EI$305-EI$298)))</f>
        <v>0</v>
      </c>
      <c r="EJ309" s="48">
        <f>IF(EJ$8=1,IF(Reales!$C$77="PYG",IF(EJ$10&gt;0,N(Reales!EJ77)/EJ$10,0),N(Reales!EJ77)),MIN(EJ$308,MAX(0,EJ$305-EJ$298)))</f>
        <v>0</v>
      </c>
      <c r="EK309" s="48">
        <f>IF(EK$8=1,IF(Reales!$C$77="PYG",IF(EK$10&gt;0,N(Reales!EK77)/EK$10,0),N(Reales!EK77)),MIN(EK$308,MAX(0,EK$305-EK$298)))</f>
        <v>0</v>
      </c>
      <c r="EL309" s="48">
        <f>IF(EL$8=1,IF(Reales!$C$77="PYG",IF(EL$10&gt;0,N(Reales!EL77)/EL$10,0),N(Reales!EL77)),MIN(EL$308,MAX(0,EL$305-EL$298)))</f>
        <v>0</v>
      </c>
      <c r="EM309" s="48">
        <f>IF(EM$8=1,IF(Reales!$C$77="PYG",IF(EM$10&gt;0,N(Reales!EM77)/EM$10,0),N(Reales!EM77)),MIN(EM$308,MAX(0,EM$305-EM$298)))</f>
        <v>0</v>
      </c>
      <c r="EN309" s="48">
        <f>IF(EN$8=1,IF(Reales!$C$77="PYG",IF(EN$10&gt;0,N(Reales!EN77)/EN$10,0),N(Reales!EN77)),MIN(EN$308,MAX(0,EN$305-EN$298)))</f>
        <v>0</v>
      </c>
      <c r="EO309" s="48">
        <f>IF(EO$8=1,IF(Reales!$C$77="PYG",IF(EO$10&gt;0,N(Reales!EO77)/EO$10,0),N(Reales!EO77)),MIN(EO$308,MAX(0,EO$305-EO$298)))</f>
        <v>0</v>
      </c>
      <c r="EP309" s="48">
        <f>IF(EP$8=1,IF(Reales!$C$77="PYG",IF(EP$10&gt;0,N(Reales!EP77)/EP$10,0),N(Reales!EP77)),MIN(EP$308,MAX(0,EP$305-EP$298)))</f>
        <v>0</v>
      </c>
      <c r="EQ309" s="48">
        <f>IF(EQ$8=1,IF(Reales!$C$77="PYG",IF(EQ$10&gt;0,N(Reales!EQ77)/EQ$10,0),N(Reales!EQ77)),MIN(EQ$308,MAX(0,EQ$305-EQ$298)))</f>
        <v>0</v>
      </c>
      <c r="ER309" s="48">
        <f>IF(ER$8=1,IF(Reales!$C$77="PYG",IF(ER$10&gt;0,N(Reales!ER77)/ER$10,0),N(Reales!ER77)),MIN(ER$308,MAX(0,ER$305-ER$298)))</f>
        <v>0</v>
      </c>
      <c r="ES309" s="48">
        <f>IF(ES$8=1,IF(Reales!$C$77="PYG",IF(ES$10&gt;0,N(Reales!ES77)/ES$10,0),N(Reales!ES77)),MIN(ES$308,MAX(0,ES$305-ES$298)))</f>
        <v>0</v>
      </c>
    </row>
    <row r="310" spans="1:149" x14ac:dyDescent="0.3">
      <c r="A310" s="14" t="s">
        <v>1359</v>
      </c>
      <c r="B310" s="68" t="s">
        <v>1203</v>
      </c>
      <c r="C310" s="18" t="s">
        <v>439</v>
      </c>
      <c r="E310" s="54">
        <f>MIN(F310:ES310)</f>
        <v>-311740.11867261783</v>
      </c>
      <c r="F310" s="22">
        <f>IF(AND(F$8=1,ISNUMBER(Reales!F79)),IF(Reales!$C$79="PYG",IF(F$10&gt;0,N(Reales!F79)/F$10,0),N(Reales!F79)),F$305-F$309)</f>
        <v>535727.93036655965</v>
      </c>
      <c r="G310" s="22">
        <f>IF(AND(G$8=1,ISNUMBER(Reales!G79)),IF(Reales!$C$79="PYG",IF(G$10&gt;0,N(Reales!G79)/G$10,0),N(Reales!G79)),G$305-G$309)</f>
        <v>555194.83809214947</v>
      </c>
      <c r="H310" s="22">
        <f>IF(AND(H$8=1,ISNUMBER(Reales!H79)),IF(Reales!$C$79="PYG",IF(H$10&gt;0,N(Reales!H79)/H$10,0),N(Reales!H79)),H$305-H$309)</f>
        <v>574661.74581773928</v>
      </c>
      <c r="I310" s="22">
        <f>IF(AND(I$8=1,ISNUMBER(Reales!I79)),IF(Reales!$C$79="PYG",IF(I$10&gt;0,N(Reales!I79)/I$10,0),N(Reales!I79)),I$305-I$309)</f>
        <v>594128.6535433291</v>
      </c>
      <c r="J310" s="22">
        <f>IF(AND(J$8=1,ISNUMBER(Reales!J79)),IF(Reales!$C$79="PYG",IF(J$10&gt;0,N(Reales!J79)/J$10,0),N(Reales!J79)),J$305-J$309)</f>
        <v>613595.56126891891</v>
      </c>
      <c r="K310" s="22">
        <f>IF(AND(K$8=1,ISNUMBER(Reales!K79)),IF(Reales!$C$79="PYG",IF(K$10&gt;0,N(Reales!K79)/K$10,0),N(Reales!K79)),K$305-K$309)</f>
        <v>633062.46899450873</v>
      </c>
      <c r="L310" s="22">
        <f>IF(AND(L$8=1,ISNUMBER(Reales!L79)),IF(Reales!$C$79="PYG",IF(L$10&gt;0,N(Reales!L79)/L$10,0),N(Reales!L79)),L$305-L$309)</f>
        <v>610406.07262541074</v>
      </c>
      <c r="M310" s="22">
        <f>IF(AND(M$8=1,ISNUMBER(Reales!M79)),IF(Reales!$C$79="PYG",IF(M$10&gt;0,N(Reales!M79)/M$10,0),N(Reales!M79)),M$305-M$309)</f>
        <v>587781.26873438375</v>
      </c>
      <c r="N310" s="22">
        <f>IF(AND(N$8=1,ISNUMBER(Reales!N79)),IF(Reales!$C$79="PYG",IF(N$10&gt;0,N(Reales!N79)/N$10,0),N(Reales!N79)),N$305-N$309)</f>
        <v>565188.2942650133</v>
      </c>
      <c r="O310" s="22">
        <f>IF(AND(O$8=1,ISNUMBER(Reales!O79)),IF(Reales!$C$79="PYG",IF(O$10&gt;0,N(Reales!O79)/O$10,0),N(Reales!O79)),O$305-O$309)</f>
        <v>542627.38793796184</v>
      </c>
      <c r="P310" s="22">
        <f>IF(AND(P$8=1,ISNUMBER(Reales!P79)),IF(Reales!$C$79="PYG",IF(P$10&gt;0,N(Reales!P79)/P$10,0),N(Reales!P79)),P$305-P$309)</f>
        <v>520098.79026429675</v>
      </c>
      <c r="Q310" s="22">
        <f>IF(AND(Q$8=1,ISNUMBER(Reales!Q79)),IF(Reales!$C$79="PYG",IF(Q$10&gt;0,N(Reales!Q79)/Q$10,0),N(Reales!Q79)),Q$305-Q$309)</f>
        <v>497602.74355891842</v>
      </c>
      <c r="R310" s="22">
        <f>IF(AND(R$8=1,ISNUMBER(Reales!R79)),IF(Reales!$C$79="PYG",IF(R$10&gt;0,N(Reales!R79)/R$10,0),N(Reales!R79)),R$305-R$309)</f>
        <v>129920.95007681983</v>
      </c>
      <c r="S310" s="22">
        <f>IF(AND(S$8=1,ISNUMBER(Reales!S79)),IF(Reales!$C$79="PYG",IF(S$10&gt;0,N(Reales!S79)/S$10,0),N(Reales!S79)),S$305-S$309)</f>
        <v>145489.64205416848</v>
      </c>
      <c r="T310" s="22">
        <f>IF(AND(T$8=1,ISNUMBER(Reales!T79)),IF(Reales!$C$79="PYG",IF(T$10&gt;0,N(Reales!T79)/T$10,0),N(Reales!T79)),T$305-T$309)</f>
        <v>161091.62290329867</v>
      </c>
      <c r="U310" s="22">
        <f>IF(AND(U$8=1,ISNUMBER(Reales!U79)),IF(Reales!$C$79="PYG",IF(U$10&gt;0,N(Reales!U79)/U$10,0),N(Reales!U79)),U$305-U$309)</f>
        <v>176727.1422907488</v>
      </c>
      <c r="V310" s="22">
        <f>IF(AND(V$8=1,ISNUMBER(Reales!V79)),IF(Reales!$C$79="PYG",IF(V$10&gt;0,N(Reales!V79)/V$10,0),N(Reales!V79)),V$305-V$309)</f>
        <v>192396.45175555622</v>
      </c>
      <c r="W310" s="22">
        <f>IF(AND(W$8=1,ISNUMBER(Reales!W79)),IF(Reales!$C$79="PYG",IF(W$10&gt;0,N(Reales!W79)/W$10,0),N(Reales!W79)),W$305-W$309)</f>
        <v>208099.80472330115</v>
      </c>
      <c r="X310" s="22">
        <f>IF(AND(X$8=1,ISNUMBER(Reales!X79)),IF(Reales!$C$79="PYG",IF(X$10&gt;0,N(Reales!X79)/X$10,0),N(Reales!X79)),X$305-X$309)</f>
        <v>223837.4565202556</v>
      </c>
      <c r="Y310" s="22">
        <f>IF(AND(Y$8=1,ISNUMBER(Reales!Y79)),IF(Reales!$C$79="PYG",IF(Y$10&gt;0,N(Reales!Y79)/Y$10,0),N(Reales!Y79)),Y$305-Y$309)</f>
        <v>239609.66438763862</v>
      </c>
      <c r="Z310" s="22">
        <f>IF(AND(Z$8=1,ISNUMBER(Reales!Z79)),IF(Reales!$C$79="PYG",IF(Z$10&gt;0,N(Reales!Z79)/Z$10,0),N(Reales!Z79)),Z$305-Z$309)</f>
        <v>255416.68749597843</v>
      </c>
      <c r="AA310" s="22">
        <f>IF(AND(AA$8=1,ISNUMBER(Reales!AA79)),IF(Reales!$C$79="PYG",IF(AA$10&gt;0,N(Reales!AA79)/AA$10,0),N(Reales!AA79)),AA$305-AA$309)</f>
        <v>271258.7869595823</v>
      </c>
      <c r="AB310" s="22">
        <f>IF(AND(AB$8=1,ISNUMBER(Reales!AB79)),IF(Reales!$C$79="PYG",IF(AB$10&gt;0,N(Reales!AB79)/AB$10,0),N(Reales!AB79)),AB$305-AB$309)</f>
        <v>287136.22585111461</v>
      </c>
      <c r="AC310" s="22">
        <f>IF(AND(AC$8=1,ISNUMBER(Reales!AC79)),IF(Reales!$C$79="PYG",IF(AC$10&gt;0,N(Reales!AC79)/AC$10,0),N(Reales!AC79)),AC$305-AC$309)</f>
        <v>303049.26921628485</v>
      </c>
      <c r="AD310" s="22">
        <f>IF(AND(AD$8=1,ISNUMBER(Reales!AD79)),IF(Reales!$C$79="PYG",IF(AD$10&gt;0,N(Reales!AD79)/AD$10,0),N(Reales!AD79)),AD$305-AD$309)</f>
        <v>-311740.11867261783</v>
      </c>
      <c r="AE310" s="22">
        <f>IF(AND(AE$8=1,ISNUMBER(Reales!AE79)),IF(Reales!$C$79="PYG",IF(AE$10&gt;0,N(Reales!AE79)/AE$10,0),N(Reales!AE79)),AE$305-AE$309)</f>
        <v>-259166.43538560325</v>
      </c>
      <c r="AF310" s="22">
        <f>IF(AND(AF$8=1,ISNUMBER(Reales!AF79)),IF(Reales!$C$79="PYG",IF(AF$10&gt;0,N(Reales!AF79)/AF$10,0),N(Reales!AF79)),AF$305-AF$309)</f>
        <v>-206556.34050101833</v>
      </c>
      <c r="AG310" s="22">
        <f>IF(AND(AG$8=1,ISNUMBER(Reales!AG79)),IF(Reales!$C$79="PYG",IF(AG$10&gt;0,N(Reales!AG79)/AG$10,0),N(Reales!AG79)),AG$305-AG$309)</f>
        <v>-153909.56093188128</v>
      </c>
      <c r="AH310" s="22">
        <f>IF(AND(AH$8=1,ISNUMBER(Reales!AH79)),IF(Reales!$C$79="PYG",IF(AH$10&gt;0,N(Reales!AH79)/AH$10,0),N(Reales!AH79)),AH$305-AH$309)</f>
        <v>-101225.82154305796</v>
      </c>
      <c r="AI310" s="22">
        <f>IF(AND(AI$8=1,ISNUMBER(Reales!AI79)),IF(Reales!$C$79="PYG",IF(AI$10&gt;0,N(Reales!AI79)/AI$10,0),N(Reales!AI79)),AI$305-AI$309)</f>
        <v>-48504.845135900723</v>
      </c>
      <c r="AJ310" s="22">
        <f>IF(AND(AJ$8=1,ISNUMBER(Reales!AJ79)),IF(Reales!$C$79="PYG",IF(AJ$10&gt;0,N(Reales!AJ79)/AJ$10,0),N(Reales!AJ79)),AJ$305-AJ$309)</f>
        <v>4253.6475672279266</v>
      </c>
      <c r="AK310" s="22">
        <f>IF(AND(AK$8=1,ISNUMBER(Reales!AK79)),IF(Reales!$C$79="PYG",IF(AK$10&gt;0,N(Reales!AK79)/AK$10,0),N(Reales!AK79)),AK$305-AK$309)</f>
        <v>57049.937938547795</v>
      </c>
      <c r="AL310" s="22">
        <f>IF(AND(AL$8=1,ISNUMBER(Reales!AL79)),IF(Reales!$C$79="PYG",IF(AL$10&gt;0,N(Reales!AL79)/AL$10,0),N(Reales!AL79)),AL$305-AL$309)</f>
        <v>109884.30946057029</v>
      </c>
      <c r="AM310" s="22">
        <f>IF(AND(AM$8=1,ISNUMBER(Reales!AM79)),IF(Reales!$C$79="PYG",IF(AM$10&gt;0,N(Reales!AM79)/AM$10,0),N(Reales!AM79)),AM$305-AM$309)</f>
        <v>162757.04774192569</v>
      </c>
      <c r="AN310" s="22">
        <f>IF(AND(AN$8=1,ISNUMBER(Reales!AN79)),IF(Reales!$C$79="PYG",IF(AN$10&gt;0,N(Reales!AN79)/AN$10,0),N(Reales!AN79)),AN$305-AN$309)</f>
        <v>215668.44053330901</v>
      </c>
      <c r="AO310" s="22">
        <f>IF(AND(AO$8=1,ISNUMBER(Reales!AO79)),IF(Reales!$C$79="PYG",IF(AO$10&gt;0,N(Reales!AO79)/AO$10,0),N(Reales!AO79)),AO$305-AO$309)</f>
        <v>268618.77774354542</v>
      </c>
      <c r="AP310" s="22">
        <f>IF(AND(AP$8=1,ISNUMBER(Reales!AP79)),IF(Reales!$C$79="PYG",IF(AP$10&gt;0,N(Reales!AP79)/AP$10,0),N(Reales!AP79)),AP$305-AP$309)</f>
        <v>-204392.16946280262</v>
      </c>
      <c r="AQ310" s="22">
        <f>IF(AND(AQ$8=1,ISNUMBER(Reales!AQ79)),IF(Reales!$C$79="PYG",IF(AQ$10&gt;0,N(Reales!AQ79)/AQ$10,0),N(Reales!AQ79)),AQ$305-AQ$309)</f>
        <v>-118554.51596007869</v>
      </c>
      <c r="AR310" s="22">
        <f>IF(AND(AR$8=1,ISNUMBER(Reales!AR79)),IF(Reales!$C$79="PYG",IF(AR$10&gt;0,N(Reales!AR79)/AR$10,0),N(Reales!AR79)),AR$305-AR$309)</f>
        <v>-32677.035200777082</v>
      </c>
      <c r="AS310" s="22">
        <f>IF(AND(AS$8=1,ISNUMBER(Reales!AS79)),IF(Reales!$C$79="PYG",IF(AS$10&gt;0,N(Reales!AS79)/AS$10,0),N(Reales!AS79)),AS$305-AS$309)</f>
        <v>53240.571519526515</v>
      </c>
      <c r="AT310" s="22">
        <f>IF(AND(AT$8=1,ISNUMBER(Reales!AT79)),IF(Reales!$C$79="PYG",IF(AT$10&gt;0,N(Reales!AT79)/AT$10,0),N(Reales!AT79)),AT$305-AT$309)</f>
        <v>139198.60514553962</v>
      </c>
      <c r="AU310" s="22">
        <f>IF(AND(AU$8=1,ISNUMBER(Reales!AU79)),IF(Reales!$C$79="PYG",IF(AU$10&gt;0,N(Reales!AU79)/AU$10,0),N(Reales!AU79)),AU$305-AU$309)</f>
        <v>225197.36887905505</v>
      </c>
      <c r="AV310" s="22">
        <f>IF(AND(AV$8=1,ISNUMBER(Reales!AV79)),IF(Reales!$C$79="PYG",IF(AV$10&gt;0,N(Reales!AV79)/AV$10,0),N(Reales!AV79)),AV$305-AV$309)</f>
        <v>311237.16819587909</v>
      </c>
      <c r="AW310" s="22">
        <f>IF(AND(AW$8=1,ISNUMBER(Reales!AW79)),IF(Reales!$C$79="PYG",IF(AW$10&gt;0,N(Reales!AW79)/AW$10,0),N(Reales!AW79)),AW$305-AW$309)</f>
        <v>397318.31086288649</v>
      </c>
      <c r="AX310" s="22">
        <f>IF(AND(AX$8=1,ISNUMBER(Reales!AX79)),IF(Reales!$C$79="PYG",IF(AX$10&gt;0,N(Reales!AX79)/AX$10,0),N(Reales!AX79)),AX$305-AX$309)</f>
        <v>483441.10695520375</v>
      </c>
      <c r="AY310" s="22">
        <f>IF(AND(AY$8=1,ISNUMBER(Reales!AY79)),IF(Reales!$C$79="PYG",IF(AY$10&gt;0,N(Reales!AY79)/AY$10,0),N(Reales!AY79)),AY$305-AY$309)</f>
        <v>569605.86887352064</v>
      </c>
      <c r="AZ310" s="22">
        <f>IF(AND(AZ$8=1,ISNUMBER(Reales!AZ79)),IF(Reales!$C$79="PYG",IF(AZ$10&gt;0,N(Reales!AZ79)/AZ$10,0),N(Reales!AZ79)),AZ$305-AZ$309)</f>
        <v>655812.91136153205</v>
      </c>
      <c r="BA310" s="22">
        <f>IF(AND(BA$8=1,ISNUMBER(Reales!BA79)),IF(Reales!$C$79="PYG",IF(BA$10&gt;0,N(Reales!BA79)/BA$10,0),N(Reales!BA79)),BA$305-BA$309)</f>
        <v>742062.55152351083</v>
      </c>
      <c r="BB310" s="22">
        <f>IF(AND(BB$8=1,ISNUMBER(Reales!BB79)),IF(Reales!$C$79="PYG",IF(BB$10&gt;0,N(Reales!BB79)/BB$10,0),N(Reales!BB79)),BB$305-BB$309)</f>
        <v>791565.14613266732</v>
      </c>
      <c r="BC310" s="22">
        <f>IF(AND(BC$8=1,ISNUMBER(Reales!BC79)),IF(Reales!$C$79="PYG",IF(BC$10&gt;0,N(Reales!BC79)/BC$10,0),N(Reales!BC79)),BC$305-BC$309)</f>
        <v>879220.5274828797</v>
      </c>
      <c r="BD310" s="22">
        <f>IF(AND(BD$8=1,ISNUMBER(Reales!BD79)),IF(Reales!$C$79="PYG",IF(BD$10&gt;0,N(Reales!BD79)/BD$10,0),N(Reales!BD79)),BD$305-BD$309)</f>
        <v>966919.47216105205</v>
      </c>
      <c r="BE310" s="22">
        <f>IF(AND(BE$8=1,ISNUMBER(Reales!BE79)),IF(Reales!$C$79="PYG",IF(BE$10&gt;0,N(Reales!BE79)/BE$10,0),N(Reales!BE79)),BE$305-BE$309)</f>
        <v>249708.92851122166</v>
      </c>
      <c r="BF310" s="22">
        <f>IF(AND(BF$8=1,ISNUMBER(Reales!BF79)),IF(Reales!$C$79="PYG",IF(BF$10&gt;0,N(Reales!BF79)/BF$10,0),N(Reales!BF79)),BF$305-BF$309)</f>
        <v>337495.9824706302</v>
      </c>
      <c r="BG310" s="22">
        <f>IF(AND(BG$8=1,ISNUMBER(Reales!BG79)),IF(Reales!$C$79="PYG",IF(BG$10&gt;0,N(Reales!BG79)/BG$10,0),N(Reales!BG79)),BG$305-BG$309)</f>
        <v>425327.58730256773</v>
      </c>
      <c r="BH310" s="22">
        <f>IF(AND(BH$8=1,ISNUMBER(Reales!BH79)),IF(Reales!$C$79="PYG",IF(BH$10&gt;0,N(Reales!BH79)/BH$10,0),N(Reales!BH79)),BH$305-BH$309)</f>
        <v>513204.07713857811</v>
      </c>
      <c r="BI310" s="22">
        <f>IF(AND(BI$8=1,ISNUMBER(Reales!BI79)),IF(Reales!$C$79="PYG",IF(BI$10&gt;0,N(Reales!BI79)/BI$10,0),N(Reales!BI79)),BI$305-BI$309)</f>
        <v>601125.78861619195</v>
      </c>
      <c r="BJ310" s="22">
        <f>IF(AND(BJ$8=1,ISNUMBER(Reales!BJ79)),IF(Reales!$C$79="PYG",IF(BJ$10&gt;0,N(Reales!BJ79)/BJ$10,0),N(Reales!BJ79)),BJ$305-BJ$309)</f>
        <v>689093.06089772133</v>
      </c>
      <c r="BK310" s="22">
        <f>IF(AND(BK$8=1,ISNUMBER(Reales!BK79)),IF(Reales!$C$79="PYG",IF(BK$10&gt;0,N(Reales!BK79)/BK$10,0),N(Reales!BK79)),BK$305-BK$309)</f>
        <v>777106.23568919546</v>
      </c>
      <c r="BL310" s="22">
        <f>IF(AND(BL$8=1,ISNUMBER(Reales!BL79)),IF(Reales!$C$79="PYG",IF(BL$10&gt;0,N(Reales!BL79)/BL$10,0),N(Reales!BL79)),BL$305-BL$309)</f>
        <v>865165.657259439</v>
      </c>
      <c r="BM310" s="22">
        <f>IF(AND(BM$8=1,ISNUMBER(Reales!BM79)),IF(Reales!$C$79="PYG",IF(BM$10&gt;0,N(Reales!BM79)/BM$10,0),N(Reales!BM79)),BM$305-BM$309)</f>
        <v>953271.67245929094</v>
      </c>
      <c r="BN310" s="22">
        <f>IF(AND(BN$8=1,ISNUMBER(Reales!BN79)),IF(Reales!$C$79="PYG",IF(BN$10&gt;0,N(Reales!BN79)/BN$10,0),N(Reales!BN79)),BN$305-BN$309)</f>
        <v>1070847.2577885205</v>
      </c>
      <c r="BO310" s="22">
        <f>IF(AND(BO$8=1,ISNUMBER(Reales!BO79)),IF(Reales!$C$79="PYG",IF(BO$10&gt;0,N(Reales!BO79)/BO$10,0),N(Reales!BO79)),BO$305-BO$309)</f>
        <v>1226147.6995863467</v>
      </c>
      <c r="BP310" s="22">
        <f>IF(AND(BP$8=1,ISNUMBER(Reales!BP79)),IF(Reales!$C$79="PYG",IF(BP$10&gt;0,N(Reales!BP79)/BP$10,0),N(Reales!BP79)),BP$305-BP$309)</f>
        <v>1381448.141384173</v>
      </c>
      <c r="BQ310" s="22">
        <f>IF(AND(BQ$8=1,ISNUMBER(Reales!BQ79)),IF(Reales!$C$79="PYG",IF(BQ$10&gt;0,N(Reales!BQ79)/BQ$10,0),N(Reales!BQ79)),BQ$305-BQ$309)</f>
        <v>72822.038813778199</v>
      </c>
      <c r="BR310" s="22">
        <f>IF(AND(BR$8=1,ISNUMBER(Reales!BR79)),IF(Reales!$C$79="PYG",IF(BR$10&gt;0,N(Reales!BR79)/BR$10,0),N(Reales!BR79)),BR$305-BR$309)</f>
        <v>228122.48061160432</v>
      </c>
      <c r="BS310" s="22">
        <f>IF(AND(BS$8=1,ISNUMBER(Reales!BS79)),IF(Reales!$C$79="PYG",IF(BS$10&gt;0,N(Reales!BS79)/BS$10,0),N(Reales!BS79)),BS$305-BS$309)</f>
        <v>383422.92240943044</v>
      </c>
      <c r="BT310" s="22">
        <f>IF(AND(BT$8=1,ISNUMBER(Reales!BT79)),IF(Reales!$C$79="PYG",IF(BT$10&gt;0,N(Reales!BT79)/BT$10,0),N(Reales!BT79)),BT$305-BT$309)</f>
        <v>538723.36420725659</v>
      </c>
      <c r="BU310" s="22">
        <f>IF(AND(BU$8=1,ISNUMBER(Reales!BU79)),IF(Reales!$C$79="PYG",IF(BU$10&gt;0,N(Reales!BU79)/BU$10,0),N(Reales!BU79)),BU$305-BU$309)</f>
        <v>694023.80600508268</v>
      </c>
      <c r="BV310" s="22">
        <f>IF(AND(BV$8=1,ISNUMBER(Reales!BV79)),IF(Reales!$C$79="PYG",IF(BV$10&gt;0,N(Reales!BV79)/BV$10,0),N(Reales!BV79)),BV$305-BV$309)</f>
        <v>849324.24780290877</v>
      </c>
      <c r="BW310" s="22">
        <f>IF(AND(BW$8=1,ISNUMBER(Reales!BW79)),IF(Reales!$C$79="PYG",IF(BW$10&gt;0,N(Reales!BW79)/BW$10,0),N(Reales!BW79)),BW$305-BW$309)</f>
        <v>1004624.6896007349</v>
      </c>
      <c r="BX310" s="22">
        <f>IF(AND(BX$8=1,ISNUMBER(Reales!BX79)),IF(Reales!$C$79="PYG",IF(BX$10&gt;0,N(Reales!BX79)/BX$10,0),N(Reales!BX79)),BX$305-BX$309)</f>
        <v>1159925.1313985609</v>
      </c>
      <c r="BY310" s="22">
        <f>IF(AND(BY$8=1,ISNUMBER(Reales!BY79)),IF(Reales!$C$79="PYG",IF(BY$10&gt;0,N(Reales!BY79)/BY$10,0),N(Reales!BY79)),BY$305-BY$309)</f>
        <v>1315225.5731963872</v>
      </c>
      <c r="BZ310" s="22">
        <f>IF(AND(BZ$8=1,ISNUMBER(Reales!BZ79)),IF(Reales!$C$79="PYG",IF(BZ$10&gt;0,N(Reales!BZ79)/BZ$10,0),N(Reales!BZ79)),BZ$305-BZ$309)</f>
        <v>1436551.7024610057</v>
      </c>
      <c r="CA310" s="22">
        <f>IF(AND(CA$8=1,ISNUMBER(Reales!CA79)),IF(Reales!$C$79="PYG",IF(CA$10&gt;0,N(Reales!CA79)/CA$10,0),N(Reales!CA79)),CA$305-CA$309)</f>
        <v>1595967.7249504055</v>
      </c>
      <c r="CB310" s="22">
        <f>IF(AND(CB$8=1,ISNUMBER(Reales!CB79)),IF(Reales!$C$79="PYG",IF(CB$10&gt;0,N(Reales!CB79)/CB$10,0),N(Reales!CB79)),CB$305-CB$309)</f>
        <v>1755383.7474398054</v>
      </c>
      <c r="CC310" s="22">
        <f>IF(AND(CC$8=1,ISNUMBER(Reales!CC79)),IF(Reales!$C$79="PYG",IF(CC$10&gt;0,N(Reales!CC79)/CC$10,0),N(Reales!CC79)),CC$305-CC$309)</f>
        <v>120611.07735529123</v>
      </c>
      <c r="CD310" s="22">
        <f>IF(AND(CD$8=1,ISNUMBER(Reales!CD79)),IF(Reales!$C$79="PYG",IF(CD$10&gt;0,N(Reales!CD79)/CD$10,0),N(Reales!CD79)),CD$305-CD$309)</f>
        <v>280027.09984469111</v>
      </c>
      <c r="CE310" s="22">
        <f>IF(AND(CE$8=1,ISNUMBER(Reales!CE79)),IF(Reales!$C$79="PYG",IF(CE$10&gt;0,N(Reales!CE79)/CE$10,0),N(Reales!CE79)),CE$305-CE$309)</f>
        <v>439443.12233409099</v>
      </c>
      <c r="CF310" s="22">
        <f>IF(AND(CF$8=1,ISNUMBER(Reales!CF79)),IF(Reales!$C$79="PYG",IF(CF$10&gt;0,N(Reales!CF79)/CF$10,0),N(Reales!CF79)),CF$305-CF$309)</f>
        <v>598859.14482349087</v>
      </c>
      <c r="CG310" s="22">
        <f>IF(AND(CG$8=1,ISNUMBER(Reales!CG79)),IF(Reales!$C$79="PYG",IF(CG$10&gt;0,N(Reales!CG79)/CG$10,0),N(Reales!CG79)),CG$305-CG$309)</f>
        <v>758275.16731289076</v>
      </c>
      <c r="CH310" s="22">
        <f>IF(AND(CH$8=1,ISNUMBER(Reales!CH79)),IF(Reales!$C$79="PYG",IF(CH$10&gt;0,N(Reales!CH79)/CH$10,0),N(Reales!CH79)),CH$305-CH$309)</f>
        <v>917691.18980229064</v>
      </c>
      <c r="CI310" s="22">
        <f>IF(AND(CI$8=1,ISNUMBER(Reales!CI79)),IF(Reales!$C$79="PYG",IF(CI$10&gt;0,N(Reales!CI79)/CI$10,0),N(Reales!CI79)),CI$305-CI$309)</f>
        <v>1077107.2122916905</v>
      </c>
      <c r="CJ310" s="22">
        <f>IF(AND(CJ$8=1,ISNUMBER(Reales!CJ79)),IF(Reales!$C$79="PYG",IF(CJ$10&gt;0,N(Reales!CJ79)/CJ$10,0),N(Reales!CJ79)),CJ$305-CJ$309)</f>
        <v>1236523.2347810904</v>
      </c>
      <c r="CK310" s="22">
        <f>IF(AND(CK$8=1,ISNUMBER(Reales!CK79)),IF(Reales!$C$79="PYG",IF(CK$10&gt;0,N(Reales!CK79)/CK$10,0),N(Reales!CK79)),CK$305-CK$309)</f>
        <v>1395939.2572704903</v>
      </c>
      <c r="CL310" s="22">
        <f>IF(AND(CL$8=1,ISNUMBER(Reales!CL79)),IF(Reales!$C$79="PYG",IF(CL$10&gt;0,N(Reales!CL79)/CL$10,0),N(Reales!CL79)),CL$305-CL$309)</f>
        <v>1521040.8581222596</v>
      </c>
      <c r="CM310" s="22">
        <f>IF(AND(CM$8=1,ISNUMBER(Reales!CM79)),IF(Reales!$C$79="PYG",IF(CM$10&gt;0,N(Reales!CM79)/CM$10,0),N(Reales!CM79)),CM$305-CM$309)</f>
        <v>1684600.6766685471</v>
      </c>
      <c r="CN310" s="22">
        <f>IF(AND(CN$8=1,ISNUMBER(Reales!CN79)),IF(Reales!$C$79="PYG",IF(CN$10&gt;0,N(Reales!CN79)/CN$10,0),N(Reales!CN79)),CN$305-CN$309)</f>
        <v>1848160.4952148346</v>
      </c>
      <c r="CO310" s="22">
        <f>IF(AND(CO$8=1,ISNUMBER(Reales!CO79)),IF(Reales!$C$79="PYG",IF(CO$10&gt;0,N(Reales!CO79)/CO$10,0),N(Reales!CO79)),CO$305-CO$309)</f>
        <v>168144.65288832365</v>
      </c>
      <c r="CP310" s="22">
        <f>IF(AND(CP$8=1,ISNUMBER(Reales!CP79)),IF(Reales!$C$79="PYG",IF(CP$10&gt;0,N(Reales!CP79)/CP$10,0),N(Reales!CP79)),CP$305-CP$309)</f>
        <v>331704.47143461113</v>
      </c>
      <c r="CQ310" s="22">
        <f>IF(AND(CQ$8=1,ISNUMBER(Reales!CQ79)),IF(Reales!$C$79="PYG",IF(CQ$10&gt;0,N(Reales!CQ79)/CQ$10,0),N(Reales!CQ79)),CQ$305-CQ$309)</f>
        <v>495264.28998089861</v>
      </c>
      <c r="CR310" s="22">
        <f>IF(AND(CR$8=1,ISNUMBER(Reales!CR79)),IF(Reales!$C$79="PYG",IF(CR$10&gt;0,N(Reales!CR79)/CR$10,0),N(Reales!CR79)),CR$305-CR$309)</f>
        <v>658824.10852718609</v>
      </c>
      <c r="CS310" s="22">
        <f>IF(AND(CS$8=1,ISNUMBER(Reales!CS79)),IF(Reales!$C$79="PYG",IF(CS$10&gt;0,N(Reales!CS79)/CS$10,0),N(Reales!CS79)),CS$305-CS$309)</f>
        <v>822383.92707347358</v>
      </c>
      <c r="CT310" s="22">
        <f>IF(AND(CT$8=1,ISNUMBER(Reales!CT79)),IF(Reales!$C$79="PYG",IF(CT$10&gt;0,N(Reales!CT79)/CT$10,0),N(Reales!CT79)),CT$305-CT$309)</f>
        <v>985943.74561976106</v>
      </c>
      <c r="CU310" s="22">
        <f>IF(AND(CU$8=1,ISNUMBER(Reales!CU79)),IF(Reales!$C$79="PYG",IF(CU$10&gt;0,N(Reales!CU79)/CU$10,0),N(Reales!CU79)),CU$305-CU$309)</f>
        <v>1149503.5641660485</v>
      </c>
      <c r="CV310" s="22">
        <f>IF(AND(CV$8=1,ISNUMBER(Reales!CV79)),IF(Reales!$C$79="PYG",IF(CV$10&gt;0,N(Reales!CV79)/CV$10,0),N(Reales!CV79)),CV$305-CV$309)</f>
        <v>1313063.382712336</v>
      </c>
      <c r="CW310" s="22">
        <f>IF(AND(CW$8=1,ISNUMBER(Reales!CW79)),IF(Reales!$C$79="PYG",IF(CW$10&gt;0,N(Reales!CW79)/CW$10,0),N(Reales!CW79)),CW$305-CW$309)</f>
        <v>1476623.2012586235</v>
      </c>
      <c r="CX310" s="22">
        <f>IF(AND(CX$8=1,ISNUMBER(Reales!CX79)),IF(Reales!$C$79="PYG",IF(CX$10&gt;0,N(Reales!CX79)/CX$10,0),N(Reales!CX79)),CX$305-CX$309)</f>
        <v>1605525.0789581952</v>
      </c>
      <c r="CY310" s="22">
        <f>IF(AND(CY$8=1,ISNUMBER(Reales!CY79)),IF(Reales!$C$79="PYG",IF(CY$10&gt;0,N(Reales!CY79)/CY$10,0),N(Reales!CY79)),CY$305-CY$309)</f>
        <v>1773256.8086071028</v>
      </c>
      <c r="CZ310" s="22">
        <f>IF(AND(CZ$8=1,ISNUMBER(Reales!CZ79)),IF(Reales!$C$79="PYG",IF(CZ$10&gt;0,N(Reales!CZ79)/CZ$10,0),N(Reales!CZ79)),CZ$305-CZ$309)</f>
        <v>1940988.5382560105</v>
      </c>
      <c r="DA310" s="22">
        <f>IF(AND(DA$8=1,ISNUMBER(Reales!DA79)),IF(Reales!$C$79="PYG",IF(DA$10&gt;0,N(Reales!DA79)/DA$10,0),N(Reales!DA79)),DA$305-DA$309)</f>
        <v>215419.05434946856</v>
      </c>
      <c r="DB310" s="22">
        <f>IF(AND(DB$8=1,ISNUMBER(Reales!DB79)),IF(Reales!$C$79="PYG",IF(DB$10&gt;0,N(Reales!DB79)/DB$10,0),N(Reales!DB79)),DB$305-DB$309)</f>
        <v>383150.78399837611</v>
      </c>
      <c r="DC310" s="22">
        <f>IF(AND(DC$8=1,ISNUMBER(Reales!DC79)),IF(Reales!$C$79="PYG",IF(DC$10&gt;0,N(Reales!DC79)/DC$10,0),N(Reales!DC79)),DC$305-DC$309)</f>
        <v>550882.51364728366</v>
      </c>
      <c r="DD310" s="22">
        <f>IF(AND(DD$8=1,ISNUMBER(Reales!DD79)),IF(Reales!$C$79="PYG",IF(DD$10&gt;0,N(Reales!DD79)/DD$10,0),N(Reales!DD79)),DD$305-DD$309)</f>
        <v>718614.24329619121</v>
      </c>
      <c r="DE310" s="22">
        <f>IF(AND(DE$8=1,ISNUMBER(Reales!DE79)),IF(Reales!$C$79="PYG",IF(DE$10&gt;0,N(Reales!DE79)/DE$10,0),N(Reales!DE79)),DE$305-DE$309)</f>
        <v>886345.97294509877</v>
      </c>
      <c r="DF310" s="22">
        <f>IF(AND(DF$8=1,ISNUMBER(Reales!DF79)),IF(Reales!$C$79="PYG",IF(DF$10&gt;0,N(Reales!DF79)/DF$10,0),N(Reales!DF79)),DF$305-DF$309)</f>
        <v>1054077.7025940064</v>
      </c>
      <c r="DG310" s="22">
        <f>IF(AND(DG$8=1,ISNUMBER(Reales!DG79)),IF(Reales!$C$79="PYG",IF(DG$10&gt;0,N(Reales!DG79)/DG$10,0),N(Reales!DG79)),DG$305-DG$309)</f>
        <v>1221809.4322429141</v>
      </c>
      <c r="DH310" s="22">
        <f>IF(AND(DH$8=1,ISNUMBER(Reales!DH79)),IF(Reales!$C$79="PYG",IF(DH$10&gt;0,N(Reales!DH79)/DH$10,0),N(Reales!DH79)),DH$305-DH$309)</f>
        <v>1389541.1618918218</v>
      </c>
      <c r="DI310" s="22">
        <f>IF(AND(DI$8=1,ISNUMBER(Reales!DI79)),IF(Reales!$C$79="PYG",IF(DI$10&gt;0,N(Reales!DI79)/DI$10,0),N(Reales!DI79)),DI$305-DI$309)</f>
        <v>1557272.8915407294</v>
      </c>
      <c r="DJ310" s="22">
        <f>IF(AND(DJ$8=1,ISNUMBER(Reales!DJ79)),IF(Reales!$C$79="PYG",IF(DJ$10&gt;0,N(Reales!DJ79)/DJ$10,0),N(Reales!DJ79)),DJ$305-DJ$309)</f>
        <v>1689999.7166970377</v>
      </c>
      <c r="DK310" s="22">
        <f>IF(AND(DK$8=1,ISNUMBER(Reales!DK79)),IF(Reales!$C$79="PYG",IF(DK$10&gt;0,N(Reales!DK79)/DK$10,0),N(Reales!DK79)),DK$305-DK$309)</f>
        <v>1861931.3598121237</v>
      </c>
      <c r="DL310" s="22">
        <f>IF(AND(DL$8=1,ISNUMBER(Reales!DL79)),IF(Reales!$C$79="PYG",IF(DL$10&gt;0,N(Reales!DL79)/DL$10,0),N(Reales!DL79)),DL$305-DL$309)</f>
        <v>2033863.0029272097</v>
      </c>
      <c r="DM310" s="22">
        <f>IF(AND(DM$8=1,ISNUMBER(Reales!DM79)),IF(Reales!$C$79="PYG",IF(DM$10&gt;0,N(Reales!DM79)/DM$10,0),N(Reales!DM79)),DM$305-DM$309)</f>
        <v>262430.49925540574</v>
      </c>
      <c r="DN310" s="22">
        <f>IF(AND(DN$8=1,ISNUMBER(Reales!DN79)),IF(Reales!$C$79="PYG",IF(DN$10&gt;0,N(Reales!DN79)/DN$10,0),N(Reales!DN79)),DN$305-DN$309)</f>
        <v>434362.14237049187</v>
      </c>
      <c r="DO310" s="22">
        <f>IF(AND(DO$8=1,ISNUMBER(Reales!DO79)),IF(Reales!$C$79="PYG",IF(DO$10&gt;0,N(Reales!DO79)/DO$10,0),N(Reales!DO79)),DO$305-DO$309)</f>
        <v>606293.785485578</v>
      </c>
      <c r="DP310" s="22">
        <f>IF(AND(DP$8=1,ISNUMBER(Reales!DP79)),IF(Reales!$C$79="PYG",IF(DP$10&gt;0,N(Reales!DP79)/DP$10,0),N(Reales!DP79)),DP$305-DP$309)</f>
        <v>778225.42860066413</v>
      </c>
      <c r="DQ310" s="22">
        <f>IF(AND(DQ$8=1,ISNUMBER(Reales!DQ79)),IF(Reales!$C$79="PYG",IF(DQ$10&gt;0,N(Reales!DQ79)/DQ$10,0),N(Reales!DQ79)),DQ$305-DQ$309)</f>
        <v>950157.07171575027</v>
      </c>
      <c r="DR310" s="22">
        <f>IF(AND(DR$8=1,ISNUMBER(Reales!DR79)),IF(Reales!$C$79="PYG",IF(DR$10&gt;0,N(Reales!DR79)/DR$10,0),N(Reales!DR79)),DR$305-DR$309)</f>
        <v>1122088.7148308363</v>
      </c>
      <c r="DS310" s="22">
        <f>IF(AND(DS$8=1,ISNUMBER(Reales!DS79)),IF(Reales!$C$79="PYG",IF(DS$10&gt;0,N(Reales!DS79)/DS$10,0),N(Reales!DS79)),DS$305-DS$309)</f>
        <v>1294020.3579459223</v>
      </c>
      <c r="DT310" s="22">
        <f>IF(AND(DT$8=1,ISNUMBER(Reales!DT79)),IF(Reales!$C$79="PYG",IF(DT$10&gt;0,N(Reales!DT79)/DT$10,0),N(Reales!DT79)),DT$305-DT$309)</f>
        <v>1465952.0010610083</v>
      </c>
      <c r="DU310" s="22">
        <f>IF(AND(DU$8=1,ISNUMBER(Reales!DU79)),IF(Reales!$C$79="PYG",IF(DU$10&gt;0,N(Reales!DU79)/DU$10,0),N(Reales!DU79)),DU$305-DU$309)</f>
        <v>1637883.6441760943</v>
      </c>
      <c r="DV310" s="22">
        <f>IF(AND(DV$8=1,ISNUMBER(Reales!DV79)),IF(Reales!$C$79="PYG",IF(DV$10&gt;0,N(Reales!DV79)/DV$10,0),N(Reales!DV79)),DV$305-DV$309)</f>
        <v>1637883.6441760943</v>
      </c>
      <c r="DW310" s="22">
        <f>IF(AND(DW$8=1,ISNUMBER(Reales!DW79)),IF(Reales!$C$79="PYG",IF(DW$10&gt;0,N(Reales!DW79)/DW$10,0),N(Reales!DW79)),DW$305-DW$309)</f>
        <v>1637883.6441760943</v>
      </c>
      <c r="DX310" s="22">
        <f>IF(AND(DX$8=1,ISNUMBER(Reales!DX79)),IF(Reales!$C$79="PYG",IF(DX$10&gt;0,N(Reales!DX79)/DX$10,0),N(Reales!DX79)),DX$305-DX$309)</f>
        <v>1637883.6441760943</v>
      </c>
      <c r="DY310" s="22">
        <f>IF(AND(DY$8=1,ISNUMBER(Reales!DY79)),IF(Reales!$C$79="PYG",IF(DY$10&gt;0,N(Reales!DY79)/DY$10,0),N(Reales!DY79)),DY$305-DY$309)</f>
        <v>1637883.6441760943</v>
      </c>
      <c r="DZ310" s="22">
        <f>IF(AND(DZ$8=1,ISNUMBER(Reales!DZ79)),IF(Reales!$C$79="PYG",IF(DZ$10&gt;0,N(Reales!DZ79)/DZ$10,0),N(Reales!DZ79)),DZ$305-DZ$309)</f>
        <v>1637883.6441760943</v>
      </c>
      <c r="EA310" s="22">
        <f>IF(AND(EA$8=1,ISNUMBER(Reales!EA79)),IF(Reales!$C$79="PYG",IF(EA$10&gt;0,N(Reales!EA79)/EA$10,0),N(Reales!EA79)),EA$305-EA$309)</f>
        <v>1637883.6441760943</v>
      </c>
      <c r="EB310" s="22">
        <f>IF(AND(EB$8=1,ISNUMBER(Reales!EB79)),IF(Reales!$C$79="PYG",IF(EB$10&gt;0,N(Reales!EB79)/EB$10,0),N(Reales!EB79)),EB$305-EB$309)</f>
        <v>1637883.6441760943</v>
      </c>
      <c r="EC310" s="22">
        <f>IF(AND(EC$8=1,ISNUMBER(Reales!EC79)),IF(Reales!$C$79="PYG",IF(EC$10&gt;0,N(Reales!EC79)/EC$10,0),N(Reales!EC79)),EC$305-EC$309)</f>
        <v>1637883.6441760943</v>
      </c>
      <c r="ED310" s="22">
        <f>IF(AND(ED$8=1,ISNUMBER(Reales!ED79)),IF(Reales!$C$79="PYG",IF(ED$10&gt;0,N(Reales!ED79)/ED$10,0),N(Reales!ED79)),ED$305-ED$309)</f>
        <v>1637883.6441760943</v>
      </c>
      <c r="EE310" s="22">
        <f>IF(AND(EE$8=1,ISNUMBER(Reales!EE79)),IF(Reales!$C$79="PYG",IF(EE$10&gt;0,N(Reales!EE79)/EE$10,0),N(Reales!EE79)),EE$305-EE$309)</f>
        <v>1637883.6441760943</v>
      </c>
      <c r="EF310" s="22">
        <f>IF(AND(EF$8=1,ISNUMBER(Reales!EF79)),IF(Reales!$C$79="PYG",IF(EF$10&gt;0,N(Reales!EF79)/EF$10,0),N(Reales!EF79)),EF$305-EF$309)</f>
        <v>1637883.6441760943</v>
      </c>
      <c r="EG310" s="22">
        <f>IF(AND(EG$8=1,ISNUMBER(Reales!EG79)),IF(Reales!$C$79="PYG",IF(EG$10&gt;0,N(Reales!EG79)/EG$10,0),N(Reales!EG79)),EG$305-EG$309)</f>
        <v>1637883.6441760943</v>
      </c>
      <c r="EH310" s="22">
        <f>IF(AND(EH$8=1,ISNUMBER(Reales!EH79)),IF(Reales!$C$79="PYG",IF(EH$10&gt;0,N(Reales!EH79)/EH$10,0),N(Reales!EH79)),EH$305-EH$309)</f>
        <v>1637883.6441760943</v>
      </c>
      <c r="EI310" s="22">
        <f>IF(AND(EI$8=1,ISNUMBER(Reales!EI79)),IF(Reales!$C$79="PYG",IF(EI$10&gt;0,N(Reales!EI79)/EI$10,0),N(Reales!EI79)),EI$305-EI$309)</f>
        <v>1637883.6441760943</v>
      </c>
      <c r="EJ310" s="22">
        <f>IF(AND(EJ$8=1,ISNUMBER(Reales!EJ79)),IF(Reales!$C$79="PYG",IF(EJ$10&gt;0,N(Reales!EJ79)/EJ$10,0),N(Reales!EJ79)),EJ$305-EJ$309)</f>
        <v>1637883.6441760943</v>
      </c>
      <c r="EK310" s="22">
        <f>IF(AND(EK$8=1,ISNUMBER(Reales!EK79)),IF(Reales!$C$79="PYG",IF(EK$10&gt;0,N(Reales!EK79)/EK$10,0),N(Reales!EK79)),EK$305-EK$309)</f>
        <v>1637883.6441760943</v>
      </c>
      <c r="EL310" s="22">
        <f>IF(AND(EL$8=1,ISNUMBER(Reales!EL79)),IF(Reales!$C$79="PYG",IF(EL$10&gt;0,N(Reales!EL79)/EL$10,0),N(Reales!EL79)),EL$305-EL$309)</f>
        <v>1637883.6441760943</v>
      </c>
      <c r="EM310" s="22">
        <f>IF(AND(EM$8=1,ISNUMBER(Reales!EM79)),IF(Reales!$C$79="PYG",IF(EM$10&gt;0,N(Reales!EM79)/EM$10,0),N(Reales!EM79)),EM$305-EM$309)</f>
        <v>1637883.6441760943</v>
      </c>
      <c r="EN310" s="22">
        <f>IF(AND(EN$8=1,ISNUMBER(Reales!EN79)),IF(Reales!$C$79="PYG",IF(EN$10&gt;0,N(Reales!EN79)/EN$10,0),N(Reales!EN79)),EN$305-EN$309)</f>
        <v>1637883.6441760943</v>
      </c>
      <c r="EO310" s="22">
        <f>IF(AND(EO$8=1,ISNUMBER(Reales!EO79)),IF(Reales!$C$79="PYG",IF(EO$10&gt;0,N(Reales!EO79)/EO$10,0),N(Reales!EO79)),EO$305-EO$309)</f>
        <v>1637883.6441760943</v>
      </c>
      <c r="EP310" s="22">
        <f>IF(AND(EP$8=1,ISNUMBER(Reales!EP79)),IF(Reales!$C$79="PYG",IF(EP$10&gt;0,N(Reales!EP79)/EP$10,0),N(Reales!EP79)),EP$305-EP$309)</f>
        <v>1637883.6441760943</v>
      </c>
      <c r="EQ310" s="22">
        <f>IF(AND(EQ$8=1,ISNUMBER(Reales!EQ79)),IF(Reales!$C$79="PYG",IF(EQ$10&gt;0,N(Reales!EQ79)/EQ$10,0),N(Reales!EQ79)),EQ$305-EQ$309)</f>
        <v>1637883.6441760943</v>
      </c>
      <c r="ER310" s="22">
        <f>IF(AND(ER$8=1,ISNUMBER(Reales!ER79)),IF(Reales!$C$79="PYG",IF(ER$10&gt;0,N(Reales!ER79)/ER$10,0),N(Reales!ER79)),ER$305-ER$309)</f>
        <v>1637883.6441760943</v>
      </c>
      <c r="ES310" s="22">
        <f>IF(AND(ES$8=1,ISNUMBER(Reales!ES79)),IF(Reales!$C$79="PYG",IF(ES$10&gt;0,N(Reales!ES79)/ES$10,0),N(Reales!ES79)),ES$305-ES$309)</f>
        <v>1637883.6441760943</v>
      </c>
    </row>
    <row r="311" spans="1:149" x14ac:dyDescent="0.3">
      <c r="A311" s="14" t="s">
        <v>1360</v>
      </c>
      <c r="B311" s="18" t="s">
        <v>1205</v>
      </c>
      <c r="C311" s="18" t="s">
        <v>439</v>
      </c>
      <c r="E311" s="54">
        <f>SUM(F311:ES311)</f>
        <v>0</v>
      </c>
      <c r="F311" s="48">
        <f t="shared" ref="F311:AK311" si="763">F$310-(F$305-F$309)</f>
        <v>0</v>
      </c>
      <c r="G311" s="48">
        <f t="shared" si="763"/>
        <v>0</v>
      </c>
      <c r="H311" s="48">
        <f t="shared" si="763"/>
        <v>0</v>
      </c>
      <c r="I311" s="48">
        <f t="shared" si="763"/>
        <v>0</v>
      </c>
      <c r="J311" s="48">
        <f t="shared" si="763"/>
        <v>0</v>
      </c>
      <c r="K311" s="48">
        <f t="shared" si="763"/>
        <v>0</v>
      </c>
      <c r="L311" s="48">
        <f t="shared" si="763"/>
        <v>0</v>
      </c>
      <c r="M311" s="48">
        <f t="shared" si="763"/>
        <v>0</v>
      </c>
      <c r="N311" s="48">
        <f t="shared" si="763"/>
        <v>0</v>
      </c>
      <c r="O311" s="48">
        <f t="shared" si="763"/>
        <v>0</v>
      </c>
      <c r="P311" s="48">
        <f t="shared" si="763"/>
        <v>0</v>
      </c>
      <c r="Q311" s="48">
        <f t="shared" si="763"/>
        <v>0</v>
      </c>
      <c r="R311" s="48">
        <f t="shared" si="763"/>
        <v>0</v>
      </c>
      <c r="S311" s="48">
        <f t="shared" si="763"/>
        <v>0</v>
      </c>
      <c r="T311" s="48">
        <f t="shared" si="763"/>
        <v>0</v>
      </c>
      <c r="U311" s="48">
        <f t="shared" si="763"/>
        <v>0</v>
      </c>
      <c r="V311" s="48">
        <f t="shared" si="763"/>
        <v>0</v>
      </c>
      <c r="W311" s="48">
        <f t="shared" si="763"/>
        <v>0</v>
      </c>
      <c r="X311" s="48">
        <f t="shared" si="763"/>
        <v>0</v>
      </c>
      <c r="Y311" s="48">
        <f t="shared" si="763"/>
        <v>0</v>
      </c>
      <c r="Z311" s="48">
        <f t="shared" si="763"/>
        <v>0</v>
      </c>
      <c r="AA311" s="48">
        <f t="shared" si="763"/>
        <v>0</v>
      </c>
      <c r="AB311" s="48">
        <f t="shared" si="763"/>
        <v>0</v>
      </c>
      <c r="AC311" s="48">
        <f t="shared" si="763"/>
        <v>0</v>
      </c>
      <c r="AD311" s="48">
        <f t="shared" si="763"/>
        <v>0</v>
      </c>
      <c r="AE311" s="48">
        <f t="shared" si="763"/>
        <v>0</v>
      </c>
      <c r="AF311" s="48">
        <f t="shared" si="763"/>
        <v>0</v>
      </c>
      <c r="AG311" s="48">
        <f t="shared" si="763"/>
        <v>0</v>
      </c>
      <c r="AH311" s="48">
        <f t="shared" si="763"/>
        <v>0</v>
      </c>
      <c r="AI311" s="48">
        <f t="shared" si="763"/>
        <v>0</v>
      </c>
      <c r="AJ311" s="48">
        <f t="shared" si="763"/>
        <v>0</v>
      </c>
      <c r="AK311" s="48">
        <f t="shared" si="763"/>
        <v>0</v>
      </c>
      <c r="AL311" s="48">
        <f t="shared" ref="AL311:BQ311" si="764">AL$310-(AL$305-AL$309)</f>
        <v>0</v>
      </c>
      <c r="AM311" s="48">
        <f t="shared" si="764"/>
        <v>0</v>
      </c>
      <c r="AN311" s="48">
        <f t="shared" si="764"/>
        <v>0</v>
      </c>
      <c r="AO311" s="48">
        <f t="shared" si="764"/>
        <v>0</v>
      </c>
      <c r="AP311" s="48">
        <f t="shared" si="764"/>
        <v>0</v>
      </c>
      <c r="AQ311" s="48">
        <f t="shared" si="764"/>
        <v>0</v>
      </c>
      <c r="AR311" s="48">
        <f t="shared" si="764"/>
        <v>0</v>
      </c>
      <c r="AS311" s="48">
        <f t="shared" si="764"/>
        <v>0</v>
      </c>
      <c r="AT311" s="48">
        <f t="shared" si="764"/>
        <v>0</v>
      </c>
      <c r="AU311" s="48">
        <f t="shared" si="764"/>
        <v>0</v>
      </c>
      <c r="AV311" s="48">
        <f t="shared" si="764"/>
        <v>0</v>
      </c>
      <c r="AW311" s="48">
        <f t="shared" si="764"/>
        <v>0</v>
      </c>
      <c r="AX311" s="48">
        <f t="shared" si="764"/>
        <v>0</v>
      </c>
      <c r="AY311" s="48">
        <f t="shared" si="764"/>
        <v>0</v>
      </c>
      <c r="AZ311" s="48">
        <f t="shared" si="764"/>
        <v>0</v>
      </c>
      <c r="BA311" s="48">
        <f t="shared" si="764"/>
        <v>0</v>
      </c>
      <c r="BB311" s="48">
        <f t="shared" si="764"/>
        <v>0</v>
      </c>
      <c r="BC311" s="48">
        <f t="shared" si="764"/>
        <v>0</v>
      </c>
      <c r="BD311" s="48">
        <f t="shared" si="764"/>
        <v>0</v>
      </c>
      <c r="BE311" s="48">
        <f t="shared" si="764"/>
        <v>0</v>
      </c>
      <c r="BF311" s="48">
        <f t="shared" si="764"/>
        <v>0</v>
      </c>
      <c r="BG311" s="48">
        <f t="shared" si="764"/>
        <v>0</v>
      </c>
      <c r="BH311" s="48">
        <f t="shared" si="764"/>
        <v>0</v>
      </c>
      <c r="BI311" s="48">
        <f t="shared" si="764"/>
        <v>0</v>
      </c>
      <c r="BJ311" s="48">
        <f t="shared" si="764"/>
        <v>0</v>
      </c>
      <c r="BK311" s="48">
        <f t="shared" si="764"/>
        <v>0</v>
      </c>
      <c r="BL311" s="48">
        <f t="shared" si="764"/>
        <v>0</v>
      </c>
      <c r="BM311" s="48">
        <f t="shared" si="764"/>
        <v>0</v>
      </c>
      <c r="BN311" s="48">
        <f t="shared" si="764"/>
        <v>0</v>
      </c>
      <c r="BO311" s="48">
        <f t="shared" si="764"/>
        <v>0</v>
      </c>
      <c r="BP311" s="48">
        <f t="shared" si="764"/>
        <v>0</v>
      </c>
      <c r="BQ311" s="48">
        <f t="shared" si="764"/>
        <v>0</v>
      </c>
      <c r="BR311" s="48">
        <f t="shared" ref="BR311:CW311" si="765">BR$310-(BR$305-BR$309)</f>
        <v>0</v>
      </c>
      <c r="BS311" s="48">
        <f t="shared" si="765"/>
        <v>0</v>
      </c>
      <c r="BT311" s="48">
        <f t="shared" si="765"/>
        <v>0</v>
      </c>
      <c r="BU311" s="48">
        <f t="shared" si="765"/>
        <v>0</v>
      </c>
      <c r="BV311" s="48">
        <f t="shared" si="765"/>
        <v>0</v>
      </c>
      <c r="BW311" s="48">
        <f t="shared" si="765"/>
        <v>0</v>
      </c>
      <c r="BX311" s="48">
        <f t="shared" si="765"/>
        <v>0</v>
      </c>
      <c r="BY311" s="48">
        <f t="shared" si="765"/>
        <v>0</v>
      </c>
      <c r="BZ311" s="48">
        <f t="shared" si="765"/>
        <v>0</v>
      </c>
      <c r="CA311" s="48">
        <f t="shared" si="765"/>
        <v>0</v>
      </c>
      <c r="CB311" s="48">
        <f t="shared" si="765"/>
        <v>0</v>
      </c>
      <c r="CC311" s="48">
        <f t="shared" si="765"/>
        <v>0</v>
      </c>
      <c r="CD311" s="48">
        <f t="shared" si="765"/>
        <v>0</v>
      </c>
      <c r="CE311" s="48">
        <f t="shared" si="765"/>
        <v>0</v>
      </c>
      <c r="CF311" s="48">
        <f t="shared" si="765"/>
        <v>0</v>
      </c>
      <c r="CG311" s="48">
        <f t="shared" si="765"/>
        <v>0</v>
      </c>
      <c r="CH311" s="48">
        <f t="shared" si="765"/>
        <v>0</v>
      </c>
      <c r="CI311" s="48">
        <f t="shared" si="765"/>
        <v>0</v>
      </c>
      <c r="CJ311" s="48">
        <f t="shared" si="765"/>
        <v>0</v>
      </c>
      <c r="CK311" s="48">
        <f t="shared" si="765"/>
        <v>0</v>
      </c>
      <c r="CL311" s="48">
        <f t="shared" si="765"/>
        <v>0</v>
      </c>
      <c r="CM311" s="48">
        <f t="shared" si="765"/>
        <v>0</v>
      </c>
      <c r="CN311" s="48">
        <f t="shared" si="765"/>
        <v>0</v>
      </c>
      <c r="CO311" s="48">
        <f t="shared" si="765"/>
        <v>0</v>
      </c>
      <c r="CP311" s="48">
        <f t="shared" si="765"/>
        <v>0</v>
      </c>
      <c r="CQ311" s="48">
        <f t="shared" si="765"/>
        <v>0</v>
      </c>
      <c r="CR311" s="48">
        <f t="shared" si="765"/>
        <v>0</v>
      </c>
      <c r="CS311" s="48">
        <f t="shared" si="765"/>
        <v>0</v>
      </c>
      <c r="CT311" s="48">
        <f t="shared" si="765"/>
        <v>0</v>
      </c>
      <c r="CU311" s="48">
        <f t="shared" si="765"/>
        <v>0</v>
      </c>
      <c r="CV311" s="48">
        <f t="shared" si="765"/>
        <v>0</v>
      </c>
      <c r="CW311" s="48">
        <f t="shared" si="765"/>
        <v>0</v>
      </c>
      <c r="CX311" s="48">
        <f t="shared" ref="CX311:EC311" si="766">CX$310-(CX$305-CX$309)</f>
        <v>0</v>
      </c>
      <c r="CY311" s="48">
        <f t="shared" si="766"/>
        <v>0</v>
      </c>
      <c r="CZ311" s="48">
        <f t="shared" si="766"/>
        <v>0</v>
      </c>
      <c r="DA311" s="48">
        <f t="shared" si="766"/>
        <v>0</v>
      </c>
      <c r="DB311" s="48">
        <f t="shared" si="766"/>
        <v>0</v>
      </c>
      <c r="DC311" s="48">
        <f t="shared" si="766"/>
        <v>0</v>
      </c>
      <c r="DD311" s="48">
        <f t="shared" si="766"/>
        <v>0</v>
      </c>
      <c r="DE311" s="48">
        <f t="shared" si="766"/>
        <v>0</v>
      </c>
      <c r="DF311" s="48">
        <f t="shared" si="766"/>
        <v>0</v>
      </c>
      <c r="DG311" s="48">
        <f t="shared" si="766"/>
        <v>0</v>
      </c>
      <c r="DH311" s="48">
        <f t="shared" si="766"/>
        <v>0</v>
      </c>
      <c r="DI311" s="48">
        <f t="shared" si="766"/>
        <v>0</v>
      </c>
      <c r="DJ311" s="48">
        <f t="shared" si="766"/>
        <v>0</v>
      </c>
      <c r="DK311" s="48">
        <f t="shared" si="766"/>
        <v>0</v>
      </c>
      <c r="DL311" s="48">
        <f t="shared" si="766"/>
        <v>0</v>
      </c>
      <c r="DM311" s="48">
        <f t="shared" si="766"/>
        <v>0</v>
      </c>
      <c r="DN311" s="48">
        <f t="shared" si="766"/>
        <v>0</v>
      </c>
      <c r="DO311" s="48">
        <f t="shared" si="766"/>
        <v>0</v>
      </c>
      <c r="DP311" s="48">
        <f t="shared" si="766"/>
        <v>0</v>
      </c>
      <c r="DQ311" s="48">
        <f t="shared" si="766"/>
        <v>0</v>
      </c>
      <c r="DR311" s="48">
        <f t="shared" si="766"/>
        <v>0</v>
      </c>
      <c r="DS311" s="48">
        <f t="shared" si="766"/>
        <v>0</v>
      </c>
      <c r="DT311" s="48">
        <f t="shared" si="766"/>
        <v>0</v>
      </c>
      <c r="DU311" s="48">
        <f t="shared" si="766"/>
        <v>0</v>
      </c>
      <c r="DV311" s="48">
        <f t="shared" si="766"/>
        <v>0</v>
      </c>
      <c r="DW311" s="48">
        <f t="shared" si="766"/>
        <v>0</v>
      </c>
      <c r="DX311" s="48">
        <f t="shared" si="766"/>
        <v>0</v>
      </c>
      <c r="DY311" s="48">
        <f t="shared" si="766"/>
        <v>0</v>
      </c>
      <c r="DZ311" s="48">
        <f t="shared" si="766"/>
        <v>0</v>
      </c>
      <c r="EA311" s="48">
        <f t="shared" si="766"/>
        <v>0</v>
      </c>
      <c r="EB311" s="48">
        <f t="shared" si="766"/>
        <v>0</v>
      </c>
      <c r="EC311" s="48">
        <f t="shared" si="766"/>
        <v>0</v>
      </c>
      <c r="ED311" s="48">
        <f t="shared" ref="ED311:ES311" si="767">ED$310-(ED$305-ED$309)</f>
        <v>0</v>
      </c>
      <c r="EE311" s="48">
        <f t="shared" si="767"/>
        <v>0</v>
      </c>
      <c r="EF311" s="48">
        <f t="shared" si="767"/>
        <v>0</v>
      </c>
      <c r="EG311" s="48">
        <f t="shared" si="767"/>
        <v>0</v>
      </c>
      <c r="EH311" s="48">
        <f t="shared" si="767"/>
        <v>0</v>
      </c>
      <c r="EI311" s="48">
        <f t="shared" si="767"/>
        <v>0</v>
      </c>
      <c r="EJ311" s="48">
        <f t="shared" si="767"/>
        <v>0</v>
      </c>
      <c r="EK311" s="48">
        <f t="shared" si="767"/>
        <v>0</v>
      </c>
      <c r="EL311" s="48">
        <f t="shared" si="767"/>
        <v>0</v>
      </c>
      <c r="EM311" s="48">
        <f t="shared" si="767"/>
        <v>0</v>
      </c>
      <c r="EN311" s="48">
        <f t="shared" si="767"/>
        <v>0</v>
      </c>
      <c r="EO311" s="48">
        <f t="shared" si="767"/>
        <v>0</v>
      </c>
      <c r="EP311" s="48">
        <f t="shared" si="767"/>
        <v>0</v>
      </c>
      <c r="EQ311" s="48">
        <f t="shared" si="767"/>
        <v>0</v>
      </c>
      <c r="ER311" s="48">
        <f t="shared" si="767"/>
        <v>0</v>
      </c>
      <c r="ES311" s="48">
        <f t="shared" si="767"/>
        <v>0</v>
      </c>
    </row>
    <row r="312" spans="1:149" x14ac:dyDescent="0.3">
      <c r="A312" s="14" t="s">
        <v>1361</v>
      </c>
      <c r="B312" s="68" t="s">
        <v>1207</v>
      </c>
      <c r="C312" s="18" t="s">
        <v>439</v>
      </c>
      <c r="E312" s="54">
        <f>MAX(F312:ES312)</f>
        <v>373700.71319316578</v>
      </c>
      <c r="F312" s="22">
        <f t="shared" ref="F312:AK312" si="768">MAX(0,F$298-F$310)*F$9</f>
        <v>0</v>
      </c>
      <c r="G312" s="22">
        <f t="shared" si="768"/>
        <v>0</v>
      </c>
      <c r="H312" s="22">
        <f t="shared" si="768"/>
        <v>0</v>
      </c>
      <c r="I312" s="22">
        <f t="shared" si="768"/>
        <v>0</v>
      </c>
      <c r="J312" s="22">
        <f t="shared" si="768"/>
        <v>0</v>
      </c>
      <c r="K312" s="22">
        <f t="shared" si="768"/>
        <v>0</v>
      </c>
      <c r="L312" s="22">
        <f t="shared" si="768"/>
        <v>0</v>
      </c>
      <c r="M312" s="22">
        <f t="shared" si="768"/>
        <v>0</v>
      </c>
      <c r="N312" s="22">
        <f t="shared" si="768"/>
        <v>0</v>
      </c>
      <c r="O312" s="22">
        <f t="shared" si="768"/>
        <v>0</v>
      </c>
      <c r="P312" s="22">
        <f t="shared" si="768"/>
        <v>0</v>
      </c>
      <c r="Q312" s="22">
        <f t="shared" si="768"/>
        <v>0</v>
      </c>
      <c r="R312" s="22">
        <f t="shared" si="768"/>
        <v>0</v>
      </c>
      <c r="S312" s="22">
        <f t="shared" si="768"/>
        <v>0</v>
      </c>
      <c r="T312" s="22">
        <f t="shared" si="768"/>
        <v>0</v>
      </c>
      <c r="U312" s="22">
        <f t="shared" si="768"/>
        <v>0</v>
      </c>
      <c r="V312" s="22">
        <f t="shared" si="768"/>
        <v>0</v>
      </c>
      <c r="W312" s="22">
        <f t="shared" si="768"/>
        <v>0</v>
      </c>
      <c r="X312" s="22">
        <f t="shared" si="768"/>
        <v>0</v>
      </c>
      <c r="Y312" s="22">
        <f t="shared" si="768"/>
        <v>0</v>
      </c>
      <c r="Z312" s="22">
        <f t="shared" si="768"/>
        <v>0</v>
      </c>
      <c r="AA312" s="22">
        <f t="shared" si="768"/>
        <v>0</v>
      </c>
      <c r="AB312" s="22">
        <f t="shared" si="768"/>
        <v>0</v>
      </c>
      <c r="AC312" s="22">
        <f t="shared" si="768"/>
        <v>0</v>
      </c>
      <c r="AD312" s="22">
        <f t="shared" si="768"/>
        <v>373700.71319316578</v>
      </c>
      <c r="AE312" s="22">
        <f t="shared" si="768"/>
        <v>321127.02990615118</v>
      </c>
      <c r="AF312" s="22">
        <f t="shared" si="768"/>
        <v>268516.93502156629</v>
      </c>
      <c r="AG312" s="22">
        <f t="shared" si="768"/>
        <v>215870.15545242923</v>
      </c>
      <c r="AH312" s="22">
        <f t="shared" si="768"/>
        <v>163186.4160636059</v>
      </c>
      <c r="AI312" s="22">
        <f t="shared" si="768"/>
        <v>110465.43965644867</v>
      </c>
      <c r="AJ312" s="22">
        <f t="shared" si="768"/>
        <v>57706.946953320017</v>
      </c>
      <c r="AK312" s="22">
        <f t="shared" si="768"/>
        <v>4910.6565820001488</v>
      </c>
      <c r="AL312" s="22">
        <f t="shared" ref="AL312:BQ312" si="769">MAX(0,AL$298-AL$310)*AL$9</f>
        <v>0</v>
      </c>
      <c r="AM312" s="22">
        <f t="shared" si="769"/>
        <v>0</v>
      </c>
      <c r="AN312" s="22">
        <f t="shared" si="769"/>
        <v>0</v>
      </c>
      <c r="AO312" s="22">
        <f t="shared" si="769"/>
        <v>0</v>
      </c>
      <c r="AP312" s="22">
        <f t="shared" si="769"/>
        <v>275779.3264217067</v>
      </c>
      <c r="AQ312" s="22">
        <f t="shared" si="769"/>
        <v>189941.6729189828</v>
      </c>
      <c r="AR312" s="22">
        <f t="shared" si="769"/>
        <v>104064.19215968119</v>
      </c>
      <c r="AS312" s="22">
        <f t="shared" si="769"/>
        <v>18146.585439377588</v>
      </c>
      <c r="AT312" s="22">
        <f t="shared" si="769"/>
        <v>0</v>
      </c>
      <c r="AU312" s="22">
        <f t="shared" si="769"/>
        <v>0</v>
      </c>
      <c r="AV312" s="22">
        <f t="shared" si="769"/>
        <v>0</v>
      </c>
      <c r="AW312" s="22">
        <f t="shared" si="769"/>
        <v>0</v>
      </c>
      <c r="AX312" s="22">
        <f t="shared" si="769"/>
        <v>0</v>
      </c>
      <c r="AY312" s="22">
        <f t="shared" si="769"/>
        <v>0</v>
      </c>
      <c r="AZ312" s="22">
        <f t="shared" si="769"/>
        <v>0</v>
      </c>
      <c r="BA312" s="22">
        <f t="shared" si="769"/>
        <v>0</v>
      </c>
      <c r="BB312" s="22">
        <f t="shared" si="769"/>
        <v>0</v>
      </c>
      <c r="BC312" s="22">
        <f t="shared" si="769"/>
        <v>0</v>
      </c>
      <c r="BD312" s="22">
        <f t="shared" si="769"/>
        <v>0</v>
      </c>
      <c r="BE312" s="22">
        <f t="shared" si="769"/>
        <v>0</v>
      </c>
      <c r="BF312" s="22">
        <f t="shared" si="769"/>
        <v>0</v>
      </c>
      <c r="BG312" s="22">
        <f t="shared" si="769"/>
        <v>0</v>
      </c>
      <c r="BH312" s="22">
        <f t="shared" si="769"/>
        <v>0</v>
      </c>
      <c r="BI312" s="22">
        <f t="shared" si="769"/>
        <v>0</v>
      </c>
      <c r="BJ312" s="22">
        <f t="shared" si="769"/>
        <v>0</v>
      </c>
      <c r="BK312" s="22">
        <f t="shared" si="769"/>
        <v>0</v>
      </c>
      <c r="BL312" s="22">
        <f t="shared" si="769"/>
        <v>0</v>
      </c>
      <c r="BM312" s="22">
        <f t="shared" si="769"/>
        <v>0</v>
      </c>
      <c r="BN312" s="22">
        <f t="shared" si="769"/>
        <v>0</v>
      </c>
      <c r="BO312" s="22">
        <f t="shared" si="769"/>
        <v>0</v>
      </c>
      <c r="BP312" s="22">
        <f t="shared" si="769"/>
        <v>0</v>
      </c>
      <c r="BQ312" s="22">
        <f t="shared" si="769"/>
        <v>0</v>
      </c>
      <c r="BR312" s="22">
        <f t="shared" ref="BR312:CW312" si="770">MAX(0,BR$298-BR$310)*BR$9</f>
        <v>0</v>
      </c>
      <c r="BS312" s="22">
        <f t="shared" si="770"/>
        <v>0</v>
      </c>
      <c r="BT312" s="22">
        <f t="shared" si="770"/>
        <v>0</v>
      </c>
      <c r="BU312" s="22">
        <f t="shared" si="770"/>
        <v>0</v>
      </c>
      <c r="BV312" s="22">
        <f t="shared" si="770"/>
        <v>0</v>
      </c>
      <c r="BW312" s="22">
        <f t="shared" si="770"/>
        <v>0</v>
      </c>
      <c r="BX312" s="22">
        <f t="shared" si="770"/>
        <v>0</v>
      </c>
      <c r="BY312" s="22">
        <f t="shared" si="770"/>
        <v>0</v>
      </c>
      <c r="BZ312" s="22">
        <f t="shared" si="770"/>
        <v>0</v>
      </c>
      <c r="CA312" s="22">
        <f t="shared" si="770"/>
        <v>0</v>
      </c>
      <c r="CB312" s="22">
        <f t="shared" si="770"/>
        <v>0</v>
      </c>
      <c r="CC312" s="22">
        <f t="shared" si="770"/>
        <v>0</v>
      </c>
      <c r="CD312" s="22">
        <f t="shared" si="770"/>
        <v>0</v>
      </c>
      <c r="CE312" s="22">
        <f t="shared" si="770"/>
        <v>0</v>
      </c>
      <c r="CF312" s="22">
        <f t="shared" si="770"/>
        <v>0</v>
      </c>
      <c r="CG312" s="22">
        <f t="shared" si="770"/>
        <v>0</v>
      </c>
      <c r="CH312" s="22">
        <f t="shared" si="770"/>
        <v>0</v>
      </c>
      <c r="CI312" s="22">
        <f t="shared" si="770"/>
        <v>0</v>
      </c>
      <c r="CJ312" s="22">
        <f t="shared" si="770"/>
        <v>0</v>
      </c>
      <c r="CK312" s="22">
        <f t="shared" si="770"/>
        <v>0</v>
      </c>
      <c r="CL312" s="22">
        <f t="shared" si="770"/>
        <v>0</v>
      </c>
      <c r="CM312" s="22">
        <f t="shared" si="770"/>
        <v>0</v>
      </c>
      <c r="CN312" s="22">
        <f t="shared" si="770"/>
        <v>0</v>
      </c>
      <c r="CO312" s="22">
        <f t="shared" si="770"/>
        <v>0</v>
      </c>
      <c r="CP312" s="22">
        <f t="shared" si="770"/>
        <v>0</v>
      </c>
      <c r="CQ312" s="22">
        <f t="shared" si="770"/>
        <v>0</v>
      </c>
      <c r="CR312" s="22">
        <f t="shared" si="770"/>
        <v>0</v>
      </c>
      <c r="CS312" s="22">
        <f t="shared" si="770"/>
        <v>0</v>
      </c>
      <c r="CT312" s="22">
        <f t="shared" si="770"/>
        <v>0</v>
      </c>
      <c r="CU312" s="22">
        <f t="shared" si="770"/>
        <v>0</v>
      </c>
      <c r="CV312" s="22">
        <f t="shared" si="770"/>
        <v>0</v>
      </c>
      <c r="CW312" s="22">
        <f t="shared" si="770"/>
        <v>0</v>
      </c>
      <c r="CX312" s="22">
        <f t="shared" ref="CX312:EC312" si="771">MAX(0,CX$298-CX$310)*CX$9</f>
        <v>0</v>
      </c>
      <c r="CY312" s="22">
        <f t="shared" si="771"/>
        <v>0</v>
      </c>
      <c r="CZ312" s="22">
        <f t="shared" si="771"/>
        <v>0</v>
      </c>
      <c r="DA312" s="22">
        <f t="shared" si="771"/>
        <v>0</v>
      </c>
      <c r="DB312" s="22">
        <f t="shared" si="771"/>
        <v>0</v>
      </c>
      <c r="DC312" s="22">
        <f t="shared" si="771"/>
        <v>0</v>
      </c>
      <c r="DD312" s="22">
        <f t="shared" si="771"/>
        <v>0</v>
      </c>
      <c r="DE312" s="22">
        <f t="shared" si="771"/>
        <v>0</v>
      </c>
      <c r="DF312" s="22">
        <f t="shared" si="771"/>
        <v>0</v>
      </c>
      <c r="DG312" s="22">
        <f t="shared" si="771"/>
        <v>0</v>
      </c>
      <c r="DH312" s="22">
        <f t="shared" si="771"/>
        <v>0</v>
      </c>
      <c r="DI312" s="22">
        <f t="shared" si="771"/>
        <v>0</v>
      </c>
      <c r="DJ312" s="22">
        <f t="shared" si="771"/>
        <v>0</v>
      </c>
      <c r="DK312" s="22">
        <f t="shared" si="771"/>
        <v>0</v>
      </c>
      <c r="DL312" s="22">
        <f t="shared" si="771"/>
        <v>0</v>
      </c>
      <c r="DM312" s="22">
        <f t="shared" si="771"/>
        <v>0</v>
      </c>
      <c r="DN312" s="22">
        <f t="shared" si="771"/>
        <v>0</v>
      </c>
      <c r="DO312" s="22">
        <f t="shared" si="771"/>
        <v>0</v>
      </c>
      <c r="DP312" s="22">
        <f t="shared" si="771"/>
        <v>0</v>
      </c>
      <c r="DQ312" s="22">
        <f t="shared" si="771"/>
        <v>0</v>
      </c>
      <c r="DR312" s="22">
        <f t="shared" si="771"/>
        <v>0</v>
      </c>
      <c r="DS312" s="22">
        <f t="shared" si="771"/>
        <v>0</v>
      </c>
      <c r="DT312" s="22">
        <f t="shared" si="771"/>
        <v>0</v>
      </c>
      <c r="DU312" s="22">
        <f t="shared" si="771"/>
        <v>0</v>
      </c>
      <c r="DV312" s="22">
        <f t="shared" si="771"/>
        <v>0</v>
      </c>
      <c r="DW312" s="22">
        <f t="shared" si="771"/>
        <v>0</v>
      </c>
      <c r="DX312" s="22">
        <f t="shared" si="771"/>
        <v>0</v>
      </c>
      <c r="DY312" s="22">
        <f t="shared" si="771"/>
        <v>0</v>
      </c>
      <c r="DZ312" s="22">
        <f t="shared" si="771"/>
        <v>0</v>
      </c>
      <c r="EA312" s="22">
        <f t="shared" si="771"/>
        <v>0</v>
      </c>
      <c r="EB312" s="22">
        <f t="shared" si="771"/>
        <v>0</v>
      </c>
      <c r="EC312" s="22">
        <f t="shared" si="771"/>
        <v>0</v>
      </c>
      <c r="ED312" s="22">
        <f t="shared" ref="ED312:ES312" si="772">MAX(0,ED$298-ED$310)*ED$9</f>
        <v>0</v>
      </c>
      <c r="EE312" s="22">
        <f t="shared" si="772"/>
        <v>0</v>
      </c>
      <c r="EF312" s="22">
        <f t="shared" si="772"/>
        <v>0</v>
      </c>
      <c r="EG312" s="22">
        <f t="shared" si="772"/>
        <v>0</v>
      </c>
      <c r="EH312" s="22">
        <f t="shared" si="772"/>
        <v>0</v>
      </c>
      <c r="EI312" s="22">
        <f t="shared" si="772"/>
        <v>0</v>
      </c>
      <c r="EJ312" s="22">
        <f t="shared" si="772"/>
        <v>0</v>
      </c>
      <c r="EK312" s="22">
        <f t="shared" si="772"/>
        <v>0</v>
      </c>
      <c r="EL312" s="22">
        <f t="shared" si="772"/>
        <v>0</v>
      </c>
      <c r="EM312" s="22">
        <f t="shared" si="772"/>
        <v>0</v>
      </c>
      <c r="EN312" s="22">
        <f t="shared" si="772"/>
        <v>0</v>
      </c>
      <c r="EO312" s="22">
        <f t="shared" si="772"/>
        <v>0</v>
      </c>
      <c r="EP312" s="22">
        <f t="shared" si="772"/>
        <v>0</v>
      </c>
      <c r="EQ312" s="22">
        <f t="shared" si="772"/>
        <v>0</v>
      </c>
      <c r="ER312" s="22">
        <f t="shared" si="772"/>
        <v>0</v>
      </c>
      <c r="ES312" s="22">
        <f t="shared" si="772"/>
        <v>0</v>
      </c>
    </row>
    <row r="313" spans="1:149" x14ac:dyDescent="0.3">
      <c r="A313" s="14" t="s">
        <v>1362</v>
      </c>
      <c r="B313" s="18" t="s">
        <v>1209</v>
      </c>
      <c r="C313" s="18" t="s">
        <v>439</v>
      </c>
      <c r="E313" s="54">
        <f>MAX(F313:ES313)</f>
        <v>311740.11867261783</v>
      </c>
      <c r="F313" s="48">
        <f t="shared" ref="F313:AK313" si="773">MAX(0,-F$310)</f>
        <v>0</v>
      </c>
      <c r="G313" s="48">
        <f t="shared" si="773"/>
        <v>0</v>
      </c>
      <c r="H313" s="48">
        <f t="shared" si="773"/>
        <v>0</v>
      </c>
      <c r="I313" s="48">
        <f t="shared" si="773"/>
        <v>0</v>
      </c>
      <c r="J313" s="48">
        <f t="shared" si="773"/>
        <v>0</v>
      </c>
      <c r="K313" s="48">
        <f t="shared" si="773"/>
        <v>0</v>
      </c>
      <c r="L313" s="48">
        <f t="shared" si="773"/>
        <v>0</v>
      </c>
      <c r="M313" s="48">
        <f t="shared" si="773"/>
        <v>0</v>
      </c>
      <c r="N313" s="48">
        <f t="shared" si="773"/>
        <v>0</v>
      </c>
      <c r="O313" s="48">
        <f t="shared" si="773"/>
        <v>0</v>
      </c>
      <c r="P313" s="48">
        <f t="shared" si="773"/>
        <v>0</v>
      </c>
      <c r="Q313" s="48">
        <f t="shared" si="773"/>
        <v>0</v>
      </c>
      <c r="R313" s="48">
        <f t="shared" si="773"/>
        <v>0</v>
      </c>
      <c r="S313" s="48">
        <f t="shared" si="773"/>
        <v>0</v>
      </c>
      <c r="T313" s="48">
        <f t="shared" si="773"/>
        <v>0</v>
      </c>
      <c r="U313" s="48">
        <f t="shared" si="773"/>
        <v>0</v>
      </c>
      <c r="V313" s="48">
        <f t="shared" si="773"/>
        <v>0</v>
      </c>
      <c r="W313" s="48">
        <f t="shared" si="773"/>
        <v>0</v>
      </c>
      <c r="X313" s="48">
        <f t="shared" si="773"/>
        <v>0</v>
      </c>
      <c r="Y313" s="48">
        <f t="shared" si="773"/>
        <v>0</v>
      </c>
      <c r="Z313" s="48">
        <f t="shared" si="773"/>
        <v>0</v>
      </c>
      <c r="AA313" s="48">
        <f t="shared" si="773"/>
        <v>0</v>
      </c>
      <c r="AB313" s="48">
        <f t="shared" si="773"/>
        <v>0</v>
      </c>
      <c r="AC313" s="48">
        <f t="shared" si="773"/>
        <v>0</v>
      </c>
      <c r="AD313" s="48">
        <f t="shared" si="773"/>
        <v>311740.11867261783</v>
      </c>
      <c r="AE313" s="48">
        <f t="shared" si="773"/>
        <v>259166.43538560325</v>
      </c>
      <c r="AF313" s="48">
        <f t="shared" si="773"/>
        <v>206556.34050101833</v>
      </c>
      <c r="AG313" s="48">
        <f t="shared" si="773"/>
        <v>153909.56093188128</v>
      </c>
      <c r="AH313" s="48">
        <f t="shared" si="773"/>
        <v>101225.82154305796</v>
      </c>
      <c r="AI313" s="48">
        <f t="shared" si="773"/>
        <v>48504.845135900723</v>
      </c>
      <c r="AJ313" s="48">
        <f t="shared" si="773"/>
        <v>0</v>
      </c>
      <c r="AK313" s="48">
        <f t="shared" si="773"/>
        <v>0</v>
      </c>
      <c r="AL313" s="48">
        <f t="shared" ref="AL313:BQ313" si="774">MAX(0,-AL$310)</f>
        <v>0</v>
      </c>
      <c r="AM313" s="48">
        <f t="shared" si="774"/>
        <v>0</v>
      </c>
      <c r="AN313" s="48">
        <f t="shared" si="774"/>
        <v>0</v>
      </c>
      <c r="AO313" s="48">
        <f t="shared" si="774"/>
        <v>0</v>
      </c>
      <c r="AP313" s="48">
        <f t="shared" si="774"/>
        <v>204392.16946280262</v>
      </c>
      <c r="AQ313" s="48">
        <f t="shared" si="774"/>
        <v>118554.51596007869</v>
      </c>
      <c r="AR313" s="48">
        <f t="shared" si="774"/>
        <v>32677.035200777082</v>
      </c>
      <c r="AS313" s="48">
        <f t="shared" si="774"/>
        <v>0</v>
      </c>
      <c r="AT313" s="48">
        <f t="shared" si="774"/>
        <v>0</v>
      </c>
      <c r="AU313" s="48">
        <f t="shared" si="774"/>
        <v>0</v>
      </c>
      <c r="AV313" s="48">
        <f t="shared" si="774"/>
        <v>0</v>
      </c>
      <c r="AW313" s="48">
        <f t="shared" si="774"/>
        <v>0</v>
      </c>
      <c r="AX313" s="48">
        <f t="shared" si="774"/>
        <v>0</v>
      </c>
      <c r="AY313" s="48">
        <f t="shared" si="774"/>
        <v>0</v>
      </c>
      <c r="AZ313" s="48">
        <f t="shared" si="774"/>
        <v>0</v>
      </c>
      <c r="BA313" s="48">
        <f t="shared" si="774"/>
        <v>0</v>
      </c>
      <c r="BB313" s="48">
        <f t="shared" si="774"/>
        <v>0</v>
      </c>
      <c r="BC313" s="48">
        <f t="shared" si="774"/>
        <v>0</v>
      </c>
      <c r="BD313" s="48">
        <f t="shared" si="774"/>
        <v>0</v>
      </c>
      <c r="BE313" s="48">
        <f t="shared" si="774"/>
        <v>0</v>
      </c>
      <c r="BF313" s="48">
        <f t="shared" si="774"/>
        <v>0</v>
      </c>
      <c r="BG313" s="48">
        <f t="shared" si="774"/>
        <v>0</v>
      </c>
      <c r="BH313" s="48">
        <f t="shared" si="774"/>
        <v>0</v>
      </c>
      <c r="BI313" s="48">
        <f t="shared" si="774"/>
        <v>0</v>
      </c>
      <c r="BJ313" s="48">
        <f t="shared" si="774"/>
        <v>0</v>
      </c>
      <c r="BK313" s="48">
        <f t="shared" si="774"/>
        <v>0</v>
      </c>
      <c r="BL313" s="48">
        <f t="shared" si="774"/>
        <v>0</v>
      </c>
      <c r="BM313" s="48">
        <f t="shared" si="774"/>
        <v>0</v>
      </c>
      <c r="BN313" s="48">
        <f t="shared" si="774"/>
        <v>0</v>
      </c>
      <c r="BO313" s="48">
        <f t="shared" si="774"/>
        <v>0</v>
      </c>
      <c r="BP313" s="48">
        <f t="shared" si="774"/>
        <v>0</v>
      </c>
      <c r="BQ313" s="48">
        <f t="shared" si="774"/>
        <v>0</v>
      </c>
      <c r="BR313" s="48">
        <f t="shared" ref="BR313:CW313" si="775">MAX(0,-BR$310)</f>
        <v>0</v>
      </c>
      <c r="BS313" s="48">
        <f t="shared" si="775"/>
        <v>0</v>
      </c>
      <c r="BT313" s="48">
        <f t="shared" si="775"/>
        <v>0</v>
      </c>
      <c r="BU313" s="48">
        <f t="shared" si="775"/>
        <v>0</v>
      </c>
      <c r="BV313" s="48">
        <f t="shared" si="775"/>
        <v>0</v>
      </c>
      <c r="BW313" s="48">
        <f t="shared" si="775"/>
        <v>0</v>
      </c>
      <c r="BX313" s="48">
        <f t="shared" si="775"/>
        <v>0</v>
      </c>
      <c r="BY313" s="48">
        <f t="shared" si="775"/>
        <v>0</v>
      </c>
      <c r="BZ313" s="48">
        <f t="shared" si="775"/>
        <v>0</v>
      </c>
      <c r="CA313" s="48">
        <f t="shared" si="775"/>
        <v>0</v>
      </c>
      <c r="CB313" s="48">
        <f t="shared" si="775"/>
        <v>0</v>
      </c>
      <c r="CC313" s="48">
        <f t="shared" si="775"/>
        <v>0</v>
      </c>
      <c r="CD313" s="48">
        <f t="shared" si="775"/>
        <v>0</v>
      </c>
      <c r="CE313" s="48">
        <f t="shared" si="775"/>
        <v>0</v>
      </c>
      <c r="CF313" s="48">
        <f t="shared" si="775"/>
        <v>0</v>
      </c>
      <c r="CG313" s="48">
        <f t="shared" si="775"/>
        <v>0</v>
      </c>
      <c r="CH313" s="48">
        <f t="shared" si="775"/>
        <v>0</v>
      </c>
      <c r="CI313" s="48">
        <f t="shared" si="775"/>
        <v>0</v>
      </c>
      <c r="CJ313" s="48">
        <f t="shared" si="775"/>
        <v>0</v>
      </c>
      <c r="CK313" s="48">
        <f t="shared" si="775"/>
        <v>0</v>
      </c>
      <c r="CL313" s="48">
        <f t="shared" si="775"/>
        <v>0</v>
      </c>
      <c r="CM313" s="48">
        <f t="shared" si="775"/>
        <v>0</v>
      </c>
      <c r="CN313" s="48">
        <f t="shared" si="775"/>
        <v>0</v>
      </c>
      <c r="CO313" s="48">
        <f t="shared" si="775"/>
        <v>0</v>
      </c>
      <c r="CP313" s="48">
        <f t="shared" si="775"/>
        <v>0</v>
      </c>
      <c r="CQ313" s="48">
        <f t="shared" si="775"/>
        <v>0</v>
      </c>
      <c r="CR313" s="48">
        <f t="shared" si="775"/>
        <v>0</v>
      </c>
      <c r="CS313" s="48">
        <f t="shared" si="775"/>
        <v>0</v>
      </c>
      <c r="CT313" s="48">
        <f t="shared" si="775"/>
        <v>0</v>
      </c>
      <c r="CU313" s="48">
        <f t="shared" si="775"/>
        <v>0</v>
      </c>
      <c r="CV313" s="48">
        <f t="shared" si="775"/>
        <v>0</v>
      </c>
      <c r="CW313" s="48">
        <f t="shared" si="775"/>
        <v>0</v>
      </c>
      <c r="CX313" s="48">
        <f t="shared" ref="CX313:EC313" si="776">MAX(0,-CX$310)</f>
        <v>0</v>
      </c>
      <c r="CY313" s="48">
        <f t="shared" si="776"/>
        <v>0</v>
      </c>
      <c r="CZ313" s="48">
        <f t="shared" si="776"/>
        <v>0</v>
      </c>
      <c r="DA313" s="48">
        <f t="shared" si="776"/>
        <v>0</v>
      </c>
      <c r="DB313" s="48">
        <f t="shared" si="776"/>
        <v>0</v>
      </c>
      <c r="DC313" s="48">
        <f t="shared" si="776"/>
        <v>0</v>
      </c>
      <c r="DD313" s="48">
        <f t="shared" si="776"/>
        <v>0</v>
      </c>
      <c r="DE313" s="48">
        <f t="shared" si="776"/>
        <v>0</v>
      </c>
      <c r="DF313" s="48">
        <f t="shared" si="776"/>
        <v>0</v>
      </c>
      <c r="DG313" s="48">
        <f t="shared" si="776"/>
        <v>0</v>
      </c>
      <c r="DH313" s="48">
        <f t="shared" si="776"/>
        <v>0</v>
      </c>
      <c r="DI313" s="48">
        <f t="shared" si="776"/>
        <v>0</v>
      </c>
      <c r="DJ313" s="48">
        <f t="shared" si="776"/>
        <v>0</v>
      </c>
      <c r="DK313" s="48">
        <f t="shared" si="776"/>
        <v>0</v>
      </c>
      <c r="DL313" s="48">
        <f t="shared" si="776"/>
        <v>0</v>
      </c>
      <c r="DM313" s="48">
        <f t="shared" si="776"/>
        <v>0</v>
      </c>
      <c r="DN313" s="48">
        <f t="shared" si="776"/>
        <v>0</v>
      </c>
      <c r="DO313" s="48">
        <f t="shared" si="776"/>
        <v>0</v>
      </c>
      <c r="DP313" s="48">
        <f t="shared" si="776"/>
        <v>0</v>
      </c>
      <c r="DQ313" s="48">
        <f t="shared" si="776"/>
        <v>0</v>
      </c>
      <c r="DR313" s="48">
        <f t="shared" si="776"/>
        <v>0</v>
      </c>
      <c r="DS313" s="48">
        <f t="shared" si="776"/>
        <v>0</v>
      </c>
      <c r="DT313" s="48">
        <f t="shared" si="776"/>
        <v>0</v>
      </c>
      <c r="DU313" s="48">
        <f t="shared" si="776"/>
        <v>0</v>
      </c>
      <c r="DV313" s="48">
        <f t="shared" si="776"/>
        <v>0</v>
      </c>
      <c r="DW313" s="48">
        <f t="shared" si="776"/>
        <v>0</v>
      </c>
      <c r="DX313" s="48">
        <f t="shared" si="776"/>
        <v>0</v>
      </c>
      <c r="DY313" s="48">
        <f t="shared" si="776"/>
        <v>0</v>
      </c>
      <c r="DZ313" s="48">
        <f t="shared" si="776"/>
        <v>0</v>
      </c>
      <c r="EA313" s="48">
        <f t="shared" si="776"/>
        <v>0</v>
      </c>
      <c r="EB313" s="48">
        <f t="shared" si="776"/>
        <v>0</v>
      </c>
      <c r="EC313" s="48">
        <f t="shared" si="776"/>
        <v>0</v>
      </c>
      <c r="ED313" s="48">
        <f t="shared" ref="ED313:ES313" si="777">MAX(0,-ED$310)</f>
        <v>0</v>
      </c>
      <c r="EE313" s="48">
        <f t="shared" si="777"/>
        <v>0</v>
      </c>
      <c r="EF313" s="48">
        <f t="shared" si="777"/>
        <v>0</v>
      </c>
      <c r="EG313" s="48">
        <f t="shared" si="777"/>
        <v>0</v>
      </c>
      <c r="EH313" s="48">
        <f t="shared" si="777"/>
        <v>0</v>
      </c>
      <c r="EI313" s="48">
        <f t="shared" si="777"/>
        <v>0</v>
      </c>
      <c r="EJ313" s="48">
        <f t="shared" si="777"/>
        <v>0</v>
      </c>
      <c r="EK313" s="48">
        <f t="shared" si="777"/>
        <v>0</v>
      </c>
      <c r="EL313" s="48">
        <f t="shared" si="777"/>
        <v>0</v>
      </c>
      <c r="EM313" s="48">
        <f t="shared" si="777"/>
        <v>0</v>
      </c>
      <c r="EN313" s="48">
        <f t="shared" si="777"/>
        <v>0</v>
      </c>
      <c r="EO313" s="48">
        <f t="shared" si="777"/>
        <v>0</v>
      </c>
      <c r="EP313" s="48">
        <f t="shared" si="777"/>
        <v>0</v>
      </c>
      <c r="EQ313" s="48">
        <f t="shared" si="777"/>
        <v>0</v>
      </c>
      <c r="ER313" s="48">
        <f t="shared" si="777"/>
        <v>0</v>
      </c>
      <c r="ES313" s="48">
        <f t="shared" si="777"/>
        <v>0</v>
      </c>
    </row>
    <row r="314" spans="1:149" x14ac:dyDescent="0.3">
      <c r="A314" s="16"/>
      <c r="B314" s="15" t="s">
        <v>1210</v>
      </c>
      <c r="C314" s="16"/>
      <c r="D314" s="16"/>
      <c r="E314" s="16"/>
    </row>
    <row r="315" spans="1:149" x14ac:dyDescent="0.3">
      <c r="A315" s="14" t="s">
        <v>1363</v>
      </c>
      <c r="B315" s="18" t="s">
        <v>1212</v>
      </c>
      <c r="C315" s="18"/>
      <c r="F315" s="42">
        <f>1/(1+V_WACC)^((1-1)/12)</f>
        <v>1</v>
      </c>
      <c r="G315" s="42">
        <f>1/(1+V_WACC)^((2-1)/12)</f>
        <v>0.99247369216100989</v>
      </c>
      <c r="H315" s="42">
        <f>1/(1+V_WACC)^((3-1)/12)</f>
        <v>0.98500402963170708</v>
      </c>
      <c r="I315" s="42">
        <f>1/(1+V_WACC)^((4-1)/12)</f>
        <v>0.97759058608205318</v>
      </c>
      <c r="J315" s="42">
        <f>1/(1+V_WACC)^((5-1)/12)</f>
        <v>0.97023293839070091</v>
      </c>
      <c r="K315" s="42">
        <f>1/(1+V_WACC)^((6-1)/12)</f>
        <v>0.9629306666208447</v>
      </c>
      <c r="L315" s="42">
        <f>1/(1+V_WACC)^((7-1)/12)</f>
        <v>0.95568335399625237</v>
      </c>
      <c r="M315" s="42">
        <f>1/(1+V_WACC)^((8-1)/12)</f>
        <v>0.948490586877478</v>
      </c>
      <c r="N315" s="42">
        <f>1/(1+V_WACC)^((9-1)/12)</f>
        <v>0.94135195473825362</v>
      </c>
      <c r="O315" s="42">
        <f>1/(1+V_WACC)^((10-1)/12)</f>
        <v>0.93426705014205857</v>
      </c>
      <c r="P315" s="42">
        <f>1/(1+V_WACC)^((11-1)/12)</f>
        <v>0.92723546871886431</v>
      </c>
      <c r="Q315" s="42">
        <f>1/(1+V_WACC)^((12-1)/12)</f>
        <v>0.92025680914205599</v>
      </c>
      <c r="R315" s="42">
        <f>1/(1+V_WACC)^((13-1)/12)</f>
        <v>0.91333067310552607</v>
      </c>
      <c r="S315" s="42">
        <f>1/(1+V_WACC)^((14-1)/12)</f>
        <v>0.90645666530094182</v>
      </c>
      <c r="T315" s="42">
        <f>1/(1+V_WACC)^((15-1)/12)</f>
        <v>0.89963439339518259</v>
      </c>
      <c r="U315" s="42">
        <f>1/(1+V_WACC)^((16-1)/12)</f>
        <v>0.89286346800794736</v>
      </c>
      <c r="V315" s="42">
        <f>1/(1+V_WACC)^((17-1)/12)</f>
        <v>0.88614350268953135</v>
      </c>
      <c r="W315" s="42">
        <f>1/(1+V_WACC)^((18-1)/12)</f>
        <v>0.87947411389876906</v>
      </c>
      <c r="X315" s="42">
        <f>1/(1+V_WACC)^((19-1)/12)</f>
        <v>0.87285492098114381</v>
      </c>
      <c r="Y315" s="42">
        <f>1/(1+V_WACC)^((20-1)/12)</f>
        <v>0.86628554614706244</v>
      </c>
      <c r="Z315" s="42">
        <f>1/(1+V_WACC)^((21-1)/12)</f>
        <v>0.85976561445029198</v>
      </c>
      <c r="AA315" s="42">
        <f>1/(1+V_WACC)^((22-1)/12)</f>
        <v>0.85329475376656072</v>
      </c>
      <c r="AB315" s="42">
        <f>1/(1+V_WACC)^((23-1)/12)</f>
        <v>0.84687259477231824</v>
      </c>
      <c r="AC315" s="42">
        <f>1/(1+V_WACC)^((24-1)/12)</f>
        <v>0.84049877092365755</v>
      </c>
      <c r="AD315" s="42">
        <f>1/(1+V_WACC)^((25-1)/12)</f>
        <v>0.83417291843539343</v>
      </c>
      <c r="AE315" s="42">
        <f>1/(1+V_WACC)^((26-1)/12)</f>
        <v>0.82789467626029978</v>
      </c>
      <c r="AF315" s="42">
        <f>1/(1+V_WACC)^((27-1)/12)</f>
        <v>0.82166368606850371</v>
      </c>
      <c r="AG315" s="42">
        <f>1/(1+V_WACC)^((28-1)/12)</f>
        <v>0.81547959222703292</v>
      </c>
      <c r="AH315" s="42">
        <f>1/(1+V_WACC)^((29-1)/12)</f>
        <v>0.80934204177951818</v>
      </c>
      <c r="AI315" s="42">
        <f>1/(1+V_WACC)^((30-1)/12)</f>
        <v>0.80325068442604874</v>
      </c>
      <c r="AJ315" s="42">
        <f>1/(1+V_WACC)^((31-1)/12)</f>
        <v>0.7972051725031789</v>
      </c>
      <c r="AK315" s="42">
        <f>1/(1+V_WACC)^((32-1)/12)</f>
        <v>0.79120516096408466</v>
      </c>
      <c r="AL315" s="42">
        <f>1/(1+V_WACC)^((33-1)/12)</f>
        <v>0.78525030735887136</v>
      </c>
      <c r="AM315" s="42">
        <f>1/(1+V_WACC)^((34-1)/12)</f>
        <v>0.77934027181502696</v>
      </c>
      <c r="AN315" s="42">
        <f>1/(1+V_WACC)^((35-1)/12)</f>
        <v>0.77347471701802495</v>
      </c>
      <c r="AO315" s="42">
        <f>1/(1+V_WACC)^((36-1)/12)</f>
        <v>0.76765330819207156</v>
      </c>
      <c r="AP315" s="42">
        <f>1/(1+V_WACC)^((37-1)/12)</f>
        <v>0.761875713080999</v>
      </c>
      <c r="AQ315" s="42">
        <f>1/(1+V_WACC)^((38-1)/12)</f>
        <v>0.75614160192930124</v>
      </c>
      <c r="AR315" s="42">
        <f>1/(1+V_WACC)^((39-1)/12)</f>
        <v>0.75045064746331425</v>
      </c>
      <c r="AS315" s="42">
        <f>1/(1+V_WACC)^((40-1)/12)</f>
        <v>0.74480252487253595</v>
      </c>
      <c r="AT315" s="42">
        <f>1/(1+V_WACC)^((41-1)/12)</f>
        <v>0.73919691179108815</v>
      </c>
      <c r="AU315" s="42">
        <f>1/(1+V_WACC)^((42-1)/12)</f>
        <v>0.73363348827931762</v>
      </c>
      <c r="AV315" s="42">
        <f>1/(1+V_WACC)^((43-1)/12)</f>
        <v>0.72811193680553532</v>
      </c>
      <c r="AW315" s="42">
        <f>1/(1+V_WACC)^((44-1)/12)</f>
        <v>0.72263194222789373</v>
      </c>
      <c r="AX315" s="42">
        <f>1/(1+V_WACC)^((45-1)/12)</f>
        <v>0.71719319177639929</v>
      </c>
      <c r="AY315" s="42">
        <f>1/(1+V_WACC)^((46-1)/12)</f>
        <v>0.71179537503506218</v>
      </c>
      <c r="AZ315" s="42">
        <f>1/(1+V_WACC)^((47-1)/12)</f>
        <v>0.70643818392417901</v>
      </c>
      <c r="BA315" s="42">
        <f>1/(1+V_WACC)^((48-1)/12)</f>
        <v>0.70112131268274858</v>
      </c>
      <c r="BB315" s="42">
        <f>1/(1+V_WACC)^((49-1)/12)</f>
        <v>0.69584445785102145</v>
      </c>
      <c r="BC315" s="42">
        <f>1/(1+V_WACC)^((50-1)/12)</f>
        <v>0.69060731825317945</v>
      </c>
      <c r="BD315" s="42">
        <f>1/(1+V_WACC)^((51-1)/12)</f>
        <v>0.68540959498014664</v>
      </c>
      <c r="BE315" s="42">
        <f>1/(1+V_WACC)^((52-1)/12)</f>
        <v>0.68025099137252865</v>
      </c>
      <c r="BF315" s="42">
        <f>1/(1+V_WACC)^((53-1)/12)</f>
        <v>0.67513121300368073</v>
      </c>
      <c r="BG315" s="42">
        <f>1/(1+V_WACC)^((54-1)/12)</f>
        <v>0.67004996766290426</v>
      </c>
      <c r="BH315" s="42">
        <f>1/(1+V_WACC)^((55-1)/12)</f>
        <v>0.66500696533876791</v>
      </c>
      <c r="BI315" s="42">
        <f>1/(1+V_WACC)^((56-1)/12)</f>
        <v>0.66000191820255583</v>
      </c>
      <c r="BJ315" s="42">
        <f>1/(1+V_WACC)^((57-1)/12)</f>
        <v>0.6550345405918393</v>
      </c>
      <c r="BK315" s="42">
        <f>1/(1+V_WACC)^((58-1)/12)</f>
        <v>0.65010454899417369</v>
      </c>
      <c r="BL315" s="42">
        <f>1/(1+V_WACC)^((59-1)/12)</f>
        <v>0.64521166203091584</v>
      </c>
      <c r="BM315" s="42">
        <f>1/(1+V_WACC)^((60-1)/12)</f>
        <v>0.6403556004411648</v>
      </c>
      <c r="BN315" s="42">
        <f>1/(1+V_WACC)^((61-1)/12)</f>
        <v>0.63553608706582321</v>
      </c>
      <c r="BO315" s="42">
        <f>1/(1+V_WACC)^((62-1)/12)</f>
        <v>0.63075284683177868</v>
      </c>
      <c r="BP315" s="42">
        <f>1/(1+V_WACC)^((63-1)/12)</f>
        <v>0.62600560673620331</v>
      </c>
      <c r="BQ315" s="42">
        <f>1/(1+V_WACC)^((64-1)/12)</f>
        <v>0.62129409583097284</v>
      </c>
      <c r="BR315" s="42">
        <f>1/(1+V_WACC)^((65-1)/12)</f>
        <v>0.61661804520720198</v>
      </c>
      <c r="BS315" s="42">
        <f>1/(1+V_WACC)^((66-1)/12)</f>
        <v>0.61197718797989631</v>
      </c>
      <c r="BT315" s="42">
        <f>1/(1+V_WACC)^((67-1)/12)</f>
        <v>0.60737125927272018</v>
      </c>
      <c r="BU315" s="42">
        <f>1/(1+V_WACC)^((68-1)/12)</f>
        <v>0.60279999620287861</v>
      </c>
      <c r="BV315" s="42">
        <f>1/(1+V_WACC)^((69-1)/12)</f>
        <v>0.59826313786611374</v>
      </c>
      <c r="BW315" s="42">
        <f>1/(1+V_WACC)^((70-1)/12)</f>
        <v>0.59376042532181317</v>
      </c>
      <c r="BX315" s="42">
        <f>1/(1+V_WACC)^((71-1)/12)</f>
        <v>0.58929160157823157</v>
      </c>
      <c r="BY315" s="42">
        <f>1/(1+V_WACC)^((72-1)/12)</f>
        <v>0.58485641157782231</v>
      </c>
      <c r="BZ315" s="42">
        <f>1/(1+V_WACC)^((73-1)/12)</f>
        <v>0.58045460218268063</v>
      </c>
      <c r="CA315" s="42">
        <f>1/(1+V_WACC)^((74-1)/12)</f>
        <v>0.57608592216009513</v>
      </c>
      <c r="CB315" s="42">
        <f>1/(1+V_WACC)^((75-1)/12)</f>
        <v>0.57175012216820986</v>
      </c>
      <c r="CC315" s="42">
        <f>1/(1+V_WACC)^((76-1)/12)</f>
        <v>0.56744695474179174</v>
      </c>
      <c r="CD315" s="42">
        <f>1/(1+V_WACC)^((77-1)/12)</f>
        <v>0.56317617427810762</v>
      </c>
      <c r="CE315" s="42">
        <f>1/(1+V_WACC)^((78-1)/12)</f>
        <v>0.55893753702290572</v>
      </c>
      <c r="CF315" s="42">
        <f>1/(1+V_WACC)^((79-1)/12)</f>
        <v>0.55473080105650452</v>
      </c>
      <c r="CG315" s="42">
        <f>1/(1+V_WACC)^((80-1)/12)</f>
        <v>0.55055572627998361</v>
      </c>
      <c r="CH315" s="42">
        <f>1/(1+V_WACC)^((81-1)/12)</f>
        <v>0.54641207440148176</v>
      </c>
      <c r="CI315" s="42">
        <f>1/(1+V_WACC)^((82-1)/12)</f>
        <v>0.5422996089225951</v>
      </c>
      <c r="CJ315" s="42">
        <f>1/(1+V_WACC)^((83-1)/12)</f>
        <v>0.53821809512487973</v>
      </c>
      <c r="CK315" s="42">
        <f>1/(1+V_WACC)^((84-1)/12)</f>
        <v>0.53416730005645507</v>
      </c>
      <c r="CL315" s="42">
        <f>1/(1+V_WACC)^((85-1)/12)</f>
        <v>0.53014699251870812</v>
      </c>
      <c r="CM315" s="42">
        <f>1/(1+V_WACC)^((86-1)/12)</f>
        <v>0.52615694305309746</v>
      </c>
      <c r="CN315" s="42">
        <f>1/(1+V_WACC)^((87-1)/12)</f>
        <v>0.52219692392805783</v>
      </c>
      <c r="CO315" s="42">
        <f>1/(1+V_WACC)^((88-1)/12)</f>
        <v>0.51826670912600159</v>
      </c>
      <c r="CP315" s="42">
        <f>1/(1+V_WACC)^((89-1)/12)</f>
        <v>0.51436607433041903</v>
      </c>
      <c r="CQ315" s="42">
        <f>1/(1+V_WACC)^((90-1)/12)</f>
        <v>0.51049479691307542</v>
      </c>
      <c r="CR315" s="42">
        <f>1/(1+V_WACC)^((91-1)/12)</f>
        <v>0.50665265592130493</v>
      </c>
      <c r="CS315" s="42">
        <f>1/(1+V_WACC)^((92-1)/12)</f>
        <v>0.50283943206539927</v>
      </c>
      <c r="CT315" s="42">
        <f>1/(1+V_WACC)^((93-1)/12)</f>
        <v>0.49905490770609212</v>
      </c>
      <c r="CU315" s="42">
        <f>1/(1+V_WACC)^((94-1)/12)</f>
        <v>0.49529886684213736</v>
      </c>
      <c r="CV315" s="42">
        <f>1/(1+V_WACC)^((95-1)/12)</f>
        <v>0.49157109509798053</v>
      </c>
      <c r="CW315" s="42">
        <f>1/(1+V_WACC)^((96-1)/12)</f>
        <v>0.48787137971152356</v>
      </c>
      <c r="CX315" s="42">
        <f>1/(1+V_WACC)^((97-1)/12)</f>
        <v>0.48419950952198199</v>
      </c>
      <c r="CY315" s="42">
        <f>1/(1+V_WACC)^((98-1)/12)</f>
        <v>0.4805552749578314</v>
      </c>
      <c r="CZ315" s="42">
        <f>1/(1+V_WACC)^((99-1)/12)</f>
        <v>0.47693846802484829</v>
      </c>
      <c r="DA315" s="42">
        <f>1/(1+V_WACC)^((100-1)/12)</f>
        <v>0.47334888229423688</v>
      </c>
      <c r="DB315" s="42">
        <f>1/(1+V_WACC)^((101-1)/12)</f>
        <v>0.46978631289084866</v>
      </c>
      <c r="DC315" s="42">
        <f>1/(1+V_WACC)^((102-1)/12)</f>
        <v>0.466250556481488</v>
      </c>
      <c r="DD315" s="42">
        <f>1/(1+V_WACC)^((103-1)/12)</f>
        <v>0.46274141126330792</v>
      </c>
      <c r="DE315" s="42">
        <f>1/(1+V_WACC)^((104-1)/12)</f>
        <v>0.45925867695229156</v>
      </c>
      <c r="DF315" s="42">
        <f>1/(1+V_WACC)^((105-1)/12)</f>
        <v>0.45580215477182134</v>
      </c>
      <c r="DG315" s="42">
        <f>1/(1+V_WACC)^((106-1)/12)</f>
        <v>0.45237164744133362</v>
      </c>
      <c r="DH315" s="42">
        <f>1/(1+V_WACC)^((107-1)/12)</f>
        <v>0.44896695916505897</v>
      </c>
      <c r="DI315" s="42">
        <f>1/(1+V_WACC)^((108-1)/12)</f>
        <v>0.44558789562084755</v>
      </c>
      <c r="DJ315" s="42">
        <f>1/(1+V_WACC)^((109-1)/12)</f>
        <v>0.44223426394907739</v>
      </c>
      <c r="DK315" s="42">
        <f>1/(1+V_WACC)^((110-1)/12)</f>
        <v>0.43890587274164738</v>
      </c>
      <c r="DL315" s="42">
        <f>1/(1+V_WACC)^((111-1)/12)</f>
        <v>0.43560253203105309</v>
      </c>
      <c r="DM315" s="42">
        <f>1/(1+V_WACC)^((112-1)/12)</f>
        <v>0.43232405327954393</v>
      </c>
      <c r="DN315" s="42">
        <f>1/(1+V_WACC)^((113-1)/12)</f>
        <v>0.42907024936836208</v>
      </c>
      <c r="DO315" s="42">
        <f>1/(1+V_WACC)^((114-1)/12)</f>
        <v>0.42584093458706357</v>
      </c>
      <c r="DP315" s="42">
        <f>1/(1+V_WACC)^((115-1)/12)</f>
        <v>0.4226359246229181</v>
      </c>
      <c r="DQ315" s="42">
        <f>1/(1+V_WACC)^((116-1)/12)</f>
        <v>0.41945503655038974</v>
      </c>
      <c r="DR315" s="42">
        <f>1/(1+V_WACC)^((117-1)/12)</f>
        <v>0.4162980888206968</v>
      </c>
      <c r="DS315" s="42">
        <f>1/(1+V_WACC)^((118-1)/12)</f>
        <v>0.41316490125144895</v>
      </c>
      <c r="DT315" s="42">
        <f>1/(1+V_WACC)^((119-1)/12)</f>
        <v>0.41005529501636462</v>
      </c>
      <c r="DU315" s="42">
        <f>1/(1+V_WACC)^((120-1)/12)</f>
        <v>0.40696909263506353</v>
      </c>
      <c r="DV315" s="42">
        <f>1/(1+V_WACC)^((121-1)/12)</f>
        <v>0.40390611796293779</v>
      </c>
      <c r="DW315" s="42">
        <f>1/(1+V_WACC)^((122-1)/12)</f>
        <v>0.40086619618109709</v>
      </c>
      <c r="DX315" s="42">
        <f>1/(1+V_WACC)^((123-1)/12)</f>
        <v>0.39784915378639324</v>
      </c>
      <c r="DY315" s="42">
        <f>1/(1+V_WACC)^((124-1)/12)</f>
        <v>0.39485481858151511</v>
      </c>
      <c r="DZ315" s="42">
        <f>1/(1+V_WACC)^((125-1)/12)</f>
        <v>0.39188301966516204</v>
      </c>
      <c r="EA315" s="42">
        <f>1/(1+V_WACC)^((126-1)/12)</f>
        <v>0.38893358742228906</v>
      </c>
      <c r="EB315" s="42">
        <f>1/(1+V_WACC)^((127-1)/12)</f>
        <v>0.38600635351442614</v>
      </c>
      <c r="EC315" s="42">
        <f>1/(1+V_WACC)^((128-1)/12)</f>
        <v>0.38310115087007057</v>
      </c>
      <c r="ED315" s="42">
        <f>1/(1+V_WACC)^((129-1)/12)</f>
        <v>0.38021781367515101</v>
      </c>
      <c r="EE315" s="42">
        <f>1/(1+V_WACC)^((130-1)/12)</f>
        <v>0.37735617736356414</v>
      </c>
      <c r="EF315" s="42">
        <f>1/(1+V_WACC)^((131-1)/12)</f>
        <v>0.37451607860778136</v>
      </c>
      <c r="EG315" s="42">
        <f>1/(1+V_WACC)^((132-1)/12)</f>
        <v>0.3716973553095278</v>
      </c>
      <c r="EH315" s="42">
        <f>1/(1+V_WACC)^((133-1)/12)</f>
        <v>0.36889984659052999</v>
      </c>
      <c r="EI315" s="42">
        <f>1/(1+V_WACC)^((134-1)/12)</f>
        <v>0.36612339278333328</v>
      </c>
      <c r="EJ315" s="42">
        <f>1/(1+V_WACC)^((135-1)/12)</f>
        <v>0.36336783542219053</v>
      </c>
      <c r="EK315" s="42">
        <f>1/(1+V_WACC)^((136-1)/12)</f>
        <v>0.36063301723401553</v>
      </c>
      <c r="EL315" s="42">
        <f>1/(1+V_WACC)^((137-1)/12)</f>
        <v>0.35791878212940853</v>
      </c>
      <c r="EM315" s="42">
        <f>1/(1+V_WACC)^((138-1)/12)</f>
        <v>0.35522497519374624</v>
      </c>
      <c r="EN315" s="42">
        <f>1/(1+V_WACC)^((139-1)/12)</f>
        <v>0.35255144267834049</v>
      </c>
      <c r="EO315" s="42">
        <f>1/(1+V_WACC)^((140-1)/12)</f>
        <v>0.34989803199166325</v>
      </c>
      <c r="EP315" s="42">
        <f>1/(1+V_WACC)^((141-1)/12)</f>
        <v>0.34726459169063723</v>
      </c>
      <c r="EQ315" s="42">
        <f>1/(1+V_WACC)^((142-1)/12)</f>
        <v>0.34465097147199231</v>
      </c>
      <c r="ER315" s="42">
        <f>1/(1+V_WACC)^((143-1)/12)</f>
        <v>0.34205702216368705</v>
      </c>
      <c r="ES315" s="42">
        <f>1/(1+V_WACC)^((144-1)/12)</f>
        <v>0.339482595716395</v>
      </c>
    </row>
    <row r="316" spans="1:149" x14ac:dyDescent="0.3">
      <c r="A316" s="14" t="s">
        <v>1364</v>
      </c>
      <c r="B316" s="18" t="s">
        <v>1214</v>
      </c>
      <c r="C316" s="18"/>
      <c r="F316" s="42">
        <f>1/(1+V_Ke)^((1-1)/12)</f>
        <v>1</v>
      </c>
      <c r="G316" s="42">
        <f>1/(1+V_Ke)^((2-1)/12)</f>
        <v>0.9874811190723064</v>
      </c>
      <c r="H316" s="42">
        <f>1/(1+V_Ke)^((3-1)/12)</f>
        <v>0.97511896052429481</v>
      </c>
      <c r="I316" s="42">
        <f>1/(1+V_Ke)^((4-1)/12)</f>
        <v>0.96291156236715481</v>
      </c>
      <c r="J316" s="42">
        <f>1/(1+V_Ke)^((5-1)/12)</f>
        <v>0.95085698717398115</v>
      </c>
      <c r="K316" s="42">
        <f>1/(1+V_Ke)^((6-1)/12)</f>
        <v>0.93895332177228463</v>
      </c>
      <c r="L316" s="42">
        <f>1/(1+V_Ke)^((7-1)/12)</f>
        <v>0.92719867694035496</v>
      </c>
      <c r="M316" s="42">
        <f>1/(1+V_Ke)^((8-1)/12)</f>
        <v>0.91559118710742382</v>
      </c>
      <c r="N316" s="42">
        <f>1/(1+V_Ke)^((9-1)/12)</f>
        <v>0.9041290100575804</v>
      </c>
      <c r="O316" s="42">
        <f>1/(1+V_Ke)^((10-1)/12)</f>
        <v>0.89281032663739623</v>
      </c>
      <c r="P316" s="42">
        <f>1/(1+V_Ke)^((11-1)/12)</f>
        <v>0.88163334046720732</v>
      </c>
      <c r="Q316" s="42">
        <f>1/(1+V_Ke)^((12-1)/12)</f>
        <v>0.87059627765601377</v>
      </c>
      <c r="R316" s="42">
        <f>1/(1+V_Ke)^((13-1)/12)</f>
        <v>0.85969738651994498</v>
      </c>
      <c r="S316" s="42">
        <f>1/(1+V_Ke)^((14-1)/12)</f>
        <v>0.8489349373042524</v>
      </c>
      <c r="T316" s="42">
        <f>1/(1+V_Ke)^((15-1)/12)</f>
        <v>0.8383072219087816</v>
      </c>
      <c r="U316" s="42">
        <f>1/(1+V_Ke)^((16-1)/12)</f>
        <v>0.82781255361687989</v>
      </c>
      <c r="V316" s="42">
        <f>1/(1+V_Ke)^((17-1)/12)</f>
        <v>0.81744926682770036</v>
      </c>
      <c r="W316" s="42">
        <f>1/(1+V_Ke)^((18-1)/12)</f>
        <v>0.80721571679185411</v>
      </c>
      <c r="X316" s="42">
        <f>1/(1+V_Ke)^((19-1)/12)</f>
        <v>0.79711027935037404</v>
      </c>
      <c r="Y316" s="42">
        <f>1/(1+V_Ke)^((20-1)/12)</f>
        <v>0.78713135067694617</v>
      </c>
      <c r="Z316" s="42">
        <f>1/(1+V_Ke)^((21-1)/12)</f>
        <v>0.77727734702336704</v>
      </c>
      <c r="AA316" s="42">
        <f>1/(1+V_Ke)^((22-1)/12)</f>
        <v>0.76754670446818785</v>
      </c>
      <c r="AB316" s="42">
        <f>1/(1+V_Ke)^((23-1)/12)</f>
        <v>0.75793787866850715</v>
      </c>
      <c r="AC316" s="42">
        <f>1/(1+V_Ke)^((24-1)/12)</f>
        <v>0.74844934461486734</v>
      </c>
      <c r="AD316" s="42">
        <f>1/(1+V_Ke)^((25-1)/12)</f>
        <v>0.73907959638922371</v>
      </c>
      <c r="AE316" s="42">
        <f>1/(1+V_Ke)^((26-1)/12)</f>
        <v>0.7298271469259392</v>
      </c>
      <c r="AF316" s="42">
        <f>1/(1+V_Ke)^((27-1)/12)</f>
        <v>0.72069052777577502</v>
      </c>
      <c r="AG316" s="42">
        <f>1/(1+V_Ke)^((28-1)/12)</f>
        <v>0.71166828887283362</v>
      </c>
      <c r="AH316" s="42">
        <f>1/(1+V_Ke)^((29-1)/12)</f>
        <v>0.70275899830441924</v>
      </c>
      <c r="AI316" s="42">
        <f>1/(1+V_Ke)^((30-1)/12)</f>
        <v>0.69396124208378096</v>
      </c>
      <c r="AJ316" s="42">
        <f>1/(1+V_Ke)^((31-1)/12)</f>
        <v>0.68527362392569979</v>
      </c>
      <c r="AK316" s="42">
        <f>1/(1+V_Ke)^((32-1)/12)</f>
        <v>0.67669476502488501</v>
      </c>
      <c r="AL316" s="42">
        <f>1/(1+V_Ke)^((33-1)/12)</f>
        <v>0.66822330383714479</v>
      </c>
      <c r="AM316" s="42">
        <f>1/(1+V_Ke)^((34-1)/12)</f>
        <v>0.65985789586329768</v>
      </c>
      <c r="AN316" s="42">
        <f>1/(1+V_Ke)^((35-1)/12)</f>
        <v>0.65159721343578669</v>
      </c>
      <c r="AO316" s="42">
        <f>1/(1+V_Ke)^((36-1)/12)</f>
        <v>0.64343994550796724</v>
      </c>
      <c r="AP316" s="42">
        <f>1/(1+V_Ke)^((37-1)/12)</f>
        <v>0.63538479744603138</v>
      </c>
      <c r="AQ316" s="42">
        <f>1/(1+V_Ke)^((38-1)/12)</f>
        <v>0.62743049082353786</v>
      </c>
      <c r="AR316" s="42">
        <f>1/(1+V_Ke)^((39-1)/12)</f>
        <v>0.6195757632185136</v>
      </c>
      <c r="AS316" s="42">
        <f>1/(1+V_Ke)^((40-1)/12)</f>
        <v>0.61181936801309622</v>
      </c>
      <c r="AT316" s="42">
        <f>1/(1+V_Ke)^((41-1)/12)</f>
        <v>0.60416007419568363</v>
      </c>
      <c r="AU316" s="42">
        <f>1/(1+V_Ke)^((42-1)/12)</f>
        <v>0.59659666616556128</v>
      </c>
      <c r="AV316" s="42">
        <f>1/(1+V_Ke)^((43-1)/12)</f>
        <v>0.58912794353997577</v>
      </c>
      <c r="AW316" s="42">
        <f>1/(1+V_Ke)^((44-1)/12)</f>
        <v>0.58175272096362185</v>
      </c>
      <c r="AX316" s="42">
        <f>1/(1+V_Ke)^((45-1)/12)</f>
        <v>0.5744698279205166</v>
      </c>
      <c r="AY316" s="42">
        <f>1/(1+V_Ke)^((46-1)/12)</f>
        <v>0.56727810854822702</v>
      </c>
      <c r="AZ316" s="42">
        <f>1/(1+V_Ke)^((47-1)/12)</f>
        <v>0.56017642145442459</v>
      </c>
      <c r="BA316" s="42">
        <f>1/(1+V_Ke)^((48-1)/12)</f>
        <v>0.55316363953573522</v>
      </c>
      <c r="BB316" s="42">
        <f>1/(1+V_Ke)^((49-1)/12)</f>
        <v>0.54623864979885783</v>
      </c>
      <c r="BC316" s="42">
        <f>1/(1+V_Ke)^((50-1)/12)</f>
        <v>0.53940035318392177</v>
      </c>
      <c r="BD316" s="42">
        <f>1/(1+V_Ke)^((51-1)/12)</f>
        <v>0.5326476643900564</v>
      </c>
      <c r="BE316" s="42">
        <f>1/(1+V_Ke)^((52-1)/12)</f>
        <v>0.52597951170314317</v>
      </c>
      <c r="BF316" s="42">
        <f>1/(1+V_Ke)^((53-1)/12)</f>
        <v>0.51939483682572518</v>
      </c>
      <c r="BG316" s="42">
        <f>1/(1+V_Ke)^((54-1)/12)</f>
        <v>0.51289259470904514</v>
      </c>
      <c r="BH316" s="42">
        <f>1/(1+V_Ke)^((55-1)/12)</f>
        <v>0.50647175338718686</v>
      </c>
      <c r="BI316" s="42">
        <f>1/(1+V_Ke)^((56-1)/12)</f>
        <v>0.50013129381329247</v>
      </c>
      <c r="BJ316" s="42">
        <f>1/(1+V_Ke)^((57-1)/12)</f>
        <v>0.49387020969783058</v>
      </c>
      <c r="BK316" s="42">
        <f>1/(1+V_Ke)^((58-1)/12)</f>
        <v>0.48768750734888844</v>
      </c>
      <c r="BL316" s="42">
        <f>1/(1+V_Ke)^((59-1)/12)</f>
        <v>0.48158220551446407</v>
      </c>
      <c r="BM316" s="42">
        <f>1/(1+V_Ke)^((60-1)/12)</f>
        <v>0.47555333522673243</v>
      </c>
      <c r="BN316" s="42">
        <f>1/(1+V_Ke)^((61-1)/12)</f>
        <v>0.46959993964826147</v>
      </c>
      <c r="BO316" s="42">
        <f>1/(1+V_Ke)^((62-1)/12)</f>
        <v>0.46372107392015283</v>
      </c>
      <c r="BP316" s="42">
        <f>1/(1+V_Ke)^((63-1)/12)</f>
        <v>0.45791580501208423</v>
      </c>
      <c r="BQ316" s="42">
        <f>1/(1+V_Ke)^((64-1)/12)</f>
        <v>0.45218321157422903</v>
      </c>
      <c r="BR316" s="42">
        <f>1/(1+V_Ke)^((65-1)/12)</f>
        <v>0.44652238379102926</v>
      </c>
      <c r="BS316" s="42">
        <f>1/(1+V_Ke)^((66-1)/12)</f>
        <v>0.44093242323679949</v>
      </c>
      <c r="BT316" s="42">
        <f>1/(1+V_Ke)^((67-1)/12)</f>
        <v>0.43541244273313856</v>
      </c>
      <c r="BU316" s="42">
        <f>1/(1+V_Ke)^((68-1)/12)</f>
        <v>0.42996156620812631</v>
      </c>
      <c r="BV316" s="42">
        <f>1/(1+V_Ke)^((69-1)/12)</f>
        <v>0.42457892855728213</v>
      </c>
      <c r="BW316" s="42">
        <f>1/(1+V_Ke)^((70-1)/12)</f>
        <v>0.41926367550626581</v>
      </c>
      <c r="BX316" s="42">
        <f>1/(1+V_Ke)^((71-1)/12)</f>
        <v>0.41401496347529582</v>
      </c>
      <c r="BY316" s="42">
        <f>1/(1+V_Ke)^((72-1)/12)</f>
        <v>0.40883195944526518</v>
      </c>
      <c r="BZ316" s="42">
        <f>1/(1+V_Ke)^((73-1)/12)</f>
        <v>0.40371384082553435</v>
      </c>
      <c r="CA316" s="42">
        <f>1/(1+V_Ke)^((74-1)/12)</f>
        <v>0.39865979532337764</v>
      </c>
      <c r="CB316" s="42">
        <f>1/(1+V_Ke)^((75-1)/12)</f>
        <v>0.39366902081506555</v>
      </c>
      <c r="CC316" s="42">
        <f>1/(1+V_Ke)^((76-1)/12)</f>
        <v>0.38874072521856001</v>
      </c>
      <c r="CD316" s="42">
        <f>1/(1+V_Ke)^((77-1)/12)</f>
        <v>0.38387412636780366</v>
      </c>
      <c r="CE316" s="42">
        <f>1/(1+V_Ke)^((78-1)/12)</f>
        <v>0.37906845188858279</v>
      </c>
      <c r="CF316" s="42">
        <f>1/(1+V_Ke)^((79-1)/12)</f>
        <v>0.37432293907594444</v>
      </c>
      <c r="CG316" s="42">
        <f>1/(1+V_Ke)^((80-1)/12)</f>
        <v>0.36963683477314851</v>
      </c>
      <c r="CH316" s="42">
        <f>1/(1+V_Ke)^((81-1)/12)</f>
        <v>0.36500939525213388</v>
      </c>
      <c r="CI316" s="42">
        <f>1/(1+V_Ke)^((82-1)/12)</f>
        <v>0.36043988609548305</v>
      </c>
      <c r="CJ316" s="42">
        <f>1/(1+V_Ke)^((83-1)/12)</f>
        <v>0.3559275820798623</v>
      </c>
      <c r="CK316" s="42">
        <f>1/(1+V_Ke)^((84-1)/12)</f>
        <v>0.35147176706092259</v>
      </c>
      <c r="CL316" s="42">
        <f>1/(1+V_Ke)^((85-1)/12)</f>
        <v>0.34707173385964091</v>
      </c>
      <c r="CM316" s="42">
        <f>1/(1+V_Ke)^((86-1)/12)</f>
        <v>0.3427267841500839</v>
      </c>
      <c r="CN316" s="42">
        <f>1/(1+V_Ke)^((87-1)/12)</f>
        <v>0.33843622834857762</v>
      </c>
      <c r="CO316" s="42">
        <f>1/(1+V_Ke)^((88-1)/12)</f>
        <v>0.33419938550426415</v>
      </c>
      <c r="CP316" s="42">
        <f>1/(1+V_Ke)^((89-1)/12)</f>
        <v>0.33001558319102792</v>
      </c>
      <c r="CQ316" s="42">
        <f>1/(1+V_Ke)^((90-1)/12)</f>
        <v>0.32588415740077609</v>
      </c>
      <c r="CR316" s="42">
        <f>1/(1+V_Ke)^((91-1)/12)</f>
        <v>0.32180445243805406</v>
      </c>
      <c r="CS316" s="42">
        <f>1/(1+V_Ke)^((92-1)/12)</f>
        <v>0.31777582081598044</v>
      </c>
      <c r="CT316" s="42">
        <f>1/(1+V_Ke)^((93-1)/12)</f>
        <v>0.31379762315348514</v>
      </c>
      <c r="CU316" s="42">
        <f>1/(1+V_Ke)^((94-1)/12)</f>
        <v>0.30986922807383338</v>
      </c>
      <c r="CV316" s="42">
        <f>1/(1+V_Ke)^((95-1)/12)</f>
        <v>0.30599001210442078</v>
      </c>
      <c r="CW316" s="42">
        <f>1/(1+V_Ke)^((96-1)/12)</f>
        <v>0.30215935957782197</v>
      </c>
      <c r="CX316" s="42">
        <f>1/(1+V_Ke)^((97-1)/12)</f>
        <v>0.29837666253407918</v>
      </c>
      <c r="CY316" s="42">
        <f>1/(1+V_Ke)^((98-1)/12)</f>
        <v>0.29464132062421239</v>
      </c>
      <c r="CZ316" s="42">
        <f>1/(1+V_Ke)^((99-1)/12)</f>
        <v>0.29095274101493956</v>
      </c>
      <c r="DA316" s="42">
        <f>1/(1+V_Ke)^((100-1)/12)</f>
        <v>0.28731033829458741</v>
      </c>
      <c r="DB316" s="42">
        <f>1/(1+V_Ke)^((101-1)/12)</f>
        <v>0.28371353438018215</v>
      </c>
      <c r="DC316" s="42">
        <f>1/(1+V_Ke)^((102-1)/12)</f>
        <v>0.28016175842570157</v>
      </c>
      <c r="DD316" s="42">
        <f>1/(1+V_Ke)^((103-1)/12)</f>
        <v>0.27665444673147693</v>
      </c>
      <c r="DE316" s="42">
        <f>1/(1+V_Ke)^((104-1)/12)</f>
        <v>0.27319104265472871</v>
      </c>
      <c r="DF316" s="42">
        <f>1/(1+V_Ke)^((105-1)/12)</f>
        <v>0.26977099652122172</v>
      </c>
      <c r="DG316" s="42">
        <f>1/(1+V_Ke)^((106-1)/12)</f>
        <v>0.26639376553802735</v>
      </c>
      <c r="DH316" s="42">
        <f>1/(1+V_Ke)^((107-1)/12)</f>
        <v>0.26305881370737683</v>
      </c>
      <c r="DI316" s="42">
        <f>1/(1+V_Ke)^((108-1)/12)</f>
        <v>0.25976561174159396</v>
      </c>
      <c r="DJ316" s="42">
        <f>1/(1+V_Ke)^((109-1)/12)</f>
        <v>0.25651363697909146</v>
      </c>
      <c r="DK316" s="42">
        <f>1/(1+V_Ke)^((110-1)/12)</f>
        <v>0.25330237330142052</v>
      </c>
      <c r="DL316" s="42">
        <f>1/(1+V_Ke)^((111-1)/12)</f>
        <v>0.25013131105135794</v>
      </c>
      <c r="DM316" s="42">
        <f>1/(1+V_Ke)^((112-1)/12)</f>
        <v>0.2469999469520181</v>
      </c>
      <c r="DN316" s="42">
        <f>1/(1+V_Ke)^((113-1)/12)</f>
        <v>0.24390778402697916</v>
      </c>
      <c r="DO316" s="42">
        <f>1/(1+V_Ke)^((114-1)/12)</f>
        <v>0.24085433152140787</v>
      </c>
      <c r="DP316" s="42">
        <f>1/(1+V_Ke)^((115-1)/12)</f>
        <v>0.23783910482417214</v>
      </c>
      <c r="DQ316" s="42">
        <f>1/(1+V_Ke)^((116-1)/12)</f>
        <v>0.23486162539092909</v>
      </c>
      <c r="DR316" s="42">
        <f>1/(1+V_Ke)^((117-1)/12)</f>
        <v>0.23192142066817548</v>
      </c>
      <c r="DS316" s="42">
        <f>1/(1+V_Ke)^((118-1)/12)</f>
        <v>0.22901802401824908</v>
      </c>
      <c r="DT316" s="42">
        <f>1/(1+V_Ke)^((119-1)/12)</f>
        <v>0.22615097464526893</v>
      </c>
      <c r="DU316" s="42">
        <f>1/(1+V_Ke)^((120-1)/12)</f>
        <v>0.22331981752200303</v>
      </c>
      <c r="DV316" s="42">
        <f>1/(1+V_Ke)^((121-1)/12)</f>
        <v>0.22052410331765085</v>
      </c>
      <c r="DW316" s="42">
        <f>1/(1+V_Ke)^((122-1)/12)</f>
        <v>0.21776338832653072</v>
      </c>
      <c r="DX316" s="42">
        <f>1/(1+V_Ke)^((123-1)/12)</f>
        <v>0.21503723439765987</v>
      </c>
      <c r="DY316" s="42">
        <f>1/(1+V_Ke)^((124-1)/12)</f>
        <v>0.21234520886521499</v>
      </c>
      <c r="DZ316" s="42">
        <f>1/(1+V_Ke)^((125-1)/12)</f>
        <v>0.20968688447986519</v>
      </c>
      <c r="EA316" s="42">
        <f>1/(1+V_Ke)^((126-1)/12)</f>
        <v>0.20706183934096273</v>
      </c>
      <c r="EB316" s="42">
        <f>1/(1+V_Ke)^((127-1)/12)</f>
        <v>0.20446965682958396</v>
      </c>
      <c r="EC316" s="42">
        <f>1/(1+V_Ke)^((128-1)/12)</f>
        <v>0.20190992554240805</v>
      </c>
      <c r="ED316" s="42">
        <f>1/(1+V_Ke)^((129-1)/12)</f>
        <v>0.1993822392264232</v>
      </c>
      <c r="EE316" s="42">
        <f>1/(1+V_Ke)^((130-1)/12)</f>
        <v>0.19688619671445073</v>
      </c>
      <c r="EF316" s="42">
        <f>1/(1+V_Ke)^((131-1)/12)</f>
        <v>0.19442140186147605</v>
      </c>
      <c r="EG316" s="42">
        <f>1/(1+V_Ke)^((132-1)/12)</f>
        <v>0.19198746348177703</v>
      </c>
      <c r="EH316" s="42">
        <f>1/(1+V_Ke)^((133-1)/12)</f>
        <v>0.18958399528683875</v>
      </c>
      <c r="EI316" s="42">
        <f>1/(1+V_Ke)^((134-1)/12)</f>
        <v>0.18721061582404633</v>
      </c>
      <c r="EJ316" s="42">
        <f>1/(1+V_Ke)^((135-1)/12)</f>
        <v>0.18486694841614498</v>
      </c>
      <c r="EK316" s="42">
        <f>1/(1+V_Ke)^((136-1)/12)</f>
        <v>0.18255262110145717</v>
      </c>
      <c r="EL316" s="42">
        <f>1/(1+V_Ke)^((137-1)/12)</f>
        <v>0.18026726657484968</v>
      </c>
      <c r="EM316" s="42">
        <f>1/(1+V_Ke)^((138-1)/12)</f>
        <v>0.17801052212943838</v>
      </c>
      <c r="EN316" s="42">
        <f>1/(1+V_Ke)^((139-1)/12)</f>
        <v>0.17578202959902339</v>
      </c>
      <c r="EO316" s="42">
        <f>1/(1+V_Ke)^((140-1)/12)</f>
        <v>0.1735814353012449</v>
      </c>
      <c r="EP316" s="42">
        <f>1/(1+V_Ke)^((141-1)/12)</f>
        <v>0.17140838998145047</v>
      </c>
      <c r="EQ316" s="42">
        <f>1/(1+V_Ke)^((142-1)/12)</f>
        <v>0.16926254875726504</v>
      </c>
      <c r="ER316" s="42">
        <f>1/(1+V_Ke)^((143-1)/12)</f>
        <v>0.16714357106385491</v>
      </c>
      <c r="ES316" s="42">
        <f>1/(1+V_Ke)^((144-1)/12)</f>
        <v>0.16505112059987709</v>
      </c>
    </row>
    <row r="317" spans="1:149" x14ac:dyDescent="0.3">
      <c r="A317" s="14" t="s">
        <v>1365</v>
      </c>
      <c r="B317" s="18" t="s">
        <v>1216</v>
      </c>
      <c r="C317" s="18" t="s">
        <v>439</v>
      </c>
      <c r="E317" s="54">
        <f>SUM(F317:ES317)</f>
        <v>14751245.798036572</v>
      </c>
      <c r="F317" s="48">
        <f>-F$294-(F$313-0)+F$309+IF(1=Fin,F$310+F$313+F$275-F$304,0)</f>
        <v>-767782</v>
      </c>
      <c r="G317" s="48">
        <f>-G$294-(G$313-F$313)+G$309+IF(2=Fin,G$310+G$313+G$275-G$304,0)</f>
        <v>0</v>
      </c>
      <c r="H317" s="48">
        <f>-H$294-(H$313-G$313)+H$309+IF(3=Fin,H$310+H$313+H$275-H$304,0)</f>
        <v>0</v>
      </c>
      <c r="I317" s="48">
        <f>-I$294-(I$313-H$313)+I$309+IF(4=Fin,I$310+I$313+I$275-I$304,0)</f>
        <v>0</v>
      </c>
      <c r="J317" s="48">
        <f>-J$294-(J$313-I$313)+J$309+IF(5=Fin,J$310+J$313+J$275-J$304,0)</f>
        <v>0</v>
      </c>
      <c r="K317" s="48">
        <f>-K$294-(K$313-J$313)+K$309+IF(6=Fin,K$310+K$313+K$275-K$304,0)</f>
        <v>0</v>
      </c>
      <c r="L317" s="48">
        <f>-L$294-(L$313-K$313)+L$309+IF(7=Fin,L$310+L$313+L$275-L$304,0)</f>
        <v>0</v>
      </c>
      <c r="M317" s="48">
        <f>-M$294-(M$313-L$313)+M$309+IF(8=Fin,M$310+M$313+M$275-M$304,0)</f>
        <v>0</v>
      </c>
      <c r="N317" s="48">
        <f>-N$294-(N$313-M$313)+N$309+IF(9=Fin,N$310+N$313+N$275-N$304,0)</f>
        <v>0</v>
      </c>
      <c r="O317" s="48">
        <f>-O$294-(O$313-N$313)+O$309+IF(10=Fin,O$310+O$313+O$275-O$304,0)</f>
        <v>0</v>
      </c>
      <c r="P317" s="48">
        <f>-P$294-(P$313-O$313)+P$309+IF(11=Fin,P$310+P$313+P$275-P$304,0)</f>
        <v>0</v>
      </c>
      <c r="Q317" s="48">
        <f>-Q$294-(Q$313-P$313)+Q$309+IF(12=Fin,Q$310+Q$313+Q$275-Q$304,0)</f>
        <v>0</v>
      </c>
      <c r="R317" s="48">
        <f>-R$294-(R$313-Q$313)+R$309+IF(13=Fin,R$310+R$313+R$275-R$304,0)</f>
        <v>-371928</v>
      </c>
      <c r="S317" s="48">
        <f>-S$294-(S$313-R$313)+S$309+IF(14=Fin,S$310+S$313+S$275-S$304,0)</f>
        <v>0</v>
      </c>
      <c r="T317" s="48">
        <f>-T$294-(T$313-S$313)+T$309+IF(15=Fin,T$310+T$313+T$275-T$304,0)</f>
        <v>0</v>
      </c>
      <c r="U317" s="48">
        <f>-U$294-(U$313-T$313)+U$309+IF(16=Fin,U$310+U$313+U$275-U$304,0)</f>
        <v>0</v>
      </c>
      <c r="V317" s="48">
        <f>-V$294-(V$313-U$313)+V$309+IF(17=Fin,V$310+V$313+V$275-V$304,0)</f>
        <v>0</v>
      </c>
      <c r="W317" s="48">
        <f>-W$294-(W$313-V$313)+W$309+IF(18=Fin,W$310+W$313+W$275-W$304,0)</f>
        <v>0</v>
      </c>
      <c r="X317" s="48">
        <f>-X$294-(X$313-W$313)+X$309+IF(19=Fin,X$310+X$313+X$275-X$304,0)</f>
        <v>0</v>
      </c>
      <c r="Y317" s="48">
        <f>-Y$294-(Y$313-X$313)+Y$309+IF(20=Fin,Y$310+Y$313+Y$275-Y$304,0)</f>
        <v>0</v>
      </c>
      <c r="Z317" s="48">
        <f>-Z$294-(Z$313-Y$313)+Z$309+IF(21=Fin,Z$310+Z$313+Z$275-Z$304,0)</f>
        <v>0</v>
      </c>
      <c r="AA317" s="48">
        <f>-AA$294-(AA$313-Z$313)+AA$309+IF(22=Fin,AA$310+AA$313+AA$275-AA$304,0)</f>
        <v>0</v>
      </c>
      <c r="AB317" s="48">
        <f>-AB$294-(AB$313-AA$313)+AB$309+IF(23=Fin,AB$310+AB$313+AB$275-AB$304,0)</f>
        <v>0</v>
      </c>
      <c r="AC317" s="48">
        <f>-AC$294-(AC$313-AB$313)+AC$309+IF(24=Fin,AC$310+AC$313+AC$275-AC$304,0)</f>
        <v>0</v>
      </c>
      <c r="AD317" s="48">
        <f>-AD$294-(AD$313-AC$313)+AD$309+IF(25=Fin,AD$310+AD$313+AD$275-AD$304,0)</f>
        <v>-311740.11867261783</v>
      </c>
      <c r="AE317" s="48">
        <f>-AE$294-(AE$313-AD$313)+AE$309+IF(26=Fin,AE$310+AE$313+AE$275-AE$304,0)</f>
        <v>52573.683287014574</v>
      </c>
      <c r="AF317" s="48">
        <f>-AF$294-(AF$313-AE$313)+AF$309+IF(27=Fin,AF$310+AF$313+AF$275-AF$304,0)</f>
        <v>52610.09488458492</v>
      </c>
      <c r="AG317" s="48">
        <f>-AG$294-(AG$313-AF$313)+AG$309+IF(28=Fin,AG$310+AG$313+AG$275-AG$304,0)</f>
        <v>52646.779569137056</v>
      </c>
      <c r="AH317" s="48">
        <f>-AH$294-(AH$313-AG$313)+AH$309+IF(29=Fin,AH$310+AH$313+AH$275-AH$304,0)</f>
        <v>52683.73938882332</v>
      </c>
      <c r="AI317" s="48">
        <f>-AI$294-(AI$313-AH$313)+AI$309+IF(30=Fin,AI$310+AI$313+AI$275-AI$304,0)</f>
        <v>52720.976407157235</v>
      </c>
      <c r="AJ317" s="48">
        <f>-AJ$294-(AJ$313-AI$313)+AJ$309+IF(31=Fin,AJ$310+AJ$313+AJ$275-AJ$304,0)</f>
        <v>48504.845135900723</v>
      </c>
      <c r="AK317" s="48">
        <f>-AK$294-(AK$313-AJ$313)+AK$309+IF(32=Fin,AK$310+AK$313+AK$275-AK$304,0)</f>
        <v>0</v>
      </c>
      <c r="AL317" s="48">
        <f>-AL$294-(AL$313-AK$313)+AL$309+IF(33=Fin,AL$310+AL$313+AL$275-AL$304,0)</f>
        <v>0</v>
      </c>
      <c r="AM317" s="48">
        <f>-AM$294-(AM$313-AL$313)+AM$309+IF(34=Fin,AM$310+AM$313+AM$275-AM$304,0)</f>
        <v>0</v>
      </c>
      <c r="AN317" s="48">
        <f>-AN$294-(AN$313-AM$313)+AN$309+IF(35=Fin,AN$310+AN$313+AN$275-AN$304,0)</f>
        <v>0</v>
      </c>
      <c r="AO317" s="48">
        <f>-AO$294-(AO$313-AN$313)+AO$309+IF(36=Fin,AO$310+AO$313+AO$275-AO$304,0)</f>
        <v>0</v>
      </c>
      <c r="AP317" s="48">
        <f>-AP$294-(AP$313-AO$313)+AP$309+IF(37=Fin,AP$310+AP$313+AP$275-AP$304,0)</f>
        <v>-204392.16946280262</v>
      </c>
      <c r="AQ317" s="48">
        <f>-AQ$294-(AQ$313-AP$313)+AQ$309+IF(38=Fin,AQ$310+AQ$313+AQ$275-AQ$304,0)</f>
        <v>85837.65350272393</v>
      </c>
      <c r="AR317" s="48">
        <f>-AR$294-(AR$313-AQ$313)+AR$309+IF(39=Fin,AR$310+AR$313+AR$275-AR$304,0)</f>
        <v>85877.480759301601</v>
      </c>
      <c r="AS317" s="48">
        <f>-AS$294-(AS$313-AR$313)+AS$309+IF(40=Fin,AS$310+AS$313+AS$275-AS$304,0)</f>
        <v>32677.035200777082</v>
      </c>
      <c r="AT317" s="48">
        <f>-AT$294-(AT$313-AS$313)+AT$309+IF(41=Fin,AT$310+AT$313+AT$275-AT$304,0)</f>
        <v>0</v>
      </c>
      <c r="AU317" s="48">
        <f>-AU$294-(AU$313-AT$313)+AU$309+IF(42=Fin,AU$310+AU$313+AU$275-AU$304,0)</f>
        <v>0</v>
      </c>
      <c r="AV317" s="48">
        <f>-AV$294-(AV$313-AU$313)+AV$309+IF(43=Fin,AV$310+AV$313+AV$275-AV$304,0)</f>
        <v>0</v>
      </c>
      <c r="AW317" s="48">
        <f>-AW$294-(AW$313-AV$313)+AW$309+IF(44=Fin,AW$310+AW$313+AW$275-AW$304,0)</f>
        <v>0</v>
      </c>
      <c r="AX317" s="48">
        <f>-AX$294-(AX$313-AW$313)+AX$309+IF(45=Fin,AX$310+AX$313+AX$275-AX$304,0)</f>
        <v>0</v>
      </c>
      <c r="AY317" s="48">
        <f>-AY$294-(AY$313-AX$313)+AY$309+IF(46=Fin,AY$310+AY$313+AY$275-AY$304,0)</f>
        <v>0</v>
      </c>
      <c r="AZ317" s="48">
        <f>-AZ$294-(AZ$313-AY$313)+AZ$309+IF(47=Fin,AZ$310+AZ$313+AZ$275-AZ$304,0)</f>
        <v>0</v>
      </c>
      <c r="BA317" s="48">
        <f>-BA$294-(BA$313-AZ$313)+BA$309+IF(48=Fin,BA$310+BA$313+BA$275-BA$304,0)</f>
        <v>0</v>
      </c>
      <c r="BB317" s="48">
        <f>-BB$294-(BB$313-BA$313)+BB$309+IF(49=Fin,BB$310+BB$313+BB$275-BB$304,0)</f>
        <v>0</v>
      </c>
      <c r="BC317" s="48">
        <f>-BC$294-(BC$313-BB$313)+BC$309+IF(50=Fin,BC$310+BC$313+BC$275-BC$304,0)</f>
        <v>0</v>
      </c>
      <c r="BD317" s="48">
        <f>-BD$294-(BD$313-BC$313)+BD$309+IF(51=Fin,BD$310+BD$313+BD$275-BD$304,0)</f>
        <v>0</v>
      </c>
      <c r="BE317" s="48">
        <f>-BE$294-(BE$313-BD$313)+BE$309+IF(52=Fin,BE$310+BE$313+BE$275-BE$304,0)</f>
        <v>804953.37838092213</v>
      </c>
      <c r="BF317" s="48">
        <f>-BF$294-(BF$313-BE$313)+BF$309+IF(53=Fin,BF$310+BF$313+BF$275-BF$304,0)</f>
        <v>0</v>
      </c>
      <c r="BG317" s="48">
        <f>-BG$294-(BG$313-BF$313)+BG$309+IF(54=Fin,BG$310+BG$313+BG$275-BG$304,0)</f>
        <v>0</v>
      </c>
      <c r="BH317" s="48">
        <f>-BH$294-(BH$313-BG$313)+BH$309+IF(55=Fin,BH$310+BH$313+BH$275-BH$304,0)</f>
        <v>0</v>
      </c>
      <c r="BI317" s="48">
        <f>-BI$294-(BI$313-BH$313)+BI$309+IF(56=Fin,BI$310+BI$313+BI$275-BI$304,0)</f>
        <v>0</v>
      </c>
      <c r="BJ317" s="48">
        <f>-BJ$294-(BJ$313-BI$313)+BJ$309+IF(57=Fin,BJ$310+BJ$313+BJ$275-BJ$304,0)</f>
        <v>0</v>
      </c>
      <c r="BK317" s="48">
        <f>-BK$294-(BK$313-BJ$313)+BK$309+IF(58=Fin,BK$310+BK$313+BK$275-BK$304,0)</f>
        <v>0</v>
      </c>
      <c r="BL317" s="48">
        <f>-BL$294-(BL$313-BK$313)+BL$309+IF(59=Fin,BL$310+BL$313+BL$275-BL$304,0)</f>
        <v>0</v>
      </c>
      <c r="BM317" s="48">
        <f>-BM$294-(BM$313-BL$313)+BM$309+IF(60=Fin,BM$310+BM$313+BM$275-BM$304,0)</f>
        <v>0</v>
      </c>
      <c r="BN317" s="48">
        <f>-BN$294-(BN$313-BM$313)+BN$309+IF(61=Fin,BN$310+BN$313+BN$275-BN$304,0)</f>
        <v>0</v>
      </c>
      <c r="BO317" s="48">
        <f>-BO$294-(BO$313-BN$313)+BO$309+IF(62=Fin,BO$310+BO$313+BO$275-BO$304,0)</f>
        <v>0</v>
      </c>
      <c r="BP317" s="48">
        <f>-BP$294-(BP$313-BO$313)+BP$309+IF(63=Fin,BP$310+BP$313+BP$275-BP$304,0)</f>
        <v>0</v>
      </c>
      <c r="BQ317" s="48">
        <f>-BQ$294-(BQ$313-BP$313)+BQ$309+IF(64=Fin,BQ$310+BQ$313+BQ$275-BQ$304,0)</f>
        <v>1463926.544368221</v>
      </c>
      <c r="BR317" s="48">
        <f>-BR$294-(BR$313-BQ$313)+BR$309+IF(65=Fin,BR$310+BR$313+BR$275-BR$304,0)</f>
        <v>0</v>
      </c>
      <c r="BS317" s="48">
        <f>-BS$294-(BS$313-BR$313)+BS$309+IF(66=Fin,BS$310+BS$313+BS$275-BS$304,0)</f>
        <v>0</v>
      </c>
      <c r="BT317" s="48">
        <f>-BT$294-(BT$313-BS$313)+BT$309+IF(67=Fin,BT$310+BT$313+BT$275-BT$304,0)</f>
        <v>0</v>
      </c>
      <c r="BU317" s="48">
        <f>-BU$294-(BU$313-BT$313)+BU$309+IF(68=Fin,BU$310+BU$313+BU$275-BU$304,0)</f>
        <v>0</v>
      </c>
      <c r="BV317" s="48">
        <f>-BV$294-(BV$313-BU$313)+BV$309+IF(69=Fin,BV$310+BV$313+BV$275-BV$304,0)</f>
        <v>0</v>
      </c>
      <c r="BW317" s="48">
        <f>-BW$294-(BW$313-BV$313)+BW$309+IF(70=Fin,BW$310+BW$313+BW$275-BW$304,0)</f>
        <v>0</v>
      </c>
      <c r="BX317" s="48">
        <f>-BX$294-(BX$313-BW$313)+BX$309+IF(71=Fin,BX$310+BX$313+BX$275-BX$304,0)</f>
        <v>0</v>
      </c>
      <c r="BY317" s="48">
        <f>-BY$294-(BY$313-BX$313)+BY$309+IF(72=Fin,BY$310+BY$313+BY$275-BY$304,0)</f>
        <v>0</v>
      </c>
      <c r="BZ317" s="48">
        <f>-BZ$294-(BZ$313-BY$313)+BZ$309+IF(73=Fin,BZ$310+BZ$313+BZ$275-BZ$304,0)</f>
        <v>0</v>
      </c>
      <c r="CA317" s="48">
        <f>-CA$294-(CA$313-BZ$313)+CA$309+IF(74=Fin,CA$310+CA$313+CA$275-CA$304,0)</f>
        <v>0</v>
      </c>
      <c r="CB317" s="48">
        <f>-CB$294-(CB$313-CA$313)+CB$309+IF(75=Fin,CB$310+CB$313+CB$275-CB$304,0)</f>
        <v>0</v>
      </c>
      <c r="CC317" s="48">
        <f>-CC$294-(CC$313-CB$313)+CC$309+IF(76=Fin,CC$310+CC$313+CC$275-CC$304,0)</f>
        <v>1794188.6925739141</v>
      </c>
      <c r="CD317" s="48">
        <f>-CD$294-(CD$313-CC$313)+CD$309+IF(77=Fin,CD$310+CD$313+CD$275-CD$304,0)</f>
        <v>0</v>
      </c>
      <c r="CE317" s="48">
        <f>-CE$294-(CE$313-CD$313)+CE$309+IF(78=Fin,CE$310+CE$313+CE$275-CE$304,0)</f>
        <v>0</v>
      </c>
      <c r="CF317" s="48">
        <f>-CF$294-(CF$313-CE$313)+CF$309+IF(79=Fin,CF$310+CF$313+CF$275-CF$304,0)</f>
        <v>0</v>
      </c>
      <c r="CG317" s="48">
        <f>-CG$294-(CG$313-CF$313)+CG$309+IF(80=Fin,CG$310+CG$313+CG$275-CG$304,0)</f>
        <v>0</v>
      </c>
      <c r="CH317" s="48">
        <f>-CH$294-(CH$313-CG$313)+CH$309+IF(81=Fin,CH$310+CH$313+CH$275-CH$304,0)</f>
        <v>0</v>
      </c>
      <c r="CI317" s="48">
        <f>-CI$294-(CI$313-CH$313)+CI$309+IF(82=Fin,CI$310+CI$313+CI$275-CI$304,0)</f>
        <v>0</v>
      </c>
      <c r="CJ317" s="48">
        <f>-CJ$294-(CJ$313-CI$313)+CJ$309+IF(83=Fin,CJ$310+CJ$313+CJ$275-CJ$304,0)</f>
        <v>0</v>
      </c>
      <c r="CK317" s="48">
        <f>-CK$294-(CK$313-CJ$313)+CK$309+IF(84=Fin,CK$310+CK$313+CK$275-CK$304,0)</f>
        <v>0</v>
      </c>
      <c r="CL317" s="48">
        <f>-CL$294-(CL$313-CK$313)+CL$309+IF(85=Fin,CL$310+CL$313+CL$275-CL$304,0)</f>
        <v>0</v>
      </c>
      <c r="CM317" s="48">
        <f>-CM$294-(CM$313-CL$313)+CM$309+IF(86=Fin,CM$310+CM$313+CM$275-CM$304,0)</f>
        <v>0</v>
      </c>
      <c r="CN317" s="48">
        <f>-CN$294-(CN$313-CM$313)+CN$309+IF(87=Fin,CN$310+CN$313+CN$275-CN$304,0)</f>
        <v>0</v>
      </c>
      <c r="CO317" s="48">
        <f>-CO$294-(CO$313-CN$313)+CO$309+IF(88=Fin,CO$310+CO$313+CO$275-CO$304,0)</f>
        <v>1843575.6608727984</v>
      </c>
      <c r="CP317" s="48">
        <f>-CP$294-(CP$313-CO$313)+CP$309+IF(89=Fin,CP$310+CP$313+CP$275-CP$304,0)</f>
        <v>0</v>
      </c>
      <c r="CQ317" s="48">
        <f>-CQ$294-(CQ$313-CP$313)+CQ$309+IF(90=Fin,CQ$310+CQ$313+CQ$275-CQ$304,0)</f>
        <v>0</v>
      </c>
      <c r="CR317" s="48">
        <f>-CR$294-(CR$313-CQ$313)+CR$309+IF(91=Fin,CR$310+CR$313+CR$275-CR$304,0)</f>
        <v>0</v>
      </c>
      <c r="CS317" s="48">
        <f>-CS$294-(CS$313-CR$313)+CS$309+IF(92=Fin,CS$310+CS$313+CS$275-CS$304,0)</f>
        <v>0</v>
      </c>
      <c r="CT317" s="48">
        <f>-CT$294-(CT$313-CS$313)+CT$309+IF(93=Fin,CT$310+CT$313+CT$275-CT$304,0)</f>
        <v>0</v>
      </c>
      <c r="CU317" s="48">
        <f>-CU$294-(CU$313-CT$313)+CU$309+IF(94=Fin,CU$310+CU$313+CU$275-CU$304,0)</f>
        <v>0</v>
      </c>
      <c r="CV317" s="48">
        <f>-CV$294-(CV$313-CU$313)+CV$309+IF(95=Fin,CV$310+CV$313+CV$275-CV$304,0)</f>
        <v>0</v>
      </c>
      <c r="CW317" s="48">
        <f>-CW$294-(CW$313-CV$313)+CW$309+IF(96=Fin,CW$310+CW$313+CW$275-CW$304,0)</f>
        <v>0</v>
      </c>
      <c r="CX317" s="48">
        <f>-CX$294-(CX$313-CW$313)+CX$309+IF(97=Fin,CX$310+CX$313+CX$275-CX$304,0)</f>
        <v>0</v>
      </c>
      <c r="CY317" s="48">
        <f>-CY$294-(CY$313-CX$313)+CY$309+IF(98=Fin,CY$310+CY$313+CY$275-CY$304,0)</f>
        <v>0</v>
      </c>
      <c r="CZ317" s="48">
        <f>-CZ$294-(CZ$313-CY$313)+CZ$309+IF(99=Fin,CZ$310+CZ$313+CZ$275-CZ$304,0)</f>
        <v>0</v>
      </c>
      <c r="DA317" s="48">
        <f>-DA$294-(DA$313-CZ$313)+DA$309+IF(100=Fin,DA$310+DA$313+DA$275-DA$304,0)</f>
        <v>1893301.2135554496</v>
      </c>
      <c r="DB317" s="48">
        <f>-DB$294-(DB$313-DA$313)+DB$309+IF(101=Fin,DB$310+DB$313+DB$275-DB$304,0)</f>
        <v>0</v>
      </c>
      <c r="DC317" s="48">
        <f>-DC$294-(DC$313-DB$313)+DC$309+IF(102=Fin,DC$310+DC$313+DC$275-DC$304,0)</f>
        <v>0</v>
      </c>
      <c r="DD317" s="48">
        <f>-DD$294-(DD$313-DC$313)+DD$309+IF(103=Fin,DD$310+DD$313+DD$275-DD$304,0)</f>
        <v>0</v>
      </c>
      <c r="DE317" s="48">
        <f>-DE$294-(DE$313-DD$313)+DE$309+IF(104=Fin,DE$310+DE$313+DE$275-DE$304,0)</f>
        <v>0</v>
      </c>
      <c r="DF317" s="48">
        <f>-DF$294-(DF$313-DE$313)+DF$309+IF(105=Fin,DF$310+DF$313+DF$275-DF$304,0)</f>
        <v>0</v>
      </c>
      <c r="DG317" s="48">
        <f>-DG$294-(DG$313-DF$313)+DG$309+IF(106=Fin,DG$310+DG$313+DG$275-DG$304,0)</f>
        <v>0</v>
      </c>
      <c r="DH317" s="48">
        <f>-DH$294-(DH$313-DG$313)+DH$309+IF(107=Fin,DH$310+DH$313+DH$275-DH$304,0)</f>
        <v>0</v>
      </c>
      <c r="DI317" s="48">
        <f>-DI$294-(DI$313-DH$313)+DI$309+IF(108=Fin,DI$310+DI$313+DI$275-DI$304,0)</f>
        <v>0</v>
      </c>
      <c r="DJ317" s="48">
        <f>-DJ$294-(DJ$313-DI$313)+DJ$309+IF(109=Fin,DJ$310+DJ$313+DJ$275-DJ$304,0)</f>
        <v>0</v>
      </c>
      <c r="DK317" s="48">
        <f>-DK$294-(DK$313-DJ$313)+DK$309+IF(110=Fin,DK$310+DK$313+DK$275-DK$304,0)</f>
        <v>0</v>
      </c>
      <c r="DL317" s="48">
        <f>-DL$294-(DL$313-DK$313)+DL$309+IF(111=Fin,DL$310+DL$313+DL$275-DL$304,0)</f>
        <v>0</v>
      </c>
      <c r="DM317" s="48">
        <f>-DM$294-(DM$313-DL$313)+DM$309+IF(112=Fin,DM$310+DM$313+DM$275-DM$304,0)</f>
        <v>1943364.14678689</v>
      </c>
      <c r="DN317" s="48">
        <f>-DN$294-(DN$313-DM$313)+DN$309+IF(113=Fin,DN$310+DN$313+DN$275-DN$304,0)</f>
        <v>0</v>
      </c>
      <c r="DO317" s="48">
        <f>-DO$294-(DO$313-DN$313)+DO$309+IF(114=Fin,DO$310+DO$313+DO$275-DO$304,0)</f>
        <v>0</v>
      </c>
      <c r="DP317" s="48">
        <f>-DP$294-(DP$313-DO$313)+DP$309+IF(115=Fin,DP$310+DP$313+DP$275-DP$304,0)</f>
        <v>0</v>
      </c>
      <c r="DQ317" s="48">
        <f>-DQ$294-(DQ$313-DP$313)+DQ$309+IF(116=Fin,DQ$310+DQ$313+DQ$275-DQ$304,0)</f>
        <v>0</v>
      </c>
      <c r="DR317" s="48">
        <f>-DR$294-(DR$313-DQ$313)+DR$309+IF(117=Fin,DR$310+DR$313+DR$275-DR$304,0)</f>
        <v>0</v>
      </c>
      <c r="DS317" s="48">
        <f>-DS$294-(DS$313-DR$313)+DS$309+IF(118=Fin,DS$310+DS$313+DS$275-DS$304,0)</f>
        <v>0</v>
      </c>
      <c r="DT317" s="48">
        <f>-DT$294-(DT$313-DS$313)+DT$309+IF(119=Fin,DT$310+DT$313+DT$275-DT$304,0)</f>
        <v>0</v>
      </c>
      <c r="DU317" s="48">
        <f>-DU$294-(DU$313-DT$313)+DU$309+IF(120=Fin,DU$310+DU$313+DU$275-DU$304,0)</f>
        <v>6147646.1614983752</v>
      </c>
      <c r="DV317" s="48">
        <f>-DV$294-(DV$313-DU$313)+DV$309+IF(121=Fin,DV$310+DV$313+DV$275-DV$304,0)</f>
        <v>0</v>
      </c>
      <c r="DW317" s="48">
        <f>-DW$294-(DW$313-DV$313)+DW$309+IF(122=Fin,DW$310+DW$313+DW$275-DW$304,0)</f>
        <v>0</v>
      </c>
      <c r="DX317" s="48">
        <f>-DX$294-(DX$313-DW$313)+DX$309+IF(123=Fin,DX$310+DX$313+DX$275-DX$304,0)</f>
        <v>0</v>
      </c>
      <c r="DY317" s="48">
        <f>-DY$294-(DY$313-DX$313)+DY$309+IF(124=Fin,DY$310+DY$313+DY$275-DY$304,0)</f>
        <v>0</v>
      </c>
      <c r="DZ317" s="48">
        <f>-DZ$294-(DZ$313-DY$313)+DZ$309+IF(125=Fin,DZ$310+DZ$313+DZ$275-DZ$304,0)</f>
        <v>0</v>
      </c>
      <c r="EA317" s="48">
        <f>-EA$294-(EA$313-DZ$313)+EA$309+IF(126=Fin,EA$310+EA$313+EA$275-EA$304,0)</f>
        <v>0</v>
      </c>
      <c r="EB317" s="48">
        <f>-EB$294-(EB$313-EA$313)+EB$309+IF(127=Fin,EB$310+EB$313+EB$275-EB$304,0)</f>
        <v>0</v>
      </c>
      <c r="EC317" s="48">
        <f>-EC$294-(EC$313-EB$313)+EC$309+IF(128=Fin,EC$310+EC$313+EC$275-EC$304,0)</f>
        <v>0</v>
      </c>
      <c r="ED317" s="48">
        <f>-ED$294-(ED$313-EC$313)+ED$309+IF(129=Fin,ED$310+ED$313+ED$275-ED$304,0)</f>
        <v>0</v>
      </c>
      <c r="EE317" s="48">
        <f>-EE$294-(EE$313-ED$313)+EE$309+IF(130=Fin,EE$310+EE$313+EE$275-EE$304,0)</f>
        <v>0</v>
      </c>
      <c r="EF317" s="48">
        <f>-EF$294-(EF$313-EE$313)+EF$309+IF(131=Fin,EF$310+EF$313+EF$275-EF$304,0)</f>
        <v>0</v>
      </c>
      <c r="EG317" s="48">
        <f>-EG$294-(EG$313-EF$313)+EG$309+IF(132=Fin,EG$310+EG$313+EG$275-EG$304,0)</f>
        <v>0</v>
      </c>
      <c r="EH317" s="48">
        <f>-EH$294-(EH$313-EG$313)+EH$309+IF(133=Fin,EH$310+EH$313+EH$275-EH$304,0)</f>
        <v>0</v>
      </c>
      <c r="EI317" s="48">
        <f>-EI$294-(EI$313-EH$313)+EI$309+IF(134=Fin,EI$310+EI$313+EI$275-EI$304,0)</f>
        <v>0</v>
      </c>
      <c r="EJ317" s="48">
        <f>-EJ$294-(EJ$313-EI$313)+EJ$309+IF(135=Fin,EJ$310+EJ$313+EJ$275-EJ$304,0)</f>
        <v>0</v>
      </c>
      <c r="EK317" s="48">
        <f>-EK$294-(EK$313-EJ$313)+EK$309+IF(136=Fin,EK$310+EK$313+EK$275-EK$304,0)</f>
        <v>0</v>
      </c>
      <c r="EL317" s="48">
        <f>-EL$294-(EL$313-EK$313)+EL$309+IF(137=Fin,EL$310+EL$313+EL$275-EL$304,0)</f>
        <v>0</v>
      </c>
      <c r="EM317" s="48">
        <f>-EM$294-(EM$313-EL$313)+EM$309+IF(138=Fin,EM$310+EM$313+EM$275-EM$304,0)</f>
        <v>0</v>
      </c>
      <c r="EN317" s="48">
        <f>-EN$294-(EN$313-EM$313)+EN$309+IF(139=Fin,EN$310+EN$313+EN$275-EN$304,0)</f>
        <v>0</v>
      </c>
      <c r="EO317" s="48">
        <f>-EO$294-(EO$313-EN$313)+EO$309+IF(140=Fin,EO$310+EO$313+EO$275-EO$304,0)</f>
        <v>0</v>
      </c>
      <c r="EP317" s="48">
        <f>-EP$294-(EP$313-EO$313)+EP$309+IF(141=Fin,EP$310+EP$313+EP$275-EP$304,0)</f>
        <v>0</v>
      </c>
      <c r="EQ317" s="48">
        <f>-EQ$294-(EQ$313-EP$313)+EQ$309+IF(142=Fin,EQ$310+EQ$313+EQ$275-EQ$304,0)</f>
        <v>0</v>
      </c>
      <c r="ER317" s="48">
        <f>-ER$294-(ER$313-EQ$313)+ER$309+IF(143=Fin,ER$310+ER$313+ER$275-ER$304,0)</f>
        <v>0</v>
      </c>
      <c r="ES317" s="48">
        <f>-ES$294-(ES$313-ER$313)+ES$309+IF(144=Fin,ES$310+ES$313+ES$275-ES$304,0)</f>
        <v>0</v>
      </c>
    </row>
    <row r="318" spans="1:149" x14ac:dyDescent="0.3">
      <c r="A318" s="14" t="s">
        <v>1366</v>
      </c>
      <c r="B318" s="18" t="s">
        <v>1218</v>
      </c>
      <c r="C318" s="18" t="s">
        <v>439</v>
      </c>
      <c r="E318" s="54">
        <f>INDEX(F318:ES318,1,MIN(144,Fin))</f>
        <v>15564459.926261026</v>
      </c>
      <c r="F318" s="48">
        <f>0+F$276</f>
        <v>-3000610.4768834403</v>
      </c>
      <c r="G318" s="48">
        <f t="shared" ref="G318:AL318" si="778">F$318+G$276</f>
        <v>-2958112.9764078506</v>
      </c>
      <c r="H318" s="48">
        <f t="shared" si="778"/>
        <v>-2915615.475932261</v>
      </c>
      <c r="I318" s="48">
        <f t="shared" si="778"/>
        <v>-2873117.9754566713</v>
      </c>
      <c r="J318" s="48">
        <f t="shared" si="778"/>
        <v>-2830620.4749810817</v>
      </c>
      <c r="K318" s="48">
        <f t="shared" si="778"/>
        <v>-2788122.974505492</v>
      </c>
      <c r="L318" s="48">
        <f t="shared" si="778"/>
        <v>-2745625.4740299024</v>
      </c>
      <c r="M318" s="48">
        <f t="shared" si="778"/>
        <v>-2703127.9735543127</v>
      </c>
      <c r="N318" s="48">
        <f t="shared" si="778"/>
        <v>-2660630.4730787231</v>
      </c>
      <c r="O318" s="48">
        <f t="shared" si="778"/>
        <v>-2618132.9726031334</v>
      </c>
      <c r="P318" s="48">
        <f t="shared" si="778"/>
        <v>-2575635.4721275438</v>
      </c>
      <c r="Q318" s="48">
        <f t="shared" si="778"/>
        <v>-2533137.9716519541</v>
      </c>
      <c r="R318" s="48">
        <f t="shared" si="778"/>
        <v>-3207787.0130536333</v>
      </c>
      <c r="S318" s="48">
        <f t="shared" si="778"/>
        <v>-3127290.6100596683</v>
      </c>
      <c r="T318" s="48">
        <f t="shared" si="778"/>
        <v>-3046794.2070657033</v>
      </c>
      <c r="U318" s="48">
        <f t="shared" si="778"/>
        <v>-2966297.8040717384</v>
      </c>
      <c r="V318" s="48">
        <f t="shared" si="778"/>
        <v>-2885801.4010777734</v>
      </c>
      <c r="W318" s="48">
        <f t="shared" si="778"/>
        <v>-2805304.9980838085</v>
      </c>
      <c r="X318" s="48">
        <f t="shared" si="778"/>
        <v>-2724808.5950898435</v>
      </c>
      <c r="Y318" s="48">
        <f t="shared" si="778"/>
        <v>-2644312.1920958785</v>
      </c>
      <c r="Z318" s="48">
        <f t="shared" si="778"/>
        <v>-2563815.7891019136</v>
      </c>
      <c r="AA318" s="48">
        <f t="shared" si="778"/>
        <v>-2483319.3861079486</v>
      </c>
      <c r="AB318" s="48">
        <f t="shared" si="778"/>
        <v>-2402822.9831139836</v>
      </c>
      <c r="AC318" s="48">
        <f t="shared" si="778"/>
        <v>-2322326.5801200187</v>
      </c>
      <c r="AD318" s="48">
        <f t="shared" si="778"/>
        <v>-2872568.4798873169</v>
      </c>
      <c r="AE318" s="48">
        <f t="shared" si="778"/>
        <v>-2755483.449022192</v>
      </c>
      <c r="AF318" s="48">
        <f t="shared" si="778"/>
        <v>-2638398.4181570671</v>
      </c>
      <c r="AG318" s="48">
        <f t="shared" si="778"/>
        <v>-2521313.3872919423</v>
      </c>
      <c r="AH318" s="48">
        <f t="shared" si="778"/>
        <v>-2404228.3564268174</v>
      </c>
      <c r="AI318" s="48">
        <f t="shared" si="778"/>
        <v>-2287143.3255616925</v>
      </c>
      <c r="AJ318" s="48">
        <f t="shared" si="778"/>
        <v>-2170058.2946965676</v>
      </c>
      <c r="AK318" s="48">
        <f t="shared" si="778"/>
        <v>-2052973.2638314427</v>
      </c>
      <c r="AL318" s="48">
        <f t="shared" si="778"/>
        <v>-1935888.2329663178</v>
      </c>
      <c r="AM318" s="48">
        <f t="shared" ref="AM318:BR318" si="779">AL$318+AM$276</f>
        <v>-1818803.2021011929</v>
      </c>
      <c r="AN318" s="48">
        <f t="shared" si="779"/>
        <v>-1701718.171236068</v>
      </c>
      <c r="AO318" s="48">
        <f t="shared" si="779"/>
        <v>-1584633.1403709431</v>
      </c>
      <c r="AP318" s="48">
        <f t="shared" si="779"/>
        <v>-1993548.6304243973</v>
      </c>
      <c r="AQ318" s="48">
        <f t="shared" si="779"/>
        <v>-1843655.050544539</v>
      </c>
      <c r="AR318" s="48">
        <f t="shared" si="779"/>
        <v>-1693761.4706646807</v>
      </c>
      <c r="AS318" s="48">
        <f t="shared" si="779"/>
        <v>-1543867.8907848224</v>
      </c>
      <c r="AT318" s="48">
        <f t="shared" si="779"/>
        <v>-1393974.3109049641</v>
      </c>
      <c r="AU318" s="48">
        <f t="shared" si="779"/>
        <v>-1244080.7310251058</v>
      </c>
      <c r="AV318" s="48">
        <f t="shared" si="779"/>
        <v>-1094187.1511452475</v>
      </c>
      <c r="AW318" s="48">
        <f t="shared" si="779"/>
        <v>-944293.57126538921</v>
      </c>
      <c r="AX318" s="48">
        <f t="shared" si="779"/>
        <v>-794399.99138553091</v>
      </c>
      <c r="AY318" s="48">
        <f t="shared" si="779"/>
        <v>-644506.41150567262</v>
      </c>
      <c r="AZ318" s="48">
        <f t="shared" si="779"/>
        <v>-494612.83162581432</v>
      </c>
      <c r="BA318" s="48">
        <f t="shared" si="779"/>
        <v>-344719.25174595602</v>
      </c>
      <c r="BB318" s="48">
        <f t="shared" si="779"/>
        <v>-231615.63457544209</v>
      </c>
      <c r="BC318" s="48">
        <f t="shared" si="779"/>
        <v>-80402.469699068286</v>
      </c>
      <c r="BD318" s="48">
        <f t="shared" si="779"/>
        <v>70810.695177305519</v>
      </c>
      <c r="BE318" s="48">
        <f t="shared" si="779"/>
        <v>222023.86005367932</v>
      </c>
      <c r="BF318" s="48">
        <f t="shared" si="779"/>
        <v>373237.02493005316</v>
      </c>
      <c r="BG318" s="48">
        <f t="shared" si="779"/>
        <v>524450.18980642699</v>
      </c>
      <c r="BH318" s="48">
        <f t="shared" si="779"/>
        <v>675663.35468280083</v>
      </c>
      <c r="BI318" s="48">
        <f t="shared" si="779"/>
        <v>826876.51955917466</v>
      </c>
      <c r="BJ318" s="48">
        <f t="shared" si="779"/>
        <v>978089.68443554849</v>
      </c>
      <c r="BK318" s="48">
        <f t="shared" si="779"/>
        <v>1129302.8493119222</v>
      </c>
      <c r="BL318" s="48">
        <f t="shared" si="779"/>
        <v>1280516.0141882959</v>
      </c>
      <c r="BM318" s="48">
        <f t="shared" si="779"/>
        <v>1431729.1790646696</v>
      </c>
      <c r="BN318" s="48">
        <f t="shared" si="779"/>
        <v>1549304.7643938994</v>
      </c>
      <c r="BO318" s="48">
        <f t="shared" si="779"/>
        <v>1704605.2061917256</v>
      </c>
      <c r="BP318" s="48">
        <f t="shared" si="779"/>
        <v>1859905.6479895518</v>
      </c>
      <c r="BQ318" s="48">
        <f t="shared" si="779"/>
        <v>2015206.089787378</v>
      </c>
      <c r="BR318" s="48">
        <f t="shared" si="779"/>
        <v>2170506.5315852039</v>
      </c>
      <c r="BS318" s="48">
        <f t="shared" ref="BS318:CX318" si="780">BR$318+BS$276</f>
        <v>2325806.9733830299</v>
      </c>
      <c r="BT318" s="48">
        <f t="shared" si="780"/>
        <v>2481107.4151808559</v>
      </c>
      <c r="BU318" s="48">
        <f t="shared" si="780"/>
        <v>2636407.8569786819</v>
      </c>
      <c r="BV318" s="48">
        <f t="shared" si="780"/>
        <v>2791708.2987765078</v>
      </c>
      <c r="BW318" s="48">
        <f t="shared" si="780"/>
        <v>2947008.7405743338</v>
      </c>
      <c r="BX318" s="48">
        <f t="shared" si="780"/>
        <v>3102309.1823721598</v>
      </c>
      <c r="BY318" s="48">
        <f t="shared" si="780"/>
        <v>3257609.6241699858</v>
      </c>
      <c r="BZ318" s="48">
        <f t="shared" si="780"/>
        <v>3378935.753434604</v>
      </c>
      <c r="CA318" s="48">
        <f t="shared" si="780"/>
        <v>3538351.7759240037</v>
      </c>
      <c r="CB318" s="48">
        <f t="shared" si="780"/>
        <v>3697767.7984134033</v>
      </c>
      <c r="CC318" s="48">
        <f t="shared" si="780"/>
        <v>3857183.820902803</v>
      </c>
      <c r="CD318" s="48">
        <f t="shared" si="780"/>
        <v>4016599.8433922026</v>
      </c>
      <c r="CE318" s="48">
        <f t="shared" si="780"/>
        <v>4176015.8658816023</v>
      </c>
      <c r="CF318" s="48">
        <f t="shared" si="780"/>
        <v>4335431.8883710019</v>
      </c>
      <c r="CG318" s="48">
        <f t="shared" si="780"/>
        <v>4494847.9108604016</v>
      </c>
      <c r="CH318" s="48">
        <f t="shared" si="780"/>
        <v>4654263.9333498012</v>
      </c>
      <c r="CI318" s="48">
        <f t="shared" si="780"/>
        <v>4813679.9558392009</v>
      </c>
      <c r="CJ318" s="48">
        <f t="shared" si="780"/>
        <v>4973095.9783286005</v>
      </c>
      <c r="CK318" s="48">
        <f t="shared" si="780"/>
        <v>5132512.0008180002</v>
      </c>
      <c r="CL318" s="48">
        <f t="shared" si="780"/>
        <v>5257613.6016697697</v>
      </c>
      <c r="CM318" s="48">
        <f t="shared" si="780"/>
        <v>5421173.4202160574</v>
      </c>
      <c r="CN318" s="48">
        <f t="shared" si="780"/>
        <v>5584733.2387623452</v>
      </c>
      <c r="CO318" s="48">
        <f t="shared" si="780"/>
        <v>5748293.0573086329</v>
      </c>
      <c r="CP318" s="48">
        <f t="shared" si="780"/>
        <v>5911852.8758549206</v>
      </c>
      <c r="CQ318" s="48">
        <f t="shared" si="780"/>
        <v>6075412.6944012083</v>
      </c>
      <c r="CR318" s="48">
        <f t="shared" si="780"/>
        <v>6238972.512947496</v>
      </c>
      <c r="CS318" s="48">
        <f t="shared" si="780"/>
        <v>6402532.3314937837</v>
      </c>
      <c r="CT318" s="48">
        <f t="shared" si="780"/>
        <v>6566092.1500400715</v>
      </c>
      <c r="CU318" s="48">
        <f t="shared" si="780"/>
        <v>6729651.9685863592</v>
      </c>
      <c r="CV318" s="48">
        <f t="shared" si="780"/>
        <v>6893211.7871326469</v>
      </c>
      <c r="CW318" s="48">
        <f t="shared" si="780"/>
        <v>7056771.6056789346</v>
      </c>
      <c r="CX318" s="48">
        <f t="shared" si="780"/>
        <v>7185673.4833785063</v>
      </c>
      <c r="CY318" s="48">
        <f t="shared" ref="CY318:ED318" si="781">CX$318+CY$276</f>
        <v>7353405.2130274139</v>
      </c>
      <c r="CZ318" s="48">
        <f t="shared" si="781"/>
        <v>7521136.9426763216</v>
      </c>
      <c r="DA318" s="48">
        <f t="shared" si="781"/>
        <v>7688868.6723252293</v>
      </c>
      <c r="DB318" s="48">
        <f t="shared" si="781"/>
        <v>7856600.4019741369</v>
      </c>
      <c r="DC318" s="48">
        <f t="shared" si="781"/>
        <v>8024332.1316230446</v>
      </c>
      <c r="DD318" s="48">
        <f t="shared" si="781"/>
        <v>8192063.8612719523</v>
      </c>
      <c r="DE318" s="48">
        <f t="shared" si="781"/>
        <v>8359795.5909208599</v>
      </c>
      <c r="DF318" s="48">
        <f t="shared" si="781"/>
        <v>8527527.3205697667</v>
      </c>
      <c r="DG318" s="48">
        <f t="shared" si="781"/>
        <v>8695259.0502186734</v>
      </c>
      <c r="DH318" s="48">
        <f t="shared" si="781"/>
        <v>8862990.7798675802</v>
      </c>
      <c r="DI318" s="48">
        <f t="shared" si="781"/>
        <v>9030722.5095164869</v>
      </c>
      <c r="DJ318" s="48">
        <f t="shared" si="781"/>
        <v>9163449.3346727956</v>
      </c>
      <c r="DK318" s="48">
        <f t="shared" si="781"/>
        <v>9335380.9777878821</v>
      </c>
      <c r="DL318" s="48">
        <f t="shared" si="781"/>
        <v>9507312.6209029686</v>
      </c>
      <c r="DM318" s="48">
        <f t="shared" si="781"/>
        <v>9679244.2640180551</v>
      </c>
      <c r="DN318" s="48">
        <f t="shared" si="781"/>
        <v>9851175.9071331415</v>
      </c>
      <c r="DO318" s="48">
        <f t="shared" si="781"/>
        <v>10023107.550248228</v>
      </c>
      <c r="DP318" s="48">
        <f t="shared" si="781"/>
        <v>10195039.193363314</v>
      </c>
      <c r="DQ318" s="48">
        <f t="shared" si="781"/>
        <v>10366970.836478401</v>
      </c>
      <c r="DR318" s="48">
        <f t="shared" si="781"/>
        <v>10538902.479593487</v>
      </c>
      <c r="DS318" s="48">
        <f t="shared" si="781"/>
        <v>10710834.122708574</v>
      </c>
      <c r="DT318" s="48">
        <f t="shared" si="781"/>
        <v>10882765.76582366</v>
      </c>
      <c r="DU318" s="48">
        <f t="shared" si="781"/>
        <v>15564459.926261026</v>
      </c>
      <c r="DV318" s="48">
        <f t="shared" si="781"/>
        <v>15564459.926261026</v>
      </c>
      <c r="DW318" s="48">
        <f t="shared" si="781"/>
        <v>15564459.926261026</v>
      </c>
      <c r="DX318" s="48">
        <f t="shared" si="781"/>
        <v>15564459.926261026</v>
      </c>
      <c r="DY318" s="48">
        <f t="shared" si="781"/>
        <v>15564459.926261026</v>
      </c>
      <c r="DZ318" s="48">
        <f t="shared" si="781"/>
        <v>15564459.926261026</v>
      </c>
      <c r="EA318" s="48">
        <f t="shared" si="781"/>
        <v>15564459.926261026</v>
      </c>
      <c r="EB318" s="48">
        <f t="shared" si="781"/>
        <v>15564459.926261026</v>
      </c>
      <c r="EC318" s="48">
        <f t="shared" si="781"/>
        <v>15564459.926261026</v>
      </c>
      <c r="ED318" s="48">
        <f t="shared" si="781"/>
        <v>15564459.926261026</v>
      </c>
      <c r="EE318" s="48">
        <f t="shared" ref="EE318:ES318" si="782">ED$318+EE$276</f>
        <v>15564459.926261026</v>
      </c>
      <c r="EF318" s="48">
        <f t="shared" si="782"/>
        <v>15564459.926261026</v>
      </c>
      <c r="EG318" s="48">
        <f t="shared" si="782"/>
        <v>15564459.926261026</v>
      </c>
      <c r="EH318" s="48">
        <f t="shared" si="782"/>
        <v>15564459.926261026</v>
      </c>
      <c r="EI318" s="48">
        <f t="shared" si="782"/>
        <v>15564459.926261026</v>
      </c>
      <c r="EJ318" s="48">
        <f t="shared" si="782"/>
        <v>15564459.926261026</v>
      </c>
      <c r="EK318" s="48">
        <f t="shared" si="782"/>
        <v>15564459.926261026</v>
      </c>
      <c r="EL318" s="48">
        <f t="shared" si="782"/>
        <v>15564459.926261026</v>
      </c>
      <c r="EM318" s="48">
        <f t="shared" si="782"/>
        <v>15564459.926261026</v>
      </c>
      <c r="EN318" s="48">
        <f t="shared" si="782"/>
        <v>15564459.926261026</v>
      </c>
      <c r="EO318" s="48">
        <f t="shared" si="782"/>
        <v>15564459.926261026</v>
      </c>
      <c r="EP318" s="48">
        <f t="shared" si="782"/>
        <v>15564459.926261026</v>
      </c>
      <c r="EQ318" s="48">
        <f t="shared" si="782"/>
        <v>15564459.926261026</v>
      </c>
      <c r="ER318" s="48">
        <f t="shared" si="782"/>
        <v>15564459.926261026</v>
      </c>
      <c r="ES318" s="48">
        <f t="shared" si="782"/>
        <v>15564459.926261026</v>
      </c>
    </row>
    <row r="319" spans="1:149" x14ac:dyDescent="0.3">
      <c r="A319" s="14" t="s">
        <v>1367</v>
      </c>
      <c r="B319" s="18" t="s">
        <v>1220</v>
      </c>
      <c r="C319" s="18" t="s">
        <v>290</v>
      </c>
      <c r="E319" s="69">
        <f>MAX(F319:ES319)</f>
        <v>49.531716069594879</v>
      </c>
      <c r="F319" s="50">
        <f>0</f>
        <v>0</v>
      </c>
      <c r="G319" s="50">
        <f>IF(AND(F$318&lt;0,G$318&gt;=0),0+(-F$318)/G$276,0)</f>
        <v>0</v>
      </c>
      <c r="H319" s="50">
        <f>IF(AND(G$318&lt;0,H$318&gt;=0),1+(-G$318)/H$276,0)</f>
        <v>0</v>
      </c>
      <c r="I319" s="50">
        <f>IF(AND(H$318&lt;0,I$318&gt;=0),2+(-H$318)/I$276,0)</f>
        <v>0</v>
      </c>
      <c r="J319" s="50">
        <f>IF(AND(I$318&lt;0,J$318&gt;=0),3+(-I$318)/J$276,0)</f>
        <v>0</v>
      </c>
      <c r="K319" s="50">
        <f>IF(AND(J$318&lt;0,K$318&gt;=0),4+(-J$318)/K$276,0)</f>
        <v>0</v>
      </c>
      <c r="L319" s="50">
        <f>IF(AND(K$318&lt;0,L$318&gt;=0),5+(-K$318)/L$276,0)</f>
        <v>0</v>
      </c>
      <c r="M319" s="50">
        <f>IF(AND(L$318&lt;0,M$318&gt;=0),6+(-L$318)/M$276,0)</f>
        <v>0</v>
      </c>
      <c r="N319" s="50">
        <f>IF(AND(M$318&lt;0,N$318&gt;=0),7+(-M$318)/N$276,0)</f>
        <v>0</v>
      </c>
      <c r="O319" s="50">
        <f>IF(AND(N$318&lt;0,O$318&gt;=0),8+(-N$318)/O$276,0)</f>
        <v>0</v>
      </c>
      <c r="P319" s="50">
        <f>IF(AND(O$318&lt;0,P$318&gt;=0),9+(-O$318)/P$276,0)</f>
        <v>0</v>
      </c>
      <c r="Q319" s="50">
        <f>IF(AND(P$318&lt;0,Q$318&gt;=0),10+(-P$318)/Q$276,0)</f>
        <v>0</v>
      </c>
      <c r="R319" s="50">
        <f>IF(AND(Q$318&lt;0,R$318&gt;=0),11+(-Q$318)/R$276,0)</f>
        <v>0</v>
      </c>
      <c r="S319" s="50">
        <f>IF(AND(R$318&lt;0,S$318&gt;=0),12+(-R$318)/S$276,0)</f>
        <v>0</v>
      </c>
      <c r="T319" s="50">
        <f>IF(AND(S$318&lt;0,T$318&gt;=0),13+(-S$318)/T$276,0)</f>
        <v>0</v>
      </c>
      <c r="U319" s="50">
        <f>IF(AND(T$318&lt;0,U$318&gt;=0),14+(-T$318)/U$276,0)</f>
        <v>0</v>
      </c>
      <c r="V319" s="50">
        <f>IF(AND(U$318&lt;0,V$318&gt;=0),15+(-U$318)/V$276,0)</f>
        <v>0</v>
      </c>
      <c r="W319" s="50">
        <f>IF(AND(V$318&lt;0,W$318&gt;=0),16+(-V$318)/W$276,0)</f>
        <v>0</v>
      </c>
      <c r="X319" s="50">
        <f>IF(AND(W$318&lt;0,X$318&gt;=0),17+(-W$318)/X$276,0)</f>
        <v>0</v>
      </c>
      <c r="Y319" s="50">
        <f>IF(AND(X$318&lt;0,Y$318&gt;=0),18+(-X$318)/Y$276,0)</f>
        <v>0</v>
      </c>
      <c r="Z319" s="50">
        <f>IF(AND(Y$318&lt;0,Z$318&gt;=0),19+(-Y$318)/Z$276,0)</f>
        <v>0</v>
      </c>
      <c r="AA319" s="50">
        <f>IF(AND(Z$318&lt;0,AA$318&gt;=0),20+(-Z$318)/AA$276,0)</f>
        <v>0</v>
      </c>
      <c r="AB319" s="50">
        <f>IF(AND(AA$318&lt;0,AB$318&gt;=0),21+(-AA$318)/AB$276,0)</f>
        <v>0</v>
      </c>
      <c r="AC319" s="50">
        <f>IF(AND(AB$318&lt;0,AC$318&gt;=0),22+(-AB$318)/AC$276,0)</f>
        <v>0</v>
      </c>
      <c r="AD319" s="50">
        <f>IF(AND(AC$318&lt;0,AD$318&gt;=0),23+(-AC$318)/AD$276,0)</f>
        <v>0</v>
      </c>
      <c r="AE319" s="50">
        <f>IF(AND(AD$318&lt;0,AE$318&gt;=0),24+(-AD$318)/AE$276,0)</f>
        <v>0</v>
      </c>
      <c r="AF319" s="50">
        <f>IF(AND(AE$318&lt;0,AF$318&gt;=0),25+(-AE$318)/AF$276,0)</f>
        <v>0</v>
      </c>
      <c r="AG319" s="50">
        <f>IF(AND(AF$318&lt;0,AG$318&gt;=0),26+(-AF$318)/AG$276,0)</f>
        <v>0</v>
      </c>
      <c r="AH319" s="50">
        <f>IF(AND(AG$318&lt;0,AH$318&gt;=0),27+(-AG$318)/AH$276,0)</f>
        <v>0</v>
      </c>
      <c r="AI319" s="50">
        <f>IF(AND(AH$318&lt;0,AI$318&gt;=0),28+(-AH$318)/AI$276,0)</f>
        <v>0</v>
      </c>
      <c r="AJ319" s="50">
        <f>IF(AND(AI$318&lt;0,AJ$318&gt;=0),29+(-AI$318)/AJ$276,0)</f>
        <v>0</v>
      </c>
      <c r="AK319" s="50">
        <f>IF(AND(AJ$318&lt;0,AK$318&gt;=0),30+(-AJ$318)/AK$276,0)</f>
        <v>0</v>
      </c>
      <c r="AL319" s="50">
        <f>IF(AND(AK$318&lt;0,AL$318&gt;=0),31+(-AK$318)/AL$276,0)</f>
        <v>0</v>
      </c>
      <c r="AM319" s="50">
        <f>IF(AND(AL$318&lt;0,AM$318&gt;=0),32+(-AL$318)/AM$276,0)</f>
        <v>0</v>
      </c>
      <c r="AN319" s="50">
        <f>IF(AND(AM$318&lt;0,AN$318&gt;=0),33+(-AM$318)/AN$276,0)</f>
        <v>0</v>
      </c>
      <c r="AO319" s="50">
        <f>IF(AND(AN$318&lt;0,AO$318&gt;=0),34+(-AN$318)/AO$276,0)</f>
        <v>0</v>
      </c>
      <c r="AP319" s="50">
        <f>IF(AND(AO$318&lt;0,AP$318&gt;=0),35+(-AO$318)/AP$276,0)</f>
        <v>0</v>
      </c>
      <c r="AQ319" s="50">
        <f>IF(AND(AP$318&lt;0,AQ$318&gt;=0),36+(-AP$318)/AQ$276,0)</f>
        <v>0</v>
      </c>
      <c r="AR319" s="50">
        <f>IF(AND(AQ$318&lt;0,AR$318&gt;=0),37+(-AQ$318)/AR$276,0)</f>
        <v>0</v>
      </c>
      <c r="AS319" s="50">
        <f>IF(AND(AR$318&lt;0,AS$318&gt;=0),38+(-AR$318)/AS$276,0)</f>
        <v>0</v>
      </c>
      <c r="AT319" s="50">
        <f>IF(AND(AS$318&lt;0,AT$318&gt;=0),39+(-AS$318)/AT$276,0)</f>
        <v>0</v>
      </c>
      <c r="AU319" s="50">
        <f>IF(AND(AT$318&lt;0,AU$318&gt;=0),40+(-AT$318)/AU$276,0)</f>
        <v>0</v>
      </c>
      <c r="AV319" s="50">
        <f>IF(AND(AU$318&lt;0,AV$318&gt;=0),41+(-AU$318)/AV$276,0)</f>
        <v>0</v>
      </c>
      <c r="AW319" s="50">
        <f>IF(AND(AV$318&lt;0,AW$318&gt;=0),42+(-AV$318)/AW$276,0)</f>
        <v>0</v>
      </c>
      <c r="AX319" s="50">
        <f>IF(AND(AW$318&lt;0,AX$318&gt;=0),43+(-AW$318)/AX$276,0)</f>
        <v>0</v>
      </c>
      <c r="AY319" s="50">
        <f>IF(AND(AX$318&lt;0,AY$318&gt;=0),44+(-AX$318)/AY$276,0)</f>
        <v>0</v>
      </c>
      <c r="AZ319" s="50">
        <f>IF(AND(AY$318&lt;0,AZ$318&gt;=0),45+(-AY$318)/AZ$276,0)</f>
        <v>0</v>
      </c>
      <c r="BA319" s="50">
        <f>IF(AND(AZ$318&lt;0,BA$318&gt;=0),46+(-AZ$318)/BA$276,0)</f>
        <v>0</v>
      </c>
      <c r="BB319" s="50">
        <f>IF(AND(BA$318&lt;0,BB$318&gt;=0),47+(-BA$318)/BB$276,0)</f>
        <v>0</v>
      </c>
      <c r="BC319" s="50">
        <f>IF(AND(BB$318&lt;0,BC$318&gt;=0),48+(-BB$318)/BC$276,0)</f>
        <v>0</v>
      </c>
      <c r="BD319" s="50">
        <f>IF(AND(BC$318&lt;0,BD$318&gt;=0),49+(-BC$318)/BD$276,0)</f>
        <v>49.531716069594879</v>
      </c>
      <c r="BE319" s="50">
        <f>IF(AND(BD$318&lt;0,BE$318&gt;=0),50+(-BD$318)/BE$276,0)</f>
        <v>0</v>
      </c>
      <c r="BF319" s="50">
        <f>IF(AND(BE$318&lt;0,BF$318&gt;=0),51+(-BE$318)/BF$276,0)</f>
        <v>0</v>
      </c>
      <c r="BG319" s="50">
        <f>IF(AND(BF$318&lt;0,BG$318&gt;=0),52+(-BF$318)/BG$276,0)</f>
        <v>0</v>
      </c>
      <c r="BH319" s="50">
        <f>IF(AND(BG$318&lt;0,BH$318&gt;=0),53+(-BG$318)/BH$276,0)</f>
        <v>0</v>
      </c>
      <c r="BI319" s="50">
        <f>IF(AND(BH$318&lt;0,BI$318&gt;=0),54+(-BH$318)/BI$276,0)</f>
        <v>0</v>
      </c>
      <c r="BJ319" s="50">
        <f>IF(AND(BI$318&lt;0,BJ$318&gt;=0),55+(-BI$318)/BJ$276,0)</f>
        <v>0</v>
      </c>
      <c r="BK319" s="50">
        <f>IF(AND(BJ$318&lt;0,BK$318&gt;=0),56+(-BJ$318)/BK$276,0)</f>
        <v>0</v>
      </c>
      <c r="BL319" s="50">
        <f>IF(AND(BK$318&lt;0,BL$318&gt;=0),57+(-BK$318)/BL$276,0)</f>
        <v>0</v>
      </c>
      <c r="BM319" s="50">
        <f>IF(AND(BL$318&lt;0,BM$318&gt;=0),58+(-BL$318)/BM$276,0)</f>
        <v>0</v>
      </c>
      <c r="BN319" s="50">
        <f>IF(AND(BM$318&lt;0,BN$318&gt;=0),59+(-BM$318)/BN$276,0)</f>
        <v>0</v>
      </c>
      <c r="BO319" s="50">
        <f>IF(AND(BN$318&lt;0,BO$318&gt;=0),60+(-BN$318)/BO$276,0)</f>
        <v>0</v>
      </c>
      <c r="BP319" s="50">
        <f>IF(AND(BO$318&lt;0,BP$318&gt;=0),61+(-BO$318)/BP$276,0)</f>
        <v>0</v>
      </c>
      <c r="BQ319" s="50">
        <f>IF(AND(BP$318&lt;0,BQ$318&gt;=0),62+(-BP$318)/BQ$276,0)</f>
        <v>0</v>
      </c>
      <c r="BR319" s="50">
        <f>IF(AND(BQ$318&lt;0,BR$318&gt;=0),63+(-BQ$318)/BR$276,0)</f>
        <v>0</v>
      </c>
      <c r="BS319" s="50">
        <f>IF(AND(BR$318&lt;0,BS$318&gt;=0),64+(-BR$318)/BS$276,0)</f>
        <v>0</v>
      </c>
      <c r="BT319" s="50">
        <f>IF(AND(BS$318&lt;0,BT$318&gt;=0),65+(-BS$318)/BT$276,0)</f>
        <v>0</v>
      </c>
      <c r="BU319" s="50">
        <f>IF(AND(BT$318&lt;0,BU$318&gt;=0),66+(-BT$318)/BU$276,0)</f>
        <v>0</v>
      </c>
      <c r="BV319" s="50">
        <f>IF(AND(BU$318&lt;0,BV$318&gt;=0),67+(-BU$318)/BV$276,0)</f>
        <v>0</v>
      </c>
      <c r="BW319" s="50">
        <f>IF(AND(BV$318&lt;0,BW$318&gt;=0),68+(-BV$318)/BW$276,0)</f>
        <v>0</v>
      </c>
      <c r="BX319" s="50">
        <f>IF(AND(BW$318&lt;0,BX$318&gt;=0),69+(-BW$318)/BX$276,0)</f>
        <v>0</v>
      </c>
      <c r="BY319" s="50">
        <f>IF(AND(BX$318&lt;0,BY$318&gt;=0),70+(-BX$318)/BY$276,0)</f>
        <v>0</v>
      </c>
      <c r="BZ319" s="50">
        <f>IF(AND(BY$318&lt;0,BZ$318&gt;=0),71+(-BY$318)/BZ$276,0)</f>
        <v>0</v>
      </c>
      <c r="CA319" s="50">
        <f>IF(AND(BZ$318&lt;0,CA$318&gt;=0),72+(-BZ$318)/CA$276,0)</f>
        <v>0</v>
      </c>
      <c r="CB319" s="50">
        <f>IF(AND(CA$318&lt;0,CB$318&gt;=0),73+(-CA$318)/CB$276,0)</f>
        <v>0</v>
      </c>
      <c r="CC319" s="50">
        <f>IF(AND(CB$318&lt;0,CC$318&gt;=0),74+(-CB$318)/CC$276,0)</f>
        <v>0</v>
      </c>
      <c r="CD319" s="50">
        <f>IF(AND(CC$318&lt;0,CD$318&gt;=0),75+(-CC$318)/CD$276,0)</f>
        <v>0</v>
      </c>
      <c r="CE319" s="50">
        <f>IF(AND(CD$318&lt;0,CE$318&gt;=0),76+(-CD$318)/CE$276,0)</f>
        <v>0</v>
      </c>
      <c r="CF319" s="50">
        <f>IF(AND(CE$318&lt;0,CF$318&gt;=0),77+(-CE$318)/CF$276,0)</f>
        <v>0</v>
      </c>
      <c r="CG319" s="50">
        <f>IF(AND(CF$318&lt;0,CG$318&gt;=0),78+(-CF$318)/CG$276,0)</f>
        <v>0</v>
      </c>
      <c r="CH319" s="50">
        <f>IF(AND(CG$318&lt;0,CH$318&gt;=0),79+(-CG$318)/CH$276,0)</f>
        <v>0</v>
      </c>
      <c r="CI319" s="50">
        <f>IF(AND(CH$318&lt;0,CI$318&gt;=0),80+(-CH$318)/CI$276,0)</f>
        <v>0</v>
      </c>
      <c r="CJ319" s="50">
        <f>IF(AND(CI$318&lt;0,CJ$318&gt;=0),81+(-CI$318)/CJ$276,0)</f>
        <v>0</v>
      </c>
      <c r="CK319" s="50">
        <f>IF(AND(CJ$318&lt;0,CK$318&gt;=0),82+(-CJ$318)/CK$276,0)</f>
        <v>0</v>
      </c>
      <c r="CL319" s="50">
        <f>IF(AND(CK$318&lt;0,CL$318&gt;=0),83+(-CK$318)/CL$276,0)</f>
        <v>0</v>
      </c>
      <c r="CM319" s="50">
        <f>IF(AND(CL$318&lt;0,CM$318&gt;=0),84+(-CL$318)/CM$276,0)</f>
        <v>0</v>
      </c>
      <c r="CN319" s="50">
        <f>IF(AND(CM$318&lt;0,CN$318&gt;=0),85+(-CM$318)/CN$276,0)</f>
        <v>0</v>
      </c>
      <c r="CO319" s="50">
        <f>IF(AND(CN$318&lt;0,CO$318&gt;=0),86+(-CN$318)/CO$276,0)</f>
        <v>0</v>
      </c>
      <c r="CP319" s="50">
        <f>IF(AND(CO$318&lt;0,CP$318&gt;=0),87+(-CO$318)/CP$276,0)</f>
        <v>0</v>
      </c>
      <c r="CQ319" s="50">
        <f>IF(AND(CP$318&lt;0,CQ$318&gt;=0),88+(-CP$318)/CQ$276,0)</f>
        <v>0</v>
      </c>
      <c r="CR319" s="50">
        <f>IF(AND(CQ$318&lt;0,CR$318&gt;=0),89+(-CQ$318)/CR$276,0)</f>
        <v>0</v>
      </c>
      <c r="CS319" s="50">
        <f>IF(AND(CR$318&lt;0,CS$318&gt;=0),90+(-CR$318)/CS$276,0)</f>
        <v>0</v>
      </c>
      <c r="CT319" s="50">
        <f>IF(AND(CS$318&lt;0,CT$318&gt;=0),91+(-CS$318)/CT$276,0)</f>
        <v>0</v>
      </c>
      <c r="CU319" s="50">
        <f>IF(AND(CT$318&lt;0,CU$318&gt;=0),92+(-CT$318)/CU$276,0)</f>
        <v>0</v>
      </c>
      <c r="CV319" s="50">
        <f>IF(AND(CU$318&lt;0,CV$318&gt;=0),93+(-CU$318)/CV$276,0)</f>
        <v>0</v>
      </c>
      <c r="CW319" s="50">
        <f>IF(AND(CV$318&lt;0,CW$318&gt;=0),94+(-CV$318)/CW$276,0)</f>
        <v>0</v>
      </c>
      <c r="CX319" s="50">
        <f>IF(AND(CW$318&lt;0,CX$318&gt;=0),95+(-CW$318)/CX$276,0)</f>
        <v>0</v>
      </c>
      <c r="CY319" s="50">
        <f>IF(AND(CX$318&lt;0,CY$318&gt;=0),96+(-CX$318)/CY$276,0)</f>
        <v>0</v>
      </c>
      <c r="CZ319" s="50">
        <f>IF(AND(CY$318&lt;0,CZ$318&gt;=0),97+(-CY$318)/CZ$276,0)</f>
        <v>0</v>
      </c>
      <c r="DA319" s="50">
        <f>IF(AND(CZ$318&lt;0,DA$318&gt;=0),98+(-CZ$318)/DA$276,0)</f>
        <v>0</v>
      </c>
      <c r="DB319" s="50">
        <f>IF(AND(DA$318&lt;0,DB$318&gt;=0),99+(-DA$318)/DB$276,0)</f>
        <v>0</v>
      </c>
      <c r="DC319" s="50">
        <f>IF(AND(DB$318&lt;0,DC$318&gt;=0),100+(-DB$318)/DC$276,0)</f>
        <v>0</v>
      </c>
      <c r="DD319" s="50">
        <f>IF(AND(DC$318&lt;0,DD$318&gt;=0),101+(-DC$318)/DD$276,0)</f>
        <v>0</v>
      </c>
      <c r="DE319" s="50">
        <f>IF(AND(DD$318&lt;0,DE$318&gt;=0),102+(-DD$318)/DE$276,0)</f>
        <v>0</v>
      </c>
      <c r="DF319" s="50">
        <f>IF(AND(DE$318&lt;0,DF$318&gt;=0),103+(-DE$318)/DF$276,0)</f>
        <v>0</v>
      </c>
      <c r="DG319" s="50">
        <f>IF(AND(DF$318&lt;0,DG$318&gt;=0),104+(-DF$318)/DG$276,0)</f>
        <v>0</v>
      </c>
      <c r="DH319" s="50">
        <f>IF(AND(DG$318&lt;0,DH$318&gt;=0),105+(-DG$318)/DH$276,0)</f>
        <v>0</v>
      </c>
      <c r="DI319" s="50">
        <f>IF(AND(DH$318&lt;0,DI$318&gt;=0),106+(-DH$318)/DI$276,0)</f>
        <v>0</v>
      </c>
      <c r="DJ319" s="50">
        <f>IF(AND(DI$318&lt;0,DJ$318&gt;=0),107+(-DI$318)/DJ$276,0)</f>
        <v>0</v>
      </c>
      <c r="DK319" s="50">
        <f>IF(AND(DJ$318&lt;0,DK$318&gt;=0),108+(-DJ$318)/DK$276,0)</f>
        <v>0</v>
      </c>
      <c r="DL319" s="50">
        <f>IF(AND(DK$318&lt;0,DL$318&gt;=0),109+(-DK$318)/DL$276,0)</f>
        <v>0</v>
      </c>
      <c r="DM319" s="50">
        <f>IF(AND(DL$318&lt;0,DM$318&gt;=0),110+(-DL$318)/DM$276,0)</f>
        <v>0</v>
      </c>
      <c r="DN319" s="50">
        <f>IF(AND(DM$318&lt;0,DN$318&gt;=0),111+(-DM$318)/DN$276,0)</f>
        <v>0</v>
      </c>
      <c r="DO319" s="50">
        <f>IF(AND(DN$318&lt;0,DO$318&gt;=0),112+(-DN$318)/DO$276,0)</f>
        <v>0</v>
      </c>
      <c r="DP319" s="50">
        <f>IF(AND(DO$318&lt;0,DP$318&gt;=0),113+(-DO$318)/DP$276,0)</f>
        <v>0</v>
      </c>
      <c r="DQ319" s="50">
        <f>IF(AND(DP$318&lt;0,DQ$318&gt;=0),114+(-DP$318)/DQ$276,0)</f>
        <v>0</v>
      </c>
      <c r="DR319" s="50">
        <f>IF(AND(DQ$318&lt;0,DR$318&gt;=0),115+(-DQ$318)/DR$276,0)</f>
        <v>0</v>
      </c>
      <c r="DS319" s="50">
        <f>IF(AND(DR$318&lt;0,DS$318&gt;=0),116+(-DR$318)/DS$276,0)</f>
        <v>0</v>
      </c>
      <c r="DT319" s="50">
        <f>IF(AND(DS$318&lt;0,DT$318&gt;=0),117+(-DS$318)/DT$276,0)</f>
        <v>0</v>
      </c>
      <c r="DU319" s="50">
        <f>IF(AND(DT$318&lt;0,DU$318&gt;=0),118+(-DT$318)/DU$276,0)</f>
        <v>0</v>
      </c>
      <c r="DV319" s="50">
        <f>IF(AND(DU$318&lt;0,DV$318&gt;=0),119+(-DU$318)/DV$276,0)</f>
        <v>0</v>
      </c>
      <c r="DW319" s="50">
        <f>IF(AND(DV$318&lt;0,DW$318&gt;=0),120+(-DV$318)/DW$276,0)</f>
        <v>0</v>
      </c>
      <c r="DX319" s="50">
        <f>IF(AND(DW$318&lt;0,DX$318&gt;=0),121+(-DW$318)/DX$276,0)</f>
        <v>0</v>
      </c>
      <c r="DY319" s="50">
        <f>IF(AND(DX$318&lt;0,DY$318&gt;=0),122+(-DX$318)/DY$276,0)</f>
        <v>0</v>
      </c>
      <c r="DZ319" s="50">
        <f>IF(AND(DY$318&lt;0,DZ$318&gt;=0),123+(-DY$318)/DZ$276,0)</f>
        <v>0</v>
      </c>
      <c r="EA319" s="50">
        <f>IF(AND(DZ$318&lt;0,EA$318&gt;=0),124+(-DZ$318)/EA$276,0)</f>
        <v>0</v>
      </c>
      <c r="EB319" s="50">
        <f>IF(AND(EA$318&lt;0,EB$318&gt;=0),125+(-EA$318)/EB$276,0)</f>
        <v>0</v>
      </c>
      <c r="EC319" s="50">
        <f>IF(AND(EB$318&lt;0,EC$318&gt;=0),126+(-EB$318)/EC$276,0)</f>
        <v>0</v>
      </c>
      <c r="ED319" s="50">
        <f>IF(AND(EC$318&lt;0,ED$318&gt;=0),127+(-EC$318)/ED$276,0)</f>
        <v>0</v>
      </c>
      <c r="EE319" s="50">
        <f>IF(AND(ED$318&lt;0,EE$318&gt;=0),128+(-ED$318)/EE$276,0)</f>
        <v>0</v>
      </c>
      <c r="EF319" s="50">
        <f>IF(AND(EE$318&lt;0,EF$318&gt;=0),129+(-EE$318)/EF$276,0)</f>
        <v>0</v>
      </c>
      <c r="EG319" s="50">
        <f>IF(AND(EF$318&lt;0,EG$318&gt;=0),130+(-EF$318)/EG$276,0)</f>
        <v>0</v>
      </c>
      <c r="EH319" s="50">
        <f>IF(AND(EG$318&lt;0,EH$318&gt;=0),131+(-EG$318)/EH$276,0)</f>
        <v>0</v>
      </c>
      <c r="EI319" s="50">
        <f>IF(AND(EH$318&lt;0,EI$318&gt;=0),132+(-EH$318)/EI$276,0)</f>
        <v>0</v>
      </c>
      <c r="EJ319" s="50">
        <f>IF(AND(EI$318&lt;0,EJ$318&gt;=0),133+(-EI$318)/EJ$276,0)</f>
        <v>0</v>
      </c>
      <c r="EK319" s="50">
        <f>IF(AND(EJ$318&lt;0,EK$318&gt;=0),134+(-EJ$318)/EK$276,0)</f>
        <v>0</v>
      </c>
      <c r="EL319" s="50">
        <f>IF(AND(EK$318&lt;0,EL$318&gt;=0),135+(-EK$318)/EL$276,0)</f>
        <v>0</v>
      </c>
      <c r="EM319" s="50">
        <f>IF(AND(EL$318&lt;0,EM$318&gt;=0),136+(-EL$318)/EM$276,0)</f>
        <v>0</v>
      </c>
      <c r="EN319" s="50">
        <f>IF(AND(EM$318&lt;0,EN$318&gt;=0),137+(-EM$318)/EN$276,0)</f>
        <v>0</v>
      </c>
      <c r="EO319" s="50">
        <f>IF(AND(EN$318&lt;0,EO$318&gt;=0),138+(-EN$318)/EO$276,0)</f>
        <v>0</v>
      </c>
      <c r="EP319" s="50">
        <f>IF(AND(EO$318&lt;0,EP$318&gt;=0),139+(-EO$318)/EP$276,0)</f>
        <v>0</v>
      </c>
      <c r="EQ319" s="50">
        <f>IF(AND(EP$318&lt;0,EQ$318&gt;=0),140+(-EP$318)/EQ$276,0)</f>
        <v>0</v>
      </c>
      <c r="ER319" s="50">
        <f>IF(AND(EQ$318&lt;0,ER$318&gt;=0),141+(-EQ$318)/ER$276,0)</f>
        <v>0</v>
      </c>
      <c r="ES319" s="50">
        <f>IF(AND(ER$318&lt;0,ES$318&gt;=0),142+(-ER$318)/ES$276,0)</f>
        <v>0</v>
      </c>
    </row>
    <row r="320" spans="1:149" x14ac:dyDescent="0.3">
      <c r="A320" s="14" t="s">
        <v>1368</v>
      </c>
      <c r="B320" s="18" t="s">
        <v>1222</v>
      </c>
      <c r="C320" s="18" t="s">
        <v>439</v>
      </c>
      <c r="E320" s="54">
        <f>INDEX(F320:ES320,1,MIN(144,Fin))</f>
        <v>6147646.1614983743</v>
      </c>
      <c r="F320" s="48">
        <f>0+F$294+F$263-F$309+F$311</f>
        <v>781282.89030892309</v>
      </c>
      <c r="G320" s="48">
        <f t="shared" ref="G320:AL320" si="783">F$320+G$294+G$263-G$309+G$311</f>
        <v>794783.78061784618</v>
      </c>
      <c r="H320" s="48">
        <f t="shared" si="783"/>
        <v>808284.67092676926</v>
      </c>
      <c r="I320" s="48">
        <f t="shared" si="783"/>
        <v>821785.56123569235</v>
      </c>
      <c r="J320" s="48">
        <f t="shared" si="783"/>
        <v>835286.45154461544</v>
      </c>
      <c r="K320" s="48">
        <f t="shared" si="783"/>
        <v>848787.34185353853</v>
      </c>
      <c r="L320" s="48">
        <f t="shared" si="783"/>
        <v>862288.23216246162</v>
      </c>
      <c r="M320" s="48">
        <f t="shared" si="783"/>
        <v>876136.63973016583</v>
      </c>
      <c r="N320" s="48">
        <f t="shared" si="783"/>
        <v>890335.17093609215</v>
      </c>
      <c r="O320" s="48">
        <f t="shared" si="783"/>
        <v>904886.45170752716</v>
      </c>
      <c r="P320" s="48">
        <f t="shared" si="783"/>
        <v>919793.12766621215</v>
      </c>
      <c r="Q320" s="48">
        <f t="shared" si="783"/>
        <v>935057.86427605152</v>
      </c>
      <c r="R320" s="48">
        <f t="shared" si="783"/>
        <v>1359776.9161769706</v>
      </c>
      <c r="S320" s="48">
        <f t="shared" si="783"/>
        <v>1412931.419779723</v>
      </c>
      <c r="T320" s="48">
        <f t="shared" si="783"/>
        <v>1466452.1009720727</v>
      </c>
      <c r="U320" s="48">
        <f t="shared" si="783"/>
        <v>1520341.7060859413</v>
      </c>
      <c r="V320" s="48">
        <f t="shared" si="783"/>
        <v>1574603.0020507404</v>
      </c>
      <c r="W320" s="48">
        <f t="shared" si="783"/>
        <v>1629238.776547852</v>
      </c>
      <c r="X320" s="48">
        <f t="shared" si="783"/>
        <v>1684251.8381662683</v>
      </c>
      <c r="Y320" s="48">
        <f t="shared" si="783"/>
        <v>1739645.0165593992</v>
      </c>
      <c r="Z320" s="48">
        <f t="shared" si="783"/>
        <v>1795421.1626030549</v>
      </c>
      <c r="AA320" s="48">
        <f t="shared" si="783"/>
        <v>1851583.1485546145</v>
      </c>
      <c r="AB320" s="48">
        <f t="shared" si="783"/>
        <v>1908133.8682133872</v>
      </c>
      <c r="AC320" s="48">
        <f t="shared" si="783"/>
        <v>1965076.2370821771</v>
      </c>
      <c r="AD320" s="48">
        <f t="shared" si="783"/>
        <v>2059001.8204012194</v>
      </c>
      <c r="AE320" s="48">
        <f t="shared" si="783"/>
        <v>2153324.9496986973</v>
      </c>
      <c r="AF320" s="48">
        <f t="shared" si="783"/>
        <v>2248048.606569449</v>
      </c>
      <c r="AG320" s="48">
        <f t="shared" si="783"/>
        <v>2343175.794970274</v>
      </c>
      <c r="AH320" s="48">
        <f t="shared" si="783"/>
        <v>2438709.5413876479</v>
      </c>
      <c r="AI320" s="48">
        <f t="shared" si="783"/>
        <v>2534652.8950066948</v>
      </c>
      <c r="AJ320" s="48">
        <f t="shared" si="783"/>
        <v>2631008.9278814276</v>
      </c>
      <c r="AK320" s="48">
        <f t="shared" si="783"/>
        <v>2727780.7351062633</v>
      </c>
      <c r="AL320" s="48">
        <f t="shared" si="783"/>
        <v>2824971.4349888284</v>
      </c>
      <c r="AM320" s="48">
        <f t="shared" ref="AM320:BR320" si="784">AL$320+AM$294+AM$263-AM$309+AM$311</f>
        <v>2922584.169224055</v>
      </c>
      <c r="AN320" s="48">
        <f t="shared" si="784"/>
        <v>3020622.103069589</v>
      </c>
      <c r="AO320" s="48">
        <f t="shared" si="784"/>
        <v>3119088.4255225072</v>
      </c>
      <c r="AP320" s="48">
        <f t="shared" si="784"/>
        <v>3250794.8985120985</v>
      </c>
      <c r="AQ320" s="48">
        <f t="shared" si="784"/>
        <v>3382936.2100350438</v>
      </c>
      <c r="AR320" s="48">
        <f t="shared" si="784"/>
        <v>3515515.6213803436</v>
      </c>
      <c r="AS320" s="48">
        <f t="shared" si="784"/>
        <v>3648536.4182966654</v>
      </c>
      <c r="AT320" s="48">
        <f t="shared" si="784"/>
        <v>3782001.9111757916</v>
      </c>
      <c r="AU320" s="48">
        <f t="shared" si="784"/>
        <v>3915915.4352374435</v>
      </c>
      <c r="AV320" s="48">
        <f t="shared" si="784"/>
        <v>4050280.3507154901</v>
      </c>
      <c r="AW320" s="48">
        <f t="shared" si="784"/>
        <v>4185100.0430455543</v>
      </c>
      <c r="AX320" s="48">
        <f t="shared" si="784"/>
        <v>4320377.9230540264</v>
      </c>
      <c r="AY320" s="48">
        <f t="shared" si="784"/>
        <v>4456117.4271484939</v>
      </c>
      <c r="AZ320" s="48">
        <f t="shared" si="784"/>
        <v>4592322.017509602</v>
      </c>
      <c r="BA320" s="48">
        <f t="shared" si="784"/>
        <v>4728995.1822843514</v>
      </c>
      <c r="BB320" s="48">
        <f t="shared" si="784"/>
        <v>4867460.0207773587</v>
      </c>
      <c r="BC320" s="48">
        <f t="shared" si="784"/>
        <v>5006400.488657522</v>
      </c>
      <c r="BD320" s="48">
        <f t="shared" si="784"/>
        <v>5145820.1531452453</v>
      </c>
      <c r="BE320" s="48">
        <f t="shared" si="784"/>
        <v>4480769.2298341617</v>
      </c>
      <c r="BF320" s="48">
        <f t="shared" si="784"/>
        <v>4621158.0964154834</v>
      </c>
      <c r="BG320" s="48">
        <f t="shared" si="784"/>
        <v>4762037.0225946233</v>
      </c>
      <c r="BH320" s="48">
        <f t="shared" si="784"/>
        <v>4903409.6838185648</v>
      </c>
      <c r="BI320" s="48">
        <f t="shared" si="784"/>
        <v>5045279.783100144</v>
      </c>
      <c r="BJ320" s="48">
        <f t="shared" si="784"/>
        <v>5187651.0512247933</v>
      </c>
      <c r="BK320" s="48">
        <f t="shared" si="784"/>
        <v>5330527.246958836</v>
      </c>
      <c r="BL320" s="48">
        <f t="shared" si="784"/>
        <v>5473912.1572593423</v>
      </c>
      <c r="BM320" s="48">
        <f t="shared" si="784"/>
        <v>5617809.5974855609</v>
      </c>
      <c r="BN320" s="48">
        <f t="shared" si="784"/>
        <v>5767325.32186672</v>
      </c>
      <c r="BO320" s="48">
        <f t="shared" si="784"/>
        <v>5916841.046247879</v>
      </c>
      <c r="BP320" s="48">
        <f t="shared" si="784"/>
        <v>6066356.7706290381</v>
      </c>
      <c r="BQ320" s="48">
        <f t="shared" si="784"/>
        <v>4751945.9506419767</v>
      </c>
      <c r="BR320" s="48">
        <f t="shared" si="784"/>
        <v>4901461.6750231357</v>
      </c>
      <c r="BS320" s="48">
        <f t="shared" ref="BS320:CX320" si="785">BR$320+BS$294+BS$263-BS$309+BS$311</f>
        <v>5050977.3994042948</v>
      </c>
      <c r="BT320" s="48">
        <f t="shared" si="785"/>
        <v>5200493.1237854538</v>
      </c>
      <c r="BU320" s="48">
        <f t="shared" si="785"/>
        <v>5350008.8481666129</v>
      </c>
      <c r="BV320" s="48">
        <f t="shared" si="785"/>
        <v>5499524.572547772</v>
      </c>
      <c r="BW320" s="48">
        <f t="shared" si="785"/>
        <v>5649040.296928931</v>
      </c>
      <c r="BX320" s="48">
        <f t="shared" si="785"/>
        <v>5798556.0213100901</v>
      </c>
      <c r="BY320" s="48">
        <f t="shared" si="785"/>
        <v>5948071.7456912491</v>
      </c>
      <c r="BZ320" s="48">
        <f t="shared" si="785"/>
        <v>6101703.0507639823</v>
      </c>
      <c r="CA320" s="48">
        <f t="shared" si="785"/>
        <v>6255334.3558367155</v>
      </c>
      <c r="CB320" s="48">
        <f t="shared" si="785"/>
        <v>6408965.6609094488</v>
      </c>
      <c r="CC320" s="48">
        <f t="shared" si="785"/>
        <v>4768408.2734082676</v>
      </c>
      <c r="CD320" s="48">
        <f t="shared" si="785"/>
        <v>4922039.5784810008</v>
      </c>
      <c r="CE320" s="48">
        <f t="shared" si="785"/>
        <v>5075670.883553734</v>
      </c>
      <c r="CF320" s="48">
        <f t="shared" si="785"/>
        <v>5229302.1886264673</v>
      </c>
      <c r="CG320" s="48">
        <f t="shared" si="785"/>
        <v>5382933.4936992005</v>
      </c>
      <c r="CH320" s="48">
        <f t="shared" si="785"/>
        <v>5536564.7987719337</v>
      </c>
      <c r="CI320" s="48">
        <f t="shared" si="785"/>
        <v>5690196.1038446669</v>
      </c>
      <c r="CJ320" s="48">
        <f t="shared" si="785"/>
        <v>5843827.4089174001</v>
      </c>
      <c r="CK320" s="48">
        <f t="shared" si="785"/>
        <v>5997458.7139901333</v>
      </c>
      <c r="CL320" s="48">
        <f t="shared" si="785"/>
        <v>6155233.8151197545</v>
      </c>
      <c r="CM320" s="48">
        <f t="shared" si="785"/>
        <v>6313008.9162493758</v>
      </c>
      <c r="CN320" s="48">
        <f t="shared" si="785"/>
        <v>6470784.0173789971</v>
      </c>
      <c r="CO320" s="48">
        <f t="shared" si="785"/>
        <v>4784983.4576358199</v>
      </c>
      <c r="CP320" s="48">
        <f t="shared" si="785"/>
        <v>4942758.5587654412</v>
      </c>
      <c r="CQ320" s="48">
        <f t="shared" si="785"/>
        <v>5100533.6598950624</v>
      </c>
      <c r="CR320" s="48">
        <f t="shared" si="785"/>
        <v>5258308.7610246837</v>
      </c>
      <c r="CS320" s="48">
        <f t="shared" si="785"/>
        <v>5416083.862154305</v>
      </c>
      <c r="CT320" s="48">
        <f t="shared" si="785"/>
        <v>5573858.9632839262</v>
      </c>
      <c r="CU320" s="48">
        <f t="shared" si="785"/>
        <v>5731634.0644135475</v>
      </c>
      <c r="CV320" s="48">
        <f t="shared" si="785"/>
        <v>5889409.1655431688</v>
      </c>
      <c r="CW320" s="48">
        <f t="shared" si="785"/>
        <v>6047184.2666727901</v>
      </c>
      <c r="CX320" s="48">
        <f t="shared" si="785"/>
        <v>6209131.2789050313</v>
      </c>
      <c r="CY320" s="48">
        <f t="shared" ref="CY320:ED320" si="786">CX$320+CY$294+CY$263-CY$309+CY$311</f>
        <v>6371078.2911372725</v>
      </c>
      <c r="CZ320" s="48">
        <f t="shared" si="786"/>
        <v>6533025.3033695137</v>
      </c>
      <c r="DA320" s="48">
        <f t="shared" si="786"/>
        <v>4801671.1020463053</v>
      </c>
      <c r="DB320" s="48">
        <f t="shared" si="786"/>
        <v>4963618.1142785465</v>
      </c>
      <c r="DC320" s="48">
        <f t="shared" si="786"/>
        <v>5125565.1265107878</v>
      </c>
      <c r="DD320" s="48">
        <f t="shared" si="786"/>
        <v>5287512.138743029</v>
      </c>
      <c r="DE320" s="48">
        <f t="shared" si="786"/>
        <v>5449459.1509752702</v>
      </c>
      <c r="DF320" s="48">
        <f t="shared" si="786"/>
        <v>5611406.1632075114</v>
      </c>
      <c r="DG320" s="48">
        <f t="shared" si="786"/>
        <v>5773353.1754397526</v>
      </c>
      <c r="DH320" s="48">
        <f t="shared" si="786"/>
        <v>5935300.1876719939</v>
      </c>
      <c r="DI320" s="48">
        <f t="shared" si="786"/>
        <v>6097247.1999042351</v>
      </c>
      <c r="DJ320" s="48">
        <f t="shared" si="786"/>
        <v>6263394.1256026542</v>
      </c>
      <c r="DK320" s="48">
        <f t="shared" si="786"/>
        <v>6429541.0513010733</v>
      </c>
      <c r="DL320" s="48">
        <f t="shared" si="786"/>
        <v>6595687.9769994924</v>
      </c>
      <c r="DM320" s="48">
        <f t="shared" si="786"/>
        <v>4818470.7559110215</v>
      </c>
      <c r="DN320" s="48">
        <f t="shared" si="786"/>
        <v>4984617.6816094406</v>
      </c>
      <c r="DO320" s="48">
        <f t="shared" si="786"/>
        <v>5150764.6073078597</v>
      </c>
      <c r="DP320" s="48">
        <f t="shared" si="786"/>
        <v>5316911.5330062788</v>
      </c>
      <c r="DQ320" s="48">
        <f t="shared" si="786"/>
        <v>5483058.4587046979</v>
      </c>
      <c r="DR320" s="48">
        <f t="shared" si="786"/>
        <v>5649205.384403117</v>
      </c>
      <c r="DS320" s="48">
        <f t="shared" si="786"/>
        <v>5815352.3101015361</v>
      </c>
      <c r="DT320" s="48">
        <f t="shared" si="786"/>
        <v>5981499.2357999552</v>
      </c>
      <c r="DU320" s="48">
        <f t="shared" si="786"/>
        <v>6147646.1614983743</v>
      </c>
      <c r="DV320" s="48">
        <f t="shared" si="786"/>
        <v>6147646.1614983743</v>
      </c>
      <c r="DW320" s="48">
        <f t="shared" si="786"/>
        <v>6147646.1614983743</v>
      </c>
      <c r="DX320" s="48">
        <f t="shared" si="786"/>
        <v>6147646.1614983743</v>
      </c>
      <c r="DY320" s="48">
        <f t="shared" si="786"/>
        <v>6147646.1614983743</v>
      </c>
      <c r="DZ320" s="48">
        <f t="shared" si="786"/>
        <v>6147646.1614983743</v>
      </c>
      <c r="EA320" s="48">
        <f t="shared" si="786"/>
        <v>6147646.1614983743</v>
      </c>
      <c r="EB320" s="48">
        <f t="shared" si="786"/>
        <v>6147646.1614983743</v>
      </c>
      <c r="EC320" s="48">
        <f t="shared" si="786"/>
        <v>6147646.1614983743</v>
      </c>
      <c r="ED320" s="48">
        <f t="shared" si="786"/>
        <v>6147646.1614983743</v>
      </c>
      <c r="EE320" s="48">
        <f t="shared" ref="EE320:ES320" si="787">ED$320+EE$294+EE$263-EE$309+EE$311</f>
        <v>6147646.1614983743</v>
      </c>
      <c r="EF320" s="48">
        <f t="shared" si="787"/>
        <v>6147646.1614983743</v>
      </c>
      <c r="EG320" s="48">
        <f t="shared" si="787"/>
        <v>6147646.1614983743</v>
      </c>
      <c r="EH320" s="48">
        <f t="shared" si="787"/>
        <v>6147646.1614983743</v>
      </c>
      <c r="EI320" s="48">
        <f t="shared" si="787"/>
        <v>6147646.1614983743</v>
      </c>
      <c r="EJ320" s="48">
        <f t="shared" si="787"/>
        <v>6147646.1614983743</v>
      </c>
      <c r="EK320" s="48">
        <f t="shared" si="787"/>
        <v>6147646.1614983743</v>
      </c>
      <c r="EL320" s="48">
        <f t="shared" si="787"/>
        <v>6147646.1614983743</v>
      </c>
      <c r="EM320" s="48">
        <f t="shared" si="787"/>
        <v>6147646.1614983743</v>
      </c>
      <c r="EN320" s="48">
        <f t="shared" si="787"/>
        <v>6147646.1614983743</v>
      </c>
      <c r="EO320" s="48">
        <f t="shared" si="787"/>
        <v>6147646.1614983743</v>
      </c>
      <c r="EP320" s="48">
        <f t="shared" si="787"/>
        <v>6147646.1614983743</v>
      </c>
      <c r="EQ320" s="48">
        <f t="shared" si="787"/>
        <v>6147646.1614983743</v>
      </c>
      <c r="ER320" s="48">
        <f t="shared" si="787"/>
        <v>6147646.1614983743</v>
      </c>
      <c r="ES320" s="48">
        <f t="shared" si="787"/>
        <v>6147646.1614983743</v>
      </c>
    </row>
    <row r="321" spans="1:149" x14ac:dyDescent="0.3">
      <c r="A321" s="14" t="s">
        <v>1369</v>
      </c>
      <c r="B321" s="68" t="s">
        <v>1224</v>
      </c>
      <c r="C321" s="18" t="s">
        <v>439</v>
      </c>
      <c r="E321" s="69">
        <f>MAX(ABS(MAX(F321:ES321)),ABS(MIN(F321:ES321)))</f>
        <v>0</v>
      </c>
      <c r="F321" s="70">
        <f t="shared" ref="F321:AK321" si="788">ROUND(F$310+F$265+F$266+F$267+F$274-F$268-F$304-F$320,2)</f>
        <v>0</v>
      </c>
      <c r="G321" s="70">
        <f t="shared" si="788"/>
        <v>0</v>
      </c>
      <c r="H321" s="70">
        <f t="shared" si="788"/>
        <v>0</v>
      </c>
      <c r="I321" s="70">
        <f t="shared" si="788"/>
        <v>0</v>
      </c>
      <c r="J321" s="70">
        <f t="shared" si="788"/>
        <v>0</v>
      </c>
      <c r="K321" s="70">
        <f t="shared" si="788"/>
        <v>0</v>
      </c>
      <c r="L321" s="70">
        <f t="shared" si="788"/>
        <v>0</v>
      </c>
      <c r="M321" s="70">
        <f t="shared" si="788"/>
        <v>0</v>
      </c>
      <c r="N321" s="70">
        <f t="shared" si="788"/>
        <v>0</v>
      </c>
      <c r="O321" s="70">
        <f t="shared" si="788"/>
        <v>0</v>
      </c>
      <c r="P321" s="70">
        <f t="shared" si="788"/>
        <v>0</v>
      </c>
      <c r="Q321" s="70">
        <f t="shared" si="788"/>
        <v>0</v>
      </c>
      <c r="R321" s="70">
        <f t="shared" si="788"/>
        <v>0</v>
      </c>
      <c r="S321" s="70">
        <f t="shared" si="788"/>
        <v>0</v>
      </c>
      <c r="T321" s="70">
        <f t="shared" si="788"/>
        <v>0</v>
      </c>
      <c r="U321" s="70">
        <f t="shared" si="788"/>
        <v>0</v>
      </c>
      <c r="V321" s="70">
        <f t="shared" si="788"/>
        <v>0</v>
      </c>
      <c r="W321" s="70">
        <f t="shared" si="788"/>
        <v>0</v>
      </c>
      <c r="X321" s="70">
        <f t="shared" si="788"/>
        <v>0</v>
      </c>
      <c r="Y321" s="70">
        <f t="shared" si="788"/>
        <v>0</v>
      </c>
      <c r="Z321" s="70">
        <f t="shared" si="788"/>
        <v>0</v>
      </c>
      <c r="AA321" s="70">
        <f t="shared" si="788"/>
        <v>0</v>
      </c>
      <c r="AB321" s="70">
        <f t="shared" si="788"/>
        <v>0</v>
      </c>
      <c r="AC321" s="70">
        <f t="shared" si="788"/>
        <v>0</v>
      </c>
      <c r="AD321" s="70">
        <f t="shared" si="788"/>
        <v>0</v>
      </c>
      <c r="AE321" s="70">
        <f t="shared" si="788"/>
        <v>0</v>
      </c>
      <c r="AF321" s="70">
        <f t="shared" si="788"/>
        <v>0</v>
      </c>
      <c r="AG321" s="70">
        <f t="shared" si="788"/>
        <v>0</v>
      </c>
      <c r="AH321" s="70">
        <f t="shared" si="788"/>
        <v>0</v>
      </c>
      <c r="AI321" s="70">
        <f t="shared" si="788"/>
        <v>0</v>
      </c>
      <c r="AJ321" s="70">
        <f t="shared" si="788"/>
        <v>0</v>
      </c>
      <c r="AK321" s="70">
        <f t="shared" si="788"/>
        <v>0</v>
      </c>
      <c r="AL321" s="70">
        <f t="shared" ref="AL321:BQ321" si="789">ROUND(AL$310+AL$265+AL$266+AL$267+AL$274-AL$268-AL$304-AL$320,2)</f>
        <v>0</v>
      </c>
      <c r="AM321" s="70">
        <f t="shared" si="789"/>
        <v>0</v>
      </c>
      <c r="AN321" s="70">
        <f t="shared" si="789"/>
        <v>0</v>
      </c>
      <c r="AO321" s="70">
        <f t="shared" si="789"/>
        <v>0</v>
      </c>
      <c r="AP321" s="70">
        <f t="shared" si="789"/>
        <v>0</v>
      </c>
      <c r="AQ321" s="70">
        <f t="shared" si="789"/>
        <v>0</v>
      </c>
      <c r="AR321" s="70">
        <f t="shared" si="789"/>
        <v>0</v>
      </c>
      <c r="AS321" s="70">
        <f t="shared" si="789"/>
        <v>0</v>
      </c>
      <c r="AT321" s="70">
        <f t="shared" si="789"/>
        <v>0</v>
      </c>
      <c r="AU321" s="70">
        <f t="shared" si="789"/>
        <v>0</v>
      </c>
      <c r="AV321" s="70">
        <f t="shared" si="789"/>
        <v>0</v>
      </c>
      <c r="AW321" s="70">
        <f t="shared" si="789"/>
        <v>0</v>
      </c>
      <c r="AX321" s="70">
        <f t="shared" si="789"/>
        <v>0</v>
      </c>
      <c r="AY321" s="70">
        <f t="shared" si="789"/>
        <v>0</v>
      </c>
      <c r="AZ321" s="70">
        <f t="shared" si="789"/>
        <v>0</v>
      </c>
      <c r="BA321" s="70">
        <f t="shared" si="789"/>
        <v>0</v>
      </c>
      <c r="BB321" s="70">
        <f t="shared" si="789"/>
        <v>0</v>
      </c>
      <c r="BC321" s="70">
        <f t="shared" si="789"/>
        <v>0</v>
      </c>
      <c r="BD321" s="70">
        <f t="shared" si="789"/>
        <v>0</v>
      </c>
      <c r="BE321" s="70">
        <f t="shared" si="789"/>
        <v>0</v>
      </c>
      <c r="BF321" s="70">
        <f t="shared" si="789"/>
        <v>0</v>
      </c>
      <c r="BG321" s="70">
        <f t="shared" si="789"/>
        <v>0</v>
      </c>
      <c r="BH321" s="70">
        <f t="shared" si="789"/>
        <v>0</v>
      </c>
      <c r="BI321" s="70">
        <f t="shared" si="789"/>
        <v>0</v>
      </c>
      <c r="BJ321" s="70">
        <f t="shared" si="789"/>
        <v>0</v>
      </c>
      <c r="BK321" s="70">
        <f t="shared" si="789"/>
        <v>0</v>
      </c>
      <c r="BL321" s="70">
        <f t="shared" si="789"/>
        <v>0</v>
      </c>
      <c r="BM321" s="70">
        <f t="shared" si="789"/>
        <v>0</v>
      </c>
      <c r="BN321" s="70">
        <f t="shared" si="789"/>
        <v>0</v>
      </c>
      <c r="BO321" s="70">
        <f t="shared" si="789"/>
        <v>0</v>
      </c>
      <c r="BP321" s="70">
        <f t="shared" si="789"/>
        <v>0</v>
      </c>
      <c r="BQ321" s="70">
        <f t="shared" si="789"/>
        <v>0</v>
      </c>
      <c r="BR321" s="70">
        <f t="shared" ref="BR321:CW321" si="790">ROUND(BR$310+BR$265+BR$266+BR$267+BR$274-BR$268-BR$304-BR$320,2)</f>
        <v>0</v>
      </c>
      <c r="BS321" s="70">
        <f t="shared" si="790"/>
        <v>0</v>
      </c>
      <c r="BT321" s="70">
        <f t="shared" si="790"/>
        <v>0</v>
      </c>
      <c r="BU321" s="70">
        <f t="shared" si="790"/>
        <v>0</v>
      </c>
      <c r="BV321" s="70">
        <f t="shared" si="790"/>
        <v>0</v>
      </c>
      <c r="BW321" s="70">
        <f t="shared" si="790"/>
        <v>0</v>
      </c>
      <c r="BX321" s="70">
        <f t="shared" si="790"/>
        <v>0</v>
      </c>
      <c r="BY321" s="70">
        <f t="shared" si="790"/>
        <v>0</v>
      </c>
      <c r="BZ321" s="70">
        <f t="shared" si="790"/>
        <v>0</v>
      </c>
      <c r="CA321" s="70">
        <f t="shared" si="790"/>
        <v>0</v>
      </c>
      <c r="CB321" s="70">
        <f t="shared" si="790"/>
        <v>0</v>
      </c>
      <c r="CC321" s="70">
        <f t="shared" si="790"/>
        <v>0</v>
      </c>
      <c r="CD321" s="70">
        <f t="shared" si="790"/>
        <v>0</v>
      </c>
      <c r="CE321" s="70">
        <f t="shared" si="790"/>
        <v>0</v>
      </c>
      <c r="CF321" s="70">
        <f t="shared" si="790"/>
        <v>0</v>
      </c>
      <c r="CG321" s="70">
        <f t="shared" si="790"/>
        <v>0</v>
      </c>
      <c r="CH321" s="70">
        <f t="shared" si="790"/>
        <v>0</v>
      </c>
      <c r="CI321" s="70">
        <f t="shared" si="790"/>
        <v>0</v>
      </c>
      <c r="CJ321" s="70">
        <f t="shared" si="790"/>
        <v>0</v>
      </c>
      <c r="CK321" s="70">
        <f t="shared" si="790"/>
        <v>0</v>
      </c>
      <c r="CL321" s="70">
        <f t="shared" si="790"/>
        <v>0</v>
      </c>
      <c r="CM321" s="70">
        <f t="shared" si="790"/>
        <v>0</v>
      </c>
      <c r="CN321" s="70">
        <f t="shared" si="790"/>
        <v>0</v>
      </c>
      <c r="CO321" s="70">
        <f t="shared" si="790"/>
        <v>0</v>
      </c>
      <c r="CP321" s="70">
        <f t="shared" si="790"/>
        <v>0</v>
      </c>
      <c r="CQ321" s="70">
        <f t="shared" si="790"/>
        <v>0</v>
      </c>
      <c r="CR321" s="70">
        <f t="shared" si="790"/>
        <v>0</v>
      </c>
      <c r="CS321" s="70">
        <f t="shared" si="790"/>
        <v>0</v>
      </c>
      <c r="CT321" s="70">
        <f t="shared" si="790"/>
        <v>0</v>
      </c>
      <c r="CU321" s="70">
        <f t="shared" si="790"/>
        <v>0</v>
      </c>
      <c r="CV321" s="70">
        <f t="shared" si="790"/>
        <v>0</v>
      </c>
      <c r="CW321" s="70">
        <f t="shared" si="790"/>
        <v>0</v>
      </c>
      <c r="CX321" s="70">
        <f t="shared" ref="CX321:EC321" si="791">ROUND(CX$310+CX$265+CX$266+CX$267+CX$274-CX$268-CX$304-CX$320,2)</f>
        <v>0</v>
      </c>
      <c r="CY321" s="70">
        <f t="shared" si="791"/>
        <v>0</v>
      </c>
      <c r="CZ321" s="70">
        <f t="shared" si="791"/>
        <v>0</v>
      </c>
      <c r="DA321" s="70">
        <f t="shared" si="791"/>
        <v>0</v>
      </c>
      <c r="DB321" s="70">
        <f t="shared" si="791"/>
        <v>0</v>
      </c>
      <c r="DC321" s="70">
        <f t="shared" si="791"/>
        <v>0</v>
      </c>
      <c r="DD321" s="70">
        <f t="shared" si="791"/>
        <v>0</v>
      </c>
      <c r="DE321" s="70">
        <f t="shared" si="791"/>
        <v>0</v>
      </c>
      <c r="DF321" s="70">
        <f t="shared" si="791"/>
        <v>0</v>
      </c>
      <c r="DG321" s="70">
        <f t="shared" si="791"/>
        <v>0</v>
      </c>
      <c r="DH321" s="70">
        <f t="shared" si="791"/>
        <v>0</v>
      </c>
      <c r="DI321" s="70">
        <f t="shared" si="791"/>
        <v>0</v>
      </c>
      <c r="DJ321" s="70">
        <f t="shared" si="791"/>
        <v>0</v>
      </c>
      <c r="DK321" s="70">
        <f t="shared" si="791"/>
        <v>0</v>
      </c>
      <c r="DL321" s="70">
        <f t="shared" si="791"/>
        <v>0</v>
      </c>
      <c r="DM321" s="70">
        <f t="shared" si="791"/>
        <v>0</v>
      </c>
      <c r="DN321" s="70">
        <f t="shared" si="791"/>
        <v>0</v>
      </c>
      <c r="DO321" s="70">
        <f t="shared" si="791"/>
        <v>0</v>
      </c>
      <c r="DP321" s="70">
        <f t="shared" si="791"/>
        <v>0</v>
      </c>
      <c r="DQ321" s="70">
        <f t="shared" si="791"/>
        <v>0</v>
      </c>
      <c r="DR321" s="70">
        <f t="shared" si="791"/>
        <v>0</v>
      </c>
      <c r="DS321" s="70">
        <f t="shared" si="791"/>
        <v>0</v>
      </c>
      <c r="DT321" s="70">
        <f t="shared" si="791"/>
        <v>0</v>
      </c>
      <c r="DU321" s="70">
        <f t="shared" si="791"/>
        <v>0</v>
      </c>
      <c r="DV321" s="70">
        <f t="shared" si="791"/>
        <v>0</v>
      </c>
      <c r="DW321" s="70">
        <f t="shared" si="791"/>
        <v>0</v>
      </c>
      <c r="DX321" s="70">
        <f t="shared" si="791"/>
        <v>0</v>
      </c>
      <c r="DY321" s="70">
        <f t="shared" si="791"/>
        <v>0</v>
      </c>
      <c r="DZ321" s="70">
        <f t="shared" si="791"/>
        <v>0</v>
      </c>
      <c r="EA321" s="70">
        <f t="shared" si="791"/>
        <v>0</v>
      </c>
      <c r="EB321" s="70">
        <f t="shared" si="791"/>
        <v>0</v>
      </c>
      <c r="EC321" s="70">
        <f t="shared" si="791"/>
        <v>0</v>
      </c>
      <c r="ED321" s="70">
        <f t="shared" ref="ED321:ES321" si="792">ROUND(ED$310+ED$265+ED$266+ED$267+ED$274-ED$268-ED$304-ED$320,2)</f>
        <v>0</v>
      </c>
      <c r="EE321" s="70">
        <f t="shared" si="792"/>
        <v>0</v>
      </c>
      <c r="EF321" s="70">
        <f t="shared" si="792"/>
        <v>0</v>
      </c>
      <c r="EG321" s="70">
        <f t="shared" si="792"/>
        <v>0</v>
      </c>
      <c r="EH321" s="70">
        <f t="shared" si="792"/>
        <v>0</v>
      </c>
      <c r="EI321" s="70">
        <f t="shared" si="792"/>
        <v>0</v>
      </c>
      <c r="EJ321" s="70">
        <f t="shared" si="792"/>
        <v>0</v>
      </c>
      <c r="EK321" s="70">
        <f t="shared" si="792"/>
        <v>0</v>
      </c>
      <c r="EL321" s="70">
        <f t="shared" si="792"/>
        <v>0</v>
      </c>
      <c r="EM321" s="70">
        <f t="shared" si="792"/>
        <v>0</v>
      </c>
      <c r="EN321" s="70">
        <f t="shared" si="792"/>
        <v>0</v>
      </c>
      <c r="EO321" s="70">
        <f t="shared" si="792"/>
        <v>0</v>
      </c>
      <c r="EP321" s="70">
        <f t="shared" si="792"/>
        <v>0</v>
      </c>
      <c r="EQ321" s="70">
        <f t="shared" si="792"/>
        <v>0</v>
      </c>
      <c r="ER321" s="70">
        <f t="shared" si="792"/>
        <v>0</v>
      </c>
      <c r="ES321" s="70">
        <f t="shared" si="792"/>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AC46"/>
  <sheetViews>
    <sheetView zoomScale="90" zoomScaleNormal="90" workbookViewId="0">
      <pane xSplit="5" ySplit="9" topLeftCell="F10" activePane="bottomRight" state="frozen"/>
      <selection pane="topRight" activeCell="F1" sqref="F1"/>
      <selection pane="bottomLeft" activeCell="A10" sqref="A10"/>
      <selection pane="bottomRight"/>
    </sheetView>
  </sheetViews>
  <sheetFormatPr baseColWidth="10" defaultColWidth="8.5546875" defaultRowHeight="14.4" x14ac:dyDescent="0.3"/>
  <cols>
    <col min="1" max="1" width="8" customWidth="1"/>
    <col min="2" max="2" width="44" customWidth="1"/>
    <col min="3" max="5" width="13" customWidth="1"/>
    <col min="6" max="29" width="11" customWidth="1"/>
  </cols>
  <sheetData>
    <row r="1" spans="1:29" ht="16.8" x14ac:dyDescent="0.3">
      <c r="A1" s="13" t="s">
        <v>1370</v>
      </c>
    </row>
    <row r="2" spans="1:29" x14ac:dyDescent="0.3">
      <c r="A2" s="73" t="str">
        <f>"Meses "&amp;(Corte+1)&amp;" a "&amp;MIN(144,Corte+24)&amp;" del modelo   |   Escenario: "&amp;n_Escenario&amp;"   |   Ventana de detalle: "&amp;n_Ventana&amp;" meses"</f>
        <v>Meses 1 a 24 del modelo   |   Escenario: Vigente   |   Ventana de detalle: 24 meses</v>
      </c>
    </row>
    <row r="4" spans="1:29" x14ac:dyDescent="0.3">
      <c r="A4" s="57"/>
      <c r="B4" s="58" t="s">
        <v>1371</v>
      </c>
      <c r="C4" s="17" t="s">
        <v>1372</v>
      </c>
      <c r="D4" s="17" t="s">
        <v>1373</v>
      </c>
      <c r="E4" s="17" t="s">
        <v>1374</v>
      </c>
      <c r="F4" s="60">
        <v>1</v>
      </c>
      <c r="G4" s="60">
        <v>2</v>
      </c>
      <c r="H4" s="60">
        <v>3</v>
      </c>
      <c r="I4" s="60">
        <v>4</v>
      </c>
      <c r="J4" s="60">
        <v>5</v>
      </c>
      <c r="K4" s="60">
        <v>6</v>
      </c>
      <c r="L4" s="60">
        <v>7</v>
      </c>
      <c r="M4" s="60">
        <v>8</v>
      </c>
      <c r="N4" s="60">
        <v>9</v>
      </c>
      <c r="O4" s="60">
        <v>10</v>
      </c>
      <c r="P4" s="60">
        <v>11</v>
      </c>
      <c r="Q4" s="60">
        <v>12</v>
      </c>
      <c r="R4" s="60">
        <v>13</v>
      </c>
      <c r="S4" s="60">
        <v>14</v>
      </c>
      <c r="T4" s="60">
        <v>15</v>
      </c>
      <c r="U4" s="60">
        <v>16</v>
      </c>
      <c r="V4" s="60">
        <v>17</v>
      </c>
      <c r="W4" s="60">
        <v>18</v>
      </c>
      <c r="X4" s="60">
        <v>19</v>
      </c>
      <c r="Y4" s="60">
        <v>20</v>
      </c>
      <c r="Z4" s="60">
        <v>21</v>
      </c>
      <c r="AA4" s="60">
        <v>22</v>
      </c>
      <c r="AB4" s="60">
        <v>23</v>
      </c>
      <c r="AC4" s="60">
        <v>24</v>
      </c>
    </row>
    <row r="5" spans="1:29" x14ac:dyDescent="0.3">
      <c r="A5" s="57"/>
      <c r="B5" s="58" t="s">
        <v>1375</v>
      </c>
      <c r="C5" s="57"/>
      <c r="D5" s="57"/>
      <c r="E5" s="57"/>
      <c r="F5" s="60">
        <f>Corte+1</f>
        <v>1</v>
      </c>
      <c r="G5" s="60">
        <f>Corte+2</f>
        <v>2</v>
      </c>
      <c r="H5" s="60">
        <f>Corte+3</f>
        <v>3</v>
      </c>
      <c r="I5" s="60">
        <f>Corte+4</f>
        <v>4</v>
      </c>
      <c r="J5" s="60">
        <f>Corte+5</f>
        <v>5</v>
      </c>
      <c r="K5" s="60">
        <f>Corte+6</f>
        <v>6</v>
      </c>
      <c r="L5" s="60">
        <f>Corte+7</f>
        <v>7</v>
      </c>
      <c r="M5" s="60">
        <f>Corte+8</f>
        <v>8</v>
      </c>
      <c r="N5" s="60">
        <f>Corte+9</f>
        <v>9</v>
      </c>
      <c r="O5" s="60">
        <f>Corte+10</f>
        <v>10</v>
      </c>
      <c r="P5" s="60">
        <f>Corte+11</f>
        <v>11</v>
      </c>
      <c r="Q5" s="60">
        <f>Corte+12</f>
        <v>12</v>
      </c>
      <c r="R5" s="60">
        <f>Corte+13</f>
        <v>13</v>
      </c>
      <c r="S5" s="60">
        <f>Corte+14</f>
        <v>14</v>
      </c>
      <c r="T5" s="60">
        <f>Corte+15</f>
        <v>15</v>
      </c>
      <c r="U5" s="60">
        <f>Corte+16</f>
        <v>16</v>
      </c>
      <c r="V5" s="60">
        <f>Corte+17</f>
        <v>17</v>
      </c>
      <c r="W5" s="60">
        <f>Corte+18</f>
        <v>18</v>
      </c>
      <c r="X5" s="60">
        <f>Corte+19</f>
        <v>19</v>
      </c>
      <c r="Y5" s="60">
        <f>Corte+20</f>
        <v>20</v>
      </c>
      <c r="Z5" s="60">
        <f>Corte+21</f>
        <v>21</v>
      </c>
      <c r="AA5" s="60">
        <f>Corte+22</f>
        <v>22</v>
      </c>
      <c r="AB5" s="60">
        <f>Corte+23</f>
        <v>23</v>
      </c>
      <c r="AC5" s="60">
        <f>Corte+24</f>
        <v>24</v>
      </c>
    </row>
    <row r="6" spans="1:29" x14ac:dyDescent="0.3">
      <c r="A6" s="57"/>
      <c r="B6" s="58" t="s">
        <v>1</v>
      </c>
      <c r="C6" s="57"/>
      <c r="D6" s="57"/>
      <c r="E6" s="57"/>
      <c r="F6" s="59" t="str">
        <f>IF(OR(n_Fecha1="",Corte+1&gt;144),"",EOMONTH(n_Fecha1,Corte+1-1))</f>
        <v/>
      </c>
      <c r="G6" s="59" t="str">
        <f>IF(OR(n_Fecha1="",Corte+2&gt;144),"",EOMONTH(n_Fecha1,Corte+2-1))</f>
        <v/>
      </c>
      <c r="H6" s="59" t="str">
        <f>IF(OR(n_Fecha1="",Corte+3&gt;144),"",EOMONTH(n_Fecha1,Corte+3-1))</f>
        <v/>
      </c>
      <c r="I6" s="59" t="str">
        <f>IF(OR(n_Fecha1="",Corte+4&gt;144),"",EOMONTH(n_Fecha1,Corte+4-1))</f>
        <v/>
      </c>
      <c r="J6" s="59" t="str">
        <f>IF(OR(n_Fecha1="",Corte+5&gt;144),"",EOMONTH(n_Fecha1,Corte+5-1))</f>
        <v/>
      </c>
      <c r="K6" s="59" t="str">
        <f>IF(OR(n_Fecha1="",Corte+6&gt;144),"",EOMONTH(n_Fecha1,Corte+6-1))</f>
        <v/>
      </c>
      <c r="L6" s="59" t="str">
        <f>IF(OR(n_Fecha1="",Corte+7&gt;144),"",EOMONTH(n_Fecha1,Corte+7-1))</f>
        <v/>
      </c>
      <c r="M6" s="59" t="str">
        <f>IF(OR(n_Fecha1="",Corte+8&gt;144),"",EOMONTH(n_Fecha1,Corte+8-1))</f>
        <v/>
      </c>
      <c r="N6" s="59" t="str">
        <f>IF(OR(n_Fecha1="",Corte+9&gt;144),"",EOMONTH(n_Fecha1,Corte+9-1))</f>
        <v/>
      </c>
      <c r="O6" s="59" t="str">
        <f>IF(OR(n_Fecha1="",Corte+10&gt;144),"",EOMONTH(n_Fecha1,Corte+10-1))</f>
        <v/>
      </c>
      <c r="P6" s="59" t="str">
        <f>IF(OR(n_Fecha1="",Corte+11&gt;144),"",EOMONTH(n_Fecha1,Corte+11-1))</f>
        <v/>
      </c>
      <c r="Q6" s="59" t="str">
        <f>IF(OR(n_Fecha1="",Corte+12&gt;144),"",EOMONTH(n_Fecha1,Corte+12-1))</f>
        <v/>
      </c>
      <c r="R6" s="59" t="str">
        <f>IF(OR(n_Fecha1="",Corte+13&gt;144),"",EOMONTH(n_Fecha1,Corte+13-1))</f>
        <v/>
      </c>
      <c r="S6" s="59" t="str">
        <f>IF(OR(n_Fecha1="",Corte+14&gt;144),"",EOMONTH(n_Fecha1,Corte+14-1))</f>
        <v/>
      </c>
      <c r="T6" s="59" t="str">
        <f>IF(OR(n_Fecha1="",Corte+15&gt;144),"",EOMONTH(n_Fecha1,Corte+15-1))</f>
        <v/>
      </c>
      <c r="U6" s="59" t="str">
        <f>IF(OR(n_Fecha1="",Corte+16&gt;144),"",EOMONTH(n_Fecha1,Corte+16-1))</f>
        <v/>
      </c>
      <c r="V6" s="59" t="str">
        <f>IF(OR(n_Fecha1="",Corte+17&gt;144),"",EOMONTH(n_Fecha1,Corte+17-1))</f>
        <v/>
      </c>
      <c r="W6" s="59" t="str">
        <f>IF(OR(n_Fecha1="",Corte+18&gt;144),"",EOMONTH(n_Fecha1,Corte+18-1))</f>
        <v/>
      </c>
      <c r="X6" s="59" t="str">
        <f>IF(OR(n_Fecha1="",Corte+19&gt;144),"",EOMONTH(n_Fecha1,Corte+19-1))</f>
        <v/>
      </c>
      <c r="Y6" s="59" t="str">
        <f>IF(OR(n_Fecha1="",Corte+20&gt;144),"",EOMONTH(n_Fecha1,Corte+20-1))</f>
        <v/>
      </c>
      <c r="Z6" s="59" t="str">
        <f>IF(OR(n_Fecha1="",Corte+21&gt;144),"",EOMONTH(n_Fecha1,Corte+21-1))</f>
        <v/>
      </c>
      <c r="AA6" s="59" t="str">
        <f>IF(OR(n_Fecha1="",Corte+22&gt;144),"",EOMONTH(n_Fecha1,Corte+22-1))</f>
        <v/>
      </c>
      <c r="AB6" s="59" t="str">
        <f>IF(OR(n_Fecha1="",Corte+23&gt;144),"",EOMONTH(n_Fecha1,Corte+23-1))</f>
        <v/>
      </c>
      <c r="AC6" s="59" t="str">
        <f>IF(OR(n_Fecha1="",Corte+24&gt;144),"",EOMONTH(n_Fecha1,Corte+24-1))</f>
        <v/>
      </c>
    </row>
    <row r="7" spans="1:29" x14ac:dyDescent="0.3">
      <c r="A7" s="57"/>
      <c r="B7" s="58" t="s">
        <v>1376</v>
      </c>
      <c r="C7" s="57"/>
      <c r="D7" s="57"/>
      <c r="E7" s="57"/>
      <c r="F7" s="17" t="str">
        <f>IF(Corte+1&gt;144,"",IF(AND(1&lt;=n_Ventana,INDEX(Det_nQ,1,Corte+1)&gt;0),"Detalle","Anual"))</f>
        <v>Anual</v>
      </c>
      <c r="G7" s="17" t="str">
        <f>IF(Corte+2&gt;144,"",IF(AND(2&lt;=n_Ventana,INDEX(Det_nQ,1,Corte+2)&gt;0),"Detalle","Anual"))</f>
        <v>Anual</v>
      </c>
      <c r="H7" s="17" t="str">
        <f>IF(Corte+3&gt;144,"",IF(AND(3&lt;=n_Ventana,INDEX(Det_nQ,1,Corte+3)&gt;0),"Detalle","Anual"))</f>
        <v>Anual</v>
      </c>
      <c r="I7" s="17" t="str">
        <f>IF(Corte+4&gt;144,"",IF(AND(4&lt;=n_Ventana,INDEX(Det_nQ,1,Corte+4)&gt;0),"Detalle","Anual"))</f>
        <v>Anual</v>
      </c>
      <c r="J7" s="17" t="str">
        <f>IF(Corte+5&gt;144,"",IF(AND(5&lt;=n_Ventana,INDEX(Det_nQ,1,Corte+5)&gt;0),"Detalle","Anual"))</f>
        <v>Anual</v>
      </c>
      <c r="K7" s="17" t="str">
        <f>IF(Corte+6&gt;144,"",IF(AND(6&lt;=n_Ventana,INDEX(Det_nQ,1,Corte+6)&gt;0),"Detalle","Anual"))</f>
        <v>Anual</v>
      </c>
      <c r="L7" s="17" t="str">
        <f>IF(Corte+7&gt;144,"",IF(AND(7&lt;=n_Ventana,INDEX(Det_nQ,1,Corte+7)&gt;0),"Detalle","Anual"))</f>
        <v>Anual</v>
      </c>
      <c r="M7" s="17" t="str">
        <f>IF(Corte+8&gt;144,"",IF(AND(8&lt;=n_Ventana,INDEX(Det_nQ,1,Corte+8)&gt;0),"Detalle","Anual"))</f>
        <v>Anual</v>
      </c>
      <c r="N7" s="17" t="str">
        <f>IF(Corte+9&gt;144,"",IF(AND(9&lt;=n_Ventana,INDEX(Det_nQ,1,Corte+9)&gt;0),"Detalle","Anual"))</f>
        <v>Anual</v>
      </c>
      <c r="O7" s="17" t="str">
        <f>IF(Corte+10&gt;144,"",IF(AND(10&lt;=n_Ventana,INDEX(Det_nQ,1,Corte+10)&gt;0),"Detalle","Anual"))</f>
        <v>Anual</v>
      </c>
      <c r="P7" s="17" t="str">
        <f>IF(Corte+11&gt;144,"",IF(AND(11&lt;=n_Ventana,INDEX(Det_nQ,1,Corte+11)&gt;0),"Detalle","Anual"))</f>
        <v>Anual</v>
      </c>
      <c r="Q7" s="17" t="str">
        <f>IF(Corte+12&gt;144,"",IF(AND(12&lt;=n_Ventana,INDEX(Det_nQ,1,Corte+12)&gt;0),"Detalle","Anual"))</f>
        <v>Anual</v>
      </c>
      <c r="R7" s="17" t="str">
        <f>IF(Corte+13&gt;144,"",IF(AND(13&lt;=n_Ventana,INDEX(Det_nQ,1,Corte+13)&gt;0),"Detalle","Anual"))</f>
        <v>Anual</v>
      </c>
      <c r="S7" s="17" t="str">
        <f>IF(Corte+14&gt;144,"",IF(AND(14&lt;=n_Ventana,INDEX(Det_nQ,1,Corte+14)&gt;0),"Detalle","Anual"))</f>
        <v>Anual</v>
      </c>
      <c r="T7" s="17" t="str">
        <f>IF(Corte+15&gt;144,"",IF(AND(15&lt;=n_Ventana,INDEX(Det_nQ,1,Corte+15)&gt;0),"Detalle","Anual"))</f>
        <v>Anual</v>
      </c>
      <c r="U7" s="17" t="str">
        <f>IF(Corte+16&gt;144,"",IF(AND(16&lt;=n_Ventana,INDEX(Det_nQ,1,Corte+16)&gt;0),"Detalle","Anual"))</f>
        <v>Anual</v>
      </c>
      <c r="V7" s="17" t="str">
        <f>IF(Corte+17&gt;144,"",IF(AND(17&lt;=n_Ventana,INDEX(Det_nQ,1,Corte+17)&gt;0),"Detalle","Anual"))</f>
        <v>Anual</v>
      </c>
      <c r="W7" s="17" t="str">
        <f>IF(Corte+18&gt;144,"",IF(AND(18&lt;=n_Ventana,INDEX(Det_nQ,1,Corte+18)&gt;0),"Detalle","Anual"))</f>
        <v>Anual</v>
      </c>
      <c r="X7" s="17" t="str">
        <f>IF(Corte+19&gt;144,"",IF(AND(19&lt;=n_Ventana,INDEX(Det_nQ,1,Corte+19)&gt;0),"Detalle","Anual"))</f>
        <v>Anual</v>
      </c>
      <c r="Y7" s="17" t="str">
        <f>IF(Corte+20&gt;144,"",IF(AND(20&lt;=n_Ventana,INDEX(Det_nQ,1,Corte+20)&gt;0),"Detalle","Anual"))</f>
        <v>Anual</v>
      </c>
      <c r="Z7" s="17" t="str">
        <f>IF(Corte+21&gt;144,"",IF(AND(21&lt;=n_Ventana,INDEX(Det_nQ,1,Corte+21)&gt;0),"Detalle","Anual"))</f>
        <v>Anual</v>
      </c>
      <c r="AA7" s="17" t="str">
        <f>IF(Corte+22&gt;144,"",IF(AND(22&lt;=n_Ventana,INDEX(Det_nQ,1,Corte+22)&gt;0),"Detalle","Anual"))</f>
        <v>Anual</v>
      </c>
      <c r="AB7" s="17" t="str">
        <f>IF(Corte+23&gt;144,"",IF(AND(23&lt;=n_Ventana,INDEX(Det_nQ,1,Corte+23)&gt;0),"Detalle","Anual"))</f>
        <v>Anual</v>
      </c>
      <c r="AC7" s="17" t="str">
        <f>IF(Corte+24&gt;144,"",IF(AND(24&lt;=n_Ventana,INDEX(Det_nQ,1,Corte+24)&gt;0),"Detalle","Anual"))</f>
        <v>Anual</v>
      </c>
    </row>
    <row r="8" spans="1:29" x14ac:dyDescent="0.3">
      <c r="A8" s="57"/>
      <c r="B8" s="58" t="s">
        <v>1377</v>
      </c>
      <c r="C8" s="57"/>
      <c r="D8" s="57"/>
      <c r="E8" s="57"/>
      <c r="F8" s="17" t="str">
        <f>IF(Corte+1&gt;144,"",IF(AND(1&lt;=n_Ventana,INDEX(Det_nMP,1,Corte+1)+INDEX(Det_nIN,1,Corte+1)+INDEX(Det_nOV,1,Corte+1)+INDEX(Det_nDO,1,Corte+1)+INDEX(Det_nSA,1,Corte+1)+INDEX(Det_nFC,1,Corte+1)&gt;0),"Detalle","Anual"))</f>
        <v>Anual</v>
      </c>
      <c r="G8" s="17" t="str">
        <f>IF(Corte+2&gt;144,"",IF(AND(2&lt;=n_Ventana,INDEX(Det_nMP,1,Corte+2)+INDEX(Det_nIN,1,Corte+2)+INDEX(Det_nOV,1,Corte+2)+INDEX(Det_nDO,1,Corte+2)+INDEX(Det_nSA,1,Corte+2)+INDEX(Det_nFC,1,Corte+2)&gt;0),"Detalle","Anual"))</f>
        <v>Anual</v>
      </c>
      <c r="H8" s="17" t="str">
        <f>IF(Corte+3&gt;144,"",IF(AND(3&lt;=n_Ventana,INDEX(Det_nMP,1,Corte+3)+INDEX(Det_nIN,1,Corte+3)+INDEX(Det_nOV,1,Corte+3)+INDEX(Det_nDO,1,Corte+3)+INDEX(Det_nSA,1,Corte+3)+INDEX(Det_nFC,1,Corte+3)&gt;0),"Detalle","Anual"))</f>
        <v>Anual</v>
      </c>
      <c r="I8" s="17" t="str">
        <f>IF(Corte+4&gt;144,"",IF(AND(4&lt;=n_Ventana,INDEX(Det_nMP,1,Corte+4)+INDEX(Det_nIN,1,Corte+4)+INDEX(Det_nOV,1,Corte+4)+INDEX(Det_nDO,1,Corte+4)+INDEX(Det_nSA,1,Corte+4)+INDEX(Det_nFC,1,Corte+4)&gt;0),"Detalle","Anual"))</f>
        <v>Anual</v>
      </c>
      <c r="J8" s="17" t="str">
        <f>IF(Corte+5&gt;144,"",IF(AND(5&lt;=n_Ventana,INDEX(Det_nMP,1,Corte+5)+INDEX(Det_nIN,1,Corte+5)+INDEX(Det_nOV,1,Corte+5)+INDEX(Det_nDO,1,Corte+5)+INDEX(Det_nSA,1,Corte+5)+INDEX(Det_nFC,1,Corte+5)&gt;0),"Detalle","Anual"))</f>
        <v>Anual</v>
      </c>
      <c r="K8" s="17" t="str">
        <f>IF(Corte+6&gt;144,"",IF(AND(6&lt;=n_Ventana,INDEX(Det_nMP,1,Corte+6)+INDEX(Det_nIN,1,Corte+6)+INDEX(Det_nOV,1,Corte+6)+INDEX(Det_nDO,1,Corte+6)+INDEX(Det_nSA,1,Corte+6)+INDEX(Det_nFC,1,Corte+6)&gt;0),"Detalle","Anual"))</f>
        <v>Anual</v>
      </c>
      <c r="L8" s="17" t="str">
        <f>IF(Corte+7&gt;144,"",IF(AND(7&lt;=n_Ventana,INDEX(Det_nMP,1,Corte+7)+INDEX(Det_nIN,1,Corte+7)+INDEX(Det_nOV,1,Corte+7)+INDEX(Det_nDO,1,Corte+7)+INDEX(Det_nSA,1,Corte+7)+INDEX(Det_nFC,1,Corte+7)&gt;0),"Detalle","Anual"))</f>
        <v>Anual</v>
      </c>
      <c r="M8" s="17" t="str">
        <f>IF(Corte+8&gt;144,"",IF(AND(8&lt;=n_Ventana,INDEX(Det_nMP,1,Corte+8)+INDEX(Det_nIN,1,Corte+8)+INDEX(Det_nOV,1,Corte+8)+INDEX(Det_nDO,1,Corte+8)+INDEX(Det_nSA,1,Corte+8)+INDEX(Det_nFC,1,Corte+8)&gt;0),"Detalle","Anual"))</f>
        <v>Anual</v>
      </c>
      <c r="N8" s="17" t="str">
        <f>IF(Corte+9&gt;144,"",IF(AND(9&lt;=n_Ventana,INDEX(Det_nMP,1,Corte+9)+INDEX(Det_nIN,1,Corte+9)+INDEX(Det_nOV,1,Corte+9)+INDEX(Det_nDO,1,Corte+9)+INDEX(Det_nSA,1,Corte+9)+INDEX(Det_nFC,1,Corte+9)&gt;0),"Detalle","Anual"))</f>
        <v>Anual</v>
      </c>
      <c r="O8" s="17" t="str">
        <f>IF(Corte+10&gt;144,"",IF(AND(10&lt;=n_Ventana,INDEX(Det_nMP,1,Corte+10)+INDEX(Det_nIN,1,Corte+10)+INDEX(Det_nOV,1,Corte+10)+INDEX(Det_nDO,1,Corte+10)+INDEX(Det_nSA,1,Corte+10)+INDEX(Det_nFC,1,Corte+10)&gt;0),"Detalle","Anual"))</f>
        <v>Anual</v>
      </c>
      <c r="P8" s="17" t="str">
        <f>IF(Corte+11&gt;144,"",IF(AND(11&lt;=n_Ventana,INDEX(Det_nMP,1,Corte+11)+INDEX(Det_nIN,1,Corte+11)+INDEX(Det_nOV,1,Corte+11)+INDEX(Det_nDO,1,Corte+11)+INDEX(Det_nSA,1,Corte+11)+INDEX(Det_nFC,1,Corte+11)&gt;0),"Detalle","Anual"))</f>
        <v>Anual</v>
      </c>
      <c r="Q8" s="17" t="str">
        <f>IF(Corte+12&gt;144,"",IF(AND(12&lt;=n_Ventana,INDEX(Det_nMP,1,Corte+12)+INDEX(Det_nIN,1,Corte+12)+INDEX(Det_nOV,1,Corte+12)+INDEX(Det_nDO,1,Corte+12)+INDEX(Det_nSA,1,Corte+12)+INDEX(Det_nFC,1,Corte+12)&gt;0),"Detalle","Anual"))</f>
        <v>Anual</v>
      </c>
      <c r="R8" s="17" t="str">
        <f>IF(Corte+13&gt;144,"",IF(AND(13&lt;=n_Ventana,INDEX(Det_nMP,1,Corte+13)+INDEX(Det_nIN,1,Corte+13)+INDEX(Det_nOV,1,Corte+13)+INDEX(Det_nDO,1,Corte+13)+INDEX(Det_nSA,1,Corte+13)+INDEX(Det_nFC,1,Corte+13)&gt;0),"Detalle","Anual"))</f>
        <v>Anual</v>
      </c>
      <c r="S8" s="17" t="str">
        <f>IF(Corte+14&gt;144,"",IF(AND(14&lt;=n_Ventana,INDEX(Det_nMP,1,Corte+14)+INDEX(Det_nIN,1,Corte+14)+INDEX(Det_nOV,1,Corte+14)+INDEX(Det_nDO,1,Corte+14)+INDEX(Det_nSA,1,Corte+14)+INDEX(Det_nFC,1,Corte+14)&gt;0),"Detalle","Anual"))</f>
        <v>Anual</v>
      </c>
      <c r="T8" s="17" t="str">
        <f>IF(Corte+15&gt;144,"",IF(AND(15&lt;=n_Ventana,INDEX(Det_nMP,1,Corte+15)+INDEX(Det_nIN,1,Corte+15)+INDEX(Det_nOV,1,Corte+15)+INDEX(Det_nDO,1,Corte+15)+INDEX(Det_nSA,1,Corte+15)+INDEX(Det_nFC,1,Corte+15)&gt;0),"Detalle","Anual"))</f>
        <v>Anual</v>
      </c>
      <c r="U8" s="17" t="str">
        <f>IF(Corte+16&gt;144,"",IF(AND(16&lt;=n_Ventana,INDEX(Det_nMP,1,Corte+16)+INDEX(Det_nIN,1,Corte+16)+INDEX(Det_nOV,1,Corte+16)+INDEX(Det_nDO,1,Corte+16)+INDEX(Det_nSA,1,Corte+16)+INDEX(Det_nFC,1,Corte+16)&gt;0),"Detalle","Anual"))</f>
        <v>Anual</v>
      </c>
      <c r="V8" s="17" t="str">
        <f>IF(Corte+17&gt;144,"",IF(AND(17&lt;=n_Ventana,INDEX(Det_nMP,1,Corte+17)+INDEX(Det_nIN,1,Corte+17)+INDEX(Det_nOV,1,Corte+17)+INDEX(Det_nDO,1,Corte+17)+INDEX(Det_nSA,1,Corte+17)+INDEX(Det_nFC,1,Corte+17)&gt;0),"Detalle","Anual"))</f>
        <v>Anual</v>
      </c>
      <c r="W8" s="17" t="str">
        <f>IF(Corte+18&gt;144,"",IF(AND(18&lt;=n_Ventana,INDEX(Det_nMP,1,Corte+18)+INDEX(Det_nIN,1,Corte+18)+INDEX(Det_nOV,1,Corte+18)+INDEX(Det_nDO,1,Corte+18)+INDEX(Det_nSA,1,Corte+18)+INDEX(Det_nFC,1,Corte+18)&gt;0),"Detalle","Anual"))</f>
        <v>Anual</v>
      </c>
      <c r="X8" s="17" t="str">
        <f>IF(Corte+19&gt;144,"",IF(AND(19&lt;=n_Ventana,INDEX(Det_nMP,1,Corte+19)+INDEX(Det_nIN,1,Corte+19)+INDEX(Det_nOV,1,Corte+19)+INDEX(Det_nDO,1,Corte+19)+INDEX(Det_nSA,1,Corte+19)+INDEX(Det_nFC,1,Corte+19)&gt;0),"Detalle","Anual"))</f>
        <v>Anual</v>
      </c>
      <c r="Y8" s="17" t="str">
        <f>IF(Corte+20&gt;144,"",IF(AND(20&lt;=n_Ventana,INDEX(Det_nMP,1,Corte+20)+INDEX(Det_nIN,1,Corte+20)+INDEX(Det_nOV,1,Corte+20)+INDEX(Det_nDO,1,Corte+20)+INDEX(Det_nSA,1,Corte+20)+INDEX(Det_nFC,1,Corte+20)&gt;0),"Detalle","Anual"))</f>
        <v>Anual</v>
      </c>
      <c r="Z8" s="17" t="str">
        <f>IF(Corte+21&gt;144,"",IF(AND(21&lt;=n_Ventana,INDEX(Det_nMP,1,Corte+21)+INDEX(Det_nIN,1,Corte+21)+INDEX(Det_nOV,1,Corte+21)+INDEX(Det_nDO,1,Corte+21)+INDEX(Det_nSA,1,Corte+21)+INDEX(Det_nFC,1,Corte+21)&gt;0),"Detalle","Anual"))</f>
        <v>Anual</v>
      </c>
      <c r="AA8" s="17" t="str">
        <f>IF(Corte+22&gt;144,"",IF(AND(22&lt;=n_Ventana,INDEX(Det_nMP,1,Corte+22)+INDEX(Det_nIN,1,Corte+22)+INDEX(Det_nOV,1,Corte+22)+INDEX(Det_nDO,1,Corte+22)+INDEX(Det_nSA,1,Corte+22)+INDEX(Det_nFC,1,Corte+22)&gt;0),"Detalle","Anual"))</f>
        <v>Anual</v>
      </c>
      <c r="AB8" s="17" t="str">
        <f>IF(Corte+23&gt;144,"",IF(AND(23&lt;=n_Ventana,INDEX(Det_nMP,1,Corte+23)+INDEX(Det_nIN,1,Corte+23)+INDEX(Det_nOV,1,Corte+23)+INDEX(Det_nDO,1,Corte+23)+INDEX(Det_nSA,1,Corte+23)+INDEX(Det_nFC,1,Corte+23)&gt;0),"Detalle","Anual"))</f>
        <v>Anual</v>
      </c>
      <c r="AC8" s="17" t="str">
        <f>IF(Corte+24&gt;144,"",IF(AND(24&lt;=n_Ventana,INDEX(Det_nMP,1,Corte+24)+INDEX(Det_nIN,1,Corte+24)+INDEX(Det_nOV,1,Corte+24)+INDEX(Det_nDO,1,Corte+24)+INDEX(Det_nSA,1,Corte+24)+INDEX(Det_nFC,1,Corte+24)&gt;0),"Detalle","Anual"))</f>
        <v>Anual</v>
      </c>
    </row>
    <row r="10" spans="1:29" x14ac:dyDescent="0.3">
      <c r="A10" s="15" t="s">
        <v>1378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spans="1:29" x14ac:dyDescent="0.3">
      <c r="A11" s="14" t="s">
        <v>1282</v>
      </c>
      <c r="B11" s="68" t="s">
        <v>437</v>
      </c>
      <c r="C11" s="54">
        <f t="shared" ref="C11:C28" si="0">SUM(F11:Q11)</f>
        <v>4849999.9999999991</v>
      </c>
      <c r="D11" s="54">
        <f t="shared" ref="D11:D28" si="1">SUM(R11:AC11)</f>
        <v>6181200</v>
      </c>
      <c r="E11" s="54">
        <f t="shared" ref="E11:E28" si="2">SUM(F11:AC11)</f>
        <v>11031200</v>
      </c>
      <c r="F11" s="22">
        <f>IF(Corte+1&gt;144,"",INDEX(Calculo!$F$227:$ES$227,1,Corte+1))</f>
        <v>404166.66666666663</v>
      </c>
      <c r="G11" s="22">
        <f>IF(Corte+2&gt;144,"",INDEX(Calculo!$F$227:$ES$227,1,Corte+2))</f>
        <v>404166.66666666663</v>
      </c>
      <c r="H11" s="22">
        <f>IF(Corte+3&gt;144,"",INDEX(Calculo!$F$227:$ES$227,1,Corte+3))</f>
        <v>404166.66666666663</v>
      </c>
      <c r="I11" s="22">
        <f>IF(Corte+4&gt;144,"",INDEX(Calculo!$F$227:$ES$227,1,Corte+4))</f>
        <v>404166.66666666663</v>
      </c>
      <c r="J11" s="22">
        <f>IF(Corte+5&gt;144,"",INDEX(Calculo!$F$227:$ES$227,1,Corte+5))</f>
        <v>404166.66666666663</v>
      </c>
      <c r="K11" s="22">
        <f>IF(Corte+6&gt;144,"",INDEX(Calculo!$F$227:$ES$227,1,Corte+6))</f>
        <v>404166.66666666663</v>
      </c>
      <c r="L11" s="22">
        <f>IF(Corte+7&gt;144,"",INDEX(Calculo!$F$227:$ES$227,1,Corte+7))</f>
        <v>404166.66666666663</v>
      </c>
      <c r="M11" s="22">
        <f>IF(Corte+8&gt;144,"",INDEX(Calculo!$F$227:$ES$227,1,Corte+8))</f>
        <v>404166.66666666663</v>
      </c>
      <c r="N11" s="22">
        <f>IF(Corte+9&gt;144,"",INDEX(Calculo!$F$227:$ES$227,1,Corte+9))</f>
        <v>404166.66666666663</v>
      </c>
      <c r="O11" s="22">
        <f>IF(Corte+10&gt;144,"",INDEX(Calculo!$F$227:$ES$227,1,Corte+10))</f>
        <v>404166.66666666663</v>
      </c>
      <c r="P11" s="22">
        <f>IF(Corte+11&gt;144,"",INDEX(Calculo!$F$227:$ES$227,1,Corte+11))</f>
        <v>404166.66666666663</v>
      </c>
      <c r="Q11" s="22">
        <f>IF(Corte+12&gt;144,"",INDEX(Calculo!$F$227:$ES$227,1,Corte+12))</f>
        <v>404166.66666666663</v>
      </c>
      <c r="R11" s="22">
        <f>IF(Corte+13&gt;144,"",INDEX(Calculo!$F$227:$ES$227,1,Corte+13))</f>
        <v>515100</v>
      </c>
      <c r="S11" s="22">
        <f>IF(Corte+14&gt;144,"",INDEX(Calculo!$F$227:$ES$227,1,Corte+14))</f>
        <v>515100</v>
      </c>
      <c r="T11" s="22">
        <f>IF(Corte+15&gt;144,"",INDEX(Calculo!$F$227:$ES$227,1,Corte+15))</f>
        <v>515100</v>
      </c>
      <c r="U11" s="22">
        <f>IF(Corte+16&gt;144,"",INDEX(Calculo!$F$227:$ES$227,1,Corte+16))</f>
        <v>515100</v>
      </c>
      <c r="V11" s="22">
        <f>IF(Corte+17&gt;144,"",INDEX(Calculo!$F$227:$ES$227,1,Corte+17))</f>
        <v>515100</v>
      </c>
      <c r="W11" s="22">
        <f>IF(Corte+18&gt;144,"",INDEX(Calculo!$F$227:$ES$227,1,Corte+18))</f>
        <v>515100</v>
      </c>
      <c r="X11" s="22">
        <f>IF(Corte+19&gt;144,"",INDEX(Calculo!$F$227:$ES$227,1,Corte+19))</f>
        <v>515100</v>
      </c>
      <c r="Y11" s="22">
        <f>IF(Corte+20&gt;144,"",INDEX(Calculo!$F$227:$ES$227,1,Corte+20))</f>
        <v>515100</v>
      </c>
      <c r="Z11" s="22">
        <f>IF(Corte+21&gt;144,"",INDEX(Calculo!$F$227:$ES$227,1,Corte+21))</f>
        <v>515100</v>
      </c>
      <c r="AA11" s="22">
        <f>IF(Corte+22&gt;144,"",INDEX(Calculo!$F$227:$ES$227,1,Corte+22))</f>
        <v>515100</v>
      </c>
      <c r="AB11" s="22">
        <f>IF(Corte+23&gt;144,"",INDEX(Calculo!$F$227:$ES$227,1,Corte+23))</f>
        <v>515100</v>
      </c>
      <c r="AC11" s="22">
        <f>IF(Corte+24&gt;144,"",INDEX(Calculo!$F$227:$ES$227,1,Corte+24))</f>
        <v>515100</v>
      </c>
    </row>
    <row r="12" spans="1:29" x14ac:dyDescent="0.3">
      <c r="A12" s="14" t="s">
        <v>1302</v>
      </c>
      <c r="B12" s="18" t="s">
        <v>1090</v>
      </c>
      <c r="C12" s="54">
        <f t="shared" si="0"/>
        <v>2390070</v>
      </c>
      <c r="D12" s="54">
        <f t="shared" si="1"/>
        <v>3037306.5</v>
      </c>
      <c r="E12" s="54">
        <f t="shared" si="2"/>
        <v>5427376.5</v>
      </c>
      <c r="F12" s="48">
        <f>IF(Corte+1&gt;144,"",INDEX(Calculo!$F$249:$ES$249,1,Corte+1))</f>
        <v>199172.5</v>
      </c>
      <c r="G12" s="48">
        <f>IF(Corte+2&gt;144,"",INDEX(Calculo!$F$249:$ES$249,1,Corte+2))</f>
        <v>199172.5</v>
      </c>
      <c r="H12" s="48">
        <f>IF(Corte+3&gt;144,"",INDEX(Calculo!$F$249:$ES$249,1,Corte+3))</f>
        <v>199172.5</v>
      </c>
      <c r="I12" s="48">
        <f>IF(Corte+4&gt;144,"",INDEX(Calculo!$F$249:$ES$249,1,Corte+4))</f>
        <v>199172.5</v>
      </c>
      <c r="J12" s="48">
        <f>IF(Corte+5&gt;144,"",INDEX(Calculo!$F$249:$ES$249,1,Corte+5))</f>
        <v>199172.5</v>
      </c>
      <c r="K12" s="48">
        <f>IF(Corte+6&gt;144,"",INDEX(Calculo!$F$249:$ES$249,1,Corte+6))</f>
        <v>199172.5</v>
      </c>
      <c r="L12" s="48">
        <f>IF(Corte+7&gt;144,"",INDEX(Calculo!$F$249:$ES$249,1,Corte+7))</f>
        <v>199172.5</v>
      </c>
      <c r="M12" s="48">
        <f>IF(Corte+8&gt;144,"",INDEX(Calculo!$F$249:$ES$249,1,Corte+8))</f>
        <v>199172.5</v>
      </c>
      <c r="N12" s="48">
        <f>IF(Corte+9&gt;144,"",INDEX(Calculo!$F$249:$ES$249,1,Corte+9))</f>
        <v>199172.5</v>
      </c>
      <c r="O12" s="48">
        <f>IF(Corte+10&gt;144,"",INDEX(Calculo!$F$249:$ES$249,1,Corte+10))</f>
        <v>199172.5</v>
      </c>
      <c r="P12" s="48">
        <f>IF(Corte+11&gt;144,"",INDEX(Calculo!$F$249:$ES$249,1,Corte+11))</f>
        <v>199172.5</v>
      </c>
      <c r="Q12" s="48">
        <f>IF(Corte+12&gt;144,"",INDEX(Calculo!$F$249:$ES$249,1,Corte+12))</f>
        <v>199172.5</v>
      </c>
      <c r="R12" s="48">
        <f>IF(Corte+13&gt;144,"",INDEX(Calculo!$F$249:$ES$249,1,Corte+13))</f>
        <v>253108.875</v>
      </c>
      <c r="S12" s="48">
        <f>IF(Corte+14&gt;144,"",INDEX(Calculo!$F$249:$ES$249,1,Corte+14))</f>
        <v>253108.875</v>
      </c>
      <c r="T12" s="48">
        <f>IF(Corte+15&gt;144,"",INDEX(Calculo!$F$249:$ES$249,1,Corte+15))</f>
        <v>253108.875</v>
      </c>
      <c r="U12" s="48">
        <f>IF(Corte+16&gt;144,"",INDEX(Calculo!$F$249:$ES$249,1,Corte+16))</f>
        <v>253108.875</v>
      </c>
      <c r="V12" s="48">
        <f>IF(Corte+17&gt;144,"",INDEX(Calculo!$F$249:$ES$249,1,Corte+17))</f>
        <v>253108.875</v>
      </c>
      <c r="W12" s="48">
        <f>IF(Corte+18&gt;144,"",INDEX(Calculo!$F$249:$ES$249,1,Corte+18))</f>
        <v>253108.875</v>
      </c>
      <c r="X12" s="48">
        <f>IF(Corte+19&gt;144,"",INDEX(Calculo!$F$249:$ES$249,1,Corte+19))</f>
        <v>253108.875</v>
      </c>
      <c r="Y12" s="48">
        <f>IF(Corte+20&gt;144,"",INDEX(Calculo!$F$249:$ES$249,1,Corte+20))</f>
        <v>253108.875</v>
      </c>
      <c r="Z12" s="48">
        <f>IF(Corte+21&gt;144,"",INDEX(Calculo!$F$249:$ES$249,1,Corte+21))</f>
        <v>253108.875</v>
      </c>
      <c r="AA12" s="48">
        <f>IF(Corte+22&gt;144,"",INDEX(Calculo!$F$249:$ES$249,1,Corte+22))</f>
        <v>253108.875</v>
      </c>
      <c r="AB12" s="48">
        <f>IF(Corte+23&gt;144,"",INDEX(Calculo!$F$249:$ES$249,1,Corte+23))</f>
        <v>253108.875</v>
      </c>
      <c r="AC12" s="48">
        <f>IF(Corte+24&gt;144,"",INDEX(Calculo!$F$249:$ES$249,1,Corte+24))</f>
        <v>253108.875</v>
      </c>
    </row>
    <row r="13" spans="1:29" x14ac:dyDescent="0.3">
      <c r="A13" s="14" t="s">
        <v>1303</v>
      </c>
      <c r="B13" s="18" t="s">
        <v>1092</v>
      </c>
      <c r="C13" s="54">
        <f t="shared" si="0"/>
        <v>635639.58305565466</v>
      </c>
      <c r="D13" s="54">
        <f t="shared" si="1"/>
        <v>802571.52204565483</v>
      </c>
      <c r="E13" s="54">
        <f t="shared" si="2"/>
        <v>1438211.1051013099</v>
      </c>
      <c r="F13" s="48">
        <f>IF(Corte+1&gt;144,"",INDEX(Calculo!$F$250:$ES$250,1,Corte+1))</f>
        <v>52969.9652546379</v>
      </c>
      <c r="G13" s="48">
        <f>IF(Corte+2&gt;144,"",INDEX(Calculo!$F$250:$ES$250,1,Corte+2))</f>
        <v>52969.9652546379</v>
      </c>
      <c r="H13" s="48">
        <f>IF(Corte+3&gt;144,"",INDEX(Calculo!$F$250:$ES$250,1,Corte+3))</f>
        <v>52969.9652546379</v>
      </c>
      <c r="I13" s="48">
        <f>IF(Corte+4&gt;144,"",INDEX(Calculo!$F$250:$ES$250,1,Corte+4))</f>
        <v>52969.9652546379</v>
      </c>
      <c r="J13" s="48">
        <f>IF(Corte+5&gt;144,"",INDEX(Calculo!$F$250:$ES$250,1,Corte+5))</f>
        <v>52969.9652546379</v>
      </c>
      <c r="K13" s="48">
        <f>IF(Corte+6&gt;144,"",INDEX(Calculo!$F$250:$ES$250,1,Corte+6))</f>
        <v>52969.9652546379</v>
      </c>
      <c r="L13" s="48">
        <f>IF(Corte+7&gt;144,"",INDEX(Calculo!$F$250:$ES$250,1,Corte+7))</f>
        <v>52969.9652546379</v>
      </c>
      <c r="M13" s="48">
        <f>IF(Corte+8&gt;144,"",INDEX(Calculo!$F$250:$ES$250,1,Corte+8))</f>
        <v>52969.9652546379</v>
      </c>
      <c r="N13" s="48">
        <f>IF(Corte+9&gt;144,"",INDEX(Calculo!$F$250:$ES$250,1,Corte+9))</f>
        <v>52969.9652546379</v>
      </c>
      <c r="O13" s="48">
        <f>IF(Corte+10&gt;144,"",INDEX(Calculo!$F$250:$ES$250,1,Corte+10))</f>
        <v>52969.9652546379</v>
      </c>
      <c r="P13" s="48">
        <f>IF(Corte+11&gt;144,"",INDEX(Calculo!$F$250:$ES$250,1,Corte+11))</f>
        <v>52969.9652546379</v>
      </c>
      <c r="Q13" s="48">
        <f>IF(Corte+12&gt;144,"",INDEX(Calculo!$F$250:$ES$250,1,Corte+12))</f>
        <v>52969.9652546379</v>
      </c>
      <c r="R13" s="48">
        <f>IF(Corte+13&gt;144,"",INDEX(Calculo!$F$250:$ES$250,1,Corte+13))</f>
        <v>66880.96017047124</v>
      </c>
      <c r="S13" s="48">
        <f>IF(Corte+14&gt;144,"",INDEX(Calculo!$F$250:$ES$250,1,Corte+14))</f>
        <v>66880.96017047124</v>
      </c>
      <c r="T13" s="48">
        <f>IF(Corte+15&gt;144,"",INDEX(Calculo!$F$250:$ES$250,1,Corte+15))</f>
        <v>66880.96017047124</v>
      </c>
      <c r="U13" s="48">
        <f>IF(Corte+16&gt;144,"",INDEX(Calculo!$F$250:$ES$250,1,Corte+16))</f>
        <v>66880.96017047124</v>
      </c>
      <c r="V13" s="48">
        <f>IF(Corte+17&gt;144,"",INDEX(Calculo!$F$250:$ES$250,1,Corte+17))</f>
        <v>66880.96017047124</v>
      </c>
      <c r="W13" s="48">
        <f>IF(Corte+18&gt;144,"",INDEX(Calculo!$F$250:$ES$250,1,Corte+18))</f>
        <v>66880.96017047124</v>
      </c>
      <c r="X13" s="48">
        <f>IF(Corte+19&gt;144,"",INDEX(Calculo!$F$250:$ES$250,1,Corte+19))</f>
        <v>66880.96017047124</v>
      </c>
      <c r="Y13" s="48">
        <f>IF(Corte+20&gt;144,"",INDEX(Calculo!$F$250:$ES$250,1,Corte+20))</f>
        <v>66880.96017047124</v>
      </c>
      <c r="Z13" s="48">
        <f>IF(Corte+21&gt;144,"",INDEX(Calculo!$F$250:$ES$250,1,Corte+21))</f>
        <v>66880.96017047124</v>
      </c>
      <c r="AA13" s="48">
        <f>IF(Corte+22&gt;144,"",INDEX(Calculo!$F$250:$ES$250,1,Corte+22))</f>
        <v>66880.96017047124</v>
      </c>
      <c r="AB13" s="48">
        <f>IF(Corte+23&gt;144,"",INDEX(Calculo!$F$250:$ES$250,1,Corte+23))</f>
        <v>66880.96017047124</v>
      </c>
      <c r="AC13" s="48">
        <f>IF(Corte+24&gt;144,"",INDEX(Calculo!$F$250:$ES$250,1,Corte+24))</f>
        <v>66880.96017047124</v>
      </c>
    </row>
    <row r="14" spans="1:29" x14ac:dyDescent="0.3">
      <c r="A14" s="14" t="s">
        <v>1304</v>
      </c>
      <c r="B14" s="18" t="s">
        <v>1094</v>
      </c>
      <c r="C14" s="54">
        <f t="shared" si="0"/>
        <v>636656.64835364372</v>
      </c>
      <c r="D14" s="54">
        <f t="shared" si="1"/>
        <v>636656.64835364372</v>
      </c>
      <c r="E14" s="54">
        <f t="shared" si="2"/>
        <v>1273313.2967072874</v>
      </c>
      <c r="F14" s="48">
        <f>IF(Corte+1&gt;144,"",INDEX(Calculo!$F$251:$ES$251,1,Corte+1))</f>
        <v>53054.720696136981</v>
      </c>
      <c r="G14" s="48">
        <f>IF(Corte+2&gt;144,"",INDEX(Calculo!$F$251:$ES$251,1,Corte+2))</f>
        <v>53054.720696136981</v>
      </c>
      <c r="H14" s="48">
        <f>IF(Corte+3&gt;144,"",INDEX(Calculo!$F$251:$ES$251,1,Corte+3))</f>
        <v>53054.720696136981</v>
      </c>
      <c r="I14" s="48">
        <f>IF(Corte+4&gt;144,"",INDEX(Calculo!$F$251:$ES$251,1,Corte+4))</f>
        <v>53054.720696136981</v>
      </c>
      <c r="J14" s="48">
        <f>IF(Corte+5&gt;144,"",INDEX(Calculo!$F$251:$ES$251,1,Corte+5))</f>
        <v>53054.720696136981</v>
      </c>
      <c r="K14" s="48">
        <f>IF(Corte+6&gt;144,"",INDEX(Calculo!$F$251:$ES$251,1,Corte+6))</f>
        <v>53054.720696136981</v>
      </c>
      <c r="L14" s="48">
        <f>IF(Corte+7&gt;144,"",INDEX(Calculo!$F$251:$ES$251,1,Corte+7))</f>
        <v>53054.720696136981</v>
      </c>
      <c r="M14" s="48">
        <f>IF(Corte+8&gt;144,"",INDEX(Calculo!$F$251:$ES$251,1,Corte+8))</f>
        <v>53054.720696136981</v>
      </c>
      <c r="N14" s="48">
        <f>IF(Corte+9&gt;144,"",INDEX(Calculo!$F$251:$ES$251,1,Corte+9))</f>
        <v>53054.720696136981</v>
      </c>
      <c r="O14" s="48">
        <f>IF(Corte+10&gt;144,"",INDEX(Calculo!$F$251:$ES$251,1,Corte+10))</f>
        <v>53054.720696136981</v>
      </c>
      <c r="P14" s="48">
        <f>IF(Corte+11&gt;144,"",INDEX(Calculo!$F$251:$ES$251,1,Corte+11))</f>
        <v>53054.720696136981</v>
      </c>
      <c r="Q14" s="48">
        <f>IF(Corte+12&gt;144,"",INDEX(Calculo!$F$251:$ES$251,1,Corte+12))</f>
        <v>53054.720696136981</v>
      </c>
      <c r="R14" s="48">
        <f>IF(Corte+13&gt;144,"",INDEX(Calculo!$F$251:$ES$251,1,Corte+13))</f>
        <v>53054.720696136981</v>
      </c>
      <c r="S14" s="48">
        <f>IF(Corte+14&gt;144,"",INDEX(Calculo!$F$251:$ES$251,1,Corte+14))</f>
        <v>53054.720696136981</v>
      </c>
      <c r="T14" s="48">
        <f>IF(Corte+15&gt;144,"",INDEX(Calculo!$F$251:$ES$251,1,Corte+15))</f>
        <v>53054.720696136981</v>
      </c>
      <c r="U14" s="48">
        <f>IF(Corte+16&gt;144,"",INDEX(Calculo!$F$251:$ES$251,1,Corte+16))</f>
        <v>53054.720696136981</v>
      </c>
      <c r="V14" s="48">
        <f>IF(Corte+17&gt;144,"",INDEX(Calculo!$F$251:$ES$251,1,Corte+17))</f>
        <v>53054.720696136981</v>
      </c>
      <c r="W14" s="48">
        <f>IF(Corte+18&gt;144,"",INDEX(Calculo!$F$251:$ES$251,1,Corte+18))</f>
        <v>53054.720696136981</v>
      </c>
      <c r="X14" s="48">
        <f>IF(Corte+19&gt;144,"",INDEX(Calculo!$F$251:$ES$251,1,Corte+19))</f>
        <v>53054.720696136981</v>
      </c>
      <c r="Y14" s="48">
        <f>IF(Corte+20&gt;144,"",INDEX(Calculo!$F$251:$ES$251,1,Corte+20))</f>
        <v>53054.720696136981</v>
      </c>
      <c r="Z14" s="48">
        <f>IF(Corte+21&gt;144,"",INDEX(Calculo!$F$251:$ES$251,1,Corte+21))</f>
        <v>53054.720696136981</v>
      </c>
      <c r="AA14" s="48">
        <f>IF(Corte+22&gt;144,"",INDEX(Calculo!$F$251:$ES$251,1,Corte+22))</f>
        <v>53054.720696136981</v>
      </c>
      <c r="AB14" s="48">
        <f>IF(Corte+23&gt;144,"",INDEX(Calculo!$F$251:$ES$251,1,Corte+23))</f>
        <v>53054.720696136981</v>
      </c>
      <c r="AC14" s="48">
        <f>IF(Corte+24&gt;144,"",INDEX(Calculo!$F$251:$ES$251,1,Corte+24))</f>
        <v>53054.720696136981</v>
      </c>
    </row>
    <row r="15" spans="1:29" x14ac:dyDescent="0.3">
      <c r="A15" s="14" t="s">
        <v>1305</v>
      </c>
      <c r="B15" s="18" t="s">
        <v>1096</v>
      </c>
      <c r="C15" s="54">
        <f t="shared" si="0"/>
        <v>238476.13713210871</v>
      </c>
      <c r="D15" s="54">
        <f t="shared" si="1"/>
        <v>279808.42792160873</v>
      </c>
      <c r="E15" s="54">
        <f t="shared" si="2"/>
        <v>518284.5650537177</v>
      </c>
      <c r="F15" s="48">
        <f>IF(Corte+1&gt;144,"",INDEX(Calculo!$F$252:$ES$252,1,Corte+1))</f>
        <v>19873.01142767573</v>
      </c>
      <c r="G15" s="48">
        <f>IF(Corte+2&gt;144,"",INDEX(Calculo!$F$252:$ES$252,1,Corte+2))</f>
        <v>19873.01142767573</v>
      </c>
      <c r="H15" s="48">
        <f>IF(Corte+3&gt;144,"",INDEX(Calculo!$F$252:$ES$252,1,Corte+3))</f>
        <v>19873.01142767573</v>
      </c>
      <c r="I15" s="48">
        <f>IF(Corte+4&gt;144,"",INDEX(Calculo!$F$252:$ES$252,1,Corte+4))</f>
        <v>19873.01142767573</v>
      </c>
      <c r="J15" s="48">
        <f>IF(Corte+5&gt;144,"",INDEX(Calculo!$F$252:$ES$252,1,Corte+5))</f>
        <v>19873.01142767573</v>
      </c>
      <c r="K15" s="48">
        <f>IF(Corte+6&gt;144,"",INDEX(Calculo!$F$252:$ES$252,1,Corte+6))</f>
        <v>19873.01142767573</v>
      </c>
      <c r="L15" s="48">
        <f>IF(Corte+7&gt;144,"",INDEX(Calculo!$F$252:$ES$252,1,Corte+7))</f>
        <v>19873.01142767573</v>
      </c>
      <c r="M15" s="48">
        <f>IF(Corte+8&gt;144,"",INDEX(Calculo!$F$252:$ES$252,1,Corte+8))</f>
        <v>19873.01142767573</v>
      </c>
      <c r="N15" s="48">
        <f>IF(Corte+9&gt;144,"",INDEX(Calculo!$F$252:$ES$252,1,Corte+9))</f>
        <v>19873.01142767573</v>
      </c>
      <c r="O15" s="48">
        <f>IF(Corte+10&gt;144,"",INDEX(Calculo!$F$252:$ES$252,1,Corte+10))</f>
        <v>19873.01142767573</v>
      </c>
      <c r="P15" s="48">
        <f>IF(Corte+11&gt;144,"",INDEX(Calculo!$F$252:$ES$252,1,Corte+11))</f>
        <v>19873.01142767573</v>
      </c>
      <c r="Q15" s="48">
        <f>IF(Corte+12&gt;144,"",INDEX(Calculo!$F$252:$ES$252,1,Corte+12))</f>
        <v>19873.01142767573</v>
      </c>
      <c r="R15" s="48">
        <f>IF(Corte+13&gt;144,"",INDEX(Calculo!$F$252:$ES$252,1,Corte+13))</f>
        <v>23317.3689934674</v>
      </c>
      <c r="S15" s="48">
        <f>IF(Corte+14&gt;144,"",INDEX(Calculo!$F$252:$ES$252,1,Corte+14))</f>
        <v>23317.3689934674</v>
      </c>
      <c r="T15" s="48">
        <f>IF(Corte+15&gt;144,"",INDEX(Calculo!$F$252:$ES$252,1,Corte+15))</f>
        <v>23317.3689934674</v>
      </c>
      <c r="U15" s="48">
        <f>IF(Corte+16&gt;144,"",INDEX(Calculo!$F$252:$ES$252,1,Corte+16))</f>
        <v>23317.3689934674</v>
      </c>
      <c r="V15" s="48">
        <f>IF(Corte+17&gt;144,"",INDEX(Calculo!$F$252:$ES$252,1,Corte+17))</f>
        <v>23317.3689934674</v>
      </c>
      <c r="W15" s="48">
        <f>IF(Corte+18&gt;144,"",INDEX(Calculo!$F$252:$ES$252,1,Corte+18))</f>
        <v>23317.3689934674</v>
      </c>
      <c r="X15" s="48">
        <f>IF(Corte+19&gt;144,"",INDEX(Calculo!$F$252:$ES$252,1,Corte+19))</f>
        <v>23317.3689934674</v>
      </c>
      <c r="Y15" s="48">
        <f>IF(Corte+20&gt;144,"",INDEX(Calculo!$F$252:$ES$252,1,Corte+20))</f>
        <v>23317.3689934674</v>
      </c>
      <c r="Z15" s="48">
        <f>IF(Corte+21&gt;144,"",INDEX(Calculo!$F$252:$ES$252,1,Corte+21))</f>
        <v>23317.3689934674</v>
      </c>
      <c r="AA15" s="48">
        <f>IF(Corte+22&gt;144,"",INDEX(Calculo!$F$252:$ES$252,1,Corte+22))</f>
        <v>23317.3689934674</v>
      </c>
      <c r="AB15" s="48">
        <f>IF(Corte+23&gt;144,"",INDEX(Calculo!$F$252:$ES$252,1,Corte+23))</f>
        <v>23317.3689934674</v>
      </c>
      <c r="AC15" s="48">
        <f>IF(Corte+24&gt;144,"",INDEX(Calculo!$F$252:$ES$252,1,Corte+24))</f>
        <v>23317.3689934674</v>
      </c>
    </row>
    <row r="16" spans="1:29" x14ac:dyDescent="0.3">
      <c r="A16" s="14" t="s">
        <v>1307</v>
      </c>
      <c r="B16" s="18" t="s">
        <v>1100</v>
      </c>
      <c r="C16" s="54">
        <f t="shared" si="0"/>
        <v>107519.85262701369</v>
      </c>
      <c r="D16" s="54">
        <f t="shared" si="1"/>
        <v>107519.85262701369</v>
      </c>
      <c r="E16" s="54">
        <f t="shared" si="2"/>
        <v>215039.70525402739</v>
      </c>
      <c r="F16" s="48">
        <f>IF(Corte+1&gt;144,"",INDEX(Calculo!$F$254:$ES$254,1,Corte+1))</f>
        <v>8959.9877189178078</v>
      </c>
      <c r="G16" s="48">
        <f>IF(Corte+2&gt;144,"",INDEX(Calculo!$F$254:$ES$254,1,Corte+2))</f>
        <v>8959.9877189178078</v>
      </c>
      <c r="H16" s="48">
        <f>IF(Corte+3&gt;144,"",INDEX(Calculo!$F$254:$ES$254,1,Corte+3))</f>
        <v>8959.9877189178078</v>
      </c>
      <c r="I16" s="48">
        <f>IF(Corte+4&gt;144,"",INDEX(Calculo!$F$254:$ES$254,1,Corte+4))</f>
        <v>8959.9877189178078</v>
      </c>
      <c r="J16" s="48">
        <f>IF(Corte+5&gt;144,"",INDEX(Calculo!$F$254:$ES$254,1,Corte+5))</f>
        <v>8959.9877189178078</v>
      </c>
      <c r="K16" s="48">
        <f>IF(Corte+6&gt;144,"",INDEX(Calculo!$F$254:$ES$254,1,Corte+6))</f>
        <v>8959.9877189178078</v>
      </c>
      <c r="L16" s="48">
        <f>IF(Corte+7&gt;144,"",INDEX(Calculo!$F$254:$ES$254,1,Corte+7))</f>
        <v>8959.9877189178078</v>
      </c>
      <c r="M16" s="48">
        <f>IF(Corte+8&gt;144,"",INDEX(Calculo!$F$254:$ES$254,1,Corte+8))</f>
        <v>8959.9877189178078</v>
      </c>
      <c r="N16" s="48">
        <f>IF(Corte+9&gt;144,"",INDEX(Calculo!$F$254:$ES$254,1,Corte+9))</f>
        <v>8959.9877189178078</v>
      </c>
      <c r="O16" s="48">
        <f>IF(Corte+10&gt;144,"",INDEX(Calculo!$F$254:$ES$254,1,Corte+10))</f>
        <v>8959.9877189178078</v>
      </c>
      <c r="P16" s="48">
        <f>IF(Corte+11&gt;144,"",INDEX(Calculo!$F$254:$ES$254,1,Corte+11))</f>
        <v>8959.9877189178078</v>
      </c>
      <c r="Q16" s="48">
        <f>IF(Corte+12&gt;144,"",INDEX(Calculo!$F$254:$ES$254,1,Corte+12))</f>
        <v>8959.9877189178078</v>
      </c>
      <c r="R16" s="48">
        <f>IF(Corte+13&gt;144,"",INDEX(Calculo!$F$254:$ES$254,1,Corte+13))</f>
        <v>8959.9877189178078</v>
      </c>
      <c r="S16" s="48">
        <f>IF(Corte+14&gt;144,"",INDEX(Calculo!$F$254:$ES$254,1,Corte+14))</f>
        <v>8959.9877189178078</v>
      </c>
      <c r="T16" s="48">
        <f>IF(Corte+15&gt;144,"",INDEX(Calculo!$F$254:$ES$254,1,Corte+15))</f>
        <v>8959.9877189178078</v>
      </c>
      <c r="U16" s="48">
        <f>IF(Corte+16&gt;144,"",INDEX(Calculo!$F$254:$ES$254,1,Corte+16))</f>
        <v>8959.9877189178078</v>
      </c>
      <c r="V16" s="48">
        <f>IF(Corte+17&gt;144,"",INDEX(Calculo!$F$254:$ES$254,1,Corte+17))</f>
        <v>8959.9877189178078</v>
      </c>
      <c r="W16" s="48">
        <f>IF(Corte+18&gt;144,"",INDEX(Calculo!$F$254:$ES$254,1,Corte+18))</f>
        <v>8959.9877189178078</v>
      </c>
      <c r="X16" s="48">
        <f>IF(Corte+19&gt;144,"",INDEX(Calculo!$F$254:$ES$254,1,Corte+19))</f>
        <v>8959.9877189178078</v>
      </c>
      <c r="Y16" s="48">
        <f>IF(Corte+20&gt;144,"",INDEX(Calculo!$F$254:$ES$254,1,Corte+20))</f>
        <v>8959.9877189178078</v>
      </c>
      <c r="Z16" s="48">
        <f>IF(Corte+21&gt;144,"",INDEX(Calculo!$F$254:$ES$254,1,Corte+21))</f>
        <v>8959.9877189178078</v>
      </c>
      <c r="AA16" s="48">
        <f>IF(Corte+22&gt;144,"",INDEX(Calculo!$F$254:$ES$254,1,Corte+22))</f>
        <v>8959.9877189178078</v>
      </c>
      <c r="AB16" s="48">
        <f>IF(Corte+23&gt;144,"",INDEX(Calculo!$F$254:$ES$254,1,Corte+23))</f>
        <v>8959.9877189178078</v>
      </c>
      <c r="AC16" s="48">
        <f>IF(Corte+24&gt;144,"",INDEX(Calculo!$F$254:$ES$254,1,Corte+24))</f>
        <v>8959.9877189178078</v>
      </c>
    </row>
    <row r="17" spans="1:29" x14ac:dyDescent="0.3">
      <c r="A17" s="14" t="s">
        <v>1308</v>
      </c>
      <c r="B17" s="18" t="s">
        <v>1379</v>
      </c>
      <c r="C17" s="54">
        <f t="shared" si="0"/>
        <v>283167.77312450128</v>
      </c>
      <c r="D17" s="54">
        <f t="shared" si="1"/>
        <v>289568.21312450146</v>
      </c>
      <c r="E17" s="54">
        <f t="shared" si="2"/>
        <v>572735.98624900274</v>
      </c>
      <c r="F17" s="48">
        <f>IF(Corte+1&gt;144,"",INDEX(Calculo!$F$255:$ES$255,1,Corte+1))</f>
        <v>23597.31442704178</v>
      </c>
      <c r="G17" s="48">
        <f>IF(Corte+2&gt;144,"",INDEX(Calculo!$F$255:$ES$255,1,Corte+2))</f>
        <v>23597.31442704178</v>
      </c>
      <c r="H17" s="48">
        <f>IF(Corte+3&gt;144,"",INDEX(Calculo!$F$255:$ES$255,1,Corte+3))</f>
        <v>23597.31442704178</v>
      </c>
      <c r="I17" s="48">
        <f>IF(Corte+4&gt;144,"",INDEX(Calculo!$F$255:$ES$255,1,Corte+4))</f>
        <v>23597.31442704178</v>
      </c>
      <c r="J17" s="48">
        <f>IF(Corte+5&gt;144,"",INDEX(Calculo!$F$255:$ES$255,1,Corte+5))</f>
        <v>23597.31442704178</v>
      </c>
      <c r="K17" s="48">
        <f>IF(Corte+6&gt;144,"",INDEX(Calculo!$F$255:$ES$255,1,Corte+6))</f>
        <v>23597.31442704178</v>
      </c>
      <c r="L17" s="48">
        <f>IF(Corte+7&gt;144,"",INDEX(Calculo!$F$255:$ES$255,1,Corte+7))</f>
        <v>23597.31442704178</v>
      </c>
      <c r="M17" s="48">
        <f>IF(Corte+8&gt;144,"",INDEX(Calculo!$F$255:$ES$255,1,Corte+8))</f>
        <v>23597.31442704178</v>
      </c>
      <c r="N17" s="48">
        <f>IF(Corte+9&gt;144,"",INDEX(Calculo!$F$255:$ES$255,1,Corte+9))</f>
        <v>23597.31442704178</v>
      </c>
      <c r="O17" s="48">
        <f>IF(Corte+10&gt;144,"",INDEX(Calculo!$F$255:$ES$255,1,Corte+10))</f>
        <v>23597.31442704178</v>
      </c>
      <c r="P17" s="48">
        <f>IF(Corte+11&gt;144,"",INDEX(Calculo!$F$255:$ES$255,1,Corte+11))</f>
        <v>23597.31442704178</v>
      </c>
      <c r="Q17" s="48">
        <f>IF(Corte+12&gt;144,"",INDEX(Calculo!$F$255:$ES$255,1,Corte+12))</f>
        <v>23597.31442704178</v>
      </c>
      <c r="R17" s="48">
        <f>IF(Corte+13&gt;144,"",INDEX(Calculo!$F$255:$ES$255,1,Corte+13))</f>
        <v>24130.684427041782</v>
      </c>
      <c r="S17" s="48">
        <f>IF(Corte+14&gt;144,"",INDEX(Calculo!$F$255:$ES$255,1,Corte+14))</f>
        <v>24130.684427041782</v>
      </c>
      <c r="T17" s="48">
        <f>IF(Corte+15&gt;144,"",INDEX(Calculo!$F$255:$ES$255,1,Corte+15))</f>
        <v>24130.684427041782</v>
      </c>
      <c r="U17" s="48">
        <f>IF(Corte+16&gt;144,"",INDEX(Calculo!$F$255:$ES$255,1,Corte+16))</f>
        <v>24130.684427041782</v>
      </c>
      <c r="V17" s="48">
        <f>IF(Corte+17&gt;144,"",INDEX(Calculo!$F$255:$ES$255,1,Corte+17))</f>
        <v>24130.684427041782</v>
      </c>
      <c r="W17" s="48">
        <f>IF(Corte+18&gt;144,"",INDEX(Calculo!$F$255:$ES$255,1,Corte+18))</f>
        <v>24130.684427041782</v>
      </c>
      <c r="X17" s="48">
        <f>IF(Corte+19&gt;144,"",INDEX(Calculo!$F$255:$ES$255,1,Corte+19))</f>
        <v>24130.684427041782</v>
      </c>
      <c r="Y17" s="48">
        <f>IF(Corte+20&gt;144,"",INDEX(Calculo!$F$255:$ES$255,1,Corte+20))</f>
        <v>24130.684427041782</v>
      </c>
      <c r="Z17" s="48">
        <f>IF(Corte+21&gt;144,"",INDEX(Calculo!$F$255:$ES$255,1,Corte+21))</f>
        <v>24130.684427041782</v>
      </c>
      <c r="AA17" s="48">
        <f>IF(Corte+22&gt;144,"",INDEX(Calculo!$F$255:$ES$255,1,Corte+22))</f>
        <v>24130.684427041782</v>
      </c>
      <c r="AB17" s="48">
        <f>IF(Corte+23&gt;144,"",INDEX(Calculo!$F$255:$ES$255,1,Corte+23))</f>
        <v>24130.684427041782</v>
      </c>
      <c r="AC17" s="48">
        <f>IF(Corte+24&gt;144,"",INDEX(Calculo!$F$255:$ES$255,1,Corte+24))</f>
        <v>24130.684427041782</v>
      </c>
    </row>
    <row r="18" spans="1:29" x14ac:dyDescent="0.3">
      <c r="A18" s="14" t="s">
        <v>1309</v>
      </c>
      <c r="B18" s="18" t="s">
        <v>943</v>
      </c>
      <c r="C18" s="54">
        <f t="shared" si="0"/>
        <v>48499.999999999993</v>
      </c>
      <c r="D18" s="54">
        <f t="shared" si="1"/>
        <v>61812</v>
      </c>
      <c r="E18" s="54">
        <f t="shared" si="2"/>
        <v>110312</v>
      </c>
      <c r="F18" s="48">
        <f>IF(Corte+1&gt;144,"",INDEX(Calculo!$F$256:$ES$256,1,Corte+1))</f>
        <v>4041.6666666666665</v>
      </c>
      <c r="G18" s="48">
        <f>IF(Corte+2&gt;144,"",INDEX(Calculo!$F$256:$ES$256,1,Corte+2))</f>
        <v>4041.6666666666665</v>
      </c>
      <c r="H18" s="48">
        <f>IF(Corte+3&gt;144,"",INDEX(Calculo!$F$256:$ES$256,1,Corte+3))</f>
        <v>4041.6666666666665</v>
      </c>
      <c r="I18" s="48">
        <f>IF(Corte+4&gt;144,"",INDEX(Calculo!$F$256:$ES$256,1,Corte+4))</f>
        <v>4041.6666666666665</v>
      </c>
      <c r="J18" s="48">
        <f>IF(Corte+5&gt;144,"",INDEX(Calculo!$F$256:$ES$256,1,Corte+5))</f>
        <v>4041.6666666666665</v>
      </c>
      <c r="K18" s="48">
        <f>IF(Corte+6&gt;144,"",INDEX(Calculo!$F$256:$ES$256,1,Corte+6))</f>
        <v>4041.6666666666665</v>
      </c>
      <c r="L18" s="48">
        <f>IF(Corte+7&gt;144,"",INDEX(Calculo!$F$256:$ES$256,1,Corte+7))</f>
        <v>4041.6666666666665</v>
      </c>
      <c r="M18" s="48">
        <f>IF(Corte+8&gt;144,"",INDEX(Calculo!$F$256:$ES$256,1,Corte+8))</f>
        <v>4041.6666666666665</v>
      </c>
      <c r="N18" s="48">
        <f>IF(Corte+9&gt;144,"",INDEX(Calculo!$F$256:$ES$256,1,Corte+9))</f>
        <v>4041.6666666666665</v>
      </c>
      <c r="O18" s="48">
        <f>IF(Corte+10&gt;144,"",INDEX(Calculo!$F$256:$ES$256,1,Corte+10))</f>
        <v>4041.6666666666665</v>
      </c>
      <c r="P18" s="48">
        <f>IF(Corte+11&gt;144,"",INDEX(Calculo!$F$256:$ES$256,1,Corte+11))</f>
        <v>4041.6666666666665</v>
      </c>
      <c r="Q18" s="48">
        <f>IF(Corte+12&gt;144,"",INDEX(Calculo!$F$256:$ES$256,1,Corte+12))</f>
        <v>4041.6666666666665</v>
      </c>
      <c r="R18" s="48">
        <f>IF(Corte+13&gt;144,"",INDEX(Calculo!$F$256:$ES$256,1,Corte+13))</f>
        <v>5151</v>
      </c>
      <c r="S18" s="48">
        <f>IF(Corte+14&gt;144,"",INDEX(Calculo!$F$256:$ES$256,1,Corte+14))</f>
        <v>5151</v>
      </c>
      <c r="T18" s="48">
        <f>IF(Corte+15&gt;144,"",INDEX(Calculo!$F$256:$ES$256,1,Corte+15))</f>
        <v>5151</v>
      </c>
      <c r="U18" s="48">
        <f>IF(Corte+16&gt;144,"",INDEX(Calculo!$F$256:$ES$256,1,Corte+16))</f>
        <v>5151</v>
      </c>
      <c r="V18" s="48">
        <f>IF(Corte+17&gt;144,"",INDEX(Calculo!$F$256:$ES$256,1,Corte+17))</f>
        <v>5151</v>
      </c>
      <c r="W18" s="48">
        <f>IF(Corte+18&gt;144,"",INDEX(Calculo!$F$256:$ES$256,1,Corte+18))</f>
        <v>5151</v>
      </c>
      <c r="X18" s="48">
        <f>IF(Corte+19&gt;144,"",INDEX(Calculo!$F$256:$ES$256,1,Corte+19))</f>
        <v>5151</v>
      </c>
      <c r="Y18" s="48">
        <f>IF(Corte+20&gt;144,"",INDEX(Calculo!$F$256:$ES$256,1,Corte+20))</f>
        <v>5151</v>
      </c>
      <c r="Z18" s="48">
        <f>IF(Corte+21&gt;144,"",INDEX(Calculo!$F$256:$ES$256,1,Corte+21))</f>
        <v>5151</v>
      </c>
      <c r="AA18" s="48">
        <f>IF(Corte+22&gt;144,"",INDEX(Calculo!$F$256:$ES$256,1,Corte+22))</f>
        <v>5151</v>
      </c>
      <c r="AB18" s="48">
        <f>IF(Corte+23&gt;144,"",INDEX(Calculo!$F$256:$ES$256,1,Corte+23))</f>
        <v>5151</v>
      </c>
      <c r="AC18" s="48">
        <f>IF(Corte+24&gt;144,"",INDEX(Calculo!$F$256:$ES$256,1,Corte+24))</f>
        <v>5151</v>
      </c>
    </row>
    <row r="19" spans="1:29" x14ac:dyDescent="0.3">
      <c r="A19" s="14" t="s">
        <v>1311</v>
      </c>
      <c r="B19" s="68" t="s">
        <v>440</v>
      </c>
      <c r="C19" s="54">
        <f t="shared" si="0"/>
        <v>509970.00570707704</v>
      </c>
      <c r="D19" s="54">
        <f t="shared" si="1"/>
        <v>965956.83592757722</v>
      </c>
      <c r="E19" s="54">
        <f t="shared" si="2"/>
        <v>1475926.841634654</v>
      </c>
      <c r="F19" s="22">
        <f>IF(Corte+1&gt;144,"",INDEX(Calculo!$F$258:$ES$258,1,Corte+1))</f>
        <v>42497.500475589746</v>
      </c>
      <c r="G19" s="22">
        <f>IF(Corte+2&gt;144,"",INDEX(Calculo!$F$258:$ES$258,1,Corte+2))</f>
        <v>42497.500475589746</v>
      </c>
      <c r="H19" s="22">
        <f>IF(Corte+3&gt;144,"",INDEX(Calculo!$F$258:$ES$258,1,Corte+3))</f>
        <v>42497.500475589746</v>
      </c>
      <c r="I19" s="22">
        <f>IF(Corte+4&gt;144,"",INDEX(Calculo!$F$258:$ES$258,1,Corte+4))</f>
        <v>42497.500475589746</v>
      </c>
      <c r="J19" s="22">
        <f>IF(Corte+5&gt;144,"",INDEX(Calculo!$F$258:$ES$258,1,Corte+5))</f>
        <v>42497.500475589746</v>
      </c>
      <c r="K19" s="22">
        <f>IF(Corte+6&gt;144,"",INDEX(Calculo!$F$258:$ES$258,1,Corte+6))</f>
        <v>42497.500475589746</v>
      </c>
      <c r="L19" s="22">
        <f>IF(Corte+7&gt;144,"",INDEX(Calculo!$F$258:$ES$258,1,Corte+7))</f>
        <v>42497.500475589746</v>
      </c>
      <c r="M19" s="22">
        <f>IF(Corte+8&gt;144,"",INDEX(Calculo!$F$258:$ES$258,1,Corte+8))</f>
        <v>42497.500475589746</v>
      </c>
      <c r="N19" s="22">
        <f>IF(Corte+9&gt;144,"",INDEX(Calculo!$F$258:$ES$258,1,Corte+9))</f>
        <v>42497.500475589746</v>
      </c>
      <c r="O19" s="22">
        <f>IF(Corte+10&gt;144,"",INDEX(Calculo!$F$258:$ES$258,1,Corte+10))</f>
        <v>42497.500475589746</v>
      </c>
      <c r="P19" s="22">
        <f>IF(Corte+11&gt;144,"",INDEX(Calculo!$F$258:$ES$258,1,Corte+11))</f>
        <v>42497.500475589746</v>
      </c>
      <c r="Q19" s="22">
        <f>IF(Corte+12&gt;144,"",INDEX(Calculo!$F$258:$ES$258,1,Corte+12))</f>
        <v>42497.500475589746</v>
      </c>
      <c r="R19" s="22">
        <f>IF(Corte+13&gt;144,"",INDEX(Calculo!$F$258:$ES$258,1,Corte+13))</f>
        <v>80496.402993964788</v>
      </c>
      <c r="S19" s="22">
        <f>IF(Corte+14&gt;144,"",INDEX(Calculo!$F$258:$ES$258,1,Corte+14))</f>
        <v>80496.402993964788</v>
      </c>
      <c r="T19" s="22">
        <f>IF(Corte+15&gt;144,"",INDEX(Calculo!$F$258:$ES$258,1,Corte+15))</f>
        <v>80496.402993964788</v>
      </c>
      <c r="U19" s="22">
        <f>IF(Corte+16&gt;144,"",INDEX(Calculo!$F$258:$ES$258,1,Corte+16))</f>
        <v>80496.402993964788</v>
      </c>
      <c r="V19" s="22">
        <f>IF(Corte+17&gt;144,"",INDEX(Calculo!$F$258:$ES$258,1,Corte+17))</f>
        <v>80496.402993964788</v>
      </c>
      <c r="W19" s="22">
        <f>IF(Corte+18&gt;144,"",INDEX(Calculo!$F$258:$ES$258,1,Corte+18))</f>
        <v>80496.402993964788</v>
      </c>
      <c r="X19" s="22">
        <f>IF(Corte+19&gt;144,"",INDEX(Calculo!$F$258:$ES$258,1,Corte+19))</f>
        <v>80496.402993964788</v>
      </c>
      <c r="Y19" s="22">
        <f>IF(Corte+20&gt;144,"",INDEX(Calculo!$F$258:$ES$258,1,Corte+20))</f>
        <v>80496.402993964788</v>
      </c>
      <c r="Z19" s="22">
        <f>IF(Corte+21&gt;144,"",INDEX(Calculo!$F$258:$ES$258,1,Corte+21))</f>
        <v>80496.402993964788</v>
      </c>
      <c r="AA19" s="22">
        <f>IF(Corte+22&gt;144,"",INDEX(Calculo!$F$258:$ES$258,1,Corte+22))</f>
        <v>80496.402993964788</v>
      </c>
      <c r="AB19" s="22">
        <f>IF(Corte+23&gt;144,"",INDEX(Calculo!$F$258:$ES$258,1,Corte+23))</f>
        <v>80496.402993964788</v>
      </c>
      <c r="AC19" s="22">
        <f>IF(Corte+24&gt;144,"",INDEX(Calculo!$F$258:$ES$258,1,Corte+24))</f>
        <v>80496.402993964788</v>
      </c>
    </row>
    <row r="20" spans="1:29" x14ac:dyDescent="0.3">
      <c r="A20" s="14" t="s">
        <v>1312</v>
      </c>
      <c r="B20" s="18" t="s">
        <v>1380</v>
      </c>
      <c r="C20" s="54">
        <f t="shared" si="0"/>
        <v>71592.209000000017</v>
      </c>
      <c r="D20" s="54">
        <f t="shared" si="1"/>
        <v>81592.208999999988</v>
      </c>
      <c r="E20" s="54">
        <f t="shared" si="2"/>
        <v>153184.41800000003</v>
      </c>
      <c r="F20" s="48">
        <f>IF(Corte+1&gt;144,"",INDEX(Calculo!$F$259:$ES$259,1,Corte+1))</f>
        <v>5966.0174166666666</v>
      </c>
      <c r="G20" s="48">
        <f>IF(Corte+2&gt;144,"",INDEX(Calculo!$F$259:$ES$259,1,Corte+2))</f>
        <v>5966.0174166666666</v>
      </c>
      <c r="H20" s="48">
        <f>IF(Corte+3&gt;144,"",INDEX(Calculo!$F$259:$ES$259,1,Corte+3))</f>
        <v>5966.0174166666666</v>
      </c>
      <c r="I20" s="48">
        <f>IF(Corte+4&gt;144,"",INDEX(Calculo!$F$259:$ES$259,1,Corte+4))</f>
        <v>5966.0174166666666</v>
      </c>
      <c r="J20" s="48">
        <f>IF(Corte+5&gt;144,"",INDEX(Calculo!$F$259:$ES$259,1,Corte+5))</f>
        <v>5966.0174166666666</v>
      </c>
      <c r="K20" s="48">
        <f>IF(Corte+6&gt;144,"",INDEX(Calculo!$F$259:$ES$259,1,Corte+6))</f>
        <v>5966.0174166666666</v>
      </c>
      <c r="L20" s="48">
        <f>IF(Corte+7&gt;144,"",INDEX(Calculo!$F$259:$ES$259,1,Corte+7))</f>
        <v>5966.0174166666666</v>
      </c>
      <c r="M20" s="48">
        <f>IF(Corte+8&gt;144,"",INDEX(Calculo!$F$259:$ES$259,1,Corte+8))</f>
        <v>5966.0174166666666</v>
      </c>
      <c r="N20" s="48">
        <f>IF(Corte+9&gt;144,"",INDEX(Calculo!$F$259:$ES$259,1,Corte+9))</f>
        <v>5966.0174166666666</v>
      </c>
      <c r="O20" s="48">
        <f>IF(Corte+10&gt;144,"",INDEX(Calculo!$F$259:$ES$259,1,Corte+10))</f>
        <v>5966.0174166666666</v>
      </c>
      <c r="P20" s="48">
        <f>IF(Corte+11&gt;144,"",INDEX(Calculo!$F$259:$ES$259,1,Corte+11))</f>
        <v>5966.0174166666666</v>
      </c>
      <c r="Q20" s="48">
        <f>IF(Corte+12&gt;144,"",INDEX(Calculo!$F$259:$ES$259,1,Corte+12))</f>
        <v>5966.0174166666666</v>
      </c>
      <c r="R20" s="48">
        <f>IF(Corte+13&gt;144,"",INDEX(Calculo!$F$259:$ES$259,1,Corte+13))</f>
        <v>6799.3507499999996</v>
      </c>
      <c r="S20" s="48">
        <f>IF(Corte+14&gt;144,"",INDEX(Calculo!$F$259:$ES$259,1,Corte+14))</f>
        <v>6799.3507499999996</v>
      </c>
      <c r="T20" s="48">
        <f>IF(Corte+15&gt;144,"",INDEX(Calculo!$F$259:$ES$259,1,Corte+15))</f>
        <v>6799.3507499999996</v>
      </c>
      <c r="U20" s="48">
        <f>IF(Corte+16&gt;144,"",INDEX(Calculo!$F$259:$ES$259,1,Corte+16))</f>
        <v>6799.3507499999996</v>
      </c>
      <c r="V20" s="48">
        <f>IF(Corte+17&gt;144,"",INDEX(Calculo!$F$259:$ES$259,1,Corte+17))</f>
        <v>6799.3507499999996</v>
      </c>
      <c r="W20" s="48">
        <f>IF(Corte+18&gt;144,"",INDEX(Calculo!$F$259:$ES$259,1,Corte+18))</f>
        <v>6799.3507499999996</v>
      </c>
      <c r="X20" s="48">
        <f>IF(Corte+19&gt;144,"",INDEX(Calculo!$F$259:$ES$259,1,Corte+19))</f>
        <v>6799.3507499999996</v>
      </c>
      <c r="Y20" s="48">
        <f>IF(Corte+20&gt;144,"",INDEX(Calculo!$F$259:$ES$259,1,Corte+20))</f>
        <v>6799.3507499999996</v>
      </c>
      <c r="Z20" s="48">
        <f>IF(Corte+21&gt;144,"",INDEX(Calculo!$F$259:$ES$259,1,Corte+21))</f>
        <v>6799.3507499999996</v>
      </c>
      <c r="AA20" s="48">
        <f>IF(Corte+22&gt;144,"",INDEX(Calculo!$F$259:$ES$259,1,Corte+22))</f>
        <v>6799.3507499999996</v>
      </c>
      <c r="AB20" s="48">
        <f>IF(Corte+23&gt;144,"",INDEX(Calculo!$F$259:$ES$259,1,Corte+23))</f>
        <v>6799.3507499999996</v>
      </c>
      <c r="AC20" s="48">
        <f>IF(Corte+24&gt;144,"",INDEX(Calculo!$F$259:$ES$259,1,Corte+24))</f>
        <v>6799.3507499999996</v>
      </c>
    </row>
    <row r="21" spans="1:29" x14ac:dyDescent="0.3">
      <c r="A21" s="14" t="s">
        <v>1314</v>
      </c>
      <c r="B21" s="18" t="s">
        <v>1112</v>
      </c>
      <c r="C21" s="54">
        <f t="shared" si="0"/>
        <v>271101.93243102555</v>
      </c>
      <c r="D21" s="54">
        <f t="shared" si="1"/>
        <v>226274.25412145205</v>
      </c>
      <c r="E21" s="54">
        <f t="shared" si="2"/>
        <v>497376.18655247759</v>
      </c>
      <c r="F21" s="48">
        <f>IF(Corte+1&gt;144,"",INDEX(Calculo!$F$261:$ES$261,1,Corte+1))</f>
        <v>23030.592750000003</v>
      </c>
      <c r="G21" s="48">
        <f>IF(Corte+2&gt;144,"",INDEX(Calculo!$F$261:$ES$261,1,Corte+2))</f>
        <v>23030.592750000003</v>
      </c>
      <c r="H21" s="48">
        <f>IF(Corte+3&gt;144,"",INDEX(Calculo!$F$261:$ES$261,1,Corte+3))</f>
        <v>23030.592750000003</v>
      </c>
      <c r="I21" s="48">
        <f>IF(Corte+4&gt;144,"",INDEX(Calculo!$F$261:$ES$261,1,Corte+4))</f>
        <v>23030.592750000003</v>
      </c>
      <c r="J21" s="48">
        <f>IF(Corte+5&gt;144,"",INDEX(Calculo!$F$261:$ES$261,1,Corte+5))</f>
        <v>23030.592750000003</v>
      </c>
      <c r="K21" s="48">
        <f>IF(Corte+6&gt;144,"",INDEX(Calculo!$F$261:$ES$261,1,Corte+6))</f>
        <v>23030.592750000003</v>
      </c>
      <c r="L21" s="48">
        <f>IF(Corte+7&gt;144,"",INDEX(Calculo!$F$261:$ES$261,1,Corte+7))</f>
        <v>23030.592750000003</v>
      </c>
      <c r="M21" s="48">
        <f>IF(Corte+8&gt;144,"",INDEX(Calculo!$F$261:$ES$261,1,Corte+8))</f>
        <v>22683.075491218831</v>
      </c>
      <c r="N21" s="48">
        <f>IF(Corte+9&gt;144,"",INDEX(Calculo!$F$261:$ES$261,1,Corte+9))</f>
        <v>22332.951852996801</v>
      </c>
      <c r="O21" s="48">
        <f>IF(Corte+10&gt;144,"",INDEX(Calculo!$F$261:$ES$261,1,Corte+10))</f>
        <v>21980.202287488097</v>
      </c>
      <c r="P21" s="48">
        <f>IF(Corte+11&gt;144,"",INDEX(Calculo!$F$261:$ES$261,1,Corte+11))</f>
        <v>21624.807100238086</v>
      </c>
      <c r="Q21" s="48">
        <f>IF(Corte+12&gt;144,"",INDEX(Calculo!$F$261:$ES$261,1,Corte+12))</f>
        <v>21266.746449083697</v>
      </c>
      <c r="R21" s="48">
        <f>IF(Corte+13&gt;144,"",INDEX(Calculo!$F$261:$ES$261,1,Corte+13))</f>
        <v>20906.000343045653</v>
      </c>
      <c r="S21" s="48">
        <f>IF(Corte+14&gt;144,"",INDEX(Calculo!$F$261:$ES$261,1,Corte+14))</f>
        <v>20542.548641212325</v>
      </c>
      <c r="T21" s="48">
        <f>IF(Corte+15&gt;144,"",INDEX(Calculo!$F$261:$ES$261,1,Corte+15))</f>
        <v>20176.371051615239</v>
      </c>
      <c r="U21" s="48">
        <f>IF(Corte+16&gt;144,"",INDEX(Calculo!$F$261:$ES$261,1,Corte+16))</f>
        <v>19807.447130096178</v>
      </c>
      <c r="V21" s="48">
        <f>IF(Corte+17&gt;144,"",INDEX(Calculo!$F$261:$ES$261,1,Corte+17))</f>
        <v>19435.756279165729</v>
      </c>
      <c r="W21" s="48">
        <f>IF(Corte+18&gt;144,"",INDEX(Calculo!$F$261:$ES$261,1,Corte+18))</f>
        <v>19061.277746853299</v>
      </c>
      <c r="X21" s="48">
        <f>IF(Corte+19&gt;144,"",INDEX(Calculo!$F$261:$ES$261,1,Corte+19))</f>
        <v>18683.990625548529</v>
      </c>
      <c r="Y21" s="48">
        <f>IF(Corte+20&gt;144,"",INDEX(Calculo!$F$261:$ES$261,1,Corte+20))</f>
        <v>18303.87385083397</v>
      </c>
      <c r="Z21" s="48">
        <f>IF(Corte+21&gt;144,"",INDEX(Calculo!$F$261:$ES$261,1,Corte+21))</f>
        <v>17920.906200309048</v>
      </c>
      <c r="AA21" s="48">
        <f>IF(Corte+22&gt;144,"",INDEX(Calculo!$F$261:$ES$261,1,Corte+22))</f>
        <v>17535.066292405194</v>
      </c>
      <c r="AB21" s="48">
        <f>IF(Corte+23&gt;144,"",INDEX(Calculo!$F$261:$ES$261,1,Corte+23))</f>
        <v>17146.33258519206</v>
      </c>
      <c r="AC21" s="48">
        <f>IF(Corte+24&gt;144,"",INDEX(Calculo!$F$261:$ES$261,1,Corte+24))</f>
        <v>16754.683375174824</v>
      </c>
    </row>
    <row r="22" spans="1:29" x14ac:dyDescent="0.3">
      <c r="A22" s="14" t="s">
        <v>1316</v>
      </c>
      <c r="B22" s="68" t="s">
        <v>1381</v>
      </c>
      <c r="C22" s="54">
        <f t="shared" si="0"/>
        <v>167275.86427605138</v>
      </c>
      <c r="D22" s="54">
        <f t="shared" si="1"/>
        <v>658090.37280612544</v>
      </c>
      <c r="E22" s="54">
        <f t="shared" si="2"/>
        <v>825366.23708217673</v>
      </c>
      <c r="F22" s="22">
        <f>IF(Corte+1&gt;144,"",INDEX(Calculo!$F$263:$ES$263,1,Corte+1))</f>
        <v>13500.890308923073</v>
      </c>
      <c r="G22" s="22">
        <f>IF(Corte+2&gt;144,"",INDEX(Calculo!$F$263:$ES$263,1,Corte+2))</f>
        <v>13500.890308923073</v>
      </c>
      <c r="H22" s="22">
        <f>IF(Corte+3&gt;144,"",INDEX(Calculo!$F$263:$ES$263,1,Corte+3))</f>
        <v>13500.890308923073</v>
      </c>
      <c r="I22" s="22">
        <f>IF(Corte+4&gt;144,"",INDEX(Calculo!$F$263:$ES$263,1,Corte+4))</f>
        <v>13500.890308923073</v>
      </c>
      <c r="J22" s="22">
        <f>IF(Corte+5&gt;144,"",INDEX(Calculo!$F$263:$ES$263,1,Corte+5))</f>
        <v>13500.890308923073</v>
      </c>
      <c r="K22" s="22">
        <f>IF(Corte+6&gt;144,"",INDEX(Calculo!$F$263:$ES$263,1,Corte+6))</f>
        <v>13500.890308923073</v>
      </c>
      <c r="L22" s="22">
        <f>IF(Corte+7&gt;144,"",INDEX(Calculo!$F$263:$ES$263,1,Corte+7))</f>
        <v>13500.890308923073</v>
      </c>
      <c r="M22" s="22">
        <f>IF(Corte+8&gt;144,"",INDEX(Calculo!$F$263:$ES$263,1,Corte+8))</f>
        <v>13848.407567704246</v>
      </c>
      <c r="N22" s="22">
        <f>IF(Corte+9&gt;144,"",INDEX(Calculo!$F$263:$ES$263,1,Corte+9))</f>
        <v>14198.531205926276</v>
      </c>
      <c r="O22" s="22">
        <f>IF(Corte+10&gt;144,"",INDEX(Calculo!$F$263:$ES$263,1,Corte+10))</f>
        <v>14551.28077143498</v>
      </c>
      <c r="P22" s="22">
        <f>IF(Corte+11&gt;144,"",INDEX(Calculo!$F$263:$ES$263,1,Corte+11))</f>
        <v>14906.675958684991</v>
      </c>
      <c r="Q22" s="22">
        <f>IF(Corte+12&gt;144,"",INDEX(Calculo!$F$263:$ES$263,1,Corte+12))</f>
        <v>15264.73660983938</v>
      </c>
      <c r="R22" s="22">
        <f>IF(Corte+13&gt;144,"",INDEX(Calculo!$F$263:$ES$263,1,Corte+13))</f>
        <v>52791.051900919134</v>
      </c>
      <c r="S22" s="22">
        <f>IF(Corte+14&gt;144,"",INDEX(Calculo!$F$263:$ES$263,1,Corte+14))</f>
        <v>53154.503602752462</v>
      </c>
      <c r="T22" s="22">
        <f>IF(Corte+15&gt;144,"",INDEX(Calculo!$F$263:$ES$263,1,Corte+15))</f>
        <v>53520.681192349555</v>
      </c>
      <c r="U22" s="22">
        <f>IF(Corte+16&gt;144,"",INDEX(Calculo!$F$263:$ES$263,1,Corte+16))</f>
        <v>53889.605113868616</v>
      </c>
      <c r="V22" s="22">
        <f>IF(Corte+17&gt;144,"",INDEX(Calculo!$F$263:$ES$263,1,Corte+17))</f>
        <v>54261.295964799065</v>
      </c>
      <c r="W22" s="22">
        <f>IF(Corte+18&gt;144,"",INDEX(Calculo!$F$263:$ES$263,1,Corte+18))</f>
        <v>54635.774497111488</v>
      </c>
      <c r="X22" s="22">
        <f>IF(Corte+19&gt;144,"",INDEX(Calculo!$F$263:$ES$263,1,Corte+19))</f>
        <v>55013.061618416265</v>
      </c>
      <c r="Y22" s="22">
        <f>IF(Corte+20&gt;144,"",INDEX(Calculo!$F$263:$ES$263,1,Corte+20))</f>
        <v>55393.178393130816</v>
      </c>
      <c r="Z22" s="22">
        <f>IF(Corte+21&gt;144,"",INDEX(Calculo!$F$263:$ES$263,1,Corte+21))</f>
        <v>55776.146043655739</v>
      </c>
      <c r="AA22" s="22">
        <f>IF(Corte+22&gt;144,"",INDEX(Calculo!$F$263:$ES$263,1,Corte+22))</f>
        <v>56161.985951559596</v>
      </c>
      <c r="AB22" s="22">
        <f>IF(Corte+23&gt;144,"",INDEX(Calculo!$F$263:$ES$263,1,Corte+23))</f>
        <v>56550.71965877273</v>
      </c>
      <c r="AC22" s="22">
        <f>IF(Corte+24&gt;144,"",INDEX(Calculo!$F$263:$ES$263,1,Corte+24))</f>
        <v>56942.36886878997</v>
      </c>
    </row>
    <row r="23" spans="1:29" x14ac:dyDescent="0.3">
      <c r="A23" s="14" t="s">
        <v>1323</v>
      </c>
      <c r="B23" s="68" t="s">
        <v>1382</v>
      </c>
      <c r="C23" s="54">
        <f t="shared" si="0"/>
        <v>-1878093.8816519543</v>
      </c>
      <c r="D23" s="54">
        <f t="shared" si="1"/>
        <v>310811.39153193327</v>
      </c>
      <c r="E23" s="54">
        <f t="shared" si="2"/>
        <v>-1567282.4901200205</v>
      </c>
      <c r="F23" s="22">
        <f>IF(Corte+1&gt;144,"",INDEX(Calculo!$F$272:$ES$272,1,Corte+1))</f>
        <v>-2345566.3868834404</v>
      </c>
      <c r="G23" s="22">
        <f>IF(Corte+2&gt;144,"",INDEX(Calculo!$F$272:$ES$272,1,Corte+2))</f>
        <v>42497.500475589746</v>
      </c>
      <c r="H23" s="22">
        <f>IF(Corte+3&gt;144,"",INDEX(Calculo!$F$272:$ES$272,1,Corte+3))</f>
        <v>42497.500475589746</v>
      </c>
      <c r="I23" s="22">
        <f>IF(Corte+4&gt;144,"",INDEX(Calculo!$F$272:$ES$272,1,Corte+4))</f>
        <v>42497.500475589746</v>
      </c>
      <c r="J23" s="22">
        <f>IF(Corte+5&gt;144,"",INDEX(Calculo!$F$272:$ES$272,1,Corte+5))</f>
        <v>42497.500475589746</v>
      </c>
      <c r="K23" s="22">
        <f>IF(Corte+6&gt;144,"",INDEX(Calculo!$F$272:$ES$272,1,Corte+6))</f>
        <v>42497.500475589746</v>
      </c>
      <c r="L23" s="22">
        <f>IF(Corte+7&gt;144,"",INDEX(Calculo!$F$272:$ES$272,1,Corte+7))</f>
        <v>42497.500475589746</v>
      </c>
      <c r="M23" s="22">
        <f>IF(Corte+8&gt;144,"",INDEX(Calculo!$F$272:$ES$272,1,Corte+8))</f>
        <v>42497.500475589746</v>
      </c>
      <c r="N23" s="22">
        <f>IF(Corte+9&gt;144,"",INDEX(Calculo!$F$272:$ES$272,1,Corte+9))</f>
        <v>42497.500475589746</v>
      </c>
      <c r="O23" s="22">
        <f>IF(Corte+10&gt;144,"",INDEX(Calculo!$F$272:$ES$272,1,Corte+10))</f>
        <v>42497.500475589746</v>
      </c>
      <c r="P23" s="22">
        <f>IF(Corte+11&gt;144,"",INDEX(Calculo!$F$272:$ES$272,1,Corte+11))</f>
        <v>42497.500475589746</v>
      </c>
      <c r="Q23" s="22">
        <f>IF(Corte+12&gt;144,"",INDEX(Calculo!$F$272:$ES$272,1,Corte+12))</f>
        <v>42497.500475589746</v>
      </c>
      <c r="R23" s="22">
        <f>IF(Corte+13&gt;144,"",INDEX(Calculo!$F$272:$ES$272,1,Corte+13))</f>
        <v>-574649.04140167939</v>
      </c>
      <c r="S23" s="22">
        <f>IF(Corte+14&gt;144,"",INDEX(Calculo!$F$272:$ES$272,1,Corte+14))</f>
        <v>80496.402993964788</v>
      </c>
      <c r="T23" s="22">
        <f>IF(Corte+15&gt;144,"",INDEX(Calculo!$F$272:$ES$272,1,Corte+15))</f>
        <v>80496.402993964788</v>
      </c>
      <c r="U23" s="22">
        <f>IF(Corte+16&gt;144,"",INDEX(Calculo!$F$272:$ES$272,1,Corte+16))</f>
        <v>80496.402993964788</v>
      </c>
      <c r="V23" s="22">
        <f>IF(Corte+17&gt;144,"",INDEX(Calculo!$F$272:$ES$272,1,Corte+17))</f>
        <v>80496.402993964788</v>
      </c>
      <c r="W23" s="22">
        <f>IF(Corte+18&gt;144,"",INDEX(Calculo!$F$272:$ES$272,1,Corte+18))</f>
        <v>80496.402993964788</v>
      </c>
      <c r="X23" s="22">
        <f>IF(Corte+19&gt;144,"",INDEX(Calculo!$F$272:$ES$272,1,Corte+19))</f>
        <v>80496.402993964788</v>
      </c>
      <c r="Y23" s="22">
        <f>IF(Corte+20&gt;144,"",INDEX(Calculo!$F$272:$ES$272,1,Corte+20))</f>
        <v>80496.402993964788</v>
      </c>
      <c r="Z23" s="22">
        <f>IF(Corte+21&gt;144,"",INDEX(Calculo!$F$272:$ES$272,1,Corte+21))</f>
        <v>80496.402993964788</v>
      </c>
      <c r="AA23" s="22">
        <f>IF(Corte+22&gt;144,"",INDEX(Calculo!$F$272:$ES$272,1,Corte+22))</f>
        <v>80496.402993964788</v>
      </c>
      <c r="AB23" s="22">
        <f>IF(Corte+23&gt;144,"",INDEX(Calculo!$F$272:$ES$272,1,Corte+23))</f>
        <v>80496.402993964788</v>
      </c>
      <c r="AC23" s="22">
        <f>IF(Corte+24&gt;144,"",INDEX(Calculo!$F$272:$ES$272,1,Corte+24))</f>
        <v>80496.402993964788</v>
      </c>
    </row>
    <row r="24" spans="1:29" x14ac:dyDescent="0.3">
      <c r="A24" s="14" t="s">
        <v>1324</v>
      </c>
      <c r="B24" s="18" t="s">
        <v>946</v>
      </c>
      <c r="C24" s="54">
        <f t="shared" si="0"/>
        <v>655044.08999999985</v>
      </c>
      <c r="D24" s="54">
        <f t="shared" si="1"/>
        <v>100000</v>
      </c>
      <c r="E24" s="54">
        <f t="shared" si="2"/>
        <v>755044.08999999985</v>
      </c>
      <c r="F24" s="48">
        <f>IF(Corte+1&gt;144,"",INDEX(Calculo!$F$273:$ES$273,1,Corte+1))</f>
        <v>655044.08999999985</v>
      </c>
      <c r="G24" s="48">
        <f>IF(Corte+2&gt;144,"",INDEX(Calculo!$F$273:$ES$273,1,Corte+2))</f>
        <v>0</v>
      </c>
      <c r="H24" s="48">
        <f>IF(Corte+3&gt;144,"",INDEX(Calculo!$F$273:$ES$273,1,Corte+3))</f>
        <v>0</v>
      </c>
      <c r="I24" s="48">
        <f>IF(Corte+4&gt;144,"",INDEX(Calculo!$F$273:$ES$273,1,Corte+4))</f>
        <v>0</v>
      </c>
      <c r="J24" s="48">
        <f>IF(Corte+5&gt;144,"",INDEX(Calculo!$F$273:$ES$273,1,Corte+5))</f>
        <v>0</v>
      </c>
      <c r="K24" s="48">
        <f>IF(Corte+6&gt;144,"",INDEX(Calculo!$F$273:$ES$273,1,Corte+6))</f>
        <v>0</v>
      </c>
      <c r="L24" s="48">
        <f>IF(Corte+7&gt;144,"",INDEX(Calculo!$F$273:$ES$273,1,Corte+7))</f>
        <v>0</v>
      </c>
      <c r="M24" s="48">
        <f>IF(Corte+8&gt;144,"",INDEX(Calculo!$F$273:$ES$273,1,Corte+8))</f>
        <v>0</v>
      </c>
      <c r="N24" s="48">
        <f>IF(Corte+9&gt;144,"",INDEX(Calculo!$F$273:$ES$273,1,Corte+9))</f>
        <v>0</v>
      </c>
      <c r="O24" s="48">
        <f>IF(Corte+10&gt;144,"",INDEX(Calculo!$F$273:$ES$273,1,Corte+10))</f>
        <v>0</v>
      </c>
      <c r="P24" s="48">
        <f>IF(Corte+11&gt;144,"",INDEX(Calculo!$F$273:$ES$273,1,Corte+11))</f>
        <v>0</v>
      </c>
      <c r="Q24" s="48">
        <f>IF(Corte+12&gt;144,"",INDEX(Calculo!$F$273:$ES$273,1,Corte+12))</f>
        <v>0</v>
      </c>
      <c r="R24" s="48">
        <f>IF(Corte+13&gt;144,"",INDEX(Calculo!$F$273:$ES$273,1,Corte+13))</f>
        <v>100000</v>
      </c>
      <c r="S24" s="48">
        <f>IF(Corte+14&gt;144,"",INDEX(Calculo!$F$273:$ES$273,1,Corte+14))</f>
        <v>0</v>
      </c>
      <c r="T24" s="48">
        <f>IF(Corte+15&gt;144,"",INDEX(Calculo!$F$273:$ES$273,1,Corte+15))</f>
        <v>0</v>
      </c>
      <c r="U24" s="48">
        <f>IF(Corte+16&gt;144,"",INDEX(Calculo!$F$273:$ES$273,1,Corte+16))</f>
        <v>0</v>
      </c>
      <c r="V24" s="48">
        <f>IF(Corte+17&gt;144,"",INDEX(Calculo!$F$273:$ES$273,1,Corte+17))</f>
        <v>0</v>
      </c>
      <c r="W24" s="48">
        <f>IF(Corte+18&gt;144,"",INDEX(Calculo!$F$273:$ES$273,1,Corte+18))</f>
        <v>0</v>
      </c>
      <c r="X24" s="48">
        <f>IF(Corte+19&gt;144,"",INDEX(Calculo!$F$273:$ES$273,1,Corte+19))</f>
        <v>0</v>
      </c>
      <c r="Y24" s="48">
        <f>IF(Corte+20&gt;144,"",INDEX(Calculo!$F$273:$ES$273,1,Corte+20))</f>
        <v>0</v>
      </c>
      <c r="Z24" s="48">
        <f>IF(Corte+21&gt;144,"",INDEX(Calculo!$F$273:$ES$273,1,Corte+21))</f>
        <v>0</v>
      </c>
      <c r="AA24" s="48">
        <f>IF(Corte+22&gt;144,"",INDEX(Calculo!$F$273:$ES$273,1,Corte+22))</f>
        <v>0</v>
      </c>
      <c r="AB24" s="48">
        <f>IF(Corte+23&gt;144,"",INDEX(Calculo!$F$273:$ES$273,1,Corte+23))</f>
        <v>0</v>
      </c>
      <c r="AC24" s="48">
        <f>IF(Corte+24&gt;144,"",INDEX(Calculo!$F$273:$ES$273,1,Corte+24))</f>
        <v>0</v>
      </c>
    </row>
    <row r="25" spans="1:29" x14ac:dyDescent="0.3">
      <c r="A25" s="14" t="s">
        <v>1351</v>
      </c>
      <c r="B25" s="18" t="s">
        <v>1383</v>
      </c>
      <c r="C25" s="54">
        <f t="shared" si="0"/>
        <v>2791587</v>
      </c>
      <c r="D25" s="54">
        <f t="shared" si="1"/>
        <v>0</v>
      </c>
      <c r="E25" s="54">
        <f t="shared" si="2"/>
        <v>2791587</v>
      </c>
      <c r="F25" s="48">
        <f>IF(Corte+1&gt;144,"",INDEX(Calculo!$F$302:$ES$302,1,Corte+1))</f>
        <v>2791587</v>
      </c>
      <c r="G25" s="48">
        <f>IF(Corte+2&gt;144,"",INDEX(Calculo!$F$302:$ES$302,1,Corte+2))</f>
        <v>0</v>
      </c>
      <c r="H25" s="48">
        <f>IF(Corte+3&gt;144,"",INDEX(Calculo!$F$302:$ES$302,1,Corte+3))</f>
        <v>0</v>
      </c>
      <c r="I25" s="48">
        <f>IF(Corte+4&gt;144,"",INDEX(Calculo!$F$302:$ES$302,1,Corte+4))</f>
        <v>0</v>
      </c>
      <c r="J25" s="48">
        <f>IF(Corte+5&gt;144,"",INDEX(Calculo!$F$302:$ES$302,1,Corte+5))</f>
        <v>0</v>
      </c>
      <c r="K25" s="48">
        <f>IF(Corte+6&gt;144,"",INDEX(Calculo!$F$302:$ES$302,1,Corte+6))</f>
        <v>0</v>
      </c>
      <c r="L25" s="48">
        <f>IF(Corte+7&gt;144,"",INDEX(Calculo!$F$302:$ES$302,1,Corte+7))</f>
        <v>0</v>
      </c>
      <c r="M25" s="48">
        <f>IF(Corte+8&gt;144,"",INDEX(Calculo!$F$302:$ES$302,1,Corte+8))</f>
        <v>0</v>
      </c>
      <c r="N25" s="48">
        <f>IF(Corte+9&gt;144,"",INDEX(Calculo!$F$302:$ES$302,1,Corte+9))</f>
        <v>0</v>
      </c>
      <c r="O25" s="48">
        <f>IF(Corte+10&gt;144,"",INDEX(Calculo!$F$302:$ES$302,1,Corte+10))</f>
        <v>0</v>
      </c>
      <c r="P25" s="48">
        <f>IF(Corte+11&gt;144,"",INDEX(Calculo!$F$302:$ES$302,1,Corte+11))</f>
        <v>0</v>
      </c>
      <c r="Q25" s="48">
        <f>IF(Corte+12&gt;144,"",INDEX(Calculo!$F$302:$ES$302,1,Corte+12))</f>
        <v>0</v>
      </c>
      <c r="R25" s="48">
        <f>IF(Corte+13&gt;144,"",INDEX(Calculo!$F$302:$ES$302,1,Corte+13))</f>
        <v>0</v>
      </c>
      <c r="S25" s="48">
        <f>IF(Corte+14&gt;144,"",INDEX(Calculo!$F$302:$ES$302,1,Corte+14))</f>
        <v>0</v>
      </c>
      <c r="T25" s="48">
        <f>IF(Corte+15&gt;144,"",INDEX(Calculo!$F$302:$ES$302,1,Corte+15))</f>
        <v>0</v>
      </c>
      <c r="U25" s="48">
        <f>IF(Corte+16&gt;144,"",INDEX(Calculo!$F$302:$ES$302,1,Corte+16))</f>
        <v>0</v>
      </c>
      <c r="V25" s="48">
        <f>IF(Corte+17&gt;144,"",INDEX(Calculo!$F$302:$ES$302,1,Corte+17))</f>
        <v>0</v>
      </c>
      <c r="W25" s="48">
        <f>IF(Corte+18&gt;144,"",INDEX(Calculo!$F$302:$ES$302,1,Corte+18))</f>
        <v>0</v>
      </c>
      <c r="X25" s="48">
        <f>IF(Corte+19&gt;144,"",INDEX(Calculo!$F$302:$ES$302,1,Corte+19))</f>
        <v>0</v>
      </c>
      <c r="Y25" s="48">
        <f>IF(Corte+20&gt;144,"",INDEX(Calculo!$F$302:$ES$302,1,Corte+20))</f>
        <v>0</v>
      </c>
      <c r="Z25" s="48">
        <f>IF(Corte+21&gt;144,"",INDEX(Calculo!$F$302:$ES$302,1,Corte+21))</f>
        <v>0</v>
      </c>
      <c r="AA25" s="48">
        <f>IF(Corte+22&gt;144,"",INDEX(Calculo!$F$302:$ES$302,1,Corte+22))</f>
        <v>0</v>
      </c>
      <c r="AB25" s="48">
        <f>IF(Corte+23&gt;144,"",INDEX(Calculo!$F$302:$ES$302,1,Corte+23))</f>
        <v>0</v>
      </c>
      <c r="AC25" s="48">
        <f>IF(Corte+24&gt;144,"",INDEX(Calculo!$F$302:$ES$302,1,Corte+24))</f>
        <v>0</v>
      </c>
    </row>
    <row r="26" spans="1:29" x14ac:dyDescent="0.3">
      <c r="A26" s="14" t="s">
        <v>1352</v>
      </c>
      <c r="B26" s="18" t="s">
        <v>1384</v>
      </c>
      <c r="C26" s="54">
        <f t="shared" si="0"/>
        <v>257526.35235810335</v>
      </c>
      <c r="D26" s="54">
        <f t="shared" si="1"/>
        <v>551018.61175311485</v>
      </c>
      <c r="E26" s="54">
        <f t="shared" si="2"/>
        <v>808544.96411121846</v>
      </c>
      <c r="F26" s="48">
        <f>IF(Corte+1&gt;144,"",INDEX(Calculo!$F$303:$ES$303,1,Corte+1))</f>
        <v>0</v>
      </c>
      <c r="G26" s="48">
        <f>IF(Corte+2&gt;144,"",INDEX(Calculo!$F$303:$ES$303,1,Corte+2))</f>
        <v>0</v>
      </c>
      <c r="H26" s="48">
        <f>IF(Corte+3&gt;144,"",INDEX(Calculo!$F$303:$ES$303,1,Corte+3))</f>
        <v>0</v>
      </c>
      <c r="I26" s="48">
        <f>IF(Corte+4&gt;144,"",INDEX(Calculo!$F$303:$ES$303,1,Corte+4))</f>
        <v>0</v>
      </c>
      <c r="J26" s="48">
        <f>IF(Corte+5&gt;144,"",INDEX(Calculo!$F$303:$ES$303,1,Corte+5))</f>
        <v>0</v>
      </c>
      <c r="K26" s="48">
        <f>IF(Corte+6&gt;144,"",INDEX(Calculo!$F$303:$ES$303,1,Corte+6))</f>
        <v>0</v>
      </c>
      <c r="L26" s="48">
        <f>IF(Corte+7&gt;144,"",INDEX(Calculo!$F$303:$ES$303,1,Corte+7))</f>
        <v>42123.304094687759</v>
      </c>
      <c r="M26" s="48">
        <f>IF(Corte+8&gt;144,"",INDEX(Calculo!$F$303:$ES$303,1,Corte+8))</f>
        <v>42439.228875397908</v>
      </c>
      <c r="N26" s="48">
        <f>IF(Corte+9&gt;144,"",INDEX(Calculo!$F$303:$ES$303,1,Corte+9))</f>
        <v>42757.52309196339</v>
      </c>
      <c r="O26" s="48">
        <f>IF(Corte+10&gt;144,"",INDEX(Calculo!$F$303:$ES$303,1,Corte+10))</f>
        <v>43078.20451515312</v>
      </c>
      <c r="P26" s="48">
        <f>IF(Corte+11&gt;144,"",INDEX(Calculo!$F$303:$ES$303,1,Corte+11))</f>
        <v>43401.291049016771</v>
      </c>
      <c r="Q26" s="48">
        <f>IF(Corte+12&gt;144,"",INDEX(Calculo!$F$303:$ES$303,1,Corte+12))</f>
        <v>43726.800731884396</v>
      </c>
      <c r="R26" s="48">
        <f>IF(Corte+13&gt;144,"",INDEX(Calculo!$F$303:$ES$303,1,Corte+13))</f>
        <v>44054.751737373532</v>
      </c>
      <c r="S26" s="48">
        <f>IF(Corte+14&gt;144,"",INDEX(Calculo!$F$303:$ES$303,1,Corte+14))</f>
        <v>44385.16237540383</v>
      </c>
      <c r="T26" s="48">
        <f>IF(Corte+15&gt;144,"",INDEX(Calculo!$F$303:$ES$303,1,Corte+15))</f>
        <v>44718.051093219357</v>
      </c>
      <c r="U26" s="48">
        <f>IF(Corte+16&gt;144,"",INDEX(Calculo!$F$303:$ES$303,1,Corte+16))</f>
        <v>45053.436476418501</v>
      </c>
      <c r="V26" s="48">
        <f>IF(Corte+17&gt;144,"",INDEX(Calculo!$F$303:$ES$303,1,Corte+17))</f>
        <v>45391.337249991644</v>
      </c>
      <c r="W26" s="48">
        <f>IF(Corte+18&gt;144,"",INDEX(Calculo!$F$303:$ES$303,1,Corte+18))</f>
        <v>45731.772279366574</v>
      </c>
      <c r="X26" s="48">
        <f>IF(Corte+19&gt;144,"",INDEX(Calculo!$F$303:$ES$303,1,Corte+19))</f>
        <v>46074.760571461826</v>
      </c>
      <c r="Y26" s="48">
        <f>IF(Corte+20&gt;144,"",INDEX(Calculo!$F$303:$ES$303,1,Corte+20))</f>
        <v>46420.321275747789</v>
      </c>
      <c r="Z26" s="48">
        <f>IF(Corte+21&gt;144,"",INDEX(Calculo!$F$303:$ES$303,1,Corte+21))</f>
        <v>46768.473685315897</v>
      </c>
      <c r="AA26" s="48">
        <f>IF(Corte+22&gt;144,"",INDEX(Calculo!$F$303:$ES$303,1,Corte+22))</f>
        <v>47119.237237955764</v>
      </c>
      <c r="AB26" s="48">
        <f>IF(Corte+23&gt;144,"",INDEX(Calculo!$F$303:$ES$303,1,Corte+23))</f>
        <v>47472.631517240428</v>
      </c>
      <c r="AC26" s="48">
        <f>IF(Corte+24&gt;144,"",INDEX(Calculo!$F$303:$ES$303,1,Corte+24))</f>
        <v>47828.676253619735</v>
      </c>
    </row>
    <row r="27" spans="1:29" x14ac:dyDescent="0.3">
      <c r="A27" s="14" t="s">
        <v>1343</v>
      </c>
      <c r="B27" s="18" t="s">
        <v>1172</v>
      </c>
      <c r="C27" s="54">
        <f t="shared" si="0"/>
        <v>767782</v>
      </c>
      <c r="D27" s="54">
        <f t="shared" si="1"/>
        <v>371928</v>
      </c>
      <c r="E27" s="54">
        <f t="shared" si="2"/>
        <v>1139710</v>
      </c>
      <c r="F27" s="48">
        <f>IF(Corte+1&gt;144,"",INDEX(Calculo!$F$294:$ES$294,1,Corte+1))</f>
        <v>767782</v>
      </c>
      <c r="G27" s="48">
        <f>IF(Corte+2&gt;144,"",INDEX(Calculo!$F$294:$ES$294,1,Corte+2))</f>
        <v>0</v>
      </c>
      <c r="H27" s="48">
        <f>IF(Corte+3&gt;144,"",INDEX(Calculo!$F$294:$ES$294,1,Corte+3))</f>
        <v>0</v>
      </c>
      <c r="I27" s="48">
        <f>IF(Corte+4&gt;144,"",INDEX(Calculo!$F$294:$ES$294,1,Corte+4))</f>
        <v>0</v>
      </c>
      <c r="J27" s="48">
        <f>IF(Corte+5&gt;144,"",INDEX(Calculo!$F$294:$ES$294,1,Corte+5))</f>
        <v>0</v>
      </c>
      <c r="K27" s="48">
        <f>IF(Corte+6&gt;144,"",INDEX(Calculo!$F$294:$ES$294,1,Corte+6))</f>
        <v>0</v>
      </c>
      <c r="L27" s="48">
        <f>IF(Corte+7&gt;144,"",INDEX(Calculo!$F$294:$ES$294,1,Corte+7))</f>
        <v>0</v>
      </c>
      <c r="M27" s="48">
        <f>IF(Corte+8&gt;144,"",INDEX(Calculo!$F$294:$ES$294,1,Corte+8))</f>
        <v>0</v>
      </c>
      <c r="N27" s="48">
        <f>IF(Corte+9&gt;144,"",INDEX(Calculo!$F$294:$ES$294,1,Corte+9))</f>
        <v>0</v>
      </c>
      <c r="O27" s="48">
        <f>IF(Corte+10&gt;144,"",INDEX(Calculo!$F$294:$ES$294,1,Corte+10))</f>
        <v>0</v>
      </c>
      <c r="P27" s="48">
        <f>IF(Corte+11&gt;144,"",INDEX(Calculo!$F$294:$ES$294,1,Corte+11))</f>
        <v>0</v>
      </c>
      <c r="Q27" s="48">
        <f>IF(Corte+12&gt;144,"",INDEX(Calculo!$F$294:$ES$294,1,Corte+12))</f>
        <v>0</v>
      </c>
      <c r="R27" s="48">
        <f>IF(Corte+13&gt;144,"",INDEX(Calculo!$F$294:$ES$294,1,Corte+13))</f>
        <v>371928</v>
      </c>
      <c r="S27" s="48">
        <f>IF(Corte+14&gt;144,"",INDEX(Calculo!$F$294:$ES$294,1,Corte+14))</f>
        <v>0</v>
      </c>
      <c r="T27" s="48">
        <f>IF(Corte+15&gt;144,"",INDEX(Calculo!$F$294:$ES$294,1,Corte+15))</f>
        <v>0</v>
      </c>
      <c r="U27" s="48">
        <f>IF(Corte+16&gt;144,"",INDEX(Calculo!$F$294:$ES$294,1,Corte+16))</f>
        <v>0</v>
      </c>
      <c r="V27" s="48">
        <f>IF(Corte+17&gt;144,"",INDEX(Calculo!$F$294:$ES$294,1,Corte+17))</f>
        <v>0</v>
      </c>
      <c r="W27" s="48">
        <f>IF(Corte+18&gt;144,"",INDEX(Calculo!$F$294:$ES$294,1,Corte+18))</f>
        <v>0</v>
      </c>
      <c r="X27" s="48">
        <f>IF(Corte+19&gt;144,"",INDEX(Calculo!$F$294:$ES$294,1,Corte+19))</f>
        <v>0</v>
      </c>
      <c r="Y27" s="48">
        <f>IF(Corte+20&gt;144,"",INDEX(Calculo!$F$294:$ES$294,1,Corte+20))</f>
        <v>0</v>
      </c>
      <c r="Z27" s="48">
        <f>IF(Corte+21&gt;144,"",INDEX(Calculo!$F$294:$ES$294,1,Corte+21))</f>
        <v>0</v>
      </c>
      <c r="AA27" s="48">
        <f>IF(Corte+22&gt;144,"",INDEX(Calculo!$F$294:$ES$294,1,Corte+22))</f>
        <v>0</v>
      </c>
      <c r="AB27" s="48">
        <f>IF(Corte+23&gt;144,"",INDEX(Calculo!$F$294:$ES$294,1,Corte+23))</f>
        <v>0</v>
      </c>
      <c r="AC27" s="48">
        <f>IF(Corte+24&gt;144,"",INDEX(Calculo!$F$294:$ES$294,1,Corte+24))</f>
        <v>0</v>
      </c>
    </row>
    <row r="28" spans="1:29" x14ac:dyDescent="0.3">
      <c r="A28" s="14" t="s">
        <v>1358</v>
      </c>
      <c r="B28" s="18" t="s">
        <v>956</v>
      </c>
      <c r="C28" s="54">
        <f t="shared" si="0"/>
        <v>0</v>
      </c>
      <c r="D28" s="54">
        <f t="shared" si="1"/>
        <v>0</v>
      </c>
      <c r="E28" s="54">
        <f t="shared" si="2"/>
        <v>0</v>
      </c>
      <c r="F28" s="48">
        <f>IF(Corte+1&gt;144,"",INDEX(Calculo!$F$309:$ES$309,1,Corte+1))</f>
        <v>0</v>
      </c>
      <c r="G28" s="48">
        <f>IF(Corte+2&gt;144,"",INDEX(Calculo!$F$309:$ES$309,1,Corte+2))</f>
        <v>0</v>
      </c>
      <c r="H28" s="48">
        <f>IF(Corte+3&gt;144,"",INDEX(Calculo!$F$309:$ES$309,1,Corte+3))</f>
        <v>0</v>
      </c>
      <c r="I28" s="48">
        <f>IF(Corte+4&gt;144,"",INDEX(Calculo!$F$309:$ES$309,1,Corte+4))</f>
        <v>0</v>
      </c>
      <c r="J28" s="48">
        <f>IF(Corte+5&gt;144,"",INDEX(Calculo!$F$309:$ES$309,1,Corte+5))</f>
        <v>0</v>
      </c>
      <c r="K28" s="48">
        <f>IF(Corte+6&gt;144,"",INDEX(Calculo!$F$309:$ES$309,1,Corte+6))</f>
        <v>0</v>
      </c>
      <c r="L28" s="48">
        <f>IF(Corte+7&gt;144,"",INDEX(Calculo!$F$309:$ES$309,1,Corte+7))</f>
        <v>0</v>
      </c>
      <c r="M28" s="48">
        <f>IF(Corte+8&gt;144,"",INDEX(Calculo!$F$309:$ES$309,1,Corte+8))</f>
        <v>0</v>
      </c>
      <c r="N28" s="48">
        <f>IF(Corte+9&gt;144,"",INDEX(Calculo!$F$309:$ES$309,1,Corte+9))</f>
        <v>0</v>
      </c>
      <c r="O28" s="48">
        <f>IF(Corte+10&gt;144,"",INDEX(Calculo!$F$309:$ES$309,1,Corte+10))</f>
        <v>0</v>
      </c>
      <c r="P28" s="48">
        <f>IF(Corte+11&gt;144,"",INDEX(Calculo!$F$309:$ES$309,1,Corte+11))</f>
        <v>0</v>
      </c>
      <c r="Q28" s="48">
        <f>IF(Corte+12&gt;144,"",INDEX(Calculo!$F$309:$ES$309,1,Corte+12))</f>
        <v>0</v>
      </c>
      <c r="R28" s="48">
        <f>IF(Corte+13&gt;144,"",INDEX(Calculo!$F$309:$ES$309,1,Corte+13))</f>
        <v>0</v>
      </c>
      <c r="S28" s="48">
        <f>IF(Corte+14&gt;144,"",INDEX(Calculo!$F$309:$ES$309,1,Corte+14))</f>
        <v>0</v>
      </c>
      <c r="T28" s="48">
        <f>IF(Corte+15&gt;144,"",INDEX(Calculo!$F$309:$ES$309,1,Corte+15))</f>
        <v>0</v>
      </c>
      <c r="U28" s="48">
        <f>IF(Corte+16&gt;144,"",INDEX(Calculo!$F$309:$ES$309,1,Corte+16))</f>
        <v>0</v>
      </c>
      <c r="V28" s="48">
        <f>IF(Corte+17&gt;144,"",INDEX(Calculo!$F$309:$ES$309,1,Corte+17))</f>
        <v>0</v>
      </c>
      <c r="W28" s="48">
        <f>IF(Corte+18&gt;144,"",INDEX(Calculo!$F$309:$ES$309,1,Corte+18))</f>
        <v>0</v>
      </c>
      <c r="X28" s="48">
        <f>IF(Corte+19&gt;144,"",INDEX(Calculo!$F$309:$ES$309,1,Corte+19))</f>
        <v>0</v>
      </c>
      <c r="Y28" s="48">
        <f>IF(Corte+20&gt;144,"",INDEX(Calculo!$F$309:$ES$309,1,Corte+20))</f>
        <v>0</v>
      </c>
      <c r="Z28" s="48">
        <f>IF(Corte+21&gt;144,"",INDEX(Calculo!$F$309:$ES$309,1,Corte+21))</f>
        <v>0</v>
      </c>
      <c r="AA28" s="48">
        <f>IF(Corte+22&gt;144,"",INDEX(Calculo!$F$309:$ES$309,1,Corte+22))</f>
        <v>0</v>
      </c>
      <c r="AB28" s="48">
        <f>IF(Corte+23&gt;144,"",INDEX(Calculo!$F$309:$ES$309,1,Corte+23))</f>
        <v>0</v>
      </c>
      <c r="AC28" s="48">
        <f>IF(Corte+24&gt;144,"",INDEX(Calculo!$F$309:$ES$309,1,Corte+24))</f>
        <v>0</v>
      </c>
    </row>
    <row r="29" spans="1:29" x14ac:dyDescent="0.3">
      <c r="A29" s="14" t="s">
        <v>1359</v>
      </c>
      <c r="B29" s="68" t="s">
        <v>1385</v>
      </c>
      <c r="C29" s="54">
        <f>Q29</f>
        <v>497602.74355891842</v>
      </c>
      <c r="D29" s="54">
        <f>AC29</f>
        <v>303049.26921628485</v>
      </c>
      <c r="E29" s="54">
        <f>AC29</f>
        <v>303049.26921628485</v>
      </c>
      <c r="F29" s="22">
        <f>IF(Corte+1&gt;144,"",INDEX(Calculo!$F$310:$ES$310,1,Corte+1))</f>
        <v>535727.93036655965</v>
      </c>
      <c r="G29" s="22">
        <f>IF(Corte+2&gt;144,"",INDEX(Calculo!$F$310:$ES$310,1,Corte+2))</f>
        <v>555194.83809214947</v>
      </c>
      <c r="H29" s="22">
        <f>IF(Corte+3&gt;144,"",INDEX(Calculo!$F$310:$ES$310,1,Corte+3))</f>
        <v>574661.74581773928</v>
      </c>
      <c r="I29" s="22">
        <f>IF(Corte+4&gt;144,"",INDEX(Calculo!$F$310:$ES$310,1,Corte+4))</f>
        <v>594128.6535433291</v>
      </c>
      <c r="J29" s="22">
        <f>IF(Corte+5&gt;144,"",INDEX(Calculo!$F$310:$ES$310,1,Corte+5))</f>
        <v>613595.56126891891</v>
      </c>
      <c r="K29" s="22">
        <f>IF(Corte+6&gt;144,"",INDEX(Calculo!$F$310:$ES$310,1,Corte+6))</f>
        <v>633062.46899450873</v>
      </c>
      <c r="L29" s="22">
        <f>IF(Corte+7&gt;144,"",INDEX(Calculo!$F$310:$ES$310,1,Corte+7))</f>
        <v>610406.07262541074</v>
      </c>
      <c r="M29" s="22">
        <f>IF(Corte+8&gt;144,"",INDEX(Calculo!$F$310:$ES$310,1,Corte+8))</f>
        <v>587781.26873438375</v>
      </c>
      <c r="N29" s="22">
        <f>IF(Corte+9&gt;144,"",INDEX(Calculo!$F$310:$ES$310,1,Corte+9))</f>
        <v>565188.2942650133</v>
      </c>
      <c r="O29" s="22">
        <f>IF(Corte+10&gt;144,"",INDEX(Calculo!$F$310:$ES$310,1,Corte+10))</f>
        <v>542627.38793796184</v>
      </c>
      <c r="P29" s="22">
        <f>IF(Corte+11&gt;144,"",INDEX(Calculo!$F$310:$ES$310,1,Corte+11))</f>
        <v>520098.79026429675</v>
      </c>
      <c r="Q29" s="22">
        <f>IF(Corte+12&gt;144,"",INDEX(Calculo!$F$310:$ES$310,1,Corte+12))</f>
        <v>497602.74355891842</v>
      </c>
      <c r="R29" s="22">
        <f>IF(Corte+13&gt;144,"",INDEX(Calculo!$F$310:$ES$310,1,Corte+13))</f>
        <v>129920.95007681983</v>
      </c>
      <c r="S29" s="22">
        <f>IF(Corte+14&gt;144,"",INDEX(Calculo!$F$310:$ES$310,1,Corte+14))</f>
        <v>145489.64205416848</v>
      </c>
      <c r="T29" s="22">
        <f>IF(Corte+15&gt;144,"",INDEX(Calculo!$F$310:$ES$310,1,Corte+15))</f>
        <v>161091.62290329867</v>
      </c>
      <c r="U29" s="22">
        <f>IF(Corte+16&gt;144,"",INDEX(Calculo!$F$310:$ES$310,1,Corte+16))</f>
        <v>176727.1422907488</v>
      </c>
      <c r="V29" s="22">
        <f>IF(Corte+17&gt;144,"",INDEX(Calculo!$F$310:$ES$310,1,Corte+17))</f>
        <v>192396.45175555622</v>
      </c>
      <c r="W29" s="22">
        <f>IF(Corte+18&gt;144,"",INDEX(Calculo!$F$310:$ES$310,1,Corte+18))</f>
        <v>208099.80472330115</v>
      </c>
      <c r="X29" s="22">
        <f>IF(Corte+19&gt;144,"",INDEX(Calculo!$F$310:$ES$310,1,Corte+19))</f>
        <v>223837.4565202556</v>
      </c>
      <c r="Y29" s="22">
        <f>IF(Corte+20&gt;144,"",INDEX(Calculo!$F$310:$ES$310,1,Corte+20))</f>
        <v>239609.66438763862</v>
      </c>
      <c r="Z29" s="22">
        <f>IF(Corte+21&gt;144,"",INDEX(Calculo!$F$310:$ES$310,1,Corte+21))</f>
        <v>255416.68749597843</v>
      </c>
      <c r="AA29" s="22">
        <f>IF(Corte+22&gt;144,"",INDEX(Calculo!$F$310:$ES$310,1,Corte+22))</f>
        <v>271258.7869595823</v>
      </c>
      <c r="AB29" s="22">
        <f>IF(Corte+23&gt;144,"",INDEX(Calculo!$F$310:$ES$310,1,Corte+23))</f>
        <v>287136.22585111461</v>
      </c>
      <c r="AC29" s="22">
        <f>IF(Corte+24&gt;144,"",INDEX(Calculo!$F$310:$ES$310,1,Corte+24))</f>
        <v>303049.26921628485</v>
      </c>
    </row>
    <row r="30" spans="1:29" x14ac:dyDescent="0.3">
      <c r="A30" s="14" t="s">
        <v>1353</v>
      </c>
      <c r="B30" s="18" t="s">
        <v>1386</v>
      </c>
      <c r="C30" s="54">
        <f>Q30</f>
        <v>2534060.6476418972</v>
      </c>
      <c r="D30" s="54">
        <f>AC30</f>
        <v>1983042.0358887829</v>
      </c>
      <c r="E30" s="54">
        <f>AC30</f>
        <v>1983042.0358887829</v>
      </c>
      <c r="F30" s="48">
        <f>IF(Corte+1&gt;144,"",INDEX(Calculo!$F$304:$ES$304,1,Corte+1))</f>
        <v>2791587</v>
      </c>
      <c r="G30" s="48">
        <f>IF(Corte+2&gt;144,"",INDEX(Calculo!$F$304:$ES$304,1,Corte+2))</f>
        <v>2791587</v>
      </c>
      <c r="H30" s="48">
        <f>IF(Corte+3&gt;144,"",INDEX(Calculo!$F$304:$ES$304,1,Corte+3))</f>
        <v>2791587</v>
      </c>
      <c r="I30" s="48">
        <f>IF(Corte+4&gt;144,"",INDEX(Calculo!$F$304:$ES$304,1,Corte+4))</f>
        <v>2791587</v>
      </c>
      <c r="J30" s="48">
        <f>IF(Corte+5&gt;144,"",INDEX(Calculo!$F$304:$ES$304,1,Corte+5))</f>
        <v>2791587</v>
      </c>
      <c r="K30" s="48">
        <f>IF(Corte+6&gt;144,"",INDEX(Calculo!$F$304:$ES$304,1,Corte+6))</f>
        <v>2791587</v>
      </c>
      <c r="L30" s="48">
        <f>IF(Corte+7&gt;144,"",INDEX(Calculo!$F$304:$ES$304,1,Corte+7))</f>
        <v>2749463.6959053124</v>
      </c>
      <c r="M30" s="48">
        <f>IF(Corte+8&gt;144,"",INDEX(Calculo!$F$304:$ES$304,1,Corte+8))</f>
        <v>2707024.4670299147</v>
      </c>
      <c r="N30" s="48">
        <f>IF(Corte+9&gt;144,"",INDEX(Calculo!$F$304:$ES$304,1,Corte+9))</f>
        <v>2664266.9439379512</v>
      </c>
      <c r="O30" s="48">
        <f>IF(Corte+10&gt;144,"",INDEX(Calculo!$F$304:$ES$304,1,Corte+10))</f>
        <v>2621188.7394227982</v>
      </c>
      <c r="P30" s="48">
        <f>IF(Corte+11&gt;144,"",INDEX(Calculo!$F$304:$ES$304,1,Corte+11))</f>
        <v>2577787.4483737815</v>
      </c>
      <c r="Q30" s="48">
        <f>IF(Corte+12&gt;144,"",INDEX(Calculo!$F$304:$ES$304,1,Corte+12))</f>
        <v>2534060.6476418972</v>
      </c>
      <c r="R30" s="48">
        <f>IF(Corte+13&gt;144,"",INDEX(Calculo!$F$304:$ES$304,1,Corte+13))</f>
        <v>2490005.8959045238</v>
      </c>
      <c r="S30" s="48">
        <f>IF(Corte+14&gt;144,"",INDEX(Calculo!$F$304:$ES$304,1,Corte+14))</f>
        <v>2445620.7335291198</v>
      </c>
      <c r="T30" s="48">
        <f>IF(Corte+15&gt;144,"",INDEX(Calculo!$F$304:$ES$304,1,Corte+15))</f>
        <v>2400902.6824359004</v>
      </c>
      <c r="U30" s="48">
        <f>IF(Corte+16&gt;144,"",INDEX(Calculo!$F$304:$ES$304,1,Corte+16))</f>
        <v>2355849.2459594822</v>
      </c>
      <c r="V30" s="48">
        <f>IF(Corte+17&gt;144,"",INDEX(Calculo!$F$304:$ES$304,1,Corte+17))</f>
        <v>2310457.9087094907</v>
      </c>
      <c r="W30" s="48">
        <f>IF(Corte+18&gt;144,"",INDEX(Calculo!$F$304:$ES$304,1,Corte+18))</f>
        <v>2264726.1364301243</v>
      </c>
      <c r="X30" s="48">
        <f>IF(Corte+19&gt;144,"",INDEX(Calculo!$F$304:$ES$304,1,Corte+19))</f>
        <v>2218651.3758586626</v>
      </c>
      <c r="Y30" s="48">
        <f>IF(Corte+20&gt;144,"",INDEX(Calculo!$F$304:$ES$304,1,Corte+20))</f>
        <v>2172231.0545829148</v>
      </c>
      <c r="Z30" s="48">
        <f>IF(Corte+21&gt;144,"",INDEX(Calculo!$F$304:$ES$304,1,Corte+21))</f>
        <v>2125462.580897599</v>
      </c>
      <c r="AA30" s="48">
        <f>IF(Corte+22&gt;144,"",INDEX(Calculo!$F$304:$ES$304,1,Corte+22))</f>
        <v>2078343.3436596433</v>
      </c>
      <c r="AB30" s="48">
        <f>IF(Corte+23&gt;144,"",INDEX(Calculo!$F$304:$ES$304,1,Corte+23))</f>
        <v>2030870.7121424028</v>
      </c>
      <c r="AC30" s="48">
        <f>IF(Corte+24&gt;144,"",INDEX(Calculo!$F$304:$ES$304,1,Corte+24))</f>
        <v>1983042.0358887829</v>
      </c>
    </row>
    <row r="31" spans="1:29" x14ac:dyDescent="0.3">
      <c r="A31" s="14" t="s">
        <v>1350</v>
      </c>
      <c r="B31" s="18" t="s">
        <v>1185</v>
      </c>
      <c r="C31" s="54">
        <f>Q31</f>
        <v>0</v>
      </c>
      <c r="D31" s="54">
        <f>AC31</f>
        <v>0</v>
      </c>
      <c r="E31" s="54">
        <f>AC31</f>
        <v>0</v>
      </c>
      <c r="F31" s="48">
        <f>IF(Corte+1&gt;144,"",INDEX(Calculo!$F$301:$ES$301,1,Corte+1))</f>
        <v>0</v>
      </c>
      <c r="G31" s="48">
        <f>IF(Corte+2&gt;144,"",INDEX(Calculo!$F$301:$ES$301,1,Corte+2))</f>
        <v>0</v>
      </c>
      <c r="H31" s="48">
        <f>IF(Corte+3&gt;144,"",INDEX(Calculo!$F$301:$ES$301,1,Corte+3))</f>
        <v>0</v>
      </c>
      <c r="I31" s="48">
        <f>IF(Corte+4&gt;144,"",INDEX(Calculo!$F$301:$ES$301,1,Corte+4))</f>
        <v>0</v>
      </c>
      <c r="J31" s="48">
        <f>IF(Corte+5&gt;144,"",INDEX(Calculo!$F$301:$ES$301,1,Corte+5))</f>
        <v>0</v>
      </c>
      <c r="K31" s="48">
        <f>IF(Corte+6&gt;144,"",INDEX(Calculo!$F$301:$ES$301,1,Corte+6))</f>
        <v>0</v>
      </c>
      <c r="L31" s="48">
        <f>IF(Corte+7&gt;144,"",INDEX(Calculo!$F$301:$ES$301,1,Corte+7))</f>
        <v>0</v>
      </c>
      <c r="M31" s="48">
        <f>IF(Corte+8&gt;144,"",INDEX(Calculo!$F$301:$ES$301,1,Corte+8))</f>
        <v>0</v>
      </c>
      <c r="N31" s="48">
        <f>IF(Corte+9&gt;144,"",INDEX(Calculo!$F$301:$ES$301,1,Corte+9))</f>
        <v>0</v>
      </c>
      <c r="O31" s="48">
        <f>IF(Corte+10&gt;144,"",INDEX(Calculo!$F$301:$ES$301,1,Corte+10))</f>
        <v>0</v>
      </c>
      <c r="P31" s="48">
        <f>IF(Corte+11&gt;144,"",INDEX(Calculo!$F$301:$ES$301,1,Corte+11))</f>
        <v>0</v>
      </c>
      <c r="Q31" s="48">
        <f>IF(Corte+12&gt;144,"",INDEX(Calculo!$F$301:$ES$301,1,Corte+12))</f>
        <v>0</v>
      </c>
      <c r="R31" s="48">
        <f>IF(Corte+13&gt;144,"",INDEX(Calculo!$F$301:$ES$301,1,Corte+13))</f>
        <v>0</v>
      </c>
      <c r="S31" s="48">
        <f>IF(Corte+14&gt;144,"",INDEX(Calculo!$F$301:$ES$301,1,Corte+14))</f>
        <v>0</v>
      </c>
      <c r="T31" s="48">
        <f>IF(Corte+15&gt;144,"",INDEX(Calculo!$F$301:$ES$301,1,Corte+15))</f>
        <v>0</v>
      </c>
      <c r="U31" s="48">
        <f>IF(Corte+16&gt;144,"",INDEX(Calculo!$F$301:$ES$301,1,Corte+16))</f>
        <v>0</v>
      </c>
      <c r="V31" s="48">
        <f>IF(Corte+17&gt;144,"",INDEX(Calculo!$F$301:$ES$301,1,Corte+17))</f>
        <v>0</v>
      </c>
      <c r="W31" s="48">
        <f>IF(Corte+18&gt;144,"",INDEX(Calculo!$F$301:$ES$301,1,Corte+18))</f>
        <v>0</v>
      </c>
      <c r="X31" s="48">
        <f>IF(Corte+19&gt;144,"",INDEX(Calculo!$F$301:$ES$301,1,Corte+19))</f>
        <v>0</v>
      </c>
      <c r="Y31" s="48">
        <f>IF(Corte+20&gt;144,"",INDEX(Calculo!$F$301:$ES$301,1,Corte+20))</f>
        <v>0</v>
      </c>
      <c r="Z31" s="48">
        <f>IF(Corte+21&gt;144,"",INDEX(Calculo!$F$301:$ES$301,1,Corte+21))</f>
        <v>0</v>
      </c>
      <c r="AA31" s="48">
        <f>IF(Corte+22&gt;144,"",INDEX(Calculo!$F$301:$ES$301,1,Corte+22))</f>
        <v>0</v>
      </c>
      <c r="AB31" s="48">
        <f>IF(Corte+23&gt;144,"",INDEX(Calculo!$F$301:$ES$301,1,Corte+23))</f>
        <v>0</v>
      </c>
      <c r="AC31" s="48">
        <f>IF(Corte+24&gt;144,"",INDEX(Calculo!$F$301:$ES$301,1,Corte+24))</f>
        <v>0</v>
      </c>
    </row>
    <row r="32" spans="1:29" x14ac:dyDescent="0.3">
      <c r="A32" s="14" t="s">
        <v>1321</v>
      </c>
      <c r="B32" s="18" t="s">
        <v>1387</v>
      </c>
      <c r="C32" s="54">
        <f>Q32</f>
        <v>2388063.8873590301</v>
      </c>
      <c r="D32" s="54">
        <f>AC32</f>
        <v>3043209.3317546742</v>
      </c>
      <c r="E32" s="54">
        <f>AC32</f>
        <v>3043209.3317546742</v>
      </c>
      <c r="F32" s="48">
        <f>IF(Corte+1&gt;144,"",INDEX(Calculo!$F$269:$ES$269,1,Corte+1))</f>
        <v>2388063.8873590301</v>
      </c>
      <c r="G32" s="48">
        <f>IF(Corte+2&gt;144,"",INDEX(Calculo!$F$269:$ES$269,1,Corte+2))</f>
        <v>2388063.8873590301</v>
      </c>
      <c r="H32" s="48">
        <f>IF(Corte+3&gt;144,"",INDEX(Calculo!$F$269:$ES$269,1,Corte+3))</f>
        <v>2388063.8873590301</v>
      </c>
      <c r="I32" s="48">
        <f>IF(Corte+4&gt;144,"",INDEX(Calculo!$F$269:$ES$269,1,Corte+4))</f>
        <v>2388063.8873590301</v>
      </c>
      <c r="J32" s="48">
        <f>IF(Corte+5&gt;144,"",INDEX(Calculo!$F$269:$ES$269,1,Corte+5))</f>
        <v>2388063.8873590301</v>
      </c>
      <c r="K32" s="48">
        <f>IF(Corte+6&gt;144,"",INDEX(Calculo!$F$269:$ES$269,1,Corte+6))</f>
        <v>2388063.8873590301</v>
      </c>
      <c r="L32" s="48">
        <f>IF(Corte+7&gt;144,"",INDEX(Calculo!$F$269:$ES$269,1,Corte+7))</f>
        <v>2388063.8873590301</v>
      </c>
      <c r="M32" s="48">
        <f>IF(Corte+8&gt;144,"",INDEX(Calculo!$F$269:$ES$269,1,Corte+8))</f>
        <v>2388063.8873590301</v>
      </c>
      <c r="N32" s="48">
        <f>IF(Corte+9&gt;144,"",INDEX(Calculo!$F$269:$ES$269,1,Corte+9))</f>
        <v>2388063.8873590301</v>
      </c>
      <c r="O32" s="48">
        <f>IF(Corte+10&gt;144,"",INDEX(Calculo!$F$269:$ES$269,1,Corte+10))</f>
        <v>2388063.8873590301</v>
      </c>
      <c r="P32" s="48">
        <f>IF(Corte+11&gt;144,"",INDEX(Calculo!$F$269:$ES$269,1,Corte+11))</f>
        <v>2388063.8873590301</v>
      </c>
      <c r="Q32" s="48">
        <f>IF(Corte+12&gt;144,"",INDEX(Calculo!$F$269:$ES$269,1,Corte+12))</f>
        <v>2388063.8873590301</v>
      </c>
      <c r="R32" s="48">
        <f>IF(Corte+13&gt;144,"",INDEX(Calculo!$F$269:$ES$269,1,Corte+13))</f>
        <v>3043209.3317546742</v>
      </c>
      <c r="S32" s="48">
        <f>IF(Corte+14&gt;144,"",INDEX(Calculo!$F$269:$ES$269,1,Corte+14))</f>
        <v>3043209.3317546742</v>
      </c>
      <c r="T32" s="48">
        <f>IF(Corte+15&gt;144,"",INDEX(Calculo!$F$269:$ES$269,1,Corte+15))</f>
        <v>3043209.3317546742</v>
      </c>
      <c r="U32" s="48">
        <f>IF(Corte+16&gt;144,"",INDEX(Calculo!$F$269:$ES$269,1,Corte+16))</f>
        <v>3043209.3317546742</v>
      </c>
      <c r="V32" s="48">
        <f>IF(Corte+17&gt;144,"",INDEX(Calculo!$F$269:$ES$269,1,Corte+17))</f>
        <v>3043209.3317546742</v>
      </c>
      <c r="W32" s="48">
        <f>IF(Corte+18&gt;144,"",INDEX(Calculo!$F$269:$ES$269,1,Corte+18))</f>
        <v>3043209.3317546742</v>
      </c>
      <c r="X32" s="48">
        <f>IF(Corte+19&gt;144,"",INDEX(Calculo!$F$269:$ES$269,1,Corte+19))</f>
        <v>3043209.3317546742</v>
      </c>
      <c r="Y32" s="48">
        <f>IF(Corte+20&gt;144,"",INDEX(Calculo!$F$269:$ES$269,1,Corte+20))</f>
        <v>3043209.3317546742</v>
      </c>
      <c r="Z32" s="48">
        <f>IF(Corte+21&gt;144,"",INDEX(Calculo!$F$269:$ES$269,1,Corte+21))</f>
        <v>3043209.3317546742</v>
      </c>
      <c r="AA32" s="48">
        <f>IF(Corte+22&gt;144,"",INDEX(Calculo!$F$269:$ES$269,1,Corte+22))</f>
        <v>3043209.3317546742</v>
      </c>
      <c r="AB32" s="48">
        <f>IF(Corte+23&gt;144,"",INDEX(Calculo!$F$269:$ES$269,1,Corte+23))</f>
        <v>3043209.3317546742</v>
      </c>
      <c r="AC32" s="48">
        <f>IF(Corte+24&gt;144,"",INDEX(Calculo!$F$269:$ES$269,1,Corte+24))</f>
        <v>3043209.3317546742</v>
      </c>
    </row>
    <row r="33" spans="1:29" x14ac:dyDescent="0.3">
      <c r="A33" s="14" t="s">
        <v>1361</v>
      </c>
      <c r="B33" s="18" t="s">
        <v>1388</v>
      </c>
      <c r="C33" s="54">
        <f>MAX(F33:Q33)</f>
        <v>0</v>
      </c>
      <c r="D33" s="54">
        <f>MAX(R33:AC33)</f>
        <v>0</v>
      </c>
      <c r="E33" s="54">
        <f>MAX(F33:AC33)</f>
        <v>0</v>
      </c>
      <c r="F33" s="48">
        <f>IF(Corte+1&gt;144,"",INDEX(Calculo!$F$312:$ES$312,1,Corte+1))</f>
        <v>0</v>
      </c>
      <c r="G33" s="48">
        <f>IF(Corte+2&gt;144,"",INDEX(Calculo!$F$312:$ES$312,1,Corte+2))</f>
        <v>0</v>
      </c>
      <c r="H33" s="48">
        <f>IF(Corte+3&gt;144,"",INDEX(Calculo!$F$312:$ES$312,1,Corte+3))</f>
        <v>0</v>
      </c>
      <c r="I33" s="48">
        <f>IF(Corte+4&gt;144,"",INDEX(Calculo!$F$312:$ES$312,1,Corte+4))</f>
        <v>0</v>
      </c>
      <c r="J33" s="48">
        <f>IF(Corte+5&gt;144,"",INDEX(Calculo!$F$312:$ES$312,1,Corte+5))</f>
        <v>0</v>
      </c>
      <c r="K33" s="48">
        <f>IF(Corte+6&gt;144,"",INDEX(Calculo!$F$312:$ES$312,1,Corte+6))</f>
        <v>0</v>
      </c>
      <c r="L33" s="48">
        <f>IF(Corte+7&gt;144,"",INDEX(Calculo!$F$312:$ES$312,1,Corte+7))</f>
        <v>0</v>
      </c>
      <c r="M33" s="48">
        <f>IF(Corte+8&gt;144,"",INDEX(Calculo!$F$312:$ES$312,1,Corte+8))</f>
        <v>0</v>
      </c>
      <c r="N33" s="48">
        <f>IF(Corte+9&gt;144,"",INDEX(Calculo!$F$312:$ES$312,1,Corte+9))</f>
        <v>0</v>
      </c>
      <c r="O33" s="48">
        <f>IF(Corte+10&gt;144,"",INDEX(Calculo!$F$312:$ES$312,1,Corte+10))</f>
        <v>0</v>
      </c>
      <c r="P33" s="48">
        <f>IF(Corte+11&gt;144,"",INDEX(Calculo!$F$312:$ES$312,1,Corte+11))</f>
        <v>0</v>
      </c>
      <c r="Q33" s="48">
        <f>IF(Corte+12&gt;144,"",INDEX(Calculo!$F$312:$ES$312,1,Corte+12))</f>
        <v>0</v>
      </c>
      <c r="R33" s="48">
        <f>IF(Corte+13&gt;144,"",INDEX(Calculo!$F$312:$ES$312,1,Corte+13))</f>
        <v>0</v>
      </c>
      <c r="S33" s="48">
        <f>IF(Corte+14&gt;144,"",INDEX(Calculo!$F$312:$ES$312,1,Corte+14))</f>
        <v>0</v>
      </c>
      <c r="T33" s="48">
        <f>IF(Corte+15&gt;144,"",INDEX(Calculo!$F$312:$ES$312,1,Corte+15))</f>
        <v>0</v>
      </c>
      <c r="U33" s="48">
        <f>IF(Corte+16&gt;144,"",INDEX(Calculo!$F$312:$ES$312,1,Corte+16))</f>
        <v>0</v>
      </c>
      <c r="V33" s="48">
        <f>IF(Corte+17&gt;144,"",INDEX(Calculo!$F$312:$ES$312,1,Corte+17))</f>
        <v>0</v>
      </c>
      <c r="W33" s="48">
        <f>IF(Corte+18&gt;144,"",INDEX(Calculo!$F$312:$ES$312,1,Corte+18))</f>
        <v>0</v>
      </c>
      <c r="X33" s="48">
        <f>IF(Corte+19&gt;144,"",INDEX(Calculo!$F$312:$ES$312,1,Corte+19))</f>
        <v>0</v>
      </c>
      <c r="Y33" s="48">
        <f>IF(Corte+20&gt;144,"",INDEX(Calculo!$F$312:$ES$312,1,Corte+20))</f>
        <v>0</v>
      </c>
      <c r="Z33" s="48">
        <f>IF(Corte+21&gt;144,"",INDEX(Calculo!$F$312:$ES$312,1,Corte+21))</f>
        <v>0</v>
      </c>
      <c r="AA33" s="48">
        <f>IF(Corte+22&gt;144,"",INDEX(Calculo!$F$312:$ES$312,1,Corte+22))</f>
        <v>0</v>
      </c>
      <c r="AB33" s="48">
        <f>IF(Corte+23&gt;144,"",INDEX(Calculo!$F$312:$ES$312,1,Corte+23))</f>
        <v>0</v>
      </c>
      <c r="AC33" s="48">
        <f>IF(Corte+24&gt;144,"",INDEX(Calculo!$F$312:$ES$312,1,Corte+24))</f>
        <v>0</v>
      </c>
    </row>
    <row r="34" spans="1:29" x14ac:dyDescent="0.3">
      <c r="B34" s="18" t="s">
        <v>1389</v>
      </c>
      <c r="C34" s="49">
        <f t="shared" ref="C34:AC34" si="3">IF(N(C11)=0,"",C19/C11)</f>
        <v>0.10514845478496436</v>
      </c>
      <c r="D34" s="49">
        <f t="shared" si="3"/>
        <v>0.15627335079395219</v>
      </c>
      <c r="E34" s="49">
        <f t="shared" si="3"/>
        <v>0.13379567423622579</v>
      </c>
      <c r="F34" s="49">
        <f t="shared" si="3"/>
        <v>0.10514845478496433</v>
      </c>
      <c r="G34" s="49">
        <f t="shared" si="3"/>
        <v>0.10514845478496433</v>
      </c>
      <c r="H34" s="49">
        <f t="shared" si="3"/>
        <v>0.10514845478496433</v>
      </c>
      <c r="I34" s="49">
        <f t="shared" si="3"/>
        <v>0.10514845478496433</v>
      </c>
      <c r="J34" s="49">
        <f t="shared" si="3"/>
        <v>0.10514845478496433</v>
      </c>
      <c r="K34" s="49">
        <f t="shared" si="3"/>
        <v>0.10514845478496433</v>
      </c>
      <c r="L34" s="49">
        <f t="shared" si="3"/>
        <v>0.10514845478496433</v>
      </c>
      <c r="M34" s="49">
        <f t="shared" si="3"/>
        <v>0.10514845478496433</v>
      </c>
      <c r="N34" s="49">
        <f t="shared" si="3"/>
        <v>0.10514845478496433</v>
      </c>
      <c r="O34" s="49">
        <f t="shared" si="3"/>
        <v>0.10514845478496433</v>
      </c>
      <c r="P34" s="49">
        <f t="shared" si="3"/>
        <v>0.10514845478496433</v>
      </c>
      <c r="Q34" s="49">
        <f t="shared" si="3"/>
        <v>0.10514845478496433</v>
      </c>
      <c r="R34" s="49">
        <f t="shared" si="3"/>
        <v>0.15627335079395221</v>
      </c>
      <c r="S34" s="49">
        <f t="shared" si="3"/>
        <v>0.15627335079395221</v>
      </c>
      <c r="T34" s="49">
        <f t="shared" si="3"/>
        <v>0.15627335079395221</v>
      </c>
      <c r="U34" s="49">
        <f t="shared" si="3"/>
        <v>0.15627335079395221</v>
      </c>
      <c r="V34" s="49">
        <f t="shared" si="3"/>
        <v>0.15627335079395221</v>
      </c>
      <c r="W34" s="49">
        <f t="shared" si="3"/>
        <v>0.15627335079395221</v>
      </c>
      <c r="X34" s="49">
        <f t="shared" si="3"/>
        <v>0.15627335079395221</v>
      </c>
      <c r="Y34" s="49">
        <f t="shared" si="3"/>
        <v>0.15627335079395221</v>
      </c>
      <c r="Z34" s="49">
        <f t="shared" si="3"/>
        <v>0.15627335079395221</v>
      </c>
      <c r="AA34" s="49">
        <f t="shared" si="3"/>
        <v>0.15627335079395221</v>
      </c>
      <c r="AB34" s="49">
        <f t="shared" si="3"/>
        <v>0.15627335079395221</v>
      </c>
      <c r="AC34" s="49">
        <f t="shared" si="3"/>
        <v>0.15627335079395221</v>
      </c>
    </row>
    <row r="36" spans="1:29" x14ac:dyDescent="0.3">
      <c r="A36" s="15" t="s">
        <v>1390</v>
      </c>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row>
    <row r="37" spans="1:29" x14ac:dyDescent="0.3">
      <c r="A37" s="14" t="s">
        <v>1048</v>
      </c>
      <c r="B37" s="18" t="s">
        <v>1391</v>
      </c>
      <c r="C37" s="54">
        <f>SUM(F37:Q37)</f>
        <v>4849999.9999999991</v>
      </c>
      <c r="D37" s="54">
        <f>SUM(R37:AC37)</f>
        <v>6181200</v>
      </c>
      <c r="E37" s="54">
        <f>SUM(F37:AC37)</f>
        <v>11031200</v>
      </c>
      <c r="F37" s="48">
        <f>IF(Corte+1&gt;144,"",INDEX(Calculo!$F$71:$ES$71,1,Corte+1))</f>
        <v>404166.66666666663</v>
      </c>
      <c r="G37" s="48">
        <f>IF(Corte+2&gt;144,"",INDEX(Calculo!$F$71:$ES$71,1,Corte+2))</f>
        <v>404166.66666666663</v>
      </c>
      <c r="H37" s="48">
        <f>IF(Corte+3&gt;144,"",INDEX(Calculo!$F$71:$ES$71,1,Corte+3))</f>
        <v>404166.66666666663</v>
      </c>
      <c r="I37" s="48">
        <f>IF(Corte+4&gt;144,"",INDEX(Calculo!$F$71:$ES$71,1,Corte+4))</f>
        <v>404166.66666666663</v>
      </c>
      <c r="J37" s="48">
        <f>IF(Corte+5&gt;144,"",INDEX(Calculo!$F$71:$ES$71,1,Corte+5))</f>
        <v>404166.66666666663</v>
      </c>
      <c r="K37" s="48">
        <f>IF(Corte+6&gt;144,"",INDEX(Calculo!$F$71:$ES$71,1,Corte+6))</f>
        <v>404166.66666666663</v>
      </c>
      <c r="L37" s="48">
        <f>IF(Corte+7&gt;144,"",INDEX(Calculo!$F$71:$ES$71,1,Corte+7))</f>
        <v>404166.66666666663</v>
      </c>
      <c r="M37" s="48">
        <f>IF(Corte+8&gt;144,"",INDEX(Calculo!$F$71:$ES$71,1,Corte+8))</f>
        <v>404166.66666666663</v>
      </c>
      <c r="N37" s="48">
        <f>IF(Corte+9&gt;144,"",INDEX(Calculo!$F$71:$ES$71,1,Corte+9))</f>
        <v>404166.66666666663</v>
      </c>
      <c r="O37" s="48">
        <f>IF(Corte+10&gt;144,"",INDEX(Calculo!$F$71:$ES$71,1,Corte+10))</f>
        <v>404166.66666666663</v>
      </c>
      <c r="P37" s="48">
        <f>IF(Corte+11&gt;144,"",INDEX(Calculo!$F$71:$ES$71,1,Corte+11))</f>
        <v>404166.66666666663</v>
      </c>
      <c r="Q37" s="48">
        <f>IF(Corte+12&gt;144,"",INDEX(Calculo!$F$71:$ES$71,1,Corte+12))</f>
        <v>404166.66666666663</v>
      </c>
      <c r="R37" s="48">
        <f>IF(Corte+13&gt;144,"",INDEX(Calculo!$F$71:$ES$71,1,Corte+13))</f>
        <v>515100</v>
      </c>
      <c r="S37" s="48">
        <f>IF(Corte+14&gt;144,"",INDEX(Calculo!$F$71:$ES$71,1,Corte+14))</f>
        <v>515100</v>
      </c>
      <c r="T37" s="48">
        <f>IF(Corte+15&gt;144,"",INDEX(Calculo!$F$71:$ES$71,1,Corte+15))</f>
        <v>515100</v>
      </c>
      <c r="U37" s="48">
        <f>IF(Corte+16&gt;144,"",INDEX(Calculo!$F$71:$ES$71,1,Corte+16))</f>
        <v>515100</v>
      </c>
      <c r="V37" s="48">
        <f>IF(Corte+17&gt;144,"",INDEX(Calculo!$F$71:$ES$71,1,Corte+17))</f>
        <v>515100</v>
      </c>
      <c r="W37" s="48">
        <f>IF(Corte+18&gt;144,"",INDEX(Calculo!$F$71:$ES$71,1,Corte+18))</f>
        <v>515100</v>
      </c>
      <c r="X37" s="48">
        <f>IF(Corte+19&gt;144,"",INDEX(Calculo!$F$71:$ES$71,1,Corte+19))</f>
        <v>515100</v>
      </c>
      <c r="Y37" s="48">
        <f>IF(Corte+20&gt;144,"",INDEX(Calculo!$F$71:$ES$71,1,Corte+20))</f>
        <v>515100</v>
      </c>
      <c r="Z37" s="48">
        <f>IF(Corte+21&gt;144,"",INDEX(Calculo!$F$71:$ES$71,1,Corte+21))</f>
        <v>515100</v>
      </c>
      <c r="AA37" s="48">
        <f>IF(Corte+22&gt;144,"",INDEX(Calculo!$F$71:$ES$71,1,Corte+22))</f>
        <v>515100</v>
      </c>
      <c r="AB37" s="48">
        <f>IF(Corte+23&gt;144,"",INDEX(Calculo!$F$71:$ES$71,1,Corte+23))</f>
        <v>515100</v>
      </c>
      <c r="AC37" s="48">
        <f>IF(Corte+24&gt;144,"",INDEX(Calculo!$F$71:$ES$71,1,Corte+24))</f>
        <v>515100</v>
      </c>
    </row>
    <row r="38" spans="1:29" x14ac:dyDescent="0.3">
      <c r="A38" s="14" t="s">
        <v>1106</v>
      </c>
      <c r="B38" s="18" t="s">
        <v>1392</v>
      </c>
      <c r="C38" s="54">
        <f>SUM(F38:Q38)</f>
        <v>509970.00570707704</v>
      </c>
      <c r="D38" s="54">
        <f>SUM(R38:AC38)</f>
        <v>965956.83592757722</v>
      </c>
      <c r="E38" s="54">
        <f>SUM(F38:AC38)</f>
        <v>1475926.841634654</v>
      </c>
      <c r="F38" s="48">
        <f>IF(Corte+1&gt;144,"",INDEX(Calculo!$F$102:$ES$102,1,Corte+1))</f>
        <v>42497.500475589746</v>
      </c>
      <c r="G38" s="48">
        <f>IF(Corte+2&gt;144,"",INDEX(Calculo!$F$102:$ES$102,1,Corte+2))</f>
        <v>42497.500475589746</v>
      </c>
      <c r="H38" s="48">
        <f>IF(Corte+3&gt;144,"",INDEX(Calculo!$F$102:$ES$102,1,Corte+3))</f>
        <v>42497.500475589746</v>
      </c>
      <c r="I38" s="48">
        <f>IF(Corte+4&gt;144,"",INDEX(Calculo!$F$102:$ES$102,1,Corte+4))</f>
        <v>42497.500475589746</v>
      </c>
      <c r="J38" s="48">
        <f>IF(Corte+5&gt;144,"",INDEX(Calculo!$F$102:$ES$102,1,Corte+5))</f>
        <v>42497.500475589746</v>
      </c>
      <c r="K38" s="48">
        <f>IF(Corte+6&gt;144,"",INDEX(Calculo!$F$102:$ES$102,1,Corte+6))</f>
        <v>42497.500475589746</v>
      </c>
      <c r="L38" s="48">
        <f>IF(Corte+7&gt;144,"",INDEX(Calculo!$F$102:$ES$102,1,Corte+7))</f>
        <v>42497.500475589746</v>
      </c>
      <c r="M38" s="48">
        <f>IF(Corte+8&gt;144,"",INDEX(Calculo!$F$102:$ES$102,1,Corte+8))</f>
        <v>42497.500475589746</v>
      </c>
      <c r="N38" s="48">
        <f>IF(Corte+9&gt;144,"",INDEX(Calculo!$F$102:$ES$102,1,Corte+9))</f>
        <v>42497.500475589746</v>
      </c>
      <c r="O38" s="48">
        <f>IF(Corte+10&gt;144,"",INDEX(Calculo!$F$102:$ES$102,1,Corte+10))</f>
        <v>42497.500475589746</v>
      </c>
      <c r="P38" s="48">
        <f>IF(Corte+11&gt;144,"",INDEX(Calculo!$F$102:$ES$102,1,Corte+11))</f>
        <v>42497.500475589746</v>
      </c>
      <c r="Q38" s="48">
        <f>IF(Corte+12&gt;144,"",INDEX(Calculo!$F$102:$ES$102,1,Corte+12))</f>
        <v>42497.500475589746</v>
      </c>
      <c r="R38" s="48">
        <f>IF(Corte+13&gt;144,"",INDEX(Calculo!$F$102:$ES$102,1,Corte+13))</f>
        <v>80496.402993964788</v>
      </c>
      <c r="S38" s="48">
        <f>IF(Corte+14&gt;144,"",INDEX(Calculo!$F$102:$ES$102,1,Corte+14))</f>
        <v>80496.402993964788</v>
      </c>
      <c r="T38" s="48">
        <f>IF(Corte+15&gt;144,"",INDEX(Calculo!$F$102:$ES$102,1,Corte+15))</f>
        <v>80496.402993964788</v>
      </c>
      <c r="U38" s="48">
        <f>IF(Corte+16&gt;144,"",INDEX(Calculo!$F$102:$ES$102,1,Corte+16))</f>
        <v>80496.402993964788</v>
      </c>
      <c r="V38" s="48">
        <f>IF(Corte+17&gt;144,"",INDEX(Calculo!$F$102:$ES$102,1,Corte+17))</f>
        <v>80496.402993964788</v>
      </c>
      <c r="W38" s="48">
        <f>IF(Corte+18&gt;144,"",INDEX(Calculo!$F$102:$ES$102,1,Corte+18))</f>
        <v>80496.402993964788</v>
      </c>
      <c r="X38" s="48">
        <f>IF(Corte+19&gt;144,"",INDEX(Calculo!$F$102:$ES$102,1,Corte+19))</f>
        <v>80496.402993964788</v>
      </c>
      <c r="Y38" s="48">
        <f>IF(Corte+20&gt;144,"",INDEX(Calculo!$F$102:$ES$102,1,Corte+20))</f>
        <v>80496.402993964788</v>
      </c>
      <c r="Z38" s="48">
        <f>IF(Corte+21&gt;144,"",INDEX(Calculo!$F$102:$ES$102,1,Corte+21))</f>
        <v>80496.402993964788</v>
      </c>
      <c r="AA38" s="48">
        <f>IF(Corte+22&gt;144,"",INDEX(Calculo!$F$102:$ES$102,1,Corte+22))</f>
        <v>80496.402993964788</v>
      </c>
      <c r="AB38" s="48">
        <f>IF(Corte+23&gt;144,"",INDEX(Calculo!$F$102:$ES$102,1,Corte+23))</f>
        <v>80496.402993964788</v>
      </c>
      <c r="AC38" s="48">
        <f>IF(Corte+24&gt;144,"",INDEX(Calculo!$F$102:$ES$102,1,Corte+24))</f>
        <v>80496.402993964788</v>
      </c>
    </row>
    <row r="39" spans="1:29" x14ac:dyDescent="0.3">
      <c r="A39" s="14" t="s">
        <v>1115</v>
      </c>
      <c r="B39" s="18" t="s">
        <v>1393</v>
      </c>
      <c r="C39" s="54">
        <f>SUM(F39:Q39)</f>
        <v>167275.86427605138</v>
      </c>
      <c r="D39" s="54">
        <f>SUM(R39:AC39)</f>
        <v>658090.37280612544</v>
      </c>
      <c r="E39" s="54">
        <f>SUM(F39:AC39)</f>
        <v>825366.23708217673</v>
      </c>
      <c r="F39" s="48">
        <f>IF(Corte+1&gt;144,"",INDEX(Calculo!$F$107:$ES$107,1,Corte+1))</f>
        <v>13500.890308923073</v>
      </c>
      <c r="G39" s="48">
        <f>IF(Corte+2&gt;144,"",INDEX(Calculo!$F$107:$ES$107,1,Corte+2))</f>
        <v>13500.890308923073</v>
      </c>
      <c r="H39" s="48">
        <f>IF(Corte+3&gt;144,"",INDEX(Calculo!$F$107:$ES$107,1,Corte+3))</f>
        <v>13500.890308923073</v>
      </c>
      <c r="I39" s="48">
        <f>IF(Corte+4&gt;144,"",INDEX(Calculo!$F$107:$ES$107,1,Corte+4))</f>
        <v>13500.890308923073</v>
      </c>
      <c r="J39" s="48">
        <f>IF(Corte+5&gt;144,"",INDEX(Calculo!$F$107:$ES$107,1,Corte+5))</f>
        <v>13500.890308923073</v>
      </c>
      <c r="K39" s="48">
        <f>IF(Corte+6&gt;144,"",INDEX(Calculo!$F$107:$ES$107,1,Corte+6))</f>
        <v>13500.890308923073</v>
      </c>
      <c r="L39" s="48">
        <f>IF(Corte+7&gt;144,"",INDEX(Calculo!$F$107:$ES$107,1,Corte+7))</f>
        <v>13500.890308923073</v>
      </c>
      <c r="M39" s="48">
        <f>IF(Corte+8&gt;144,"",INDEX(Calculo!$F$107:$ES$107,1,Corte+8))</f>
        <v>13848.407567704246</v>
      </c>
      <c r="N39" s="48">
        <f>IF(Corte+9&gt;144,"",INDEX(Calculo!$F$107:$ES$107,1,Corte+9))</f>
        <v>14198.531205926276</v>
      </c>
      <c r="O39" s="48">
        <f>IF(Corte+10&gt;144,"",INDEX(Calculo!$F$107:$ES$107,1,Corte+10))</f>
        <v>14551.28077143498</v>
      </c>
      <c r="P39" s="48">
        <f>IF(Corte+11&gt;144,"",INDEX(Calculo!$F$107:$ES$107,1,Corte+11))</f>
        <v>14906.675958684991</v>
      </c>
      <c r="Q39" s="48">
        <f>IF(Corte+12&gt;144,"",INDEX(Calculo!$F$107:$ES$107,1,Corte+12))</f>
        <v>15264.73660983938</v>
      </c>
      <c r="R39" s="48">
        <f>IF(Corte+13&gt;144,"",INDEX(Calculo!$F$107:$ES$107,1,Corte+13))</f>
        <v>52791.051900919134</v>
      </c>
      <c r="S39" s="48">
        <f>IF(Corte+14&gt;144,"",INDEX(Calculo!$F$107:$ES$107,1,Corte+14))</f>
        <v>53154.503602752462</v>
      </c>
      <c r="T39" s="48">
        <f>IF(Corte+15&gt;144,"",INDEX(Calculo!$F$107:$ES$107,1,Corte+15))</f>
        <v>53520.681192349555</v>
      </c>
      <c r="U39" s="48">
        <f>IF(Corte+16&gt;144,"",INDEX(Calculo!$F$107:$ES$107,1,Corte+16))</f>
        <v>53889.605113868616</v>
      </c>
      <c r="V39" s="48">
        <f>IF(Corte+17&gt;144,"",INDEX(Calculo!$F$107:$ES$107,1,Corte+17))</f>
        <v>54261.295964799065</v>
      </c>
      <c r="W39" s="48">
        <f>IF(Corte+18&gt;144,"",INDEX(Calculo!$F$107:$ES$107,1,Corte+18))</f>
        <v>54635.774497111488</v>
      </c>
      <c r="X39" s="48">
        <f>IF(Corte+19&gt;144,"",INDEX(Calculo!$F$107:$ES$107,1,Corte+19))</f>
        <v>55013.061618416265</v>
      </c>
      <c r="Y39" s="48">
        <f>IF(Corte+20&gt;144,"",INDEX(Calculo!$F$107:$ES$107,1,Corte+20))</f>
        <v>55393.178393130816</v>
      </c>
      <c r="Z39" s="48">
        <f>IF(Corte+21&gt;144,"",INDEX(Calculo!$F$107:$ES$107,1,Corte+21))</f>
        <v>55776.146043655739</v>
      </c>
      <c r="AA39" s="48">
        <f>IF(Corte+22&gt;144,"",INDEX(Calculo!$F$107:$ES$107,1,Corte+22))</f>
        <v>56161.985951559596</v>
      </c>
      <c r="AB39" s="48">
        <f>IF(Corte+23&gt;144,"",INDEX(Calculo!$F$107:$ES$107,1,Corte+23))</f>
        <v>56550.71965877273</v>
      </c>
      <c r="AC39" s="48">
        <f>IF(Corte+24&gt;144,"",INDEX(Calculo!$F$107:$ES$107,1,Corte+24))</f>
        <v>56942.36886878997</v>
      </c>
    </row>
    <row r="40" spans="1:29" x14ac:dyDescent="0.3">
      <c r="A40" s="14" t="s">
        <v>1202</v>
      </c>
      <c r="B40" s="18" t="s">
        <v>1394</v>
      </c>
      <c r="C40" s="54">
        <f>Q40</f>
        <v>497602.74355891842</v>
      </c>
      <c r="D40" s="54">
        <f>AC40</f>
        <v>303049.26921628485</v>
      </c>
      <c r="E40" s="54">
        <f>AC40</f>
        <v>303049.26921628485</v>
      </c>
      <c r="F40" s="48">
        <f>IF(Corte+1&gt;144,"",INDEX(Calculo!$F$154:$ES$154,1,Corte+1))</f>
        <v>535727.93036655965</v>
      </c>
      <c r="G40" s="48">
        <f>IF(Corte+2&gt;144,"",INDEX(Calculo!$F$154:$ES$154,1,Corte+2))</f>
        <v>555194.83809214947</v>
      </c>
      <c r="H40" s="48">
        <f>IF(Corte+3&gt;144,"",INDEX(Calculo!$F$154:$ES$154,1,Corte+3))</f>
        <v>574661.74581773928</v>
      </c>
      <c r="I40" s="48">
        <f>IF(Corte+4&gt;144,"",INDEX(Calculo!$F$154:$ES$154,1,Corte+4))</f>
        <v>594128.6535433291</v>
      </c>
      <c r="J40" s="48">
        <f>IF(Corte+5&gt;144,"",INDEX(Calculo!$F$154:$ES$154,1,Corte+5))</f>
        <v>613595.56126891891</v>
      </c>
      <c r="K40" s="48">
        <f>IF(Corte+6&gt;144,"",INDEX(Calculo!$F$154:$ES$154,1,Corte+6))</f>
        <v>633062.46899450873</v>
      </c>
      <c r="L40" s="48">
        <f>IF(Corte+7&gt;144,"",INDEX(Calculo!$F$154:$ES$154,1,Corte+7))</f>
        <v>610406.07262541074</v>
      </c>
      <c r="M40" s="48">
        <f>IF(Corte+8&gt;144,"",INDEX(Calculo!$F$154:$ES$154,1,Corte+8))</f>
        <v>587781.26873438375</v>
      </c>
      <c r="N40" s="48">
        <f>IF(Corte+9&gt;144,"",INDEX(Calculo!$F$154:$ES$154,1,Corte+9))</f>
        <v>565188.2942650133</v>
      </c>
      <c r="O40" s="48">
        <f>IF(Corte+10&gt;144,"",INDEX(Calculo!$F$154:$ES$154,1,Corte+10))</f>
        <v>542627.38793796184</v>
      </c>
      <c r="P40" s="48">
        <f>IF(Corte+11&gt;144,"",INDEX(Calculo!$F$154:$ES$154,1,Corte+11))</f>
        <v>520098.79026429675</v>
      </c>
      <c r="Q40" s="48">
        <f>IF(Corte+12&gt;144,"",INDEX(Calculo!$F$154:$ES$154,1,Corte+12))</f>
        <v>497602.74355891842</v>
      </c>
      <c r="R40" s="48">
        <f>IF(Corte+13&gt;144,"",INDEX(Calculo!$F$154:$ES$154,1,Corte+13))</f>
        <v>129920.95007681983</v>
      </c>
      <c r="S40" s="48">
        <f>IF(Corte+14&gt;144,"",INDEX(Calculo!$F$154:$ES$154,1,Corte+14))</f>
        <v>145489.64205416848</v>
      </c>
      <c r="T40" s="48">
        <f>IF(Corte+15&gt;144,"",INDEX(Calculo!$F$154:$ES$154,1,Corte+15))</f>
        <v>161091.62290329867</v>
      </c>
      <c r="U40" s="48">
        <f>IF(Corte+16&gt;144,"",INDEX(Calculo!$F$154:$ES$154,1,Corte+16))</f>
        <v>176727.1422907488</v>
      </c>
      <c r="V40" s="48">
        <f>IF(Corte+17&gt;144,"",INDEX(Calculo!$F$154:$ES$154,1,Corte+17))</f>
        <v>192396.45175555622</v>
      </c>
      <c r="W40" s="48">
        <f>IF(Corte+18&gt;144,"",INDEX(Calculo!$F$154:$ES$154,1,Corte+18))</f>
        <v>208099.80472330115</v>
      </c>
      <c r="X40" s="48">
        <f>IF(Corte+19&gt;144,"",INDEX(Calculo!$F$154:$ES$154,1,Corte+19))</f>
        <v>223837.4565202556</v>
      </c>
      <c r="Y40" s="48">
        <f>IF(Corte+20&gt;144,"",INDEX(Calculo!$F$154:$ES$154,1,Corte+20))</f>
        <v>239609.66438763862</v>
      </c>
      <c r="Z40" s="48">
        <f>IF(Corte+21&gt;144,"",INDEX(Calculo!$F$154:$ES$154,1,Corte+21))</f>
        <v>255416.68749597843</v>
      </c>
      <c r="AA40" s="48">
        <f>IF(Corte+22&gt;144,"",INDEX(Calculo!$F$154:$ES$154,1,Corte+22))</f>
        <v>271258.7869595823</v>
      </c>
      <c r="AB40" s="48">
        <f>IF(Corte+23&gt;144,"",INDEX(Calculo!$F$154:$ES$154,1,Corte+23))</f>
        <v>287136.22585111461</v>
      </c>
      <c r="AC40" s="48">
        <f>IF(Corte+24&gt;144,"",INDEX(Calculo!$F$154:$ES$154,1,Corte+24))</f>
        <v>303049.26921628485</v>
      </c>
    </row>
    <row r="41" spans="1:29" x14ac:dyDescent="0.3">
      <c r="B41" s="23" t="s">
        <v>1395</v>
      </c>
      <c r="C41" s="22">
        <f t="shared" ref="C41:AC41" si="4">IF(OR(C11="",C37=""),"",C11-C37)</f>
        <v>0</v>
      </c>
      <c r="D41" s="22">
        <f t="shared" si="4"/>
        <v>0</v>
      </c>
      <c r="E41" s="22">
        <f t="shared" si="4"/>
        <v>0</v>
      </c>
      <c r="F41" s="22">
        <f t="shared" si="4"/>
        <v>0</v>
      </c>
      <c r="G41" s="22">
        <f t="shared" si="4"/>
        <v>0</v>
      </c>
      <c r="H41" s="22">
        <f t="shared" si="4"/>
        <v>0</v>
      </c>
      <c r="I41" s="22">
        <f t="shared" si="4"/>
        <v>0</v>
      </c>
      <c r="J41" s="22">
        <f t="shared" si="4"/>
        <v>0</v>
      </c>
      <c r="K41" s="22">
        <f t="shared" si="4"/>
        <v>0</v>
      </c>
      <c r="L41" s="22">
        <f t="shared" si="4"/>
        <v>0</v>
      </c>
      <c r="M41" s="22">
        <f t="shared" si="4"/>
        <v>0</v>
      </c>
      <c r="N41" s="22">
        <f t="shared" si="4"/>
        <v>0</v>
      </c>
      <c r="O41" s="22">
        <f t="shared" si="4"/>
        <v>0</v>
      </c>
      <c r="P41" s="22">
        <f t="shared" si="4"/>
        <v>0</v>
      </c>
      <c r="Q41" s="22">
        <f t="shared" si="4"/>
        <v>0</v>
      </c>
      <c r="R41" s="22">
        <f t="shared" si="4"/>
        <v>0</v>
      </c>
      <c r="S41" s="22">
        <f t="shared" si="4"/>
        <v>0</v>
      </c>
      <c r="T41" s="22">
        <f t="shared" si="4"/>
        <v>0</v>
      </c>
      <c r="U41" s="22">
        <f t="shared" si="4"/>
        <v>0</v>
      </c>
      <c r="V41" s="22">
        <f t="shared" si="4"/>
        <v>0</v>
      </c>
      <c r="W41" s="22">
        <f t="shared" si="4"/>
        <v>0</v>
      </c>
      <c r="X41" s="22">
        <f t="shared" si="4"/>
        <v>0</v>
      </c>
      <c r="Y41" s="22">
        <f t="shared" si="4"/>
        <v>0</v>
      </c>
      <c r="Z41" s="22">
        <f t="shared" si="4"/>
        <v>0</v>
      </c>
      <c r="AA41" s="22">
        <f t="shared" si="4"/>
        <v>0</v>
      </c>
      <c r="AB41" s="22">
        <f t="shared" si="4"/>
        <v>0</v>
      </c>
      <c r="AC41" s="22">
        <f t="shared" si="4"/>
        <v>0</v>
      </c>
    </row>
    <row r="42" spans="1:29" x14ac:dyDescent="0.3">
      <c r="B42" s="23" t="s">
        <v>1396</v>
      </c>
      <c r="C42" s="22">
        <f t="shared" ref="C42:AC42" si="5">IF(OR(C19="",C38=""),"",C19-C38)</f>
        <v>0</v>
      </c>
      <c r="D42" s="22">
        <f t="shared" si="5"/>
        <v>0</v>
      </c>
      <c r="E42" s="22">
        <f t="shared" si="5"/>
        <v>0</v>
      </c>
      <c r="F42" s="22">
        <f t="shared" si="5"/>
        <v>0</v>
      </c>
      <c r="G42" s="22">
        <f t="shared" si="5"/>
        <v>0</v>
      </c>
      <c r="H42" s="22">
        <f t="shared" si="5"/>
        <v>0</v>
      </c>
      <c r="I42" s="22">
        <f t="shared" si="5"/>
        <v>0</v>
      </c>
      <c r="J42" s="22">
        <f t="shared" si="5"/>
        <v>0</v>
      </c>
      <c r="K42" s="22">
        <f t="shared" si="5"/>
        <v>0</v>
      </c>
      <c r="L42" s="22">
        <f t="shared" si="5"/>
        <v>0</v>
      </c>
      <c r="M42" s="22">
        <f t="shared" si="5"/>
        <v>0</v>
      </c>
      <c r="N42" s="22">
        <f t="shared" si="5"/>
        <v>0</v>
      </c>
      <c r="O42" s="22">
        <f t="shared" si="5"/>
        <v>0</v>
      </c>
      <c r="P42" s="22">
        <f t="shared" si="5"/>
        <v>0</v>
      </c>
      <c r="Q42" s="22">
        <f t="shared" si="5"/>
        <v>0</v>
      </c>
      <c r="R42" s="22">
        <f t="shared" si="5"/>
        <v>0</v>
      </c>
      <c r="S42" s="22">
        <f t="shared" si="5"/>
        <v>0</v>
      </c>
      <c r="T42" s="22">
        <f t="shared" si="5"/>
        <v>0</v>
      </c>
      <c r="U42" s="22">
        <f t="shared" si="5"/>
        <v>0</v>
      </c>
      <c r="V42" s="22">
        <f t="shared" si="5"/>
        <v>0</v>
      </c>
      <c r="W42" s="22">
        <f t="shared" si="5"/>
        <v>0</v>
      </c>
      <c r="X42" s="22">
        <f t="shared" si="5"/>
        <v>0</v>
      </c>
      <c r="Y42" s="22">
        <f t="shared" si="5"/>
        <v>0</v>
      </c>
      <c r="Z42" s="22">
        <f t="shared" si="5"/>
        <v>0</v>
      </c>
      <c r="AA42" s="22">
        <f t="shared" si="5"/>
        <v>0</v>
      </c>
      <c r="AB42" s="22">
        <f t="shared" si="5"/>
        <v>0</v>
      </c>
      <c r="AC42" s="22">
        <f t="shared" si="5"/>
        <v>0</v>
      </c>
    </row>
    <row r="43" spans="1:29" x14ac:dyDescent="0.3">
      <c r="B43" s="23" t="s">
        <v>1397</v>
      </c>
      <c r="C43" s="22">
        <f t="shared" ref="C43:AC43" si="6">IF(OR(C22="",C39=""),"",C22-C39)</f>
        <v>0</v>
      </c>
      <c r="D43" s="22">
        <f t="shared" si="6"/>
        <v>0</v>
      </c>
      <c r="E43" s="22">
        <f t="shared" si="6"/>
        <v>0</v>
      </c>
      <c r="F43" s="22">
        <f t="shared" si="6"/>
        <v>0</v>
      </c>
      <c r="G43" s="22">
        <f t="shared" si="6"/>
        <v>0</v>
      </c>
      <c r="H43" s="22">
        <f t="shared" si="6"/>
        <v>0</v>
      </c>
      <c r="I43" s="22">
        <f t="shared" si="6"/>
        <v>0</v>
      </c>
      <c r="J43" s="22">
        <f t="shared" si="6"/>
        <v>0</v>
      </c>
      <c r="K43" s="22">
        <f t="shared" si="6"/>
        <v>0</v>
      </c>
      <c r="L43" s="22">
        <f t="shared" si="6"/>
        <v>0</v>
      </c>
      <c r="M43" s="22">
        <f t="shared" si="6"/>
        <v>0</v>
      </c>
      <c r="N43" s="22">
        <f t="shared" si="6"/>
        <v>0</v>
      </c>
      <c r="O43" s="22">
        <f t="shared" si="6"/>
        <v>0</v>
      </c>
      <c r="P43" s="22">
        <f t="shared" si="6"/>
        <v>0</v>
      </c>
      <c r="Q43" s="22">
        <f t="shared" si="6"/>
        <v>0</v>
      </c>
      <c r="R43" s="22">
        <f t="shared" si="6"/>
        <v>0</v>
      </c>
      <c r="S43" s="22">
        <f t="shared" si="6"/>
        <v>0</v>
      </c>
      <c r="T43" s="22">
        <f t="shared" si="6"/>
        <v>0</v>
      </c>
      <c r="U43" s="22">
        <f t="shared" si="6"/>
        <v>0</v>
      </c>
      <c r="V43" s="22">
        <f t="shared" si="6"/>
        <v>0</v>
      </c>
      <c r="W43" s="22">
        <f t="shared" si="6"/>
        <v>0</v>
      </c>
      <c r="X43" s="22">
        <f t="shared" si="6"/>
        <v>0</v>
      </c>
      <c r="Y43" s="22">
        <f t="shared" si="6"/>
        <v>0</v>
      </c>
      <c r="Z43" s="22">
        <f t="shared" si="6"/>
        <v>0</v>
      </c>
      <c r="AA43" s="22">
        <f t="shared" si="6"/>
        <v>0</v>
      </c>
      <c r="AB43" s="22">
        <f t="shared" si="6"/>
        <v>0</v>
      </c>
      <c r="AC43" s="22">
        <f t="shared" si="6"/>
        <v>0</v>
      </c>
    </row>
    <row r="44" spans="1:29" x14ac:dyDescent="0.3">
      <c r="B44" s="23" t="s">
        <v>1398</v>
      </c>
      <c r="C44" s="22">
        <f t="shared" ref="C44:AC44" si="7">IF(OR(C29="",C40=""),"",C29-C40)</f>
        <v>0</v>
      </c>
      <c r="D44" s="22">
        <f t="shared" si="7"/>
        <v>0</v>
      </c>
      <c r="E44" s="22">
        <f t="shared" si="7"/>
        <v>0</v>
      </c>
      <c r="F44" s="22">
        <f t="shared" si="7"/>
        <v>0</v>
      </c>
      <c r="G44" s="22">
        <f t="shared" si="7"/>
        <v>0</v>
      </c>
      <c r="H44" s="22">
        <f t="shared" si="7"/>
        <v>0</v>
      </c>
      <c r="I44" s="22">
        <f t="shared" si="7"/>
        <v>0</v>
      </c>
      <c r="J44" s="22">
        <f t="shared" si="7"/>
        <v>0</v>
      </c>
      <c r="K44" s="22">
        <f t="shared" si="7"/>
        <v>0</v>
      </c>
      <c r="L44" s="22">
        <f t="shared" si="7"/>
        <v>0</v>
      </c>
      <c r="M44" s="22">
        <f t="shared" si="7"/>
        <v>0</v>
      </c>
      <c r="N44" s="22">
        <f t="shared" si="7"/>
        <v>0</v>
      </c>
      <c r="O44" s="22">
        <f t="shared" si="7"/>
        <v>0</v>
      </c>
      <c r="P44" s="22">
        <f t="shared" si="7"/>
        <v>0</v>
      </c>
      <c r="Q44" s="22">
        <f t="shared" si="7"/>
        <v>0</v>
      </c>
      <c r="R44" s="22">
        <f t="shared" si="7"/>
        <v>0</v>
      </c>
      <c r="S44" s="22">
        <f t="shared" si="7"/>
        <v>0</v>
      </c>
      <c r="T44" s="22">
        <f t="shared" si="7"/>
        <v>0</v>
      </c>
      <c r="U44" s="22">
        <f t="shared" si="7"/>
        <v>0</v>
      </c>
      <c r="V44" s="22">
        <f t="shared" si="7"/>
        <v>0</v>
      </c>
      <c r="W44" s="22">
        <f t="shared" si="7"/>
        <v>0</v>
      </c>
      <c r="X44" s="22">
        <f t="shared" si="7"/>
        <v>0</v>
      </c>
      <c r="Y44" s="22">
        <f t="shared" si="7"/>
        <v>0</v>
      </c>
      <c r="Z44" s="22">
        <f t="shared" si="7"/>
        <v>0</v>
      </c>
      <c r="AA44" s="22">
        <f t="shared" si="7"/>
        <v>0</v>
      </c>
      <c r="AB44" s="22">
        <f t="shared" si="7"/>
        <v>0</v>
      </c>
      <c r="AC44" s="22">
        <f t="shared" si="7"/>
        <v>0</v>
      </c>
    </row>
    <row r="46" spans="1:29" x14ac:dyDescent="0.3">
      <c r="B46" s="14" t="s">
        <v>1399</v>
      </c>
    </row>
  </sheetData>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O168"/>
  <sheetViews>
    <sheetView zoomScale="90" zoomScaleNormal="90" workbookViewId="0">
      <pane xSplit="2" ySplit="5" topLeftCell="C6" activePane="bottomRight" state="frozen"/>
      <selection pane="topRight" activeCell="C1" sqref="C1"/>
      <selection pane="bottomLeft" activeCell="A6" sqref="A6"/>
      <selection pane="bottomRight"/>
    </sheetView>
  </sheetViews>
  <sheetFormatPr baseColWidth="10" defaultColWidth="8.5546875" defaultRowHeight="14.4" x14ac:dyDescent="0.3"/>
  <cols>
    <col min="1" max="1" width="6" customWidth="1"/>
    <col min="2" max="2" width="56" customWidth="1"/>
    <col min="3" max="3" width="16" customWidth="1"/>
    <col min="4" max="15" width="13" customWidth="1"/>
  </cols>
  <sheetData>
    <row r="1" spans="1:15" ht="16.8" x14ac:dyDescent="0.3">
      <c r="A1" s="13" t="s">
        <v>1400</v>
      </c>
    </row>
    <row r="2" spans="1:15" x14ac:dyDescent="0.3">
      <c r="A2" s="73" t="str">
        <f>"Escenario de proyección: "&amp;n_Escenario&amp;"   |   Último mes cerrado: "&amp;IF(Corte=0,"sin datos reales","mes "&amp;Corte)</f>
        <v>Escenario de proyección: Vigente   |   Último mes cerrado: sin datos reales</v>
      </c>
    </row>
    <row r="4" spans="1:15" x14ac:dyDescent="0.3">
      <c r="A4" s="15" t="s">
        <v>1401</v>
      </c>
      <c r="B4" s="16"/>
      <c r="C4" s="16"/>
      <c r="D4" s="16"/>
      <c r="E4" s="16"/>
      <c r="F4" s="16"/>
      <c r="G4" s="16"/>
      <c r="H4" s="16"/>
      <c r="I4" s="16"/>
      <c r="J4" s="16"/>
      <c r="K4" s="16"/>
      <c r="L4" s="16"/>
      <c r="M4" s="16"/>
      <c r="N4" s="16"/>
      <c r="O4" s="16"/>
    </row>
    <row r="5" spans="1:15" ht="30" customHeight="1" x14ac:dyDescent="0.3">
      <c r="A5" s="17"/>
      <c r="B5" s="17" t="s">
        <v>1402</v>
      </c>
      <c r="C5" s="17" t="s">
        <v>96</v>
      </c>
      <c r="D5" s="17" t="s">
        <v>1403</v>
      </c>
      <c r="E5" s="17" t="s">
        <v>1404</v>
      </c>
      <c r="F5" s="17" t="s">
        <v>106</v>
      </c>
    </row>
    <row r="6" spans="1:15" x14ac:dyDescent="0.3">
      <c r="B6" s="18" t="s">
        <v>1405</v>
      </c>
      <c r="C6" s="74">
        <f>SUMIFS(Calculo!$F$71:$ES$71,Calculo!$F$6:$ES$6,1)</f>
        <v>4849999.9999999991</v>
      </c>
      <c r="D6" s="75">
        <f>SUMIFS(Calculo!$F$227:$ES$227,Calculo!$F$6:$ES$6,1)</f>
        <v>4849999.9999999991</v>
      </c>
      <c r="E6" s="48">
        <f t="shared" ref="E6:E30" si="0">IF(AND(ISNUMBER(C6),ISNUMBER(D6)),D6-C6,"")</f>
        <v>0</v>
      </c>
      <c r="F6" s="14"/>
    </row>
    <row r="7" spans="1:15" x14ac:dyDescent="0.3">
      <c r="B7" s="18" t="s">
        <v>1406</v>
      </c>
      <c r="C7" s="74">
        <f>Calculo!$E$71</f>
        <v>81222447.721645534</v>
      </c>
      <c r="D7" s="75">
        <f>Calculo!$E$227</f>
        <v>81222447.721645534</v>
      </c>
      <c r="E7" s="48">
        <f t="shared" si="0"/>
        <v>0</v>
      </c>
      <c r="F7" s="14"/>
    </row>
    <row r="8" spans="1:15" x14ac:dyDescent="0.3">
      <c r="B8" s="18" t="s">
        <v>1407</v>
      </c>
      <c r="C8" s="74">
        <f>SUMIFS(Calculo!$F$102:$ES$102,Calculo!$F$6:$ES$6,1)</f>
        <v>509970.00570707704</v>
      </c>
      <c r="D8" s="75">
        <f>SUMIFS(Calculo!$F$258:$ES$258,Calculo!$F$6:$ES$6,1)</f>
        <v>509970.00570707704</v>
      </c>
      <c r="E8" s="48">
        <f t="shared" si="0"/>
        <v>0</v>
      </c>
      <c r="F8" s="14"/>
    </row>
    <row r="9" spans="1:15" x14ac:dyDescent="0.3">
      <c r="B9" s="18" t="s">
        <v>1408</v>
      </c>
      <c r="C9" s="74">
        <f>Calculo!$E$102</f>
        <v>16309504.01626103</v>
      </c>
      <c r="D9" s="75">
        <f>Calculo!$E$258</f>
        <v>16309504.016261032</v>
      </c>
      <c r="E9" s="48">
        <f t="shared" si="0"/>
        <v>1.862645149230957E-9</v>
      </c>
      <c r="F9" s="14"/>
    </row>
    <row r="10" spans="1:15" x14ac:dyDescent="0.3">
      <c r="B10" s="18" t="s">
        <v>1409</v>
      </c>
      <c r="C10" s="76">
        <f>IF(Calculo!$E$71=0,"",Calculo!$E$102/Calculo!$E$71)</f>
        <v>0.20080044955250217</v>
      </c>
      <c r="D10" s="77">
        <f>IF(Calculo!$E$227=0,"",Calculo!$E$258/Calculo!$E$227)</f>
        <v>0.2008004495525022</v>
      </c>
      <c r="E10" s="49">
        <f t="shared" si="0"/>
        <v>2.7755575615628914E-17</v>
      </c>
      <c r="F10" s="14"/>
    </row>
    <row r="11" spans="1:15" x14ac:dyDescent="0.3">
      <c r="B11" s="18" t="s">
        <v>1410</v>
      </c>
      <c r="C11" s="74">
        <f>Calculo!$E$107</f>
        <v>14751245.798036564</v>
      </c>
      <c r="D11" s="75">
        <f>Calculo!$E$263</f>
        <v>14751245.798036568</v>
      </c>
      <c r="E11" s="48">
        <f t="shared" si="0"/>
        <v>3.7252902984619141E-9</v>
      </c>
      <c r="F11" s="14"/>
    </row>
    <row r="12" spans="1:15" x14ac:dyDescent="0.3">
      <c r="B12" s="18" t="s">
        <v>1411</v>
      </c>
      <c r="C12" s="74">
        <f>Calculo!$E$117</f>
        <v>755044.08999999985</v>
      </c>
      <c r="D12" s="75">
        <f>Calculo!$E$273</f>
        <v>755044.08999999985</v>
      </c>
      <c r="E12" s="48">
        <f t="shared" si="0"/>
        <v>0</v>
      </c>
      <c r="F12" s="14" t="s">
        <v>1412</v>
      </c>
    </row>
    <row r="13" spans="1:15" x14ac:dyDescent="0.3">
      <c r="B13" s="18" t="s">
        <v>1413</v>
      </c>
      <c r="C13" s="74">
        <f>MAX(0,-MIN(Calculo!$F$121:$ES$121))</f>
        <v>3207787.0130536333</v>
      </c>
      <c r="D13" s="75">
        <f>MAX(0,-MIN(Calculo!$F$277:$ES$277))</f>
        <v>3207787.0130536333</v>
      </c>
      <c r="E13" s="48">
        <f t="shared" si="0"/>
        <v>0</v>
      </c>
      <c r="F13" s="14" t="s">
        <v>1414</v>
      </c>
    </row>
    <row r="14" spans="1:15" x14ac:dyDescent="0.3">
      <c r="B14" s="18" t="s">
        <v>1415</v>
      </c>
      <c r="C14" s="78">
        <f>IF(MIN(Calculo!$F$121:$ES$121)&gt;=0,"",MATCH(MIN(Calculo!$F$121:$ES$121),Calculo!$F$121:$ES$121,0))</f>
        <v>13</v>
      </c>
      <c r="D14" s="28">
        <f>IF(MIN(Calculo!$F$277:$ES$277)&gt;=0,"",MATCH(MIN(Calculo!$F$277:$ES$277),Calculo!$F$277:$ES$277,0))</f>
        <v>13</v>
      </c>
      <c r="E14" s="34">
        <f t="shared" si="0"/>
        <v>0</v>
      </c>
      <c r="F14" s="14"/>
    </row>
    <row r="15" spans="1:15" x14ac:dyDescent="0.3">
      <c r="B15" s="18" t="s">
        <v>1172</v>
      </c>
      <c r="C15" s="74">
        <f>Calculo!$E$138</f>
        <v>1139710</v>
      </c>
      <c r="D15" s="75">
        <f>Calculo!$E$294</f>
        <v>1139710</v>
      </c>
      <c r="E15" s="48">
        <f t="shared" si="0"/>
        <v>0</v>
      </c>
      <c r="F15" s="14"/>
    </row>
    <row r="16" spans="1:15" x14ac:dyDescent="0.3">
      <c r="B16" s="18" t="s">
        <v>1416</v>
      </c>
      <c r="C16" s="74">
        <f>Calculo!$E$157</f>
        <v>311740.11867261748</v>
      </c>
      <c r="D16" s="75">
        <f>Calculo!$E$313</f>
        <v>311740.11867261783</v>
      </c>
      <c r="E16" s="48">
        <f t="shared" si="0"/>
        <v>3.4924596548080444E-10</v>
      </c>
      <c r="F16" s="14" t="s">
        <v>1417</v>
      </c>
    </row>
    <row r="17" spans="2:6" x14ac:dyDescent="0.3">
      <c r="B17" s="18" t="s">
        <v>1418</v>
      </c>
      <c r="C17" s="74">
        <f>Calculo!$E$148</f>
        <v>2791587</v>
      </c>
      <c r="D17" s="75">
        <f>Calculo!$E$304</f>
        <v>2791587</v>
      </c>
      <c r="E17" s="48">
        <f t="shared" si="0"/>
        <v>0</v>
      </c>
      <c r="F17" s="14" t="s">
        <v>1419</v>
      </c>
    </row>
    <row r="18" spans="2:6" x14ac:dyDescent="0.3">
      <c r="B18" s="18" t="s">
        <v>1420</v>
      </c>
      <c r="C18" s="74">
        <f>Calculo!$E$145</f>
        <v>0</v>
      </c>
      <c r="D18" s="75">
        <f>Calculo!$E$301</f>
        <v>0</v>
      </c>
      <c r="E18" s="48">
        <f t="shared" si="0"/>
        <v>0</v>
      </c>
      <c r="F18" s="14" t="s">
        <v>1421</v>
      </c>
    </row>
    <row r="19" spans="2:6" x14ac:dyDescent="0.3">
      <c r="B19" s="18" t="s">
        <v>1422</v>
      </c>
      <c r="C19" s="74">
        <f>Calculo!$E$105</f>
        <v>813214.12822445377</v>
      </c>
      <c r="D19" s="75">
        <f>Calculo!$E$261</f>
        <v>813214.12822445377</v>
      </c>
      <c r="E19" s="48">
        <f t="shared" si="0"/>
        <v>0</v>
      </c>
      <c r="F19" s="14"/>
    </row>
    <row r="20" spans="2:6" x14ac:dyDescent="0.3">
      <c r="B20" s="18" t="s">
        <v>1423</v>
      </c>
      <c r="C20" s="79">
        <f>IF(MAX(Calculo!$F$148:$ES$148)&lt;1,"Sin deuda",IF(INDEX(Calculo!$F$148:$ES$148,1,MIN(144,Fin))&gt;1,"No cancela en el horizonte",(_xlfn.MAXIFS(Calculo!$F$4:$ES$4,Calculo!$F$148:$ES$148,"&gt;1")+1)/12))</f>
        <v>5</v>
      </c>
      <c r="D20" s="80">
        <f>IF(MAX(Calculo!$F$304:$ES$304)&lt;1,"Sin deuda",IF(INDEX(Calculo!$F$304:$ES$304,1,MIN(144,Fin))&gt;1,"No cancela en el horizonte",(_xlfn.MAXIFS(Calculo!$F$4:$ES$4,Calculo!$F$304:$ES$304,"&gt;1")+1)/12))</f>
        <v>5</v>
      </c>
      <c r="E20" s="50">
        <f t="shared" si="0"/>
        <v>0</v>
      </c>
      <c r="F20" s="14" t="s">
        <v>1424</v>
      </c>
    </row>
    <row r="21" spans="2:6" x14ac:dyDescent="0.3">
      <c r="B21" s="18" t="s">
        <v>1425</v>
      </c>
      <c r="C21" s="74">
        <f>MIN(Calculo!$F$154:$ES$154)</f>
        <v>-311740.11867261748</v>
      </c>
      <c r="D21" s="75">
        <f>MIN(Calculo!$F$310:$ES$310)</f>
        <v>-311740.11867261783</v>
      </c>
      <c r="E21" s="48">
        <f t="shared" si="0"/>
        <v>-3.4924596548080444E-10</v>
      </c>
      <c r="F21" s="14" t="s">
        <v>1426</v>
      </c>
    </row>
    <row r="22" spans="2:6" x14ac:dyDescent="0.3">
      <c r="B22" s="18" t="s">
        <v>1427</v>
      </c>
      <c r="C22" s="74">
        <f>Calculo!$E$156</f>
        <v>373700.71319316543</v>
      </c>
      <c r="D22" s="75">
        <f>Calculo!$E$312</f>
        <v>373700.71319316578</v>
      </c>
      <c r="E22" s="48">
        <f t="shared" si="0"/>
        <v>3.4924596548080444E-10</v>
      </c>
      <c r="F22" s="14" t="s">
        <v>1428</v>
      </c>
    </row>
    <row r="23" spans="2:6" x14ac:dyDescent="0.3">
      <c r="B23" s="18" t="s">
        <v>1429</v>
      </c>
      <c r="C23" s="78">
        <f>SUMPRODUCT(--(Calculo!$F$156:$ES$156&gt;0.5))</f>
        <v>12</v>
      </c>
      <c r="D23" s="28">
        <f>SUMPRODUCT(--(Calculo!$F$312:$ES$312&gt;0.5))</f>
        <v>12</v>
      </c>
      <c r="E23" s="34">
        <f t="shared" si="0"/>
        <v>0</v>
      </c>
      <c r="F23" s="14"/>
    </row>
    <row r="24" spans="2:6" x14ac:dyDescent="0.3">
      <c r="B24" s="18" t="s">
        <v>1430</v>
      </c>
      <c r="C24" s="81">
        <f>IF(COUNTIFS(D114:O114,"&gt;1",D69:O69,"&gt;="&amp;(ROUNDUP(P_Inicio/12,0)+1))=0,"Sin deuda",_xlfn.MINIFS(D115:O115,D114:O114,"&gt;1",D69:O69,"&gt;="&amp;(ROUNDUP(P_Inicio/12,0)+1)))</f>
        <v>0.39986394469506104</v>
      </c>
      <c r="D24" s="82">
        <f>IF(COUNTIFS(D67:O67,"&gt;1",D69:O69,"&gt;="&amp;(ROUNDUP(V_Inicio/12,0)+1))=0,"Sin deuda",_xlfn.MINIFS(D68:O68,D67:O67,"&gt;1",D69:O69,"&gt;="&amp;(ROUNDUP(V_Inicio/12,0)+1)))</f>
        <v>0.39986394469506104</v>
      </c>
      <c r="E24" s="83">
        <f t="shared" si="0"/>
        <v>0</v>
      </c>
      <c r="F24" s="14" t="s">
        <v>1431</v>
      </c>
    </row>
    <row r="25" spans="2:6" x14ac:dyDescent="0.3">
      <c r="B25" s="18" t="s">
        <v>1432</v>
      </c>
      <c r="C25" s="74">
        <f>SUMPRODUCT(Calculo!$F$120:$ES$120,Calculo!$F$159:$ES$159)</f>
        <v>6989921.7587111089</v>
      </c>
      <c r="D25" s="75">
        <f>SUMPRODUCT(Calculo!$F$276:$ES$276,Calculo!$F$315:$ES$315)</f>
        <v>6989921.7587111099</v>
      </c>
      <c r="E25" s="48">
        <f t="shared" si="0"/>
        <v>9.3132257461547852E-10</v>
      </c>
      <c r="F25" s="14" t="s">
        <v>1433</v>
      </c>
    </row>
    <row r="26" spans="2:6" x14ac:dyDescent="0.3">
      <c r="B26" s="18" t="s">
        <v>1434</v>
      </c>
      <c r="C26" s="84">
        <f>IF(COUNTIF(Calculo!$F$120:$ES$120,"&lt;0")=0,"No existe",IF(COUNTIF(Calculo!$F$120:$ES$120,"&gt;0")=0,"No existe",IFERROR((1+IRR(Calculo!$F$120:$ES$120,0.01))^12-1,IFERROR((1+IRR(Calculo!$F$120:$ES$120,-0.01))^12-1,"No converge"))))</f>
        <v>0.3492572697402474</v>
      </c>
      <c r="D26" s="85">
        <f>IF(COUNTIF(Calculo!$F$276:$ES$276,"&lt;0")=0,"No existe",IF(COUNTIF(Calculo!$F$276:$ES$276,"&gt;0")=0,"No existe",IFERROR((1+IRR(Calculo!$F$276:$ES$276,0.01))^12-1,IFERROR((1+IRR(Calculo!$F$276:$ES$276,-0.01))^12-1,"No converge"))))</f>
        <v>0.3492572697402434</v>
      </c>
      <c r="E26" s="47">
        <f t="shared" si="0"/>
        <v>-3.9968028886505635E-15</v>
      </c>
      <c r="F26" s="14"/>
    </row>
    <row r="27" spans="2:6" x14ac:dyDescent="0.3">
      <c r="B27" s="18" t="s">
        <v>1435</v>
      </c>
      <c r="C27" s="74">
        <f>SUMPRODUCT(Calculo!$F$161:$ES$161,Calculo!$F$160:$ES$160)</f>
        <v>3695678.0910463817</v>
      </c>
      <c r="D27" s="75">
        <f>SUMPRODUCT(Calculo!$F$317:$ES$317,Calculo!$F$316:$ES$316)</f>
        <v>3695678.0910463836</v>
      </c>
      <c r="E27" s="48">
        <f t="shared" si="0"/>
        <v>1.862645149230957E-9</v>
      </c>
      <c r="F27" s="14" t="s">
        <v>1436</v>
      </c>
    </row>
    <row r="28" spans="2:6" x14ac:dyDescent="0.3">
      <c r="B28" s="18" t="s">
        <v>1437</v>
      </c>
      <c r="C28" s="84">
        <f>IF(COUNTIF(Calculo!$F$161:$ES$161,"&lt;0")=0,"No existe",IF(COUNTIF(Calculo!$F$161:$ES$161,"&gt;0")=0,"No existe",IFERROR((1+IRR(Calculo!$F$161:$ES$161,0.01))^12-1,IFERROR((1+IRR(Calculo!$F$161:$ES$161,-0.01))^12-1,"No converge"))))</f>
        <v>0.43629717753983743</v>
      </c>
      <c r="D28" s="85">
        <f>IF(COUNTIF(Calculo!$F$317:$ES$317,"&lt;0")=0,"No existe",IF(COUNTIF(Calculo!$F$317:$ES$317,"&gt;0")=0,"No existe",IFERROR((1+IRR(Calculo!$F$317:$ES$317,0.01))^12-1,IFERROR((1+IRR(Calculo!$F$317:$ES$317,-0.01))^12-1,"No converge"))))</f>
        <v>0.43629717753983743</v>
      </c>
      <c r="E28" s="47">
        <f t="shared" si="0"/>
        <v>0</v>
      </c>
      <c r="F28" s="14"/>
    </row>
    <row r="29" spans="2:6" x14ac:dyDescent="0.3">
      <c r="B29" s="18" t="s">
        <v>1438</v>
      </c>
      <c r="C29" s="79">
        <f>IF(MAX(Calculo!$F$163:$ES$163)=0,"No recupera",MAX(Calculo!$F$163:$ES$163)/12)</f>
        <v>4.1276430057995741</v>
      </c>
      <c r="D29" s="80">
        <f>IF(MAX(Calculo!$F$319:$ES$319)=0,"No recupera",MAX(Calculo!$F$319:$ES$319)/12)</f>
        <v>4.1276430057995732</v>
      </c>
      <c r="E29" s="50">
        <f t="shared" si="0"/>
        <v>-8.8817841970012523E-16</v>
      </c>
      <c r="F29" s="14"/>
    </row>
    <row r="30" spans="2:6" x14ac:dyDescent="0.3">
      <c r="B30" s="18" t="s">
        <v>1439</v>
      </c>
      <c r="C30" s="79">
        <f>Calculo!$E$165</f>
        <v>0</v>
      </c>
      <c r="D30" s="80">
        <f>Calculo!$E$321</f>
        <v>0</v>
      </c>
      <c r="E30" s="50">
        <f t="shared" si="0"/>
        <v>0</v>
      </c>
      <c r="F30" s="14"/>
    </row>
    <row r="32" spans="2:6" x14ac:dyDescent="0.3">
      <c r="B32" s="14" t="s">
        <v>1440</v>
      </c>
      <c r="C32" s="48">
        <f>IF(pub_VAN="","",pub_VAN)</f>
        <v>4588736</v>
      </c>
      <c r="D32" s="47">
        <f>IF(pub_TIR="","",pub_TIR)</f>
        <v>0.2261</v>
      </c>
      <c r="F32" s="14" t="s">
        <v>1441</v>
      </c>
    </row>
    <row r="34" spans="1:15" x14ac:dyDescent="0.3">
      <c r="A34" s="15" t="s">
        <v>1442</v>
      </c>
      <c r="B34" s="16"/>
      <c r="C34" s="16"/>
      <c r="D34" s="16"/>
      <c r="E34" s="16"/>
      <c r="F34" s="16"/>
      <c r="G34" s="16"/>
      <c r="H34" s="16"/>
      <c r="I34" s="16"/>
      <c r="J34" s="16"/>
      <c r="K34" s="16"/>
      <c r="L34" s="16"/>
      <c r="M34" s="16"/>
      <c r="N34" s="16"/>
      <c r="O34" s="16"/>
    </row>
    <row r="35" spans="1:15" x14ac:dyDescent="0.3">
      <c r="A35" s="17"/>
      <c r="B35" s="17" t="s">
        <v>1443</v>
      </c>
      <c r="C35" s="17" t="s">
        <v>480</v>
      </c>
      <c r="D35" s="17" t="s">
        <v>383</v>
      </c>
      <c r="E35" s="17" t="s">
        <v>384</v>
      </c>
      <c r="F35" s="17" t="s">
        <v>385</v>
      </c>
      <c r="G35" s="17" t="s">
        <v>386</v>
      </c>
      <c r="H35" s="17" t="s">
        <v>387</v>
      </c>
      <c r="I35" s="17" t="s">
        <v>388</v>
      </c>
      <c r="J35" s="17" t="s">
        <v>389</v>
      </c>
      <c r="K35" s="17" t="s">
        <v>390</v>
      </c>
      <c r="L35" s="17" t="s">
        <v>391</v>
      </c>
      <c r="M35" s="17" t="s">
        <v>392</v>
      </c>
      <c r="N35" s="17" t="s">
        <v>1444</v>
      </c>
      <c r="O35" s="17" t="s">
        <v>1445</v>
      </c>
    </row>
    <row r="36" spans="1:15" x14ac:dyDescent="0.3">
      <c r="B36" s="14" t="s">
        <v>1446</v>
      </c>
      <c r="D36" s="86" t="str">
        <f>IF(Corte&gt;=12,"Real",IF(Corte&gt;0,"Real+Proy.","Proyección"))</f>
        <v>Proyección</v>
      </c>
      <c r="E36" s="86" t="str">
        <f>IF(Corte&gt;=24,"Real",IF(Corte&gt;12,"Real+Proy.","Proyección"))</f>
        <v>Proyección</v>
      </c>
      <c r="F36" s="86" t="str">
        <f>IF(Corte&gt;=36,"Real",IF(Corte&gt;24,"Real+Proy.","Proyección"))</f>
        <v>Proyección</v>
      </c>
      <c r="G36" s="86" t="str">
        <f>IF(Corte&gt;=48,"Real",IF(Corte&gt;36,"Real+Proy.","Proyección"))</f>
        <v>Proyección</v>
      </c>
      <c r="H36" s="86" t="str">
        <f>IF(Corte&gt;=60,"Real",IF(Corte&gt;48,"Real+Proy.","Proyección"))</f>
        <v>Proyección</v>
      </c>
      <c r="I36" s="86" t="str">
        <f>IF(Corte&gt;=72,"Real",IF(Corte&gt;60,"Real+Proy.","Proyección"))</f>
        <v>Proyección</v>
      </c>
      <c r="J36" s="86" t="str">
        <f>IF(Corte&gt;=84,"Real",IF(Corte&gt;72,"Real+Proy.","Proyección"))</f>
        <v>Proyección</v>
      </c>
      <c r="K36" s="86" t="str">
        <f>IF(Corte&gt;=96,"Real",IF(Corte&gt;84,"Real+Proy.","Proyección"))</f>
        <v>Proyección</v>
      </c>
      <c r="L36" s="86" t="str">
        <f>IF(Corte&gt;=108,"Real",IF(Corte&gt;96,"Real+Proy.","Proyección"))</f>
        <v>Proyección</v>
      </c>
      <c r="M36" s="86" t="str">
        <f>IF(Corte&gt;=120,"Real",IF(Corte&gt;108,"Real+Proy.","Proyección"))</f>
        <v>Proyección</v>
      </c>
      <c r="N36" s="86" t="str">
        <f>IF(Corte&gt;=132,"Real",IF(Corte&gt;120,"Real+Proy.","Proyección"))</f>
        <v>Proyección</v>
      </c>
      <c r="O36" s="86" t="str">
        <f>IF(Corte&gt;=144,"Real",IF(Corte&gt;132,"Real+Proy.","Proyección"))</f>
        <v>Proyección</v>
      </c>
    </row>
    <row r="37" spans="1:15" x14ac:dyDescent="0.3">
      <c r="B37" s="14" t="s">
        <v>1447</v>
      </c>
      <c r="D37" s="87" t="str">
        <f>IF(n_Fecha1="","",YEAR(EOMONTH(n_Fecha1,0)))</f>
        <v/>
      </c>
      <c r="E37" s="87" t="str">
        <f>IF(n_Fecha1="","",YEAR(EOMONTH(n_Fecha1,12)))</f>
        <v/>
      </c>
      <c r="F37" s="87" t="str">
        <f>IF(n_Fecha1="","",YEAR(EOMONTH(n_Fecha1,24)))</f>
        <v/>
      </c>
      <c r="G37" s="87" t="str">
        <f>IF(n_Fecha1="","",YEAR(EOMONTH(n_Fecha1,36)))</f>
        <v/>
      </c>
      <c r="H37" s="87" t="str">
        <f>IF(n_Fecha1="","",YEAR(EOMONTH(n_Fecha1,48)))</f>
        <v/>
      </c>
      <c r="I37" s="87" t="str">
        <f>IF(n_Fecha1="","",YEAR(EOMONTH(n_Fecha1,60)))</f>
        <v/>
      </c>
      <c r="J37" s="87" t="str">
        <f>IF(n_Fecha1="","",YEAR(EOMONTH(n_Fecha1,72)))</f>
        <v/>
      </c>
      <c r="K37" s="87" t="str">
        <f>IF(n_Fecha1="","",YEAR(EOMONTH(n_Fecha1,84)))</f>
        <v/>
      </c>
      <c r="L37" s="87" t="str">
        <f>IF(n_Fecha1="","",YEAR(EOMONTH(n_Fecha1,96)))</f>
        <v/>
      </c>
      <c r="M37" s="87" t="str">
        <f>IF(n_Fecha1="","",YEAR(EOMONTH(n_Fecha1,108)))</f>
        <v/>
      </c>
      <c r="N37" s="87" t="str">
        <f>IF(n_Fecha1="","",YEAR(EOMONTH(n_Fecha1,120)))</f>
        <v/>
      </c>
      <c r="O37" s="87" t="str">
        <f>IF(n_Fecha1="","",YEAR(EOMONTH(n_Fecha1,132)))</f>
        <v/>
      </c>
    </row>
    <row r="38" spans="1:15" x14ac:dyDescent="0.3">
      <c r="A38" s="14" t="s">
        <v>1448</v>
      </c>
      <c r="B38" s="68" t="s">
        <v>437</v>
      </c>
      <c r="C38" s="54">
        <f t="shared" ref="C38:C60" si="1">SUM(D38:O38)</f>
        <v>81222447.7216454</v>
      </c>
      <c r="D38" s="22">
        <f>SUMIFS(Calculo!$F$227:$ES$227,Calculo!$F$6:$ES$6,1)</f>
        <v>4849999.9999999991</v>
      </c>
      <c r="E38" s="22">
        <f>SUMIFS(Calculo!$F$227:$ES$227,Calculo!$F$6:$ES$6,2)</f>
        <v>6181200</v>
      </c>
      <c r="F38" s="22">
        <f>SUMIFS(Calculo!$F$227:$ES$227,Calculo!$F$6:$ES$6,3)</f>
        <v>7538538.9999999991</v>
      </c>
      <c r="G38" s="22">
        <f>SUMIFS(Calculo!$F$227:$ES$227,Calculo!$F$6:$ES$6,4)</f>
        <v>8685437.4299999978</v>
      </c>
      <c r="H38" s="22">
        <f>SUMIFS(Calculo!$F$227:$ES$227,Calculo!$F$6:$ES$6,5)</f>
        <v>8772291.8043000009</v>
      </c>
      <c r="I38" s="22">
        <f>SUMIFS(Calculo!$F$227:$ES$227,Calculo!$F$6:$ES$6,6)</f>
        <v>8860014.7223430015</v>
      </c>
      <c r="J38" s="22">
        <f>SUMIFS(Calculo!$F$227:$ES$227,Calculo!$F$6:$ES$6,7)</f>
        <v>8948614.8695664275</v>
      </c>
      <c r="K38" s="22">
        <f>SUMIFS(Calculo!$F$227:$ES$227,Calculo!$F$6:$ES$6,8)</f>
        <v>9038101.0182620939</v>
      </c>
      <c r="L38" s="22">
        <f>SUMIFS(Calculo!$F$227:$ES$227,Calculo!$F$6:$ES$6,9)</f>
        <v>9128482.028444713</v>
      </c>
      <c r="M38" s="22">
        <f>SUMIFS(Calculo!$F$227:$ES$227,Calculo!$F$6:$ES$6,10)</f>
        <v>9219766.8487291615</v>
      </c>
      <c r="N38" s="22">
        <f>SUMIFS(Calculo!$F$227:$ES$227,Calculo!$F$6:$ES$6,11)</f>
        <v>0</v>
      </c>
      <c r="O38" s="22">
        <f>SUMIFS(Calculo!$F$227:$ES$227,Calculo!$F$6:$ES$6,12)</f>
        <v>0</v>
      </c>
    </row>
    <row r="39" spans="1:15" x14ac:dyDescent="0.3">
      <c r="A39" s="14" t="s">
        <v>1449</v>
      </c>
      <c r="B39" s="18" t="s">
        <v>1090</v>
      </c>
      <c r="C39" s="54">
        <f t="shared" si="1"/>
        <v>39318093.383560009</v>
      </c>
      <c r="D39" s="48">
        <f>SUMIFS(Calculo!$F$249:$ES$249,Calculo!$F$6:$ES$6,1)</f>
        <v>2390070</v>
      </c>
      <c r="E39" s="48">
        <f>SUMIFS(Calculo!$F$249:$ES$249,Calculo!$F$6:$ES$6,2)</f>
        <v>3037306.5</v>
      </c>
      <c r="F39" s="48">
        <f>SUMIFS(Calculo!$F$249:$ES$249,Calculo!$F$6:$ES$6,3)</f>
        <v>3692696.28</v>
      </c>
      <c r="G39" s="48">
        <f>SUMIFS(Calculo!$F$249:$ES$249,Calculo!$F$6:$ES$6,4)</f>
        <v>4231505.5798500003</v>
      </c>
      <c r="H39" s="48">
        <f>SUMIFS(Calculo!$F$249:$ES$249,Calculo!$F$6:$ES$6,5)</f>
        <v>4258549.4356484991</v>
      </c>
      <c r="I39" s="48">
        <f>SUMIFS(Calculo!$F$249:$ES$249,Calculo!$F$6:$ES$6,6)</f>
        <v>4285863.7300049858</v>
      </c>
      <c r="J39" s="48">
        <f>SUMIFS(Calculo!$F$249:$ES$249,Calculo!$F$6:$ES$6,7)</f>
        <v>4313451.1673050346</v>
      </c>
      <c r="K39" s="48">
        <f>SUMIFS(Calculo!$F$249:$ES$249,Calculo!$F$6:$ES$6,8)</f>
        <v>4341314.4789780844</v>
      </c>
      <c r="L39" s="48">
        <f>SUMIFS(Calculo!$F$249:$ES$249,Calculo!$F$6:$ES$6,9)</f>
        <v>4369456.4237678656</v>
      </c>
      <c r="M39" s="48">
        <f>SUMIFS(Calculo!$F$249:$ES$249,Calculo!$F$6:$ES$6,10)</f>
        <v>4397879.7880055439</v>
      </c>
      <c r="N39" s="48">
        <f>SUMIFS(Calculo!$F$249:$ES$249,Calculo!$F$6:$ES$6,11)</f>
        <v>0</v>
      </c>
      <c r="O39" s="48">
        <f>SUMIFS(Calculo!$F$249:$ES$249,Calculo!$F$6:$ES$6,12)</f>
        <v>0</v>
      </c>
    </row>
    <row r="40" spans="1:15" x14ac:dyDescent="0.3">
      <c r="A40" s="14" t="s">
        <v>1450</v>
      </c>
      <c r="B40" s="18" t="s">
        <v>1092</v>
      </c>
      <c r="C40" s="54">
        <f t="shared" si="1"/>
        <v>10172052.527574562</v>
      </c>
      <c r="D40" s="48">
        <f>SUMIFS(Calculo!$F$250:$ES$250,Calculo!$F$6:$ES$6,1)</f>
        <v>635639.58305565466</v>
      </c>
      <c r="E40" s="48">
        <f>SUMIFS(Calculo!$F$250:$ES$250,Calculo!$F$6:$ES$6,2)</f>
        <v>802571.52204565483</v>
      </c>
      <c r="F40" s="48">
        <f>SUMIFS(Calculo!$F$250:$ES$250,Calculo!$F$6:$ES$6,3)</f>
        <v>970173.18137690669</v>
      </c>
      <c r="G40" s="48">
        <f>SUMIFS(Calculo!$F$250:$ES$250,Calculo!$F$6:$ES$6,4)</f>
        <v>1105264.9350894347</v>
      </c>
      <c r="H40" s="48">
        <f>SUMIFS(Calculo!$F$250:$ES$250,Calculo!$F$6:$ES$6,5)</f>
        <v>1106743.5081913841</v>
      </c>
      <c r="I40" s="48">
        <f>SUMIFS(Calculo!$F$250:$ES$250,Calculo!$F$6:$ES$6,6)</f>
        <v>1107923.8028836867</v>
      </c>
      <c r="J40" s="48">
        <f>SUMIFS(Calculo!$F$250:$ES$250,Calculo!$F$6:$ES$6,7)</f>
        <v>1109115.9005229117</v>
      </c>
      <c r="K40" s="48">
        <f>SUMIFS(Calculo!$F$250:$ES$250,Calculo!$F$6:$ES$6,8)</f>
        <v>1110319.9191385296</v>
      </c>
      <c r="L40" s="48">
        <f>SUMIFS(Calculo!$F$250:$ES$250,Calculo!$F$6:$ES$6,9)</f>
        <v>1111535.9779403035</v>
      </c>
      <c r="M40" s="48">
        <f>SUMIFS(Calculo!$F$250:$ES$250,Calculo!$F$6:$ES$6,10)</f>
        <v>1112764.1973300951</v>
      </c>
      <c r="N40" s="48">
        <f>SUMIFS(Calculo!$F$250:$ES$250,Calculo!$F$6:$ES$6,11)</f>
        <v>0</v>
      </c>
      <c r="O40" s="48">
        <f>SUMIFS(Calculo!$F$250:$ES$250,Calculo!$F$6:$ES$6,12)</f>
        <v>0</v>
      </c>
    </row>
    <row r="41" spans="1:15" x14ac:dyDescent="0.3">
      <c r="A41" s="14" t="s">
        <v>1451</v>
      </c>
      <c r="B41" s="18" t="s">
        <v>1094</v>
      </c>
      <c r="C41" s="54">
        <f t="shared" si="1"/>
        <v>6984448.3029332059</v>
      </c>
      <c r="D41" s="48">
        <f>SUMIFS(Calculo!$F$251:$ES$251,Calculo!$F$6:$ES$6,1)</f>
        <v>636656.64835364372</v>
      </c>
      <c r="E41" s="48">
        <f>SUMIFS(Calculo!$F$251:$ES$251,Calculo!$F$6:$ES$6,2)</f>
        <v>636656.64835364372</v>
      </c>
      <c r="F41" s="48">
        <f>SUMIFS(Calculo!$F$251:$ES$251,Calculo!$F$6:$ES$6,3)</f>
        <v>668401.66247884929</v>
      </c>
      <c r="G41" s="48">
        <f>SUMIFS(Calculo!$F$251:$ES$251,Calculo!$F$6:$ES$6,4)</f>
        <v>693822.09233161644</v>
      </c>
      <c r="H41" s="48">
        <f>SUMIFS(Calculo!$F$251:$ES$251,Calculo!$F$6:$ES$6,5)</f>
        <v>724818.54190257529</v>
      </c>
      <c r="I41" s="48">
        <f>SUMIFS(Calculo!$F$251:$ES$251,Calculo!$F$6:$ES$6,6)</f>
        <v>724818.54190257529</v>
      </c>
      <c r="J41" s="48">
        <f>SUMIFS(Calculo!$F$251:$ES$251,Calculo!$F$6:$ES$6,7)</f>
        <v>724818.54190257529</v>
      </c>
      <c r="K41" s="48">
        <f>SUMIFS(Calculo!$F$251:$ES$251,Calculo!$F$6:$ES$6,8)</f>
        <v>724818.54190257529</v>
      </c>
      <c r="L41" s="48">
        <f>SUMIFS(Calculo!$F$251:$ES$251,Calculo!$F$6:$ES$6,9)</f>
        <v>724818.54190257529</v>
      </c>
      <c r="M41" s="48">
        <f>SUMIFS(Calculo!$F$251:$ES$251,Calculo!$F$6:$ES$6,10)</f>
        <v>724818.54190257529</v>
      </c>
      <c r="N41" s="48">
        <f>SUMIFS(Calculo!$F$251:$ES$251,Calculo!$F$6:$ES$6,11)</f>
        <v>0</v>
      </c>
      <c r="O41" s="48">
        <f>SUMIFS(Calculo!$F$251:$ES$251,Calculo!$F$6:$ES$6,12)</f>
        <v>0</v>
      </c>
    </row>
    <row r="42" spans="1:15" x14ac:dyDescent="0.3">
      <c r="A42" s="14" t="s">
        <v>1452</v>
      </c>
      <c r="B42" s="18" t="s">
        <v>1096</v>
      </c>
      <c r="C42" s="54">
        <f t="shared" si="1"/>
        <v>3406933.0332413325</v>
      </c>
      <c r="D42" s="48">
        <f>SUMIFS(Calculo!$F$252:$ES$252,Calculo!$F$6:$ES$6,1)</f>
        <v>238476.13713210871</v>
      </c>
      <c r="E42" s="48">
        <f>SUMIFS(Calculo!$F$252:$ES$252,Calculo!$F$6:$ES$6,2)</f>
        <v>279808.42792160873</v>
      </c>
      <c r="F42" s="48">
        <f>SUMIFS(Calculo!$F$252:$ES$252,Calculo!$F$6:$ES$6,3)</f>
        <v>323181.59681123169</v>
      </c>
      <c r="G42" s="48">
        <f>SUMIFS(Calculo!$F$252:$ES$252,Calculo!$F$6:$ES$6,4)</f>
        <v>358796.74412313226</v>
      </c>
      <c r="H42" s="48">
        <f>SUMIFS(Calculo!$F$252:$ES$252,Calculo!$F$6:$ES$6,5)</f>
        <v>362434.74265066162</v>
      </c>
      <c r="I42" s="48">
        <f>SUMIFS(Calculo!$F$252:$ES$252,Calculo!$F$6:$ES$6,6)</f>
        <v>364534.76779913879</v>
      </c>
      <c r="J42" s="48">
        <f>SUMIFS(Calculo!$F$252:$ES$252,Calculo!$F$6:$ES$6,7)</f>
        <v>366662.54615606111</v>
      </c>
      <c r="K42" s="48">
        <f>SUMIFS(Calculo!$F$252:$ES$252,Calculo!$F$6:$ES$6,8)</f>
        <v>368818.49031265249</v>
      </c>
      <c r="L42" s="48">
        <f>SUMIFS(Calculo!$F$252:$ES$252,Calculo!$F$6:$ES$6,9)</f>
        <v>371003.01968723134</v>
      </c>
      <c r="M42" s="48">
        <f>SUMIFS(Calculo!$F$252:$ES$252,Calculo!$F$6:$ES$6,10)</f>
        <v>373216.56064750563</v>
      </c>
      <c r="N42" s="48">
        <f>SUMIFS(Calculo!$F$252:$ES$252,Calculo!$F$6:$ES$6,11)</f>
        <v>0</v>
      </c>
      <c r="O42" s="48">
        <f>SUMIFS(Calculo!$F$252:$ES$252,Calculo!$F$6:$ES$6,12)</f>
        <v>0</v>
      </c>
    </row>
    <row r="43" spans="1:15" x14ac:dyDescent="0.3">
      <c r="A43" s="14" t="s">
        <v>1453</v>
      </c>
      <c r="B43" s="68" t="s">
        <v>1454</v>
      </c>
      <c r="C43" s="54">
        <f t="shared" si="1"/>
        <v>21340920.474336285</v>
      </c>
      <c r="D43" s="22">
        <f>SUMIFS(Calculo!$F$253:$ES$253,Calculo!$F$6:$ES$6,1)</f>
        <v>949157.63145859179</v>
      </c>
      <c r="E43" s="22">
        <f>SUMIFS(Calculo!$F$253:$ES$253,Calculo!$F$6:$ES$6,2)</f>
        <v>1424856.9016790928</v>
      </c>
      <c r="F43" s="22">
        <f>SUMIFS(Calculo!$F$253:$ES$253,Calculo!$F$6:$ES$6,3)</f>
        <v>1884086.2793330124</v>
      </c>
      <c r="G43" s="22">
        <f>SUMIFS(Calculo!$F$253:$ES$253,Calculo!$F$6:$ES$6,4)</f>
        <v>2296048.0786058148</v>
      </c>
      <c r="H43" s="22">
        <f>SUMIFS(Calculo!$F$253:$ES$253,Calculo!$F$6:$ES$6,5)</f>
        <v>2319745.5759068807</v>
      </c>
      <c r="I43" s="22">
        <f>SUMIFS(Calculo!$F$253:$ES$253,Calculo!$F$6:$ES$6,6)</f>
        <v>2376873.879752615</v>
      </c>
      <c r="J43" s="22">
        <f>SUMIFS(Calculo!$F$253:$ES$253,Calculo!$F$6:$ES$6,7)</f>
        <v>2434566.7136798468</v>
      </c>
      <c r="K43" s="22">
        <f>SUMIFS(Calculo!$F$253:$ES$253,Calculo!$F$6:$ES$6,8)</f>
        <v>2492829.5879302504</v>
      </c>
      <c r="L43" s="22">
        <f>SUMIFS(Calculo!$F$253:$ES$253,Calculo!$F$6:$ES$6,9)</f>
        <v>2551668.0651467382</v>
      </c>
      <c r="M43" s="22">
        <f>SUMIFS(Calculo!$F$253:$ES$253,Calculo!$F$6:$ES$6,10)</f>
        <v>2611087.7608434414</v>
      </c>
      <c r="N43" s="22">
        <f>SUMIFS(Calculo!$F$253:$ES$253,Calculo!$F$6:$ES$6,11)</f>
        <v>0</v>
      </c>
      <c r="O43" s="22">
        <f>SUMIFS(Calculo!$F$253:$ES$253,Calculo!$F$6:$ES$6,12)</f>
        <v>0</v>
      </c>
    </row>
    <row r="44" spans="1:15" x14ac:dyDescent="0.3">
      <c r="A44" s="14" t="s">
        <v>1455</v>
      </c>
      <c r="B44" s="18" t="s">
        <v>1100</v>
      </c>
      <c r="C44" s="54">
        <f t="shared" si="1"/>
        <v>1075198.5262701369</v>
      </c>
      <c r="D44" s="48">
        <f>SUMIFS(Calculo!$F$254:$ES$254,Calculo!$F$6:$ES$6,1)</f>
        <v>107519.85262701369</v>
      </c>
      <c r="E44" s="48">
        <f>SUMIFS(Calculo!$F$254:$ES$254,Calculo!$F$6:$ES$6,2)</f>
        <v>107519.85262701369</v>
      </c>
      <c r="F44" s="48">
        <f>SUMIFS(Calculo!$F$254:$ES$254,Calculo!$F$6:$ES$6,3)</f>
        <v>107519.85262701369</v>
      </c>
      <c r="G44" s="48">
        <f>SUMIFS(Calculo!$F$254:$ES$254,Calculo!$F$6:$ES$6,4)</f>
        <v>107519.85262701369</v>
      </c>
      <c r="H44" s="48">
        <f>SUMIFS(Calculo!$F$254:$ES$254,Calculo!$F$6:$ES$6,5)</f>
        <v>107519.85262701369</v>
      </c>
      <c r="I44" s="48">
        <f>SUMIFS(Calculo!$F$254:$ES$254,Calculo!$F$6:$ES$6,6)</f>
        <v>107519.85262701369</v>
      </c>
      <c r="J44" s="48">
        <f>SUMIFS(Calculo!$F$254:$ES$254,Calculo!$F$6:$ES$6,7)</f>
        <v>107519.85262701369</v>
      </c>
      <c r="K44" s="48">
        <f>SUMIFS(Calculo!$F$254:$ES$254,Calculo!$F$6:$ES$6,8)</f>
        <v>107519.85262701369</v>
      </c>
      <c r="L44" s="48">
        <f>SUMIFS(Calculo!$F$254:$ES$254,Calculo!$F$6:$ES$6,9)</f>
        <v>107519.85262701369</v>
      </c>
      <c r="M44" s="48">
        <f>SUMIFS(Calculo!$F$254:$ES$254,Calculo!$F$6:$ES$6,10)</f>
        <v>107519.85262701369</v>
      </c>
      <c r="N44" s="48">
        <f>SUMIFS(Calculo!$F$254:$ES$254,Calculo!$F$6:$ES$6,11)</f>
        <v>0</v>
      </c>
      <c r="O44" s="48">
        <f>SUMIFS(Calculo!$F$254:$ES$254,Calculo!$F$6:$ES$6,12)</f>
        <v>0</v>
      </c>
    </row>
    <row r="45" spans="1:15" x14ac:dyDescent="0.3">
      <c r="A45" s="14" t="s">
        <v>1456</v>
      </c>
      <c r="B45" s="18" t="s">
        <v>1379</v>
      </c>
      <c r="C45" s="54">
        <f t="shared" si="1"/>
        <v>3143993.4545886703</v>
      </c>
      <c r="D45" s="48">
        <f>SUMIFS(Calculo!$F$255:$ES$255,Calculo!$F$6:$ES$6,1)</f>
        <v>283167.77312450128</v>
      </c>
      <c r="E45" s="48">
        <f>SUMIFS(Calculo!$F$255:$ES$255,Calculo!$F$6:$ES$6,2)</f>
        <v>289568.21312450146</v>
      </c>
      <c r="F45" s="48">
        <f>SUMIFS(Calculo!$F$255:$ES$255,Calculo!$F$6:$ES$6,3)</f>
        <v>296160.66632450133</v>
      </c>
      <c r="G45" s="48">
        <f>SUMIFS(Calculo!$F$255:$ES$255,Calculo!$F$6:$ES$6,4)</f>
        <v>302950.89312050142</v>
      </c>
      <c r="H45" s="48">
        <f>SUMIFS(Calculo!$F$255:$ES$255,Calculo!$F$6:$ES$6,5)</f>
        <v>309944.82672038133</v>
      </c>
      <c r="I45" s="48">
        <f>SUMIFS(Calculo!$F$255:$ES$255,Calculo!$F$6:$ES$6,6)</f>
        <v>317148.57832825766</v>
      </c>
      <c r="J45" s="48">
        <f>SUMIFS(Calculo!$F$255:$ES$255,Calculo!$F$6:$ES$6,7)</f>
        <v>324568.44248437043</v>
      </c>
      <c r="K45" s="48">
        <f>SUMIFS(Calculo!$F$255:$ES$255,Calculo!$F$6:$ES$6,8)</f>
        <v>332210.90256516653</v>
      </c>
      <c r="L45" s="48">
        <f>SUMIFS(Calculo!$F$255:$ES$255,Calculo!$F$6:$ES$6,9)</f>
        <v>340082.63644838636</v>
      </c>
      <c r="M45" s="48">
        <f>SUMIFS(Calculo!$F$255:$ES$255,Calculo!$F$6:$ES$6,10)</f>
        <v>348190.52234810311</v>
      </c>
      <c r="N45" s="48">
        <f>SUMIFS(Calculo!$F$255:$ES$255,Calculo!$F$6:$ES$6,11)</f>
        <v>0</v>
      </c>
      <c r="O45" s="48">
        <f>SUMIFS(Calculo!$F$255:$ES$255,Calculo!$F$6:$ES$6,12)</f>
        <v>0</v>
      </c>
    </row>
    <row r="46" spans="1:15" x14ac:dyDescent="0.3">
      <c r="A46" s="14" t="s">
        <v>1457</v>
      </c>
      <c r="B46" s="18" t="s">
        <v>943</v>
      </c>
      <c r="C46" s="54">
        <f t="shared" si="1"/>
        <v>812224.47721645411</v>
      </c>
      <c r="D46" s="48">
        <f>SUMIFS(Calculo!$F$256:$ES$256,Calculo!$F$6:$ES$6,1)</f>
        <v>48499.999999999993</v>
      </c>
      <c r="E46" s="48">
        <f>SUMIFS(Calculo!$F$256:$ES$256,Calculo!$F$6:$ES$6,2)</f>
        <v>61812</v>
      </c>
      <c r="F46" s="48">
        <f>SUMIFS(Calculo!$F$256:$ES$256,Calculo!$F$6:$ES$6,3)</f>
        <v>75385.390000000014</v>
      </c>
      <c r="G46" s="48">
        <f>SUMIFS(Calculo!$F$256:$ES$256,Calculo!$F$6:$ES$6,4)</f>
        <v>86854.374299999981</v>
      </c>
      <c r="H46" s="48">
        <f>SUMIFS(Calculo!$F$256:$ES$256,Calculo!$F$6:$ES$6,5)</f>
        <v>87722.918043000027</v>
      </c>
      <c r="I46" s="48">
        <f>SUMIFS(Calculo!$F$256:$ES$256,Calculo!$F$6:$ES$6,6)</f>
        <v>88600.147223430031</v>
      </c>
      <c r="J46" s="48">
        <f>SUMIFS(Calculo!$F$256:$ES$256,Calculo!$F$6:$ES$6,7)</f>
        <v>89486.148695664306</v>
      </c>
      <c r="K46" s="48">
        <f>SUMIFS(Calculo!$F$256:$ES$256,Calculo!$F$6:$ES$6,8)</f>
        <v>90381.010182620943</v>
      </c>
      <c r="L46" s="48">
        <f>SUMIFS(Calculo!$F$256:$ES$256,Calculo!$F$6:$ES$6,9)</f>
        <v>91284.820284447153</v>
      </c>
      <c r="M46" s="48">
        <f>SUMIFS(Calculo!$F$256:$ES$256,Calculo!$F$6:$ES$6,10)</f>
        <v>92197.668487291652</v>
      </c>
      <c r="N46" s="48">
        <f>SUMIFS(Calculo!$F$256:$ES$256,Calculo!$F$6:$ES$6,11)</f>
        <v>0</v>
      </c>
      <c r="O46" s="48">
        <f>SUMIFS(Calculo!$F$256:$ES$256,Calculo!$F$6:$ES$6,12)</f>
        <v>0</v>
      </c>
    </row>
    <row r="47" spans="1:15" x14ac:dyDescent="0.3">
      <c r="A47" s="14" t="s">
        <v>1458</v>
      </c>
      <c r="B47" s="18" t="s">
        <v>1459</v>
      </c>
      <c r="C47" s="54">
        <f t="shared" si="1"/>
        <v>0</v>
      </c>
      <c r="D47" s="48">
        <f>SUMIFS(Calculo!$F$257:$ES$257,Calculo!$F$6:$ES$6,1)</f>
        <v>0</v>
      </c>
      <c r="E47" s="48">
        <f>SUMIFS(Calculo!$F$257:$ES$257,Calculo!$F$6:$ES$6,2)</f>
        <v>0</v>
      </c>
      <c r="F47" s="48">
        <f>SUMIFS(Calculo!$F$257:$ES$257,Calculo!$F$6:$ES$6,3)</f>
        <v>0</v>
      </c>
      <c r="G47" s="48">
        <f>SUMIFS(Calculo!$F$257:$ES$257,Calculo!$F$6:$ES$6,4)</f>
        <v>0</v>
      </c>
      <c r="H47" s="48">
        <f>SUMIFS(Calculo!$F$257:$ES$257,Calculo!$F$6:$ES$6,5)</f>
        <v>0</v>
      </c>
      <c r="I47" s="48">
        <f>SUMIFS(Calculo!$F$257:$ES$257,Calculo!$F$6:$ES$6,6)</f>
        <v>0</v>
      </c>
      <c r="J47" s="48">
        <f>SUMIFS(Calculo!$F$257:$ES$257,Calculo!$F$6:$ES$6,7)</f>
        <v>0</v>
      </c>
      <c r="K47" s="48">
        <f>SUMIFS(Calculo!$F$257:$ES$257,Calculo!$F$6:$ES$6,8)</f>
        <v>0</v>
      </c>
      <c r="L47" s="48">
        <f>SUMIFS(Calculo!$F$257:$ES$257,Calculo!$F$6:$ES$6,9)</f>
        <v>0</v>
      </c>
      <c r="M47" s="48">
        <f>SUMIFS(Calculo!$F$257:$ES$257,Calculo!$F$6:$ES$6,10)</f>
        <v>0</v>
      </c>
      <c r="N47" s="48">
        <f>SUMIFS(Calculo!$F$257:$ES$257,Calculo!$F$6:$ES$6,11)</f>
        <v>0</v>
      </c>
      <c r="O47" s="48">
        <f>SUMIFS(Calculo!$F$257:$ES$257,Calculo!$F$6:$ES$6,12)</f>
        <v>0</v>
      </c>
    </row>
    <row r="48" spans="1:15" x14ac:dyDescent="0.3">
      <c r="A48" s="14" t="s">
        <v>1460</v>
      </c>
      <c r="B48" s="68" t="s">
        <v>440</v>
      </c>
      <c r="C48" s="54">
        <f t="shared" si="1"/>
        <v>16309504.016261021</v>
      </c>
      <c r="D48" s="22">
        <f>SUMIFS(Calculo!$F$258:$ES$258,Calculo!$F$6:$ES$6,1)</f>
        <v>509970.00570707704</v>
      </c>
      <c r="E48" s="22">
        <f>SUMIFS(Calculo!$F$258:$ES$258,Calculo!$F$6:$ES$6,2)</f>
        <v>965956.83592757722</v>
      </c>
      <c r="F48" s="22">
        <f>SUMIFS(Calculo!$F$258:$ES$258,Calculo!$F$6:$ES$6,3)</f>
        <v>1405020.3703814978</v>
      </c>
      <c r="G48" s="22">
        <f>SUMIFS(Calculo!$F$258:$ES$258,Calculo!$F$6:$ES$6,4)</f>
        <v>1798722.9585582998</v>
      </c>
      <c r="H48" s="22">
        <f>SUMIFS(Calculo!$F$258:$ES$258,Calculo!$F$6:$ES$6,5)</f>
        <v>1814557.9785164853</v>
      </c>
      <c r="I48" s="22">
        <f>SUMIFS(Calculo!$F$258:$ES$258,Calculo!$F$6:$ES$6,6)</f>
        <v>1863605.3015739138</v>
      </c>
      <c r="J48" s="22">
        <f>SUMIFS(Calculo!$F$258:$ES$258,Calculo!$F$6:$ES$6,7)</f>
        <v>1912992.2698727986</v>
      </c>
      <c r="K48" s="22">
        <f>SUMIFS(Calculo!$F$258:$ES$258,Calculo!$F$6:$ES$6,8)</f>
        <v>1962717.8225554496</v>
      </c>
      <c r="L48" s="22">
        <f>SUMIFS(Calculo!$F$258:$ES$258,Calculo!$F$6:$ES$6,9)</f>
        <v>2012780.7557868911</v>
      </c>
      <c r="M48" s="22">
        <f>SUMIFS(Calculo!$F$258:$ES$258,Calculo!$F$6:$ES$6,10)</f>
        <v>2063179.7173810329</v>
      </c>
      <c r="N48" s="22">
        <f>SUMIFS(Calculo!$F$258:$ES$258,Calculo!$F$6:$ES$6,11)</f>
        <v>0</v>
      </c>
      <c r="O48" s="22">
        <f>SUMIFS(Calculo!$F$258:$ES$258,Calculo!$F$6:$ES$6,12)</f>
        <v>0</v>
      </c>
    </row>
    <row r="49" spans="1:15" x14ac:dyDescent="0.3">
      <c r="A49" s="14" t="s">
        <v>1461</v>
      </c>
      <c r="B49" s="18" t="s">
        <v>1380</v>
      </c>
      <c r="C49" s="54">
        <f t="shared" si="1"/>
        <v>745044.08999999985</v>
      </c>
      <c r="D49" s="48">
        <f>SUMIFS(Calculo!$F$259:$ES$259,Calculo!$F$6:$ES$6,1)</f>
        <v>71592.209000000017</v>
      </c>
      <c r="E49" s="48">
        <f>SUMIFS(Calculo!$F$259:$ES$259,Calculo!$F$6:$ES$6,2)</f>
        <v>81592.208999999988</v>
      </c>
      <c r="F49" s="48">
        <f>SUMIFS(Calculo!$F$259:$ES$259,Calculo!$F$6:$ES$6,3)</f>
        <v>81592.208999999988</v>
      </c>
      <c r="G49" s="48">
        <f>SUMIFS(Calculo!$F$259:$ES$259,Calculo!$F$6:$ES$6,4)</f>
        <v>81592.208999999988</v>
      </c>
      <c r="H49" s="48">
        <f>SUMIFS(Calculo!$F$259:$ES$259,Calculo!$F$6:$ES$6,5)</f>
        <v>81592.208999999988</v>
      </c>
      <c r="I49" s="48">
        <f>SUMIFS(Calculo!$F$259:$ES$259,Calculo!$F$6:$ES$6,6)</f>
        <v>69416.608999999997</v>
      </c>
      <c r="J49" s="48">
        <f>SUMIFS(Calculo!$F$259:$ES$259,Calculo!$F$6:$ES$6,7)</f>
        <v>69416.608999999997</v>
      </c>
      <c r="K49" s="48">
        <f>SUMIFS(Calculo!$F$259:$ES$259,Calculo!$F$6:$ES$6,8)</f>
        <v>69416.608999999997</v>
      </c>
      <c r="L49" s="48">
        <f>SUMIFS(Calculo!$F$259:$ES$259,Calculo!$F$6:$ES$6,9)</f>
        <v>69416.608999999997</v>
      </c>
      <c r="M49" s="48">
        <f>SUMIFS(Calculo!$F$259:$ES$259,Calculo!$F$6:$ES$6,10)</f>
        <v>69416.608999999997</v>
      </c>
      <c r="N49" s="48">
        <f>SUMIFS(Calculo!$F$259:$ES$259,Calculo!$F$6:$ES$6,11)</f>
        <v>0</v>
      </c>
      <c r="O49" s="48">
        <f>SUMIFS(Calculo!$F$259:$ES$259,Calculo!$F$6:$ES$6,12)</f>
        <v>0</v>
      </c>
    </row>
    <row r="50" spans="1:15" x14ac:dyDescent="0.3">
      <c r="A50" s="14" t="s">
        <v>1462</v>
      </c>
      <c r="B50" s="18" t="s">
        <v>1112</v>
      </c>
      <c r="C50" s="54">
        <f t="shared" si="1"/>
        <v>813214.12822445354</v>
      </c>
      <c r="D50" s="48">
        <f>SUMIFS(Calculo!$F$261:$ES$261,Calculo!$F$6:$ES$6,1)</f>
        <v>271101.93243102555</v>
      </c>
      <c r="E50" s="48">
        <f>SUMIFS(Calculo!$F$261:$ES$261,Calculo!$F$6:$ES$6,2)</f>
        <v>226274.25412145205</v>
      </c>
      <c r="F50" s="48">
        <f>SUMIFS(Calculo!$F$261:$ES$261,Calculo!$F$6:$ES$6,3)</f>
        <v>169415.97294116725</v>
      </c>
      <c r="G50" s="48">
        <f>SUMIFS(Calculo!$F$261:$ES$261,Calculo!$F$6:$ES$6,4)</f>
        <v>107223.99279645558</v>
      </c>
      <c r="H50" s="48">
        <f>SUMIFS(Calculo!$F$261:$ES$261,Calculo!$F$6:$ES$6,5)</f>
        <v>39197.975934353104</v>
      </c>
      <c r="I50" s="48">
        <f>SUMIFS(Calculo!$F$261:$ES$261,Calculo!$F$6:$ES$6,6)</f>
        <v>0</v>
      </c>
      <c r="J50" s="48">
        <f>SUMIFS(Calculo!$F$261:$ES$261,Calculo!$F$6:$ES$6,7)</f>
        <v>0</v>
      </c>
      <c r="K50" s="48">
        <f>SUMIFS(Calculo!$F$261:$ES$261,Calculo!$F$6:$ES$6,8)</f>
        <v>0</v>
      </c>
      <c r="L50" s="48">
        <f>SUMIFS(Calculo!$F$261:$ES$261,Calculo!$F$6:$ES$6,9)</f>
        <v>0</v>
      </c>
      <c r="M50" s="48">
        <f>SUMIFS(Calculo!$F$261:$ES$261,Calculo!$F$6:$ES$6,10)</f>
        <v>0</v>
      </c>
      <c r="N50" s="48">
        <f>SUMIFS(Calculo!$F$261:$ES$261,Calculo!$F$6:$ES$6,11)</f>
        <v>0</v>
      </c>
      <c r="O50" s="48">
        <f>SUMIFS(Calculo!$F$261:$ES$261,Calculo!$F$6:$ES$6,12)</f>
        <v>0</v>
      </c>
    </row>
    <row r="51" spans="1:15" x14ac:dyDescent="0.3">
      <c r="A51" s="14" t="s">
        <v>1463</v>
      </c>
      <c r="B51" s="18" t="s">
        <v>1114</v>
      </c>
      <c r="C51" s="54">
        <f t="shared" si="1"/>
        <v>0</v>
      </c>
      <c r="D51" s="48">
        <f>SUMIFS(Calculo!$F$262:$ES$262,Calculo!$F$6:$ES$6,1)</f>
        <v>0</v>
      </c>
      <c r="E51" s="48">
        <f>SUMIFS(Calculo!$F$262:$ES$262,Calculo!$F$6:$ES$6,2)</f>
        <v>0</v>
      </c>
      <c r="F51" s="48">
        <f>SUMIFS(Calculo!$F$262:$ES$262,Calculo!$F$6:$ES$6,3)</f>
        <v>0</v>
      </c>
      <c r="G51" s="48">
        <f>SUMIFS(Calculo!$F$262:$ES$262,Calculo!$F$6:$ES$6,4)</f>
        <v>0</v>
      </c>
      <c r="H51" s="48">
        <f>SUMIFS(Calculo!$F$262:$ES$262,Calculo!$F$6:$ES$6,5)</f>
        <v>0</v>
      </c>
      <c r="I51" s="48">
        <f>SUMIFS(Calculo!$F$262:$ES$262,Calculo!$F$6:$ES$6,6)</f>
        <v>0</v>
      </c>
      <c r="J51" s="48">
        <f>SUMIFS(Calculo!$F$262:$ES$262,Calculo!$F$6:$ES$6,7)</f>
        <v>0</v>
      </c>
      <c r="K51" s="48">
        <f>SUMIFS(Calculo!$F$262:$ES$262,Calculo!$F$6:$ES$6,8)</f>
        <v>0</v>
      </c>
      <c r="L51" s="48">
        <f>SUMIFS(Calculo!$F$262:$ES$262,Calculo!$F$6:$ES$6,9)</f>
        <v>0</v>
      </c>
      <c r="M51" s="48">
        <f>SUMIFS(Calculo!$F$262:$ES$262,Calculo!$F$6:$ES$6,10)</f>
        <v>0</v>
      </c>
      <c r="N51" s="48">
        <f>SUMIFS(Calculo!$F$262:$ES$262,Calculo!$F$6:$ES$6,11)</f>
        <v>0</v>
      </c>
      <c r="O51" s="48">
        <f>SUMIFS(Calculo!$F$262:$ES$262,Calculo!$F$6:$ES$6,12)</f>
        <v>0</v>
      </c>
    </row>
    <row r="52" spans="1:15" x14ac:dyDescent="0.3">
      <c r="A52" s="14" t="s">
        <v>1464</v>
      </c>
      <c r="B52" s="68" t="s">
        <v>1381</v>
      </c>
      <c r="C52" s="54">
        <f t="shared" si="1"/>
        <v>14751245.798036568</v>
      </c>
      <c r="D52" s="22">
        <f>SUMIFS(Calculo!$F$263:$ES$263,Calculo!$F$6:$ES$6,1)</f>
        <v>167275.86427605138</v>
      </c>
      <c r="E52" s="22">
        <f>SUMIFS(Calculo!$F$263:$ES$263,Calculo!$F$6:$ES$6,2)</f>
        <v>658090.37280612544</v>
      </c>
      <c r="F52" s="22">
        <f>SUMIFS(Calculo!$F$263:$ES$263,Calculo!$F$6:$ES$6,3)</f>
        <v>1154012.1884403303</v>
      </c>
      <c r="G52" s="22">
        <f>SUMIFS(Calculo!$F$263:$ES$263,Calculo!$F$6:$ES$6,4)</f>
        <v>1609906.7567618443</v>
      </c>
      <c r="H52" s="22">
        <f>SUMIFS(Calculo!$F$263:$ES$263,Calculo!$F$6:$ES$6,5)</f>
        <v>1693767.7935821321</v>
      </c>
      <c r="I52" s="22">
        <f>SUMIFS(Calculo!$F$263:$ES$263,Calculo!$F$6:$ES$6,6)</f>
        <v>1794188.6925739141</v>
      </c>
      <c r="J52" s="22">
        <f>SUMIFS(Calculo!$F$263:$ES$263,Calculo!$F$6:$ES$6,7)</f>
        <v>1843575.6608727984</v>
      </c>
      <c r="K52" s="22">
        <f>SUMIFS(Calculo!$F$263:$ES$263,Calculo!$F$6:$ES$6,8)</f>
        <v>1893301.2135554496</v>
      </c>
      <c r="L52" s="22">
        <f>SUMIFS(Calculo!$F$263:$ES$263,Calculo!$F$6:$ES$6,9)</f>
        <v>1943364.14678689</v>
      </c>
      <c r="M52" s="22">
        <f>SUMIFS(Calculo!$F$263:$ES$263,Calculo!$F$6:$ES$6,10)</f>
        <v>1993763.1083810339</v>
      </c>
      <c r="N52" s="22">
        <f>SUMIFS(Calculo!$F$263:$ES$263,Calculo!$F$6:$ES$6,11)</f>
        <v>0</v>
      </c>
      <c r="O52" s="22">
        <f>SUMIFS(Calculo!$F$263:$ES$263,Calculo!$F$6:$ES$6,12)</f>
        <v>0</v>
      </c>
    </row>
    <row r="53" spans="1:15" x14ac:dyDescent="0.3">
      <c r="A53" s="14" t="s">
        <v>1465</v>
      </c>
      <c r="B53" s="68" t="s">
        <v>1382</v>
      </c>
      <c r="C53" s="54">
        <f t="shared" si="1"/>
        <v>11809741.498938743</v>
      </c>
      <c r="D53" s="22">
        <f>SUMIFS(Calculo!$F$272:$ES$272,Calculo!$F$6:$ES$6,1)</f>
        <v>-1878093.8816519543</v>
      </c>
      <c r="E53" s="22">
        <f>SUMIFS(Calculo!$F$272:$ES$272,Calculo!$F$6:$ES$6,2)</f>
        <v>310811.39153193327</v>
      </c>
      <c r="F53" s="22">
        <f>SUMIFS(Calculo!$F$272:$ES$272,Calculo!$F$6:$ES$6,3)</f>
        <v>737693.43974907428</v>
      </c>
      <c r="G53" s="22">
        <f>SUMIFS(Calculo!$F$272:$ES$272,Calculo!$F$6:$ES$6,4)</f>
        <v>1239913.8886249873</v>
      </c>
      <c r="H53" s="22">
        <f>SUMIFS(Calculo!$F$272:$ES$272,Calculo!$F$6:$ES$6,5)</f>
        <v>1776448.4308106254</v>
      </c>
      <c r="I53" s="22">
        <f>SUMIFS(Calculo!$F$272:$ES$272,Calculo!$F$6:$ES$6,6)</f>
        <v>1825880.4451053173</v>
      </c>
      <c r="J53" s="22">
        <f>SUMIFS(Calculo!$F$272:$ES$272,Calculo!$F$6:$ES$6,7)</f>
        <v>1874902.3766480172</v>
      </c>
      <c r="K53" s="22">
        <f>SUMIFS(Calculo!$F$272:$ES$272,Calculo!$F$6:$ES$6,8)</f>
        <v>1924259.6048609314</v>
      </c>
      <c r="L53" s="22">
        <f>SUMIFS(Calculo!$F$272:$ES$272,Calculo!$F$6:$ES$6,9)</f>
        <v>1973950.9038375551</v>
      </c>
      <c r="M53" s="22">
        <f>SUMIFS(Calculo!$F$272:$ES$272,Calculo!$F$6:$ES$6,10)</f>
        <v>2023974.8994222551</v>
      </c>
      <c r="N53" s="22">
        <f>SUMIFS(Calculo!$F$272:$ES$272,Calculo!$F$6:$ES$6,11)</f>
        <v>0</v>
      </c>
      <c r="O53" s="22">
        <f>SUMIFS(Calculo!$F$272:$ES$272,Calculo!$F$6:$ES$6,12)</f>
        <v>0</v>
      </c>
    </row>
    <row r="54" spans="1:15" x14ac:dyDescent="0.3">
      <c r="A54" s="14" t="s">
        <v>1466</v>
      </c>
      <c r="B54" s="18" t="s">
        <v>946</v>
      </c>
      <c r="C54" s="54">
        <f t="shared" si="1"/>
        <v>755044.08999999985</v>
      </c>
      <c r="D54" s="48">
        <f>SUMIFS(Calculo!$F$273:$ES$273,Calculo!$F$6:$ES$6,1)</f>
        <v>655044.08999999985</v>
      </c>
      <c r="E54" s="48">
        <f>SUMIFS(Calculo!$F$273:$ES$273,Calculo!$F$6:$ES$6,2)</f>
        <v>100000</v>
      </c>
      <c r="F54" s="48">
        <f>SUMIFS(Calculo!$F$273:$ES$273,Calculo!$F$6:$ES$6,3)</f>
        <v>0</v>
      </c>
      <c r="G54" s="48">
        <f>SUMIFS(Calculo!$F$273:$ES$273,Calculo!$F$6:$ES$6,4)</f>
        <v>0</v>
      </c>
      <c r="H54" s="48">
        <f>SUMIFS(Calculo!$F$273:$ES$273,Calculo!$F$6:$ES$6,5)</f>
        <v>0</v>
      </c>
      <c r="I54" s="48">
        <f>SUMIFS(Calculo!$F$273:$ES$273,Calculo!$F$6:$ES$6,6)</f>
        <v>0</v>
      </c>
      <c r="J54" s="48">
        <f>SUMIFS(Calculo!$F$273:$ES$273,Calculo!$F$6:$ES$6,7)</f>
        <v>0</v>
      </c>
      <c r="K54" s="48">
        <f>SUMIFS(Calculo!$F$273:$ES$273,Calculo!$F$6:$ES$6,8)</f>
        <v>0</v>
      </c>
      <c r="L54" s="48">
        <f>SUMIFS(Calculo!$F$273:$ES$273,Calculo!$F$6:$ES$6,9)</f>
        <v>0</v>
      </c>
      <c r="M54" s="48">
        <f>SUMIFS(Calculo!$F$273:$ES$273,Calculo!$F$6:$ES$6,10)</f>
        <v>0</v>
      </c>
      <c r="N54" s="48">
        <f>SUMIFS(Calculo!$F$273:$ES$273,Calculo!$F$6:$ES$6,11)</f>
        <v>0</v>
      </c>
      <c r="O54" s="48">
        <f>SUMIFS(Calculo!$F$273:$ES$273,Calculo!$F$6:$ES$6,12)</f>
        <v>0</v>
      </c>
    </row>
    <row r="55" spans="1:15" x14ac:dyDescent="0.3">
      <c r="A55" s="14" t="s">
        <v>1467</v>
      </c>
      <c r="B55" s="68" t="s">
        <v>1468</v>
      </c>
      <c r="C55" s="54">
        <f t="shared" si="1"/>
        <v>15564459.926261023</v>
      </c>
      <c r="D55" s="22">
        <f>SUMIFS(Calculo!$F$276:$ES$276,Calculo!$F$6:$ES$6,1)</f>
        <v>-2533137.9716519541</v>
      </c>
      <c r="E55" s="22">
        <f>SUMIFS(Calculo!$F$276:$ES$276,Calculo!$F$6:$ES$6,2)</f>
        <v>210811.39153193322</v>
      </c>
      <c r="F55" s="22">
        <f>SUMIFS(Calculo!$F$276:$ES$276,Calculo!$F$6:$ES$6,3)</f>
        <v>737693.43974907428</v>
      </c>
      <c r="G55" s="22">
        <f>SUMIFS(Calculo!$F$276:$ES$276,Calculo!$F$6:$ES$6,4)</f>
        <v>1239913.8886249873</v>
      </c>
      <c r="H55" s="22">
        <f>SUMIFS(Calculo!$F$276:$ES$276,Calculo!$F$6:$ES$6,5)</f>
        <v>1776448.4308106254</v>
      </c>
      <c r="I55" s="22">
        <f>SUMIFS(Calculo!$F$276:$ES$276,Calculo!$F$6:$ES$6,6)</f>
        <v>1825880.4451053173</v>
      </c>
      <c r="J55" s="22">
        <f>SUMIFS(Calculo!$F$276:$ES$276,Calculo!$F$6:$ES$6,7)</f>
        <v>1874902.3766480172</v>
      </c>
      <c r="K55" s="22">
        <f>SUMIFS(Calculo!$F$276:$ES$276,Calculo!$F$6:$ES$6,8)</f>
        <v>1924259.6048609314</v>
      </c>
      <c r="L55" s="22">
        <f>SUMIFS(Calculo!$F$276:$ES$276,Calculo!$F$6:$ES$6,9)</f>
        <v>1973950.9038375551</v>
      </c>
      <c r="M55" s="22">
        <f>SUMIFS(Calculo!$F$276:$ES$276,Calculo!$F$6:$ES$6,10)</f>
        <v>6533737.4167445358</v>
      </c>
      <c r="N55" s="22">
        <f>SUMIFS(Calculo!$F$276:$ES$276,Calculo!$F$6:$ES$6,11)</f>
        <v>0</v>
      </c>
      <c r="O55" s="22">
        <f>SUMIFS(Calculo!$F$276:$ES$276,Calculo!$F$6:$ES$6,12)</f>
        <v>0</v>
      </c>
    </row>
    <row r="56" spans="1:15" x14ac:dyDescent="0.3">
      <c r="A56" s="14" t="s">
        <v>1469</v>
      </c>
      <c r="B56" s="18" t="s">
        <v>1172</v>
      </c>
      <c r="C56" s="54">
        <f t="shared" si="1"/>
        <v>1139710</v>
      </c>
      <c r="D56" s="48">
        <f>SUMIFS(Calculo!$F$294:$ES$294,Calculo!$F$6:$ES$6,1)</f>
        <v>767782</v>
      </c>
      <c r="E56" s="48">
        <f>SUMIFS(Calculo!$F$294:$ES$294,Calculo!$F$6:$ES$6,2)</f>
        <v>371928</v>
      </c>
      <c r="F56" s="48">
        <f>SUMIFS(Calculo!$F$294:$ES$294,Calculo!$F$6:$ES$6,3)</f>
        <v>0</v>
      </c>
      <c r="G56" s="48">
        <f>SUMIFS(Calculo!$F$294:$ES$294,Calculo!$F$6:$ES$6,4)</f>
        <v>0</v>
      </c>
      <c r="H56" s="48">
        <f>SUMIFS(Calculo!$F$294:$ES$294,Calculo!$F$6:$ES$6,5)</f>
        <v>0</v>
      </c>
      <c r="I56" s="48">
        <f>SUMIFS(Calculo!$F$294:$ES$294,Calculo!$F$6:$ES$6,6)</f>
        <v>0</v>
      </c>
      <c r="J56" s="48">
        <f>SUMIFS(Calculo!$F$294:$ES$294,Calculo!$F$6:$ES$6,7)</f>
        <v>0</v>
      </c>
      <c r="K56" s="48">
        <f>SUMIFS(Calculo!$F$294:$ES$294,Calculo!$F$6:$ES$6,8)</f>
        <v>0</v>
      </c>
      <c r="L56" s="48">
        <f>SUMIFS(Calculo!$F$294:$ES$294,Calculo!$F$6:$ES$6,9)</f>
        <v>0</v>
      </c>
      <c r="M56" s="48">
        <f>SUMIFS(Calculo!$F$294:$ES$294,Calculo!$F$6:$ES$6,10)</f>
        <v>0</v>
      </c>
      <c r="N56" s="48">
        <f>SUMIFS(Calculo!$F$294:$ES$294,Calculo!$F$6:$ES$6,11)</f>
        <v>0</v>
      </c>
      <c r="O56" s="48">
        <f>SUMIFS(Calculo!$F$294:$ES$294,Calculo!$F$6:$ES$6,12)</f>
        <v>0</v>
      </c>
    </row>
    <row r="57" spans="1:15" x14ac:dyDescent="0.3">
      <c r="A57" s="14" t="s">
        <v>1470</v>
      </c>
      <c r="B57" s="18" t="s">
        <v>1168</v>
      </c>
      <c r="C57" s="54">
        <f t="shared" si="1"/>
        <v>2791587</v>
      </c>
      <c r="D57" s="48">
        <f>SUMIFS(Calculo!$F$302:$ES$302,Calculo!$F$6:$ES$6,1)</f>
        <v>2791587</v>
      </c>
      <c r="E57" s="48">
        <f>SUMIFS(Calculo!$F$302:$ES$302,Calculo!$F$6:$ES$6,2)</f>
        <v>0</v>
      </c>
      <c r="F57" s="48">
        <f>SUMIFS(Calculo!$F$302:$ES$302,Calculo!$F$6:$ES$6,3)</f>
        <v>0</v>
      </c>
      <c r="G57" s="48">
        <f>SUMIFS(Calculo!$F$302:$ES$302,Calculo!$F$6:$ES$6,4)</f>
        <v>0</v>
      </c>
      <c r="H57" s="48">
        <f>SUMIFS(Calculo!$F$302:$ES$302,Calculo!$F$6:$ES$6,5)</f>
        <v>0</v>
      </c>
      <c r="I57" s="48">
        <f>SUMIFS(Calculo!$F$302:$ES$302,Calculo!$F$6:$ES$6,6)</f>
        <v>0</v>
      </c>
      <c r="J57" s="48">
        <f>SUMIFS(Calculo!$F$302:$ES$302,Calculo!$F$6:$ES$6,7)</f>
        <v>0</v>
      </c>
      <c r="K57" s="48">
        <f>SUMIFS(Calculo!$F$302:$ES$302,Calculo!$F$6:$ES$6,8)</f>
        <v>0</v>
      </c>
      <c r="L57" s="48">
        <f>SUMIFS(Calculo!$F$302:$ES$302,Calculo!$F$6:$ES$6,9)</f>
        <v>0</v>
      </c>
      <c r="M57" s="48">
        <f>SUMIFS(Calculo!$F$302:$ES$302,Calculo!$F$6:$ES$6,10)</f>
        <v>0</v>
      </c>
      <c r="N57" s="48">
        <f>SUMIFS(Calculo!$F$302:$ES$302,Calculo!$F$6:$ES$6,11)</f>
        <v>0</v>
      </c>
      <c r="O57" s="48">
        <f>SUMIFS(Calculo!$F$302:$ES$302,Calculo!$F$6:$ES$6,12)</f>
        <v>0</v>
      </c>
    </row>
    <row r="58" spans="1:15" x14ac:dyDescent="0.3">
      <c r="A58" s="14" t="s">
        <v>1471</v>
      </c>
      <c r="B58" s="18" t="s">
        <v>1384</v>
      </c>
      <c r="C58" s="54">
        <f t="shared" si="1"/>
        <v>2791587.0000000014</v>
      </c>
      <c r="D58" s="48">
        <f>SUMIFS(Calculo!$F$303:$ES$303,Calculo!$F$6:$ES$6,1)</f>
        <v>257526.35235810335</v>
      </c>
      <c r="E58" s="48">
        <f>SUMIFS(Calculo!$F$303:$ES$303,Calculo!$F$6:$ES$6,2)</f>
        <v>551018.61175311485</v>
      </c>
      <c r="F58" s="48">
        <f>SUMIFS(Calculo!$F$303:$ES$303,Calculo!$F$6:$ES$6,3)</f>
        <v>602707.95828064648</v>
      </c>
      <c r="G58" s="48">
        <f>SUMIFS(Calculo!$F$303:$ES$303,Calculo!$F$6:$ES$6,4)</f>
        <v>659246.12204856623</v>
      </c>
      <c r="H58" s="48">
        <f>SUMIFS(Calculo!$F$303:$ES$303,Calculo!$F$6:$ES$6,5)</f>
        <v>721087.95555957023</v>
      </c>
      <c r="I58" s="48">
        <f>SUMIFS(Calculo!$F$303:$ES$303,Calculo!$F$6:$ES$6,6)</f>
        <v>0</v>
      </c>
      <c r="J58" s="48">
        <f>SUMIFS(Calculo!$F$303:$ES$303,Calculo!$F$6:$ES$6,7)</f>
        <v>0</v>
      </c>
      <c r="K58" s="48">
        <f>SUMIFS(Calculo!$F$303:$ES$303,Calculo!$F$6:$ES$6,8)</f>
        <v>0</v>
      </c>
      <c r="L58" s="48">
        <f>SUMIFS(Calculo!$F$303:$ES$303,Calculo!$F$6:$ES$6,9)</f>
        <v>0</v>
      </c>
      <c r="M58" s="48">
        <f>SUMIFS(Calculo!$F$303:$ES$303,Calculo!$F$6:$ES$6,10)</f>
        <v>0</v>
      </c>
      <c r="N58" s="48">
        <f>SUMIFS(Calculo!$F$303:$ES$303,Calculo!$F$6:$ES$6,11)</f>
        <v>0</v>
      </c>
      <c r="O58" s="48">
        <f>SUMIFS(Calculo!$F$303:$ES$303,Calculo!$F$6:$ES$6,12)</f>
        <v>0</v>
      </c>
    </row>
    <row r="59" spans="1:15" x14ac:dyDescent="0.3">
      <c r="A59" s="14" t="s">
        <v>1472</v>
      </c>
      <c r="B59" s="18" t="s">
        <v>1473</v>
      </c>
      <c r="C59" s="54">
        <f t="shared" si="1"/>
        <v>2791587.0000000014</v>
      </c>
      <c r="D59" s="48">
        <f>SUMIFS(Calculo!$F$293:$ES$293,Calculo!$F$6:$ES$6,1)</f>
        <v>257526.35235810335</v>
      </c>
      <c r="E59" s="48">
        <f>SUMIFS(Calculo!$F$293:$ES$293,Calculo!$F$6:$ES$6,2)</f>
        <v>551018.61175311485</v>
      </c>
      <c r="F59" s="48">
        <f>SUMIFS(Calculo!$F$293:$ES$293,Calculo!$F$6:$ES$6,3)</f>
        <v>602707.95828064648</v>
      </c>
      <c r="G59" s="48">
        <f>SUMIFS(Calculo!$F$293:$ES$293,Calculo!$F$6:$ES$6,4)</f>
        <v>659246.12204856623</v>
      </c>
      <c r="H59" s="48">
        <f>SUMIFS(Calculo!$F$293:$ES$293,Calculo!$F$6:$ES$6,5)</f>
        <v>721087.95555957023</v>
      </c>
      <c r="I59" s="48">
        <f>SUMIFS(Calculo!$F$293:$ES$293,Calculo!$F$6:$ES$6,6)</f>
        <v>0</v>
      </c>
      <c r="J59" s="48">
        <f>SUMIFS(Calculo!$F$293:$ES$293,Calculo!$F$6:$ES$6,7)</f>
        <v>0</v>
      </c>
      <c r="K59" s="48">
        <f>SUMIFS(Calculo!$F$293:$ES$293,Calculo!$F$6:$ES$6,8)</f>
        <v>0</v>
      </c>
      <c r="L59" s="48">
        <f>SUMIFS(Calculo!$F$293:$ES$293,Calculo!$F$6:$ES$6,9)</f>
        <v>0</v>
      </c>
      <c r="M59" s="48">
        <f>SUMIFS(Calculo!$F$293:$ES$293,Calculo!$F$6:$ES$6,10)</f>
        <v>0</v>
      </c>
      <c r="N59" s="48">
        <f>SUMIFS(Calculo!$F$293:$ES$293,Calculo!$F$6:$ES$6,11)</f>
        <v>0</v>
      </c>
      <c r="O59" s="48">
        <f>SUMIFS(Calculo!$F$293:$ES$293,Calculo!$F$6:$ES$6,12)</f>
        <v>0</v>
      </c>
    </row>
    <row r="60" spans="1:15" x14ac:dyDescent="0.3">
      <c r="A60" s="14" t="s">
        <v>1474</v>
      </c>
      <c r="B60" s="18" t="s">
        <v>956</v>
      </c>
      <c r="C60" s="54">
        <f t="shared" si="1"/>
        <v>9743309.6365381964</v>
      </c>
      <c r="D60" s="48">
        <f>SUMIFS(Calculo!$F$309:$ES$309,Calculo!$F$6:$ES$6,1)</f>
        <v>0</v>
      </c>
      <c r="E60" s="48">
        <f>SUMIFS(Calculo!$F$309:$ES$309,Calculo!$F$6:$ES$6,2)</f>
        <v>0</v>
      </c>
      <c r="F60" s="48">
        <f>SUMIFS(Calculo!$F$309:$ES$309,Calculo!$F$6:$ES$6,3)</f>
        <v>0</v>
      </c>
      <c r="G60" s="48">
        <f>SUMIFS(Calculo!$F$309:$ES$309,Calculo!$F$6:$ES$6,4)</f>
        <v>0</v>
      </c>
      <c r="H60" s="48">
        <f>SUMIFS(Calculo!$F$309:$ES$309,Calculo!$F$6:$ES$6,5)</f>
        <v>804953.37838092213</v>
      </c>
      <c r="I60" s="48">
        <f>SUMIFS(Calculo!$F$309:$ES$309,Calculo!$F$6:$ES$6,6)</f>
        <v>1463926.544368221</v>
      </c>
      <c r="J60" s="48">
        <f>SUMIFS(Calculo!$F$309:$ES$309,Calculo!$F$6:$ES$6,7)</f>
        <v>1794188.6925739141</v>
      </c>
      <c r="K60" s="48">
        <f>SUMIFS(Calculo!$F$309:$ES$309,Calculo!$F$6:$ES$6,8)</f>
        <v>1843575.6608727984</v>
      </c>
      <c r="L60" s="48">
        <f>SUMIFS(Calculo!$F$309:$ES$309,Calculo!$F$6:$ES$6,9)</f>
        <v>1893301.2135554496</v>
      </c>
      <c r="M60" s="48">
        <f>SUMIFS(Calculo!$F$309:$ES$309,Calculo!$F$6:$ES$6,10)</f>
        <v>1943364.14678689</v>
      </c>
      <c r="N60" s="48">
        <f>SUMIFS(Calculo!$F$309:$ES$309,Calculo!$F$6:$ES$6,11)</f>
        <v>0</v>
      </c>
      <c r="O60" s="48">
        <f>SUMIFS(Calculo!$F$309:$ES$309,Calculo!$F$6:$ES$6,12)</f>
        <v>0</v>
      </c>
    </row>
    <row r="61" spans="1:15" x14ac:dyDescent="0.3">
      <c r="A61" s="14" t="s">
        <v>1475</v>
      </c>
      <c r="B61" s="68" t="s">
        <v>1385</v>
      </c>
      <c r="C61" s="54">
        <f>INDEX(Calculo!$F$310:$ES$310,1,MIN(144,Fin))</f>
        <v>1637883.6441760943</v>
      </c>
      <c r="D61" s="22">
        <f>INDEX(Calculo!$F$310:$ES$310,1,MIN(144,12))</f>
        <v>497602.74355891842</v>
      </c>
      <c r="E61" s="22">
        <f>INDEX(Calculo!$F$310:$ES$310,1,MIN(144,24))</f>
        <v>303049.26921628485</v>
      </c>
      <c r="F61" s="22">
        <f>INDEX(Calculo!$F$310:$ES$310,1,MIN(144,36))</f>
        <v>268618.77774354542</v>
      </c>
      <c r="G61" s="22">
        <f>INDEX(Calculo!$F$310:$ES$310,1,MIN(144,48))</f>
        <v>742062.55152351083</v>
      </c>
      <c r="H61" s="22">
        <f>INDEX(Calculo!$F$310:$ES$310,1,MIN(144,60))</f>
        <v>953271.67245929094</v>
      </c>
      <c r="I61" s="22">
        <f>INDEX(Calculo!$F$310:$ES$310,1,MIN(144,72))</f>
        <v>1315225.5731963872</v>
      </c>
      <c r="J61" s="22">
        <f>INDEX(Calculo!$F$310:$ES$310,1,MIN(144,84))</f>
        <v>1395939.2572704903</v>
      </c>
      <c r="K61" s="22">
        <f>INDEX(Calculo!$F$310:$ES$310,1,MIN(144,96))</f>
        <v>1476623.2012586235</v>
      </c>
      <c r="L61" s="22">
        <f>INDEX(Calculo!$F$310:$ES$310,1,MIN(144,108))</f>
        <v>1557272.8915407294</v>
      </c>
      <c r="M61" s="22">
        <f>INDEX(Calculo!$F$310:$ES$310,1,MIN(144,120))</f>
        <v>1637883.6441760943</v>
      </c>
      <c r="N61" s="22">
        <f>INDEX(Calculo!$F$310:$ES$310,1,MIN(144,132))</f>
        <v>1637883.6441760943</v>
      </c>
      <c r="O61" s="22">
        <f>INDEX(Calculo!$F$310:$ES$310,1,MIN(144,144))</f>
        <v>1637883.6441760943</v>
      </c>
    </row>
    <row r="62" spans="1:15" x14ac:dyDescent="0.3">
      <c r="A62" s="14" t="s">
        <v>1476</v>
      </c>
      <c r="B62" s="18" t="s">
        <v>1386</v>
      </c>
      <c r="C62" s="54">
        <f>INDEX(Calculo!$F$304:$ES$304,1,MIN(144,Fin))</f>
        <v>0</v>
      </c>
      <c r="D62" s="48">
        <f>INDEX(Calculo!$F$304:$ES$304,1,MIN(144,12))</f>
        <v>2534060.6476418972</v>
      </c>
      <c r="E62" s="48">
        <f>INDEX(Calculo!$F$304:$ES$304,1,MIN(144,24))</f>
        <v>1983042.0358887829</v>
      </c>
      <c r="F62" s="48">
        <f>INDEX(Calculo!$F$304:$ES$304,1,MIN(144,36))</f>
        <v>1380334.0776081365</v>
      </c>
      <c r="G62" s="48">
        <f>INDEX(Calculo!$F$304:$ES$304,1,MIN(144,48))</f>
        <v>721087.95555957023</v>
      </c>
      <c r="H62" s="48">
        <f>INDEX(Calculo!$F$304:$ES$304,1,MIN(144,60))</f>
        <v>0</v>
      </c>
      <c r="I62" s="48">
        <f>INDEX(Calculo!$F$304:$ES$304,1,MIN(144,72))</f>
        <v>0</v>
      </c>
      <c r="J62" s="48">
        <f>INDEX(Calculo!$F$304:$ES$304,1,MIN(144,84))</f>
        <v>0</v>
      </c>
      <c r="K62" s="48">
        <f>INDEX(Calculo!$F$304:$ES$304,1,MIN(144,96))</f>
        <v>0</v>
      </c>
      <c r="L62" s="48">
        <f>INDEX(Calculo!$F$304:$ES$304,1,MIN(144,108))</f>
        <v>0</v>
      </c>
      <c r="M62" s="48">
        <f>INDEX(Calculo!$F$304:$ES$304,1,MIN(144,120))</f>
        <v>0</v>
      </c>
      <c r="N62" s="48">
        <f>INDEX(Calculo!$F$304:$ES$304,1,MIN(144,132))</f>
        <v>0</v>
      </c>
      <c r="O62" s="48">
        <f>INDEX(Calculo!$F$304:$ES$304,1,MIN(144,144))</f>
        <v>0</v>
      </c>
    </row>
    <row r="63" spans="1:15" x14ac:dyDescent="0.3">
      <c r="A63" s="14" t="s">
        <v>1477</v>
      </c>
      <c r="B63" s="18" t="s">
        <v>1478</v>
      </c>
      <c r="C63" s="54">
        <f>INDEX(Calculo!$F$301:$ES$301,1,MIN(144,Fin))</f>
        <v>0</v>
      </c>
      <c r="D63" s="48">
        <f>INDEX(Calculo!$F$301:$ES$301,1,MIN(144,12))</f>
        <v>0</v>
      </c>
      <c r="E63" s="48">
        <f>INDEX(Calculo!$F$301:$ES$301,1,MIN(144,24))</f>
        <v>0</v>
      </c>
      <c r="F63" s="48">
        <f>INDEX(Calculo!$F$301:$ES$301,1,MIN(144,36))</f>
        <v>0</v>
      </c>
      <c r="G63" s="48">
        <f>INDEX(Calculo!$F$301:$ES$301,1,MIN(144,48))</f>
        <v>0</v>
      </c>
      <c r="H63" s="48">
        <f>INDEX(Calculo!$F$301:$ES$301,1,MIN(144,60))</f>
        <v>0</v>
      </c>
      <c r="I63" s="48">
        <f>INDEX(Calculo!$F$301:$ES$301,1,MIN(144,72))</f>
        <v>0</v>
      </c>
      <c r="J63" s="48">
        <f>INDEX(Calculo!$F$301:$ES$301,1,MIN(144,84))</f>
        <v>0</v>
      </c>
      <c r="K63" s="48">
        <f>INDEX(Calculo!$F$301:$ES$301,1,MIN(144,96))</f>
        <v>0</v>
      </c>
      <c r="L63" s="48">
        <f>INDEX(Calculo!$F$301:$ES$301,1,MIN(144,108))</f>
        <v>0</v>
      </c>
      <c r="M63" s="48">
        <f>INDEX(Calculo!$F$301:$ES$301,1,MIN(144,120))</f>
        <v>0</v>
      </c>
      <c r="N63" s="48">
        <f>INDEX(Calculo!$F$301:$ES$301,1,MIN(144,132))</f>
        <v>0</v>
      </c>
      <c r="O63" s="48">
        <f>INDEX(Calculo!$F$301:$ES$301,1,MIN(144,144))</f>
        <v>0</v>
      </c>
    </row>
    <row r="64" spans="1:15" x14ac:dyDescent="0.3">
      <c r="A64" s="14" t="s">
        <v>1479</v>
      </c>
      <c r="B64" s="18" t="s">
        <v>1480</v>
      </c>
      <c r="C64" s="54">
        <f>INDEX(Calculo!$F$269:$ES$269,1,MIN(144,Fin))</f>
        <v>4499762.5173222795</v>
      </c>
      <c r="D64" s="48">
        <f>INDEX(Calculo!$F$269:$ES$269,1,MIN(144,12))</f>
        <v>2388063.8873590301</v>
      </c>
      <c r="E64" s="48">
        <f>INDEX(Calculo!$F$269:$ES$269,1,MIN(144,24))</f>
        <v>3043209.3317546742</v>
      </c>
      <c r="F64" s="48">
        <f>INDEX(Calculo!$F$269:$ES$269,1,MIN(144,36))</f>
        <v>3710536.2623870973</v>
      </c>
      <c r="G64" s="48">
        <f>INDEX(Calculo!$F$269:$ES$269,1,MIN(144,48))</f>
        <v>4269345.3323204098</v>
      </c>
      <c r="H64" s="48">
        <f>INDEX(Calculo!$F$269:$ES$269,1,MIN(144,60))</f>
        <v>4307454.8800262697</v>
      </c>
      <c r="I64" s="48">
        <f>INDEX(Calculo!$F$269:$ES$269,1,MIN(144,72))</f>
        <v>4345179.7364948662</v>
      </c>
      <c r="J64" s="48">
        <f>INDEX(Calculo!$F$269:$ES$269,1,MIN(144,84))</f>
        <v>4383269.6297196476</v>
      </c>
      <c r="K64" s="48">
        <f>INDEX(Calculo!$F$269:$ES$269,1,MIN(144,96))</f>
        <v>4421727.8474141657</v>
      </c>
      <c r="L64" s="48">
        <f>INDEX(Calculo!$F$269:$ES$269,1,MIN(144,108))</f>
        <v>4460557.6993635017</v>
      </c>
      <c r="M64" s="48">
        <f>INDEX(Calculo!$F$269:$ES$269,1,MIN(144,120))</f>
        <v>4499762.5173222795</v>
      </c>
      <c r="N64" s="48">
        <f>INDEX(Calculo!$F$269:$ES$269,1,MIN(144,132))</f>
        <v>4499762.5173222795</v>
      </c>
      <c r="O64" s="48">
        <f>INDEX(Calculo!$F$269:$ES$269,1,MIN(144,144))</f>
        <v>4499762.5173222795</v>
      </c>
    </row>
    <row r="65" spans="1:15" x14ac:dyDescent="0.3">
      <c r="A65" s="14" t="s">
        <v>1481</v>
      </c>
      <c r="B65" s="18" t="s">
        <v>1482</v>
      </c>
      <c r="C65" s="54">
        <f>MAX(D65:O65)</f>
        <v>373700.71319316578</v>
      </c>
      <c r="D65" s="48">
        <f>_xlfn.MAXIFS(Calculo!$F$312:$ES$312,Calculo!$F$6:$ES$6,1)</f>
        <v>0</v>
      </c>
      <c r="E65" s="48">
        <f>_xlfn.MAXIFS(Calculo!$F$312:$ES$312,Calculo!$F$6:$ES$6,2)</f>
        <v>0</v>
      </c>
      <c r="F65" s="48">
        <f>_xlfn.MAXIFS(Calculo!$F$312:$ES$312,Calculo!$F$6:$ES$6,3)</f>
        <v>373700.71319316578</v>
      </c>
      <c r="G65" s="48">
        <f>_xlfn.MAXIFS(Calculo!$F$312:$ES$312,Calculo!$F$6:$ES$6,4)</f>
        <v>275779.3264217067</v>
      </c>
      <c r="H65" s="48">
        <f>_xlfn.MAXIFS(Calculo!$F$312:$ES$312,Calculo!$F$6:$ES$6,5)</f>
        <v>0</v>
      </c>
      <c r="I65" s="48">
        <f>_xlfn.MAXIFS(Calculo!$F$312:$ES$312,Calculo!$F$6:$ES$6,6)</f>
        <v>0</v>
      </c>
      <c r="J65" s="48">
        <f>_xlfn.MAXIFS(Calculo!$F$312:$ES$312,Calculo!$F$6:$ES$6,7)</f>
        <v>0</v>
      </c>
      <c r="K65" s="48">
        <f>_xlfn.MAXIFS(Calculo!$F$312:$ES$312,Calculo!$F$6:$ES$6,8)</f>
        <v>0</v>
      </c>
      <c r="L65" s="48">
        <f>_xlfn.MAXIFS(Calculo!$F$312:$ES$312,Calculo!$F$6:$ES$6,9)</f>
        <v>0</v>
      </c>
      <c r="M65" s="48">
        <f>_xlfn.MAXIFS(Calculo!$F$312:$ES$312,Calculo!$F$6:$ES$6,10)</f>
        <v>0</v>
      </c>
      <c r="N65" s="48">
        <f>_xlfn.MAXIFS(Calculo!$F$312:$ES$312,Calculo!$F$6:$ES$6,11)</f>
        <v>0</v>
      </c>
      <c r="O65" s="48">
        <f>_xlfn.MAXIFS(Calculo!$F$312:$ES$312,Calculo!$F$6:$ES$6,12)</f>
        <v>0</v>
      </c>
    </row>
    <row r="66" spans="1:15" x14ac:dyDescent="0.3">
      <c r="A66" s="14" t="s">
        <v>1483</v>
      </c>
      <c r="B66" s="18" t="s">
        <v>1389</v>
      </c>
      <c r="D66" s="49">
        <f t="shared" ref="D66:O66" si="2">IF(D38=0,"",D48/D38)</f>
        <v>0.10514845478496436</v>
      </c>
      <c r="E66" s="49">
        <f t="shared" si="2"/>
        <v>0.15627335079395219</v>
      </c>
      <c r="F66" s="49">
        <f t="shared" si="2"/>
        <v>0.1863783380813574</v>
      </c>
      <c r="G66" s="49">
        <f t="shared" si="2"/>
        <v>0.20709641547188029</v>
      </c>
      <c r="H66" s="49">
        <f t="shared" si="2"/>
        <v>0.20685107369855452</v>
      </c>
      <c r="I66" s="49">
        <f t="shared" si="2"/>
        <v>0.21033884931074803</v>
      </c>
      <c r="J66" s="49">
        <f t="shared" si="2"/>
        <v>0.21377523759333333</v>
      </c>
      <c r="K66" s="49">
        <f t="shared" si="2"/>
        <v>0.2171604210430538</v>
      </c>
      <c r="L66" s="49">
        <f t="shared" si="2"/>
        <v>0.22049457396256972</v>
      </c>
      <c r="M66" s="49">
        <f t="shared" si="2"/>
        <v>0.22377786241583955</v>
      </c>
      <c r="N66" s="49" t="str">
        <f t="shared" si="2"/>
        <v/>
      </c>
      <c r="O66" s="49" t="str">
        <f t="shared" si="2"/>
        <v/>
      </c>
    </row>
    <row r="67" spans="1:15" x14ac:dyDescent="0.3">
      <c r="A67" s="14" t="s">
        <v>1484</v>
      </c>
      <c r="B67" s="18" t="s">
        <v>1485</v>
      </c>
      <c r="D67" s="48">
        <f t="shared" ref="D67:O67" si="3">D50+D59</f>
        <v>528628.28478912893</v>
      </c>
      <c r="E67" s="48">
        <f t="shared" si="3"/>
        <v>777292.86587456684</v>
      </c>
      <c r="F67" s="48">
        <f t="shared" si="3"/>
        <v>772123.93122181366</v>
      </c>
      <c r="G67" s="48">
        <f t="shared" si="3"/>
        <v>766470.11484502186</v>
      </c>
      <c r="H67" s="48">
        <f t="shared" si="3"/>
        <v>760285.9314939233</v>
      </c>
      <c r="I67" s="48">
        <f t="shared" si="3"/>
        <v>0</v>
      </c>
      <c r="J67" s="48">
        <f t="shared" si="3"/>
        <v>0</v>
      </c>
      <c r="K67" s="48">
        <f t="shared" si="3"/>
        <v>0</v>
      </c>
      <c r="L67" s="48">
        <f t="shared" si="3"/>
        <v>0</v>
      </c>
      <c r="M67" s="48">
        <f t="shared" si="3"/>
        <v>0</v>
      </c>
      <c r="N67" s="48">
        <f t="shared" si="3"/>
        <v>0</v>
      </c>
      <c r="O67" s="48">
        <f t="shared" si="3"/>
        <v>0</v>
      </c>
    </row>
    <row r="68" spans="1:15" x14ac:dyDescent="0.3">
      <c r="A68" s="14" t="s">
        <v>1486</v>
      </c>
      <c r="B68" s="18" t="s">
        <v>1487</v>
      </c>
      <c r="D68" s="83">
        <f t="shared" ref="D68:O68" si="4">IF(D67&gt;1,D53/D67,"")</f>
        <v>-3.552768430469305</v>
      </c>
      <c r="E68" s="83">
        <f t="shared" si="4"/>
        <v>0.39986394469506104</v>
      </c>
      <c r="F68" s="83">
        <f t="shared" si="4"/>
        <v>0.95540807624204016</v>
      </c>
      <c r="G68" s="83">
        <f t="shared" si="4"/>
        <v>1.6176937164415008</v>
      </c>
      <c r="H68" s="83">
        <f t="shared" si="4"/>
        <v>2.3365530746044376</v>
      </c>
      <c r="I68" s="83" t="str">
        <f t="shared" si="4"/>
        <v/>
      </c>
      <c r="J68" s="83" t="str">
        <f t="shared" si="4"/>
        <v/>
      </c>
      <c r="K68" s="83" t="str">
        <f t="shared" si="4"/>
        <v/>
      </c>
      <c r="L68" s="83" t="str">
        <f t="shared" si="4"/>
        <v/>
      </c>
      <c r="M68" s="83" t="str">
        <f t="shared" si="4"/>
        <v/>
      </c>
      <c r="N68" s="83" t="str">
        <f t="shared" si="4"/>
        <v/>
      </c>
      <c r="O68" s="83" t="str">
        <f t="shared" si="4"/>
        <v/>
      </c>
    </row>
    <row r="69" spans="1:15" x14ac:dyDescent="0.3">
      <c r="A69" s="14" t="s">
        <v>1488</v>
      </c>
      <c r="B69" s="18" t="s">
        <v>1489</v>
      </c>
      <c r="D69" s="34">
        <f>1</f>
        <v>1</v>
      </c>
      <c r="E69" s="34">
        <f>2</f>
        <v>2</v>
      </c>
      <c r="F69" s="34">
        <f>3</f>
        <v>3</v>
      </c>
      <c r="G69" s="34">
        <f>4</f>
        <v>4</v>
      </c>
      <c r="H69" s="34">
        <f>5</f>
        <v>5</v>
      </c>
      <c r="I69" s="34">
        <f>6</f>
        <v>6</v>
      </c>
      <c r="J69" s="34">
        <f>7</f>
        <v>7</v>
      </c>
      <c r="K69" s="34">
        <f>8</f>
        <v>8</v>
      </c>
      <c r="L69" s="34">
        <f>9</f>
        <v>9</v>
      </c>
      <c r="M69" s="34">
        <f>10</f>
        <v>10</v>
      </c>
      <c r="N69" s="34">
        <f>11</f>
        <v>11</v>
      </c>
      <c r="O69" s="34">
        <f>12</f>
        <v>12</v>
      </c>
    </row>
    <row r="70" spans="1:15" x14ac:dyDescent="0.3">
      <c r="B70" s="23" t="s">
        <v>220</v>
      </c>
    </row>
    <row r="71" spans="1:15" x14ac:dyDescent="0.3">
      <c r="A71" s="14" t="s">
        <v>1490</v>
      </c>
      <c r="B71" s="18" t="str">
        <f>IF(INDEX(Prod_Nombre,1)="","Producto 1",INDEX(Prod_Nombre,1))</f>
        <v>Gabinetes metálicos 153 kg</v>
      </c>
      <c r="C71" s="54">
        <f t="shared" ref="C71:C95" si="5">SUM(D71:O71)</f>
        <v>192000</v>
      </c>
      <c r="D71" s="48">
        <f>SUMIFS(Calculo!$F$177:$ES$177,Calculo!$F$6:$ES$6,1)</f>
        <v>12000</v>
      </c>
      <c r="E71" s="48">
        <f>SUMIFS(Calculo!$F$177:$ES$177,Calculo!$F$6:$ES$6,2)</f>
        <v>15000</v>
      </c>
      <c r="F71" s="48">
        <f>SUMIFS(Calculo!$F$177:$ES$177,Calculo!$F$6:$ES$6,3)</f>
        <v>18000</v>
      </c>
      <c r="G71" s="48">
        <f>SUMIFS(Calculo!$F$177:$ES$177,Calculo!$F$6:$ES$6,4)</f>
        <v>21000</v>
      </c>
      <c r="H71" s="48">
        <f>SUMIFS(Calculo!$F$177:$ES$177,Calculo!$F$6:$ES$6,5)</f>
        <v>21000</v>
      </c>
      <c r="I71" s="48">
        <f>SUMIFS(Calculo!$F$177:$ES$177,Calculo!$F$6:$ES$6,6)</f>
        <v>21000</v>
      </c>
      <c r="J71" s="48">
        <f>SUMIFS(Calculo!$F$177:$ES$177,Calculo!$F$6:$ES$6,7)</f>
        <v>21000</v>
      </c>
      <c r="K71" s="48">
        <f>SUMIFS(Calculo!$F$177:$ES$177,Calculo!$F$6:$ES$6,8)</f>
        <v>21000</v>
      </c>
      <c r="L71" s="48">
        <f>SUMIFS(Calculo!$F$177:$ES$177,Calculo!$F$6:$ES$6,9)</f>
        <v>21000</v>
      </c>
      <c r="M71" s="48">
        <f>SUMIFS(Calculo!$F$177:$ES$177,Calculo!$F$6:$ES$6,10)</f>
        <v>21000</v>
      </c>
      <c r="N71" s="48">
        <f>SUMIFS(Calculo!$F$177:$ES$177,Calculo!$F$6:$ES$6,11)</f>
        <v>0</v>
      </c>
      <c r="O71" s="48">
        <f>SUMIFS(Calculo!$F$177:$ES$177,Calculo!$F$6:$ES$6,12)</f>
        <v>0</v>
      </c>
    </row>
    <row r="72" spans="1:15" x14ac:dyDescent="0.3">
      <c r="A72" s="14" t="s">
        <v>1491</v>
      </c>
      <c r="B72" s="18" t="str">
        <f>IF(INDEX(Prod_Nombre,2)="","Producto 2",INDEX(Prod_Nombre,2))</f>
        <v>Cajas metálicas 13 kg</v>
      </c>
      <c r="C72" s="54">
        <f t="shared" si="5"/>
        <v>1110000</v>
      </c>
      <c r="D72" s="48">
        <f>SUMIFS(Calculo!$F$178:$ES$178,Calculo!$F$6:$ES$6,1)</f>
        <v>70000.000000000015</v>
      </c>
      <c r="E72" s="48">
        <f>SUMIFS(Calculo!$F$178:$ES$178,Calculo!$F$6:$ES$6,2)</f>
        <v>90000</v>
      </c>
      <c r="F72" s="48">
        <f>SUMIFS(Calculo!$F$178:$ES$178,Calculo!$F$6:$ES$6,3)</f>
        <v>110000.00000000001</v>
      </c>
      <c r="G72" s="48">
        <f>SUMIFS(Calculo!$F$178:$ES$178,Calculo!$F$6:$ES$6,4)</f>
        <v>120000</v>
      </c>
      <c r="H72" s="48">
        <f>SUMIFS(Calculo!$F$178:$ES$178,Calculo!$F$6:$ES$6,5)</f>
        <v>120000</v>
      </c>
      <c r="I72" s="48">
        <f>SUMIFS(Calculo!$F$178:$ES$178,Calculo!$F$6:$ES$6,6)</f>
        <v>120000</v>
      </c>
      <c r="J72" s="48">
        <f>SUMIFS(Calculo!$F$178:$ES$178,Calculo!$F$6:$ES$6,7)</f>
        <v>120000</v>
      </c>
      <c r="K72" s="48">
        <f>SUMIFS(Calculo!$F$178:$ES$178,Calculo!$F$6:$ES$6,8)</f>
        <v>120000</v>
      </c>
      <c r="L72" s="48">
        <f>SUMIFS(Calculo!$F$178:$ES$178,Calculo!$F$6:$ES$6,9)</f>
        <v>120000</v>
      </c>
      <c r="M72" s="48">
        <f>SUMIFS(Calculo!$F$178:$ES$178,Calculo!$F$6:$ES$6,10)</f>
        <v>120000</v>
      </c>
      <c r="N72" s="48">
        <f>SUMIFS(Calculo!$F$178:$ES$178,Calculo!$F$6:$ES$6,11)</f>
        <v>0</v>
      </c>
      <c r="O72" s="48">
        <f>SUMIFS(Calculo!$F$178:$ES$178,Calculo!$F$6:$ES$6,12)</f>
        <v>0</v>
      </c>
    </row>
    <row r="73" spans="1:15" x14ac:dyDescent="0.3">
      <c r="A73" s="14" t="s">
        <v>1492</v>
      </c>
      <c r="B73" s="18" t="str">
        <f>IF(INDEX(Prod_Nombre,3)="","Producto 3",INDEX(Prod_Nombre,3))</f>
        <v>Producto 3</v>
      </c>
      <c r="C73" s="54">
        <f t="shared" si="5"/>
        <v>0</v>
      </c>
      <c r="D73" s="48">
        <f>SUMIFS(Calculo!$F$179:$ES$179,Calculo!$F$6:$ES$6,1)</f>
        <v>0</v>
      </c>
      <c r="E73" s="48">
        <f>SUMIFS(Calculo!$F$179:$ES$179,Calculo!$F$6:$ES$6,2)</f>
        <v>0</v>
      </c>
      <c r="F73" s="48">
        <f>SUMIFS(Calculo!$F$179:$ES$179,Calculo!$F$6:$ES$6,3)</f>
        <v>0</v>
      </c>
      <c r="G73" s="48">
        <f>SUMIFS(Calculo!$F$179:$ES$179,Calculo!$F$6:$ES$6,4)</f>
        <v>0</v>
      </c>
      <c r="H73" s="48">
        <f>SUMIFS(Calculo!$F$179:$ES$179,Calculo!$F$6:$ES$6,5)</f>
        <v>0</v>
      </c>
      <c r="I73" s="48">
        <f>SUMIFS(Calculo!$F$179:$ES$179,Calculo!$F$6:$ES$6,6)</f>
        <v>0</v>
      </c>
      <c r="J73" s="48">
        <f>SUMIFS(Calculo!$F$179:$ES$179,Calculo!$F$6:$ES$6,7)</f>
        <v>0</v>
      </c>
      <c r="K73" s="48">
        <f>SUMIFS(Calculo!$F$179:$ES$179,Calculo!$F$6:$ES$6,8)</f>
        <v>0</v>
      </c>
      <c r="L73" s="48">
        <f>SUMIFS(Calculo!$F$179:$ES$179,Calculo!$F$6:$ES$6,9)</f>
        <v>0</v>
      </c>
      <c r="M73" s="48">
        <f>SUMIFS(Calculo!$F$179:$ES$179,Calculo!$F$6:$ES$6,10)</f>
        <v>0</v>
      </c>
      <c r="N73" s="48">
        <f>SUMIFS(Calculo!$F$179:$ES$179,Calculo!$F$6:$ES$6,11)</f>
        <v>0</v>
      </c>
      <c r="O73" s="48">
        <f>SUMIFS(Calculo!$F$179:$ES$179,Calculo!$F$6:$ES$6,12)</f>
        <v>0</v>
      </c>
    </row>
    <row r="74" spans="1:15" x14ac:dyDescent="0.3">
      <c r="A74" s="14" t="s">
        <v>1493</v>
      </c>
      <c r="B74" s="18" t="str">
        <f>IF(INDEX(Prod_Nombre,4)="","Producto 4",INDEX(Prod_Nombre,4))</f>
        <v>Producto 4</v>
      </c>
      <c r="C74" s="54">
        <f t="shared" si="5"/>
        <v>0</v>
      </c>
      <c r="D74" s="48">
        <f>SUMIFS(Calculo!$F$180:$ES$180,Calculo!$F$6:$ES$6,1)</f>
        <v>0</v>
      </c>
      <c r="E74" s="48">
        <f>SUMIFS(Calculo!$F$180:$ES$180,Calculo!$F$6:$ES$6,2)</f>
        <v>0</v>
      </c>
      <c r="F74" s="48">
        <f>SUMIFS(Calculo!$F$180:$ES$180,Calculo!$F$6:$ES$6,3)</f>
        <v>0</v>
      </c>
      <c r="G74" s="48">
        <f>SUMIFS(Calculo!$F$180:$ES$180,Calculo!$F$6:$ES$6,4)</f>
        <v>0</v>
      </c>
      <c r="H74" s="48">
        <f>SUMIFS(Calculo!$F$180:$ES$180,Calculo!$F$6:$ES$6,5)</f>
        <v>0</v>
      </c>
      <c r="I74" s="48">
        <f>SUMIFS(Calculo!$F$180:$ES$180,Calculo!$F$6:$ES$6,6)</f>
        <v>0</v>
      </c>
      <c r="J74" s="48">
        <f>SUMIFS(Calculo!$F$180:$ES$180,Calculo!$F$6:$ES$6,7)</f>
        <v>0</v>
      </c>
      <c r="K74" s="48">
        <f>SUMIFS(Calculo!$F$180:$ES$180,Calculo!$F$6:$ES$6,8)</f>
        <v>0</v>
      </c>
      <c r="L74" s="48">
        <f>SUMIFS(Calculo!$F$180:$ES$180,Calculo!$F$6:$ES$6,9)</f>
        <v>0</v>
      </c>
      <c r="M74" s="48">
        <f>SUMIFS(Calculo!$F$180:$ES$180,Calculo!$F$6:$ES$6,10)</f>
        <v>0</v>
      </c>
      <c r="N74" s="48">
        <f>SUMIFS(Calculo!$F$180:$ES$180,Calculo!$F$6:$ES$6,11)</f>
        <v>0</v>
      </c>
      <c r="O74" s="48">
        <f>SUMIFS(Calculo!$F$180:$ES$180,Calculo!$F$6:$ES$6,12)</f>
        <v>0</v>
      </c>
    </row>
    <row r="75" spans="1:15" x14ac:dyDescent="0.3">
      <c r="A75" s="14" t="s">
        <v>1494</v>
      </c>
      <c r="B75" s="18" t="str">
        <f>IF(INDEX(Prod_Nombre,5)="","Producto 5",INDEX(Prod_Nombre,5))</f>
        <v>Producto 5</v>
      </c>
      <c r="C75" s="54">
        <f t="shared" si="5"/>
        <v>0</v>
      </c>
      <c r="D75" s="48">
        <f>SUMIFS(Calculo!$F$181:$ES$181,Calculo!$F$6:$ES$6,1)</f>
        <v>0</v>
      </c>
      <c r="E75" s="48">
        <f>SUMIFS(Calculo!$F$181:$ES$181,Calculo!$F$6:$ES$6,2)</f>
        <v>0</v>
      </c>
      <c r="F75" s="48">
        <f>SUMIFS(Calculo!$F$181:$ES$181,Calculo!$F$6:$ES$6,3)</f>
        <v>0</v>
      </c>
      <c r="G75" s="48">
        <f>SUMIFS(Calculo!$F$181:$ES$181,Calculo!$F$6:$ES$6,4)</f>
        <v>0</v>
      </c>
      <c r="H75" s="48">
        <f>SUMIFS(Calculo!$F$181:$ES$181,Calculo!$F$6:$ES$6,5)</f>
        <v>0</v>
      </c>
      <c r="I75" s="48">
        <f>SUMIFS(Calculo!$F$181:$ES$181,Calculo!$F$6:$ES$6,6)</f>
        <v>0</v>
      </c>
      <c r="J75" s="48">
        <f>SUMIFS(Calculo!$F$181:$ES$181,Calculo!$F$6:$ES$6,7)</f>
        <v>0</v>
      </c>
      <c r="K75" s="48">
        <f>SUMIFS(Calculo!$F$181:$ES$181,Calculo!$F$6:$ES$6,8)</f>
        <v>0</v>
      </c>
      <c r="L75" s="48">
        <f>SUMIFS(Calculo!$F$181:$ES$181,Calculo!$F$6:$ES$6,9)</f>
        <v>0</v>
      </c>
      <c r="M75" s="48">
        <f>SUMIFS(Calculo!$F$181:$ES$181,Calculo!$F$6:$ES$6,10)</f>
        <v>0</v>
      </c>
      <c r="N75" s="48">
        <f>SUMIFS(Calculo!$F$181:$ES$181,Calculo!$F$6:$ES$6,11)</f>
        <v>0</v>
      </c>
      <c r="O75" s="48">
        <f>SUMIFS(Calculo!$F$181:$ES$181,Calculo!$F$6:$ES$6,12)</f>
        <v>0</v>
      </c>
    </row>
    <row r="76" spans="1:15" x14ac:dyDescent="0.3">
      <c r="A76" s="14" t="s">
        <v>1495</v>
      </c>
      <c r="B76" s="18" t="str">
        <f>IF(INDEX(Prod_Nombre,6)="","Producto 6",INDEX(Prod_Nombre,6))</f>
        <v>Producto 6</v>
      </c>
      <c r="C76" s="54">
        <f t="shared" si="5"/>
        <v>0</v>
      </c>
      <c r="D76" s="48">
        <f>SUMIFS(Calculo!$F$182:$ES$182,Calculo!$F$6:$ES$6,1)</f>
        <v>0</v>
      </c>
      <c r="E76" s="48">
        <f>SUMIFS(Calculo!$F$182:$ES$182,Calculo!$F$6:$ES$6,2)</f>
        <v>0</v>
      </c>
      <c r="F76" s="48">
        <f>SUMIFS(Calculo!$F$182:$ES$182,Calculo!$F$6:$ES$6,3)</f>
        <v>0</v>
      </c>
      <c r="G76" s="48">
        <f>SUMIFS(Calculo!$F$182:$ES$182,Calculo!$F$6:$ES$6,4)</f>
        <v>0</v>
      </c>
      <c r="H76" s="48">
        <f>SUMIFS(Calculo!$F$182:$ES$182,Calculo!$F$6:$ES$6,5)</f>
        <v>0</v>
      </c>
      <c r="I76" s="48">
        <f>SUMIFS(Calculo!$F$182:$ES$182,Calculo!$F$6:$ES$6,6)</f>
        <v>0</v>
      </c>
      <c r="J76" s="48">
        <f>SUMIFS(Calculo!$F$182:$ES$182,Calculo!$F$6:$ES$6,7)</f>
        <v>0</v>
      </c>
      <c r="K76" s="48">
        <f>SUMIFS(Calculo!$F$182:$ES$182,Calculo!$F$6:$ES$6,8)</f>
        <v>0</v>
      </c>
      <c r="L76" s="48">
        <f>SUMIFS(Calculo!$F$182:$ES$182,Calculo!$F$6:$ES$6,9)</f>
        <v>0</v>
      </c>
      <c r="M76" s="48">
        <f>SUMIFS(Calculo!$F$182:$ES$182,Calculo!$F$6:$ES$6,10)</f>
        <v>0</v>
      </c>
      <c r="N76" s="48">
        <f>SUMIFS(Calculo!$F$182:$ES$182,Calculo!$F$6:$ES$6,11)</f>
        <v>0</v>
      </c>
      <c r="O76" s="48">
        <f>SUMIFS(Calculo!$F$182:$ES$182,Calculo!$F$6:$ES$6,12)</f>
        <v>0</v>
      </c>
    </row>
    <row r="77" spans="1:15" x14ac:dyDescent="0.3">
      <c r="A77" s="14" t="s">
        <v>1496</v>
      </c>
      <c r="B77" s="18" t="str">
        <f>IF(INDEX(Prod_Nombre,7)="","Producto 7",INDEX(Prod_Nombre,7))</f>
        <v>Producto 7</v>
      </c>
      <c r="C77" s="54">
        <f t="shared" si="5"/>
        <v>0</v>
      </c>
      <c r="D77" s="48">
        <f>SUMIFS(Calculo!$F$183:$ES$183,Calculo!$F$6:$ES$6,1)</f>
        <v>0</v>
      </c>
      <c r="E77" s="48">
        <f>SUMIFS(Calculo!$F$183:$ES$183,Calculo!$F$6:$ES$6,2)</f>
        <v>0</v>
      </c>
      <c r="F77" s="48">
        <f>SUMIFS(Calculo!$F$183:$ES$183,Calculo!$F$6:$ES$6,3)</f>
        <v>0</v>
      </c>
      <c r="G77" s="48">
        <f>SUMIFS(Calculo!$F$183:$ES$183,Calculo!$F$6:$ES$6,4)</f>
        <v>0</v>
      </c>
      <c r="H77" s="48">
        <f>SUMIFS(Calculo!$F$183:$ES$183,Calculo!$F$6:$ES$6,5)</f>
        <v>0</v>
      </c>
      <c r="I77" s="48">
        <f>SUMIFS(Calculo!$F$183:$ES$183,Calculo!$F$6:$ES$6,6)</f>
        <v>0</v>
      </c>
      <c r="J77" s="48">
        <f>SUMIFS(Calculo!$F$183:$ES$183,Calculo!$F$6:$ES$6,7)</f>
        <v>0</v>
      </c>
      <c r="K77" s="48">
        <f>SUMIFS(Calculo!$F$183:$ES$183,Calculo!$F$6:$ES$6,8)</f>
        <v>0</v>
      </c>
      <c r="L77" s="48">
        <f>SUMIFS(Calculo!$F$183:$ES$183,Calculo!$F$6:$ES$6,9)</f>
        <v>0</v>
      </c>
      <c r="M77" s="48">
        <f>SUMIFS(Calculo!$F$183:$ES$183,Calculo!$F$6:$ES$6,10)</f>
        <v>0</v>
      </c>
      <c r="N77" s="48">
        <f>SUMIFS(Calculo!$F$183:$ES$183,Calculo!$F$6:$ES$6,11)</f>
        <v>0</v>
      </c>
      <c r="O77" s="48">
        <f>SUMIFS(Calculo!$F$183:$ES$183,Calculo!$F$6:$ES$6,12)</f>
        <v>0</v>
      </c>
    </row>
    <row r="78" spans="1:15" x14ac:dyDescent="0.3">
      <c r="A78" s="14" t="s">
        <v>1497</v>
      </c>
      <c r="B78" s="18" t="str">
        <f>IF(INDEX(Prod_Nombre,8)="","Producto 8",INDEX(Prod_Nombre,8))</f>
        <v>Producto 8</v>
      </c>
      <c r="C78" s="54">
        <f t="shared" si="5"/>
        <v>0</v>
      </c>
      <c r="D78" s="48">
        <f>SUMIFS(Calculo!$F$184:$ES$184,Calculo!$F$6:$ES$6,1)</f>
        <v>0</v>
      </c>
      <c r="E78" s="48">
        <f>SUMIFS(Calculo!$F$184:$ES$184,Calculo!$F$6:$ES$6,2)</f>
        <v>0</v>
      </c>
      <c r="F78" s="48">
        <f>SUMIFS(Calculo!$F$184:$ES$184,Calculo!$F$6:$ES$6,3)</f>
        <v>0</v>
      </c>
      <c r="G78" s="48">
        <f>SUMIFS(Calculo!$F$184:$ES$184,Calculo!$F$6:$ES$6,4)</f>
        <v>0</v>
      </c>
      <c r="H78" s="48">
        <f>SUMIFS(Calculo!$F$184:$ES$184,Calculo!$F$6:$ES$6,5)</f>
        <v>0</v>
      </c>
      <c r="I78" s="48">
        <f>SUMIFS(Calculo!$F$184:$ES$184,Calculo!$F$6:$ES$6,6)</f>
        <v>0</v>
      </c>
      <c r="J78" s="48">
        <f>SUMIFS(Calculo!$F$184:$ES$184,Calculo!$F$6:$ES$6,7)</f>
        <v>0</v>
      </c>
      <c r="K78" s="48">
        <f>SUMIFS(Calculo!$F$184:$ES$184,Calculo!$F$6:$ES$6,8)</f>
        <v>0</v>
      </c>
      <c r="L78" s="48">
        <f>SUMIFS(Calculo!$F$184:$ES$184,Calculo!$F$6:$ES$6,9)</f>
        <v>0</v>
      </c>
      <c r="M78" s="48">
        <f>SUMIFS(Calculo!$F$184:$ES$184,Calculo!$F$6:$ES$6,10)</f>
        <v>0</v>
      </c>
      <c r="N78" s="48">
        <f>SUMIFS(Calculo!$F$184:$ES$184,Calculo!$F$6:$ES$6,11)</f>
        <v>0</v>
      </c>
      <c r="O78" s="48">
        <f>SUMIFS(Calculo!$F$184:$ES$184,Calculo!$F$6:$ES$6,12)</f>
        <v>0</v>
      </c>
    </row>
    <row r="79" spans="1:15" x14ac:dyDescent="0.3">
      <c r="A79" s="14" t="s">
        <v>1498</v>
      </c>
      <c r="B79" s="18" t="str">
        <f>IF(INDEX(Prod_Nombre,9)="","Producto 9",INDEX(Prod_Nombre,9))</f>
        <v>Producto 9</v>
      </c>
      <c r="C79" s="54">
        <f t="shared" si="5"/>
        <v>0</v>
      </c>
      <c r="D79" s="48">
        <f>SUMIFS(Calculo!$F$185:$ES$185,Calculo!$F$6:$ES$6,1)</f>
        <v>0</v>
      </c>
      <c r="E79" s="48">
        <f>SUMIFS(Calculo!$F$185:$ES$185,Calculo!$F$6:$ES$6,2)</f>
        <v>0</v>
      </c>
      <c r="F79" s="48">
        <f>SUMIFS(Calculo!$F$185:$ES$185,Calculo!$F$6:$ES$6,3)</f>
        <v>0</v>
      </c>
      <c r="G79" s="48">
        <f>SUMIFS(Calculo!$F$185:$ES$185,Calculo!$F$6:$ES$6,4)</f>
        <v>0</v>
      </c>
      <c r="H79" s="48">
        <f>SUMIFS(Calculo!$F$185:$ES$185,Calculo!$F$6:$ES$6,5)</f>
        <v>0</v>
      </c>
      <c r="I79" s="48">
        <f>SUMIFS(Calculo!$F$185:$ES$185,Calculo!$F$6:$ES$6,6)</f>
        <v>0</v>
      </c>
      <c r="J79" s="48">
        <f>SUMIFS(Calculo!$F$185:$ES$185,Calculo!$F$6:$ES$6,7)</f>
        <v>0</v>
      </c>
      <c r="K79" s="48">
        <f>SUMIFS(Calculo!$F$185:$ES$185,Calculo!$F$6:$ES$6,8)</f>
        <v>0</v>
      </c>
      <c r="L79" s="48">
        <f>SUMIFS(Calculo!$F$185:$ES$185,Calculo!$F$6:$ES$6,9)</f>
        <v>0</v>
      </c>
      <c r="M79" s="48">
        <f>SUMIFS(Calculo!$F$185:$ES$185,Calculo!$F$6:$ES$6,10)</f>
        <v>0</v>
      </c>
      <c r="N79" s="48">
        <f>SUMIFS(Calculo!$F$185:$ES$185,Calculo!$F$6:$ES$6,11)</f>
        <v>0</v>
      </c>
      <c r="O79" s="48">
        <f>SUMIFS(Calculo!$F$185:$ES$185,Calculo!$F$6:$ES$6,12)</f>
        <v>0</v>
      </c>
    </row>
    <row r="80" spans="1:15" x14ac:dyDescent="0.3">
      <c r="A80" s="14" t="s">
        <v>1499</v>
      </c>
      <c r="B80" s="18" t="str">
        <f>IF(INDEX(Prod_Nombre,10)="","Producto 10",INDEX(Prod_Nombre,10))</f>
        <v>Producto 10</v>
      </c>
      <c r="C80" s="54">
        <f t="shared" si="5"/>
        <v>0</v>
      </c>
      <c r="D80" s="48">
        <f>SUMIFS(Calculo!$F$186:$ES$186,Calculo!$F$6:$ES$6,1)</f>
        <v>0</v>
      </c>
      <c r="E80" s="48">
        <f>SUMIFS(Calculo!$F$186:$ES$186,Calculo!$F$6:$ES$6,2)</f>
        <v>0</v>
      </c>
      <c r="F80" s="48">
        <f>SUMIFS(Calculo!$F$186:$ES$186,Calculo!$F$6:$ES$6,3)</f>
        <v>0</v>
      </c>
      <c r="G80" s="48">
        <f>SUMIFS(Calculo!$F$186:$ES$186,Calculo!$F$6:$ES$6,4)</f>
        <v>0</v>
      </c>
      <c r="H80" s="48">
        <f>SUMIFS(Calculo!$F$186:$ES$186,Calculo!$F$6:$ES$6,5)</f>
        <v>0</v>
      </c>
      <c r="I80" s="48">
        <f>SUMIFS(Calculo!$F$186:$ES$186,Calculo!$F$6:$ES$6,6)</f>
        <v>0</v>
      </c>
      <c r="J80" s="48">
        <f>SUMIFS(Calculo!$F$186:$ES$186,Calculo!$F$6:$ES$6,7)</f>
        <v>0</v>
      </c>
      <c r="K80" s="48">
        <f>SUMIFS(Calculo!$F$186:$ES$186,Calculo!$F$6:$ES$6,8)</f>
        <v>0</v>
      </c>
      <c r="L80" s="48">
        <f>SUMIFS(Calculo!$F$186:$ES$186,Calculo!$F$6:$ES$6,9)</f>
        <v>0</v>
      </c>
      <c r="M80" s="48">
        <f>SUMIFS(Calculo!$F$186:$ES$186,Calculo!$F$6:$ES$6,10)</f>
        <v>0</v>
      </c>
      <c r="N80" s="48">
        <f>SUMIFS(Calculo!$F$186:$ES$186,Calculo!$F$6:$ES$6,11)</f>
        <v>0</v>
      </c>
      <c r="O80" s="48">
        <f>SUMIFS(Calculo!$F$186:$ES$186,Calculo!$F$6:$ES$6,12)</f>
        <v>0</v>
      </c>
    </row>
    <row r="81" spans="1:15" x14ac:dyDescent="0.3">
      <c r="A81" s="14" t="s">
        <v>1500</v>
      </c>
      <c r="B81" s="18" t="str">
        <f>IF(INDEX(Prod_Nombre,11)="","Producto 11",INDEX(Prod_Nombre,11))</f>
        <v>Producto 11</v>
      </c>
      <c r="C81" s="54">
        <f t="shared" si="5"/>
        <v>0</v>
      </c>
      <c r="D81" s="48">
        <f>SUMIFS(Calculo!$F$187:$ES$187,Calculo!$F$6:$ES$6,1)</f>
        <v>0</v>
      </c>
      <c r="E81" s="48">
        <f>SUMIFS(Calculo!$F$187:$ES$187,Calculo!$F$6:$ES$6,2)</f>
        <v>0</v>
      </c>
      <c r="F81" s="48">
        <f>SUMIFS(Calculo!$F$187:$ES$187,Calculo!$F$6:$ES$6,3)</f>
        <v>0</v>
      </c>
      <c r="G81" s="48">
        <f>SUMIFS(Calculo!$F$187:$ES$187,Calculo!$F$6:$ES$6,4)</f>
        <v>0</v>
      </c>
      <c r="H81" s="48">
        <f>SUMIFS(Calculo!$F$187:$ES$187,Calculo!$F$6:$ES$6,5)</f>
        <v>0</v>
      </c>
      <c r="I81" s="48">
        <f>SUMIFS(Calculo!$F$187:$ES$187,Calculo!$F$6:$ES$6,6)</f>
        <v>0</v>
      </c>
      <c r="J81" s="48">
        <f>SUMIFS(Calculo!$F$187:$ES$187,Calculo!$F$6:$ES$6,7)</f>
        <v>0</v>
      </c>
      <c r="K81" s="48">
        <f>SUMIFS(Calculo!$F$187:$ES$187,Calculo!$F$6:$ES$6,8)</f>
        <v>0</v>
      </c>
      <c r="L81" s="48">
        <f>SUMIFS(Calculo!$F$187:$ES$187,Calculo!$F$6:$ES$6,9)</f>
        <v>0</v>
      </c>
      <c r="M81" s="48">
        <f>SUMIFS(Calculo!$F$187:$ES$187,Calculo!$F$6:$ES$6,10)</f>
        <v>0</v>
      </c>
      <c r="N81" s="48">
        <f>SUMIFS(Calculo!$F$187:$ES$187,Calculo!$F$6:$ES$6,11)</f>
        <v>0</v>
      </c>
      <c r="O81" s="48">
        <f>SUMIFS(Calculo!$F$187:$ES$187,Calculo!$F$6:$ES$6,12)</f>
        <v>0</v>
      </c>
    </row>
    <row r="82" spans="1:15" x14ac:dyDescent="0.3">
      <c r="A82" s="14" t="s">
        <v>1501</v>
      </c>
      <c r="B82" s="18" t="str">
        <f>IF(INDEX(Prod_Nombre,12)="","Producto 12",INDEX(Prod_Nombre,12))</f>
        <v>Producto 12</v>
      </c>
      <c r="C82" s="54">
        <f t="shared" si="5"/>
        <v>0</v>
      </c>
      <c r="D82" s="48">
        <f>SUMIFS(Calculo!$F$188:$ES$188,Calculo!$F$6:$ES$6,1)</f>
        <v>0</v>
      </c>
      <c r="E82" s="48">
        <f>SUMIFS(Calculo!$F$188:$ES$188,Calculo!$F$6:$ES$6,2)</f>
        <v>0</v>
      </c>
      <c r="F82" s="48">
        <f>SUMIFS(Calculo!$F$188:$ES$188,Calculo!$F$6:$ES$6,3)</f>
        <v>0</v>
      </c>
      <c r="G82" s="48">
        <f>SUMIFS(Calculo!$F$188:$ES$188,Calculo!$F$6:$ES$6,4)</f>
        <v>0</v>
      </c>
      <c r="H82" s="48">
        <f>SUMIFS(Calculo!$F$188:$ES$188,Calculo!$F$6:$ES$6,5)</f>
        <v>0</v>
      </c>
      <c r="I82" s="48">
        <f>SUMIFS(Calculo!$F$188:$ES$188,Calculo!$F$6:$ES$6,6)</f>
        <v>0</v>
      </c>
      <c r="J82" s="48">
        <f>SUMIFS(Calculo!$F$188:$ES$188,Calculo!$F$6:$ES$6,7)</f>
        <v>0</v>
      </c>
      <c r="K82" s="48">
        <f>SUMIFS(Calculo!$F$188:$ES$188,Calculo!$F$6:$ES$6,8)</f>
        <v>0</v>
      </c>
      <c r="L82" s="48">
        <f>SUMIFS(Calculo!$F$188:$ES$188,Calculo!$F$6:$ES$6,9)</f>
        <v>0</v>
      </c>
      <c r="M82" s="48">
        <f>SUMIFS(Calculo!$F$188:$ES$188,Calculo!$F$6:$ES$6,10)</f>
        <v>0</v>
      </c>
      <c r="N82" s="48">
        <f>SUMIFS(Calculo!$F$188:$ES$188,Calculo!$F$6:$ES$6,11)</f>
        <v>0</v>
      </c>
      <c r="O82" s="48">
        <f>SUMIFS(Calculo!$F$188:$ES$188,Calculo!$F$6:$ES$6,12)</f>
        <v>0</v>
      </c>
    </row>
    <row r="83" spans="1:15" x14ac:dyDescent="0.3">
      <c r="A83" s="14" t="s">
        <v>1502</v>
      </c>
      <c r="B83" s="18" t="str">
        <f>IF(INDEX(Prod_Nombre,13)="","Producto 13",INDEX(Prod_Nombre,13))</f>
        <v>Producto 13</v>
      </c>
      <c r="C83" s="54">
        <f t="shared" si="5"/>
        <v>0</v>
      </c>
      <c r="D83" s="48">
        <f>SUMIFS(Calculo!$F$189:$ES$189,Calculo!$F$6:$ES$6,1)</f>
        <v>0</v>
      </c>
      <c r="E83" s="48">
        <f>SUMIFS(Calculo!$F$189:$ES$189,Calculo!$F$6:$ES$6,2)</f>
        <v>0</v>
      </c>
      <c r="F83" s="48">
        <f>SUMIFS(Calculo!$F$189:$ES$189,Calculo!$F$6:$ES$6,3)</f>
        <v>0</v>
      </c>
      <c r="G83" s="48">
        <f>SUMIFS(Calculo!$F$189:$ES$189,Calculo!$F$6:$ES$6,4)</f>
        <v>0</v>
      </c>
      <c r="H83" s="48">
        <f>SUMIFS(Calculo!$F$189:$ES$189,Calculo!$F$6:$ES$6,5)</f>
        <v>0</v>
      </c>
      <c r="I83" s="48">
        <f>SUMIFS(Calculo!$F$189:$ES$189,Calculo!$F$6:$ES$6,6)</f>
        <v>0</v>
      </c>
      <c r="J83" s="48">
        <f>SUMIFS(Calculo!$F$189:$ES$189,Calculo!$F$6:$ES$6,7)</f>
        <v>0</v>
      </c>
      <c r="K83" s="48">
        <f>SUMIFS(Calculo!$F$189:$ES$189,Calculo!$F$6:$ES$6,8)</f>
        <v>0</v>
      </c>
      <c r="L83" s="48">
        <f>SUMIFS(Calculo!$F$189:$ES$189,Calculo!$F$6:$ES$6,9)</f>
        <v>0</v>
      </c>
      <c r="M83" s="48">
        <f>SUMIFS(Calculo!$F$189:$ES$189,Calculo!$F$6:$ES$6,10)</f>
        <v>0</v>
      </c>
      <c r="N83" s="48">
        <f>SUMIFS(Calculo!$F$189:$ES$189,Calculo!$F$6:$ES$6,11)</f>
        <v>0</v>
      </c>
      <c r="O83" s="48">
        <f>SUMIFS(Calculo!$F$189:$ES$189,Calculo!$F$6:$ES$6,12)</f>
        <v>0</v>
      </c>
    </row>
    <row r="84" spans="1:15" x14ac:dyDescent="0.3">
      <c r="A84" s="14" t="s">
        <v>1503</v>
      </c>
      <c r="B84" s="18" t="str">
        <f>IF(INDEX(Prod_Nombre,14)="","Producto 14",INDEX(Prod_Nombre,14))</f>
        <v>Producto 14</v>
      </c>
      <c r="C84" s="54">
        <f t="shared" si="5"/>
        <v>0</v>
      </c>
      <c r="D84" s="48">
        <f>SUMIFS(Calculo!$F$190:$ES$190,Calculo!$F$6:$ES$6,1)</f>
        <v>0</v>
      </c>
      <c r="E84" s="48">
        <f>SUMIFS(Calculo!$F$190:$ES$190,Calculo!$F$6:$ES$6,2)</f>
        <v>0</v>
      </c>
      <c r="F84" s="48">
        <f>SUMIFS(Calculo!$F$190:$ES$190,Calculo!$F$6:$ES$6,3)</f>
        <v>0</v>
      </c>
      <c r="G84" s="48">
        <f>SUMIFS(Calculo!$F$190:$ES$190,Calculo!$F$6:$ES$6,4)</f>
        <v>0</v>
      </c>
      <c r="H84" s="48">
        <f>SUMIFS(Calculo!$F$190:$ES$190,Calculo!$F$6:$ES$6,5)</f>
        <v>0</v>
      </c>
      <c r="I84" s="48">
        <f>SUMIFS(Calculo!$F$190:$ES$190,Calculo!$F$6:$ES$6,6)</f>
        <v>0</v>
      </c>
      <c r="J84" s="48">
        <f>SUMIFS(Calculo!$F$190:$ES$190,Calculo!$F$6:$ES$6,7)</f>
        <v>0</v>
      </c>
      <c r="K84" s="48">
        <f>SUMIFS(Calculo!$F$190:$ES$190,Calculo!$F$6:$ES$6,8)</f>
        <v>0</v>
      </c>
      <c r="L84" s="48">
        <f>SUMIFS(Calculo!$F$190:$ES$190,Calculo!$F$6:$ES$6,9)</f>
        <v>0</v>
      </c>
      <c r="M84" s="48">
        <f>SUMIFS(Calculo!$F$190:$ES$190,Calculo!$F$6:$ES$6,10)</f>
        <v>0</v>
      </c>
      <c r="N84" s="48">
        <f>SUMIFS(Calculo!$F$190:$ES$190,Calculo!$F$6:$ES$6,11)</f>
        <v>0</v>
      </c>
      <c r="O84" s="48">
        <f>SUMIFS(Calculo!$F$190:$ES$190,Calculo!$F$6:$ES$6,12)</f>
        <v>0</v>
      </c>
    </row>
    <row r="85" spans="1:15" x14ac:dyDescent="0.3">
      <c r="A85" s="14" t="s">
        <v>1504</v>
      </c>
      <c r="B85" s="18" t="str">
        <f>IF(INDEX(Prod_Nombre,15)="","Producto 15",INDEX(Prod_Nombre,15))</f>
        <v>Producto 15</v>
      </c>
      <c r="C85" s="54">
        <f t="shared" si="5"/>
        <v>0</v>
      </c>
      <c r="D85" s="48">
        <f>SUMIFS(Calculo!$F$191:$ES$191,Calculo!$F$6:$ES$6,1)</f>
        <v>0</v>
      </c>
      <c r="E85" s="48">
        <f>SUMIFS(Calculo!$F$191:$ES$191,Calculo!$F$6:$ES$6,2)</f>
        <v>0</v>
      </c>
      <c r="F85" s="48">
        <f>SUMIFS(Calculo!$F$191:$ES$191,Calculo!$F$6:$ES$6,3)</f>
        <v>0</v>
      </c>
      <c r="G85" s="48">
        <f>SUMIFS(Calculo!$F$191:$ES$191,Calculo!$F$6:$ES$6,4)</f>
        <v>0</v>
      </c>
      <c r="H85" s="48">
        <f>SUMIFS(Calculo!$F$191:$ES$191,Calculo!$F$6:$ES$6,5)</f>
        <v>0</v>
      </c>
      <c r="I85" s="48">
        <f>SUMIFS(Calculo!$F$191:$ES$191,Calculo!$F$6:$ES$6,6)</f>
        <v>0</v>
      </c>
      <c r="J85" s="48">
        <f>SUMIFS(Calculo!$F$191:$ES$191,Calculo!$F$6:$ES$6,7)</f>
        <v>0</v>
      </c>
      <c r="K85" s="48">
        <f>SUMIFS(Calculo!$F$191:$ES$191,Calculo!$F$6:$ES$6,8)</f>
        <v>0</v>
      </c>
      <c r="L85" s="48">
        <f>SUMIFS(Calculo!$F$191:$ES$191,Calculo!$F$6:$ES$6,9)</f>
        <v>0</v>
      </c>
      <c r="M85" s="48">
        <f>SUMIFS(Calculo!$F$191:$ES$191,Calculo!$F$6:$ES$6,10)</f>
        <v>0</v>
      </c>
      <c r="N85" s="48">
        <f>SUMIFS(Calculo!$F$191:$ES$191,Calculo!$F$6:$ES$6,11)</f>
        <v>0</v>
      </c>
      <c r="O85" s="48">
        <f>SUMIFS(Calculo!$F$191:$ES$191,Calculo!$F$6:$ES$6,12)</f>
        <v>0</v>
      </c>
    </row>
    <row r="86" spans="1:15" x14ac:dyDescent="0.3">
      <c r="A86" s="14" t="s">
        <v>1505</v>
      </c>
      <c r="B86" s="18" t="str">
        <f>IF(INDEX(Prod_Nombre,16)="","Producto 16",INDEX(Prod_Nombre,16))</f>
        <v>Producto 16</v>
      </c>
      <c r="C86" s="54">
        <f t="shared" si="5"/>
        <v>0</v>
      </c>
      <c r="D86" s="48">
        <f>SUMIFS(Calculo!$F$192:$ES$192,Calculo!$F$6:$ES$6,1)</f>
        <v>0</v>
      </c>
      <c r="E86" s="48">
        <f>SUMIFS(Calculo!$F$192:$ES$192,Calculo!$F$6:$ES$6,2)</f>
        <v>0</v>
      </c>
      <c r="F86" s="48">
        <f>SUMIFS(Calculo!$F$192:$ES$192,Calculo!$F$6:$ES$6,3)</f>
        <v>0</v>
      </c>
      <c r="G86" s="48">
        <f>SUMIFS(Calculo!$F$192:$ES$192,Calculo!$F$6:$ES$6,4)</f>
        <v>0</v>
      </c>
      <c r="H86" s="48">
        <f>SUMIFS(Calculo!$F$192:$ES$192,Calculo!$F$6:$ES$6,5)</f>
        <v>0</v>
      </c>
      <c r="I86" s="48">
        <f>SUMIFS(Calculo!$F$192:$ES$192,Calculo!$F$6:$ES$6,6)</f>
        <v>0</v>
      </c>
      <c r="J86" s="48">
        <f>SUMIFS(Calculo!$F$192:$ES$192,Calculo!$F$6:$ES$6,7)</f>
        <v>0</v>
      </c>
      <c r="K86" s="48">
        <f>SUMIFS(Calculo!$F$192:$ES$192,Calculo!$F$6:$ES$6,8)</f>
        <v>0</v>
      </c>
      <c r="L86" s="48">
        <f>SUMIFS(Calculo!$F$192:$ES$192,Calculo!$F$6:$ES$6,9)</f>
        <v>0</v>
      </c>
      <c r="M86" s="48">
        <f>SUMIFS(Calculo!$F$192:$ES$192,Calculo!$F$6:$ES$6,10)</f>
        <v>0</v>
      </c>
      <c r="N86" s="48">
        <f>SUMIFS(Calculo!$F$192:$ES$192,Calculo!$F$6:$ES$6,11)</f>
        <v>0</v>
      </c>
      <c r="O86" s="48">
        <f>SUMIFS(Calculo!$F$192:$ES$192,Calculo!$F$6:$ES$6,12)</f>
        <v>0</v>
      </c>
    </row>
    <row r="87" spans="1:15" x14ac:dyDescent="0.3">
      <c r="A87" s="14" t="s">
        <v>1506</v>
      </c>
      <c r="B87" s="18" t="str">
        <f>IF(INDEX(Prod_Nombre,17)="","Producto 17",INDEX(Prod_Nombre,17))</f>
        <v>Producto 17</v>
      </c>
      <c r="C87" s="54">
        <f t="shared" si="5"/>
        <v>0</v>
      </c>
      <c r="D87" s="48">
        <f>SUMIFS(Calculo!$F$193:$ES$193,Calculo!$F$6:$ES$6,1)</f>
        <v>0</v>
      </c>
      <c r="E87" s="48">
        <f>SUMIFS(Calculo!$F$193:$ES$193,Calculo!$F$6:$ES$6,2)</f>
        <v>0</v>
      </c>
      <c r="F87" s="48">
        <f>SUMIFS(Calculo!$F$193:$ES$193,Calculo!$F$6:$ES$6,3)</f>
        <v>0</v>
      </c>
      <c r="G87" s="48">
        <f>SUMIFS(Calculo!$F$193:$ES$193,Calculo!$F$6:$ES$6,4)</f>
        <v>0</v>
      </c>
      <c r="H87" s="48">
        <f>SUMIFS(Calculo!$F$193:$ES$193,Calculo!$F$6:$ES$6,5)</f>
        <v>0</v>
      </c>
      <c r="I87" s="48">
        <f>SUMIFS(Calculo!$F$193:$ES$193,Calculo!$F$6:$ES$6,6)</f>
        <v>0</v>
      </c>
      <c r="J87" s="48">
        <f>SUMIFS(Calculo!$F$193:$ES$193,Calculo!$F$6:$ES$6,7)</f>
        <v>0</v>
      </c>
      <c r="K87" s="48">
        <f>SUMIFS(Calculo!$F$193:$ES$193,Calculo!$F$6:$ES$6,8)</f>
        <v>0</v>
      </c>
      <c r="L87" s="48">
        <f>SUMIFS(Calculo!$F$193:$ES$193,Calculo!$F$6:$ES$6,9)</f>
        <v>0</v>
      </c>
      <c r="M87" s="48">
        <f>SUMIFS(Calculo!$F$193:$ES$193,Calculo!$F$6:$ES$6,10)</f>
        <v>0</v>
      </c>
      <c r="N87" s="48">
        <f>SUMIFS(Calculo!$F$193:$ES$193,Calculo!$F$6:$ES$6,11)</f>
        <v>0</v>
      </c>
      <c r="O87" s="48">
        <f>SUMIFS(Calculo!$F$193:$ES$193,Calculo!$F$6:$ES$6,12)</f>
        <v>0</v>
      </c>
    </row>
    <row r="88" spans="1:15" x14ac:dyDescent="0.3">
      <c r="A88" s="14" t="s">
        <v>1507</v>
      </c>
      <c r="B88" s="18" t="str">
        <f>IF(INDEX(Prod_Nombre,18)="","Producto 18",INDEX(Prod_Nombre,18))</f>
        <v>Producto 18</v>
      </c>
      <c r="C88" s="54">
        <f t="shared" si="5"/>
        <v>0</v>
      </c>
      <c r="D88" s="48">
        <f>SUMIFS(Calculo!$F$194:$ES$194,Calculo!$F$6:$ES$6,1)</f>
        <v>0</v>
      </c>
      <c r="E88" s="48">
        <f>SUMIFS(Calculo!$F$194:$ES$194,Calculo!$F$6:$ES$6,2)</f>
        <v>0</v>
      </c>
      <c r="F88" s="48">
        <f>SUMIFS(Calculo!$F$194:$ES$194,Calculo!$F$6:$ES$6,3)</f>
        <v>0</v>
      </c>
      <c r="G88" s="48">
        <f>SUMIFS(Calculo!$F$194:$ES$194,Calculo!$F$6:$ES$6,4)</f>
        <v>0</v>
      </c>
      <c r="H88" s="48">
        <f>SUMIFS(Calculo!$F$194:$ES$194,Calculo!$F$6:$ES$6,5)</f>
        <v>0</v>
      </c>
      <c r="I88" s="48">
        <f>SUMIFS(Calculo!$F$194:$ES$194,Calculo!$F$6:$ES$6,6)</f>
        <v>0</v>
      </c>
      <c r="J88" s="48">
        <f>SUMIFS(Calculo!$F$194:$ES$194,Calculo!$F$6:$ES$6,7)</f>
        <v>0</v>
      </c>
      <c r="K88" s="48">
        <f>SUMIFS(Calculo!$F$194:$ES$194,Calculo!$F$6:$ES$6,8)</f>
        <v>0</v>
      </c>
      <c r="L88" s="48">
        <f>SUMIFS(Calculo!$F$194:$ES$194,Calculo!$F$6:$ES$6,9)</f>
        <v>0</v>
      </c>
      <c r="M88" s="48">
        <f>SUMIFS(Calculo!$F$194:$ES$194,Calculo!$F$6:$ES$6,10)</f>
        <v>0</v>
      </c>
      <c r="N88" s="48">
        <f>SUMIFS(Calculo!$F$194:$ES$194,Calculo!$F$6:$ES$6,11)</f>
        <v>0</v>
      </c>
      <c r="O88" s="48">
        <f>SUMIFS(Calculo!$F$194:$ES$194,Calculo!$F$6:$ES$6,12)</f>
        <v>0</v>
      </c>
    </row>
    <row r="89" spans="1:15" x14ac:dyDescent="0.3">
      <c r="A89" s="14" t="s">
        <v>1508</v>
      </c>
      <c r="B89" s="18" t="str">
        <f>IF(INDEX(Prod_Nombre,19)="","Producto 19",INDEX(Prod_Nombre,19))</f>
        <v>Producto 19</v>
      </c>
      <c r="C89" s="54">
        <f t="shared" si="5"/>
        <v>0</v>
      </c>
      <c r="D89" s="48">
        <f>SUMIFS(Calculo!$F$195:$ES$195,Calculo!$F$6:$ES$6,1)</f>
        <v>0</v>
      </c>
      <c r="E89" s="48">
        <f>SUMIFS(Calculo!$F$195:$ES$195,Calculo!$F$6:$ES$6,2)</f>
        <v>0</v>
      </c>
      <c r="F89" s="48">
        <f>SUMIFS(Calculo!$F$195:$ES$195,Calculo!$F$6:$ES$6,3)</f>
        <v>0</v>
      </c>
      <c r="G89" s="48">
        <f>SUMIFS(Calculo!$F$195:$ES$195,Calculo!$F$6:$ES$6,4)</f>
        <v>0</v>
      </c>
      <c r="H89" s="48">
        <f>SUMIFS(Calculo!$F$195:$ES$195,Calculo!$F$6:$ES$6,5)</f>
        <v>0</v>
      </c>
      <c r="I89" s="48">
        <f>SUMIFS(Calculo!$F$195:$ES$195,Calculo!$F$6:$ES$6,6)</f>
        <v>0</v>
      </c>
      <c r="J89" s="48">
        <f>SUMIFS(Calculo!$F$195:$ES$195,Calculo!$F$6:$ES$6,7)</f>
        <v>0</v>
      </c>
      <c r="K89" s="48">
        <f>SUMIFS(Calculo!$F$195:$ES$195,Calculo!$F$6:$ES$6,8)</f>
        <v>0</v>
      </c>
      <c r="L89" s="48">
        <f>SUMIFS(Calculo!$F$195:$ES$195,Calculo!$F$6:$ES$6,9)</f>
        <v>0</v>
      </c>
      <c r="M89" s="48">
        <f>SUMIFS(Calculo!$F$195:$ES$195,Calculo!$F$6:$ES$6,10)</f>
        <v>0</v>
      </c>
      <c r="N89" s="48">
        <f>SUMIFS(Calculo!$F$195:$ES$195,Calculo!$F$6:$ES$6,11)</f>
        <v>0</v>
      </c>
      <c r="O89" s="48">
        <f>SUMIFS(Calculo!$F$195:$ES$195,Calculo!$F$6:$ES$6,12)</f>
        <v>0</v>
      </c>
    </row>
    <row r="90" spans="1:15" x14ac:dyDescent="0.3">
      <c r="A90" s="14" t="s">
        <v>1509</v>
      </c>
      <c r="B90" s="18" t="str">
        <f>IF(INDEX(Prod_Nombre,20)="","Producto 20",INDEX(Prod_Nombre,20))</f>
        <v>Producto 20</v>
      </c>
      <c r="C90" s="54">
        <f t="shared" si="5"/>
        <v>0</v>
      </c>
      <c r="D90" s="48">
        <f>SUMIFS(Calculo!$F$196:$ES$196,Calculo!$F$6:$ES$6,1)</f>
        <v>0</v>
      </c>
      <c r="E90" s="48">
        <f>SUMIFS(Calculo!$F$196:$ES$196,Calculo!$F$6:$ES$6,2)</f>
        <v>0</v>
      </c>
      <c r="F90" s="48">
        <f>SUMIFS(Calculo!$F$196:$ES$196,Calculo!$F$6:$ES$6,3)</f>
        <v>0</v>
      </c>
      <c r="G90" s="48">
        <f>SUMIFS(Calculo!$F$196:$ES$196,Calculo!$F$6:$ES$6,4)</f>
        <v>0</v>
      </c>
      <c r="H90" s="48">
        <f>SUMIFS(Calculo!$F$196:$ES$196,Calculo!$F$6:$ES$6,5)</f>
        <v>0</v>
      </c>
      <c r="I90" s="48">
        <f>SUMIFS(Calculo!$F$196:$ES$196,Calculo!$F$6:$ES$6,6)</f>
        <v>0</v>
      </c>
      <c r="J90" s="48">
        <f>SUMIFS(Calculo!$F$196:$ES$196,Calculo!$F$6:$ES$6,7)</f>
        <v>0</v>
      </c>
      <c r="K90" s="48">
        <f>SUMIFS(Calculo!$F$196:$ES$196,Calculo!$F$6:$ES$6,8)</f>
        <v>0</v>
      </c>
      <c r="L90" s="48">
        <f>SUMIFS(Calculo!$F$196:$ES$196,Calculo!$F$6:$ES$6,9)</f>
        <v>0</v>
      </c>
      <c r="M90" s="48">
        <f>SUMIFS(Calculo!$F$196:$ES$196,Calculo!$F$6:$ES$6,10)</f>
        <v>0</v>
      </c>
      <c r="N90" s="48">
        <f>SUMIFS(Calculo!$F$196:$ES$196,Calculo!$F$6:$ES$6,11)</f>
        <v>0</v>
      </c>
      <c r="O90" s="48">
        <f>SUMIFS(Calculo!$F$196:$ES$196,Calculo!$F$6:$ES$6,12)</f>
        <v>0</v>
      </c>
    </row>
    <row r="91" spans="1:15" x14ac:dyDescent="0.3">
      <c r="A91" s="14" t="s">
        <v>1510</v>
      </c>
      <c r="B91" s="18" t="str">
        <f>IF(INDEX(Prod_Nombre,21)="","Producto 21",INDEX(Prod_Nombre,21))</f>
        <v>Producto 21</v>
      </c>
      <c r="C91" s="54">
        <f t="shared" si="5"/>
        <v>0</v>
      </c>
      <c r="D91" s="48">
        <f>SUMIFS(Calculo!$F$197:$ES$197,Calculo!$F$6:$ES$6,1)</f>
        <v>0</v>
      </c>
      <c r="E91" s="48">
        <f>SUMIFS(Calculo!$F$197:$ES$197,Calculo!$F$6:$ES$6,2)</f>
        <v>0</v>
      </c>
      <c r="F91" s="48">
        <f>SUMIFS(Calculo!$F$197:$ES$197,Calculo!$F$6:$ES$6,3)</f>
        <v>0</v>
      </c>
      <c r="G91" s="48">
        <f>SUMIFS(Calculo!$F$197:$ES$197,Calculo!$F$6:$ES$6,4)</f>
        <v>0</v>
      </c>
      <c r="H91" s="48">
        <f>SUMIFS(Calculo!$F$197:$ES$197,Calculo!$F$6:$ES$6,5)</f>
        <v>0</v>
      </c>
      <c r="I91" s="48">
        <f>SUMIFS(Calculo!$F$197:$ES$197,Calculo!$F$6:$ES$6,6)</f>
        <v>0</v>
      </c>
      <c r="J91" s="48">
        <f>SUMIFS(Calculo!$F$197:$ES$197,Calculo!$F$6:$ES$6,7)</f>
        <v>0</v>
      </c>
      <c r="K91" s="48">
        <f>SUMIFS(Calculo!$F$197:$ES$197,Calculo!$F$6:$ES$6,8)</f>
        <v>0</v>
      </c>
      <c r="L91" s="48">
        <f>SUMIFS(Calculo!$F$197:$ES$197,Calculo!$F$6:$ES$6,9)</f>
        <v>0</v>
      </c>
      <c r="M91" s="48">
        <f>SUMIFS(Calculo!$F$197:$ES$197,Calculo!$F$6:$ES$6,10)</f>
        <v>0</v>
      </c>
      <c r="N91" s="48">
        <f>SUMIFS(Calculo!$F$197:$ES$197,Calculo!$F$6:$ES$6,11)</f>
        <v>0</v>
      </c>
      <c r="O91" s="48">
        <f>SUMIFS(Calculo!$F$197:$ES$197,Calculo!$F$6:$ES$6,12)</f>
        <v>0</v>
      </c>
    </row>
    <row r="92" spans="1:15" x14ac:dyDescent="0.3">
      <c r="A92" s="14" t="s">
        <v>1511</v>
      </c>
      <c r="B92" s="18" t="str">
        <f>IF(INDEX(Prod_Nombre,22)="","Producto 22",INDEX(Prod_Nombre,22))</f>
        <v>Producto 22</v>
      </c>
      <c r="C92" s="54">
        <f t="shared" si="5"/>
        <v>0</v>
      </c>
      <c r="D92" s="48">
        <f>SUMIFS(Calculo!$F$198:$ES$198,Calculo!$F$6:$ES$6,1)</f>
        <v>0</v>
      </c>
      <c r="E92" s="48">
        <f>SUMIFS(Calculo!$F$198:$ES$198,Calculo!$F$6:$ES$6,2)</f>
        <v>0</v>
      </c>
      <c r="F92" s="48">
        <f>SUMIFS(Calculo!$F$198:$ES$198,Calculo!$F$6:$ES$6,3)</f>
        <v>0</v>
      </c>
      <c r="G92" s="48">
        <f>SUMIFS(Calculo!$F$198:$ES$198,Calculo!$F$6:$ES$6,4)</f>
        <v>0</v>
      </c>
      <c r="H92" s="48">
        <f>SUMIFS(Calculo!$F$198:$ES$198,Calculo!$F$6:$ES$6,5)</f>
        <v>0</v>
      </c>
      <c r="I92" s="48">
        <f>SUMIFS(Calculo!$F$198:$ES$198,Calculo!$F$6:$ES$6,6)</f>
        <v>0</v>
      </c>
      <c r="J92" s="48">
        <f>SUMIFS(Calculo!$F$198:$ES$198,Calculo!$F$6:$ES$6,7)</f>
        <v>0</v>
      </c>
      <c r="K92" s="48">
        <f>SUMIFS(Calculo!$F$198:$ES$198,Calculo!$F$6:$ES$6,8)</f>
        <v>0</v>
      </c>
      <c r="L92" s="48">
        <f>SUMIFS(Calculo!$F$198:$ES$198,Calculo!$F$6:$ES$6,9)</f>
        <v>0</v>
      </c>
      <c r="M92" s="48">
        <f>SUMIFS(Calculo!$F$198:$ES$198,Calculo!$F$6:$ES$6,10)</f>
        <v>0</v>
      </c>
      <c r="N92" s="48">
        <f>SUMIFS(Calculo!$F$198:$ES$198,Calculo!$F$6:$ES$6,11)</f>
        <v>0</v>
      </c>
      <c r="O92" s="48">
        <f>SUMIFS(Calculo!$F$198:$ES$198,Calculo!$F$6:$ES$6,12)</f>
        <v>0</v>
      </c>
    </row>
    <row r="93" spans="1:15" x14ac:dyDescent="0.3">
      <c r="A93" s="14" t="s">
        <v>1512</v>
      </c>
      <c r="B93" s="18" t="str">
        <f>IF(INDEX(Prod_Nombre,23)="","Producto 23",INDEX(Prod_Nombre,23))</f>
        <v>Producto 23</v>
      </c>
      <c r="C93" s="54">
        <f t="shared" si="5"/>
        <v>0</v>
      </c>
      <c r="D93" s="48">
        <f>SUMIFS(Calculo!$F$199:$ES$199,Calculo!$F$6:$ES$6,1)</f>
        <v>0</v>
      </c>
      <c r="E93" s="48">
        <f>SUMIFS(Calculo!$F$199:$ES$199,Calculo!$F$6:$ES$6,2)</f>
        <v>0</v>
      </c>
      <c r="F93" s="48">
        <f>SUMIFS(Calculo!$F$199:$ES$199,Calculo!$F$6:$ES$6,3)</f>
        <v>0</v>
      </c>
      <c r="G93" s="48">
        <f>SUMIFS(Calculo!$F$199:$ES$199,Calculo!$F$6:$ES$6,4)</f>
        <v>0</v>
      </c>
      <c r="H93" s="48">
        <f>SUMIFS(Calculo!$F$199:$ES$199,Calculo!$F$6:$ES$6,5)</f>
        <v>0</v>
      </c>
      <c r="I93" s="48">
        <f>SUMIFS(Calculo!$F$199:$ES$199,Calculo!$F$6:$ES$6,6)</f>
        <v>0</v>
      </c>
      <c r="J93" s="48">
        <f>SUMIFS(Calculo!$F$199:$ES$199,Calculo!$F$6:$ES$6,7)</f>
        <v>0</v>
      </c>
      <c r="K93" s="48">
        <f>SUMIFS(Calculo!$F$199:$ES$199,Calculo!$F$6:$ES$6,8)</f>
        <v>0</v>
      </c>
      <c r="L93" s="48">
        <f>SUMIFS(Calculo!$F$199:$ES$199,Calculo!$F$6:$ES$6,9)</f>
        <v>0</v>
      </c>
      <c r="M93" s="48">
        <f>SUMIFS(Calculo!$F$199:$ES$199,Calculo!$F$6:$ES$6,10)</f>
        <v>0</v>
      </c>
      <c r="N93" s="48">
        <f>SUMIFS(Calculo!$F$199:$ES$199,Calculo!$F$6:$ES$6,11)</f>
        <v>0</v>
      </c>
      <c r="O93" s="48">
        <f>SUMIFS(Calculo!$F$199:$ES$199,Calculo!$F$6:$ES$6,12)</f>
        <v>0</v>
      </c>
    </row>
    <row r="94" spans="1:15" x14ac:dyDescent="0.3">
      <c r="A94" s="14" t="s">
        <v>1513</v>
      </c>
      <c r="B94" s="18" t="str">
        <f>IF(INDEX(Prod_Nombre,24)="","Producto 24",INDEX(Prod_Nombre,24))</f>
        <v>Producto 24</v>
      </c>
      <c r="C94" s="54">
        <f t="shared" si="5"/>
        <v>0</v>
      </c>
      <c r="D94" s="48">
        <f>SUMIFS(Calculo!$F$200:$ES$200,Calculo!$F$6:$ES$6,1)</f>
        <v>0</v>
      </c>
      <c r="E94" s="48">
        <f>SUMIFS(Calculo!$F$200:$ES$200,Calculo!$F$6:$ES$6,2)</f>
        <v>0</v>
      </c>
      <c r="F94" s="48">
        <f>SUMIFS(Calculo!$F$200:$ES$200,Calculo!$F$6:$ES$6,3)</f>
        <v>0</v>
      </c>
      <c r="G94" s="48">
        <f>SUMIFS(Calculo!$F$200:$ES$200,Calculo!$F$6:$ES$6,4)</f>
        <v>0</v>
      </c>
      <c r="H94" s="48">
        <f>SUMIFS(Calculo!$F$200:$ES$200,Calculo!$F$6:$ES$6,5)</f>
        <v>0</v>
      </c>
      <c r="I94" s="48">
        <f>SUMIFS(Calculo!$F$200:$ES$200,Calculo!$F$6:$ES$6,6)</f>
        <v>0</v>
      </c>
      <c r="J94" s="48">
        <f>SUMIFS(Calculo!$F$200:$ES$200,Calculo!$F$6:$ES$6,7)</f>
        <v>0</v>
      </c>
      <c r="K94" s="48">
        <f>SUMIFS(Calculo!$F$200:$ES$200,Calculo!$F$6:$ES$6,8)</f>
        <v>0</v>
      </c>
      <c r="L94" s="48">
        <f>SUMIFS(Calculo!$F$200:$ES$200,Calculo!$F$6:$ES$6,9)</f>
        <v>0</v>
      </c>
      <c r="M94" s="48">
        <f>SUMIFS(Calculo!$F$200:$ES$200,Calculo!$F$6:$ES$6,10)</f>
        <v>0</v>
      </c>
      <c r="N94" s="48">
        <f>SUMIFS(Calculo!$F$200:$ES$200,Calculo!$F$6:$ES$6,11)</f>
        <v>0</v>
      </c>
      <c r="O94" s="48">
        <f>SUMIFS(Calculo!$F$200:$ES$200,Calculo!$F$6:$ES$6,12)</f>
        <v>0</v>
      </c>
    </row>
    <row r="95" spans="1:15" x14ac:dyDescent="0.3">
      <c r="A95" s="14" t="s">
        <v>1514</v>
      </c>
      <c r="B95" s="18" t="str">
        <f>IF(INDEX(Prod_Nombre,25)="","Producto 25",INDEX(Prod_Nombre,25))</f>
        <v>Producto 25</v>
      </c>
      <c r="C95" s="54">
        <f t="shared" si="5"/>
        <v>0</v>
      </c>
      <c r="D95" s="48">
        <f>SUMIFS(Calculo!$F$201:$ES$201,Calculo!$F$6:$ES$6,1)</f>
        <v>0</v>
      </c>
      <c r="E95" s="48">
        <f>SUMIFS(Calculo!$F$201:$ES$201,Calculo!$F$6:$ES$6,2)</f>
        <v>0</v>
      </c>
      <c r="F95" s="48">
        <f>SUMIFS(Calculo!$F$201:$ES$201,Calculo!$F$6:$ES$6,3)</f>
        <v>0</v>
      </c>
      <c r="G95" s="48">
        <f>SUMIFS(Calculo!$F$201:$ES$201,Calculo!$F$6:$ES$6,4)</f>
        <v>0</v>
      </c>
      <c r="H95" s="48">
        <f>SUMIFS(Calculo!$F$201:$ES$201,Calculo!$F$6:$ES$6,5)</f>
        <v>0</v>
      </c>
      <c r="I95" s="48">
        <f>SUMIFS(Calculo!$F$201:$ES$201,Calculo!$F$6:$ES$6,6)</f>
        <v>0</v>
      </c>
      <c r="J95" s="48">
        <f>SUMIFS(Calculo!$F$201:$ES$201,Calculo!$F$6:$ES$6,7)</f>
        <v>0</v>
      </c>
      <c r="K95" s="48">
        <f>SUMIFS(Calculo!$F$201:$ES$201,Calculo!$F$6:$ES$6,8)</f>
        <v>0</v>
      </c>
      <c r="L95" s="48">
        <f>SUMIFS(Calculo!$F$201:$ES$201,Calculo!$F$6:$ES$6,9)</f>
        <v>0</v>
      </c>
      <c r="M95" s="48">
        <f>SUMIFS(Calculo!$F$201:$ES$201,Calculo!$F$6:$ES$6,10)</f>
        <v>0</v>
      </c>
      <c r="N95" s="48">
        <f>SUMIFS(Calculo!$F$201:$ES$201,Calculo!$F$6:$ES$6,11)</f>
        <v>0</v>
      </c>
      <c r="O95" s="48">
        <f>SUMIFS(Calculo!$F$201:$ES$201,Calculo!$F$6:$ES$6,12)</f>
        <v>0</v>
      </c>
    </row>
    <row r="97" spans="1:15" x14ac:dyDescent="0.3">
      <c r="A97" s="15" t="s">
        <v>1515</v>
      </c>
      <c r="B97" s="16"/>
      <c r="C97" s="16"/>
      <c r="D97" s="16"/>
      <c r="E97" s="16"/>
      <c r="F97" s="16"/>
      <c r="G97" s="16"/>
      <c r="H97" s="16"/>
      <c r="I97" s="16"/>
      <c r="J97" s="16"/>
      <c r="K97" s="16"/>
      <c r="L97" s="16"/>
      <c r="M97" s="16"/>
      <c r="N97" s="16"/>
      <c r="O97" s="16"/>
    </row>
    <row r="98" spans="1:15" x14ac:dyDescent="0.3">
      <c r="A98" s="17"/>
      <c r="B98" s="17" t="s">
        <v>1443</v>
      </c>
      <c r="C98" s="17" t="s">
        <v>480</v>
      </c>
      <c r="D98" s="17" t="s">
        <v>383</v>
      </c>
      <c r="E98" s="17" t="s">
        <v>384</v>
      </c>
      <c r="F98" s="17" t="s">
        <v>385</v>
      </c>
      <c r="G98" s="17" t="s">
        <v>386</v>
      </c>
      <c r="H98" s="17" t="s">
        <v>387</v>
      </c>
      <c r="I98" s="17" t="s">
        <v>388</v>
      </c>
      <c r="J98" s="17" t="s">
        <v>389</v>
      </c>
      <c r="K98" s="17" t="s">
        <v>390</v>
      </c>
      <c r="L98" s="17" t="s">
        <v>391</v>
      </c>
      <c r="M98" s="17" t="s">
        <v>392</v>
      </c>
      <c r="N98" s="17" t="s">
        <v>1444</v>
      </c>
      <c r="O98" s="17" t="s">
        <v>1445</v>
      </c>
    </row>
    <row r="99" spans="1:15" x14ac:dyDescent="0.3">
      <c r="B99" s="14" t="s">
        <v>1446</v>
      </c>
      <c r="D99" s="86" t="str">
        <f>IF(Corte&gt;=12,"Real",IF(Corte&gt;0,"Real+Proy.","Proyección"))</f>
        <v>Proyección</v>
      </c>
      <c r="E99" s="86" t="str">
        <f>IF(Corte&gt;=24,"Real",IF(Corte&gt;12,"Real+Proy.","Proyección"))</f>
        <v>Proyección</v>
      </c>
      <c r="F99" s="86" t="str">
        <f>IF(Corte&gt;=36,"Real",IF(Corte&gt;24,"Real+Proy.","Proyección"))</f>
        <v>Proyección</v>
      </c>
      <c r="G99" s="86" t="str">
        <f>IF(Corte&gt;=48,"Real",IF(Corte&gt;36,"Real+Proy.","Proyección"))</f>
        <v>Proyección</v>
      </c>
      <c r="H99" s="86" t="str">
        <f>IF(Corte&gt;=60,"Real",IF(Corte&gt;48,"Real+Proy.","Proyección"))</f>
        <v>Proyección</v>
      </c>
      <c r="I99" s="86" t="str">
        <f>IF(Corte&gt;=72,"Real",IF(Corte&gt;60,"Real+Proy.","Proyección"))</f>
        <v>Proyección</v>
      </c>
      <c r="J99" s="86" t="str">
        <f>IF(Corte&gt;=84,"Real",IF(Corte&gt;72,"Real+Proy.","Proyección"))</f>
        <v>Proyección</v>
      </c>
      <c r="K99" s="86" t="str">
        <f>IF(Corte&gt;=96,"Real",IF(Corte&gt;84,"Real+Proy.","Proyección"))</f>
        <v>Proyección</v>
      </c>
      <c r="L99" s="86" t="str">
        <f>IF(Corte&gt;=108,"Real",IF(Corte&gt;96,"Real+Proy.","Proyección"))</f>
        <v>Proyección</v>
      </c>
      <c r="M99" s="86" t="str">
        <f>IF(Corte&gt;=120,"Real",IF(Corte&gt;108,"Real+Proy.","Proyección"))</f>
        <v>Proyección</v>
      </c>
      <c r="N99" s="86" t="str">
        <f>IF(Corte&gt;=132,"Real",IF(Corte&gt;120,"Real+Proy.","Proyección"))</f>
        <v>Proyección</v>
      </c>
      <c r="O99" s="86" t="str">
        <f>IF(Corte&gt;=144,"Real",IF(Corte&gt;132,"Real+Proy.","Proyección"))</f>
        <v>Proyección</v>
      </c>
    </row>
    <row r="100" spans="1:15" x14ac:dyDescent="0.3">
      <c r="B100" s="14" t="s">
        <v>1447</v>
      </c>
      <c r="D100" s="87" t="str">
        <f>IF(n_Fecha1="","",YEAR(EOMONTH(n_Fecha1,0)))</f>
        <v/>
      </c>
      <c r="E100" s="87" t="str">
        <f>IF(n_Fecha1="","",YEAR(EOMONTH(n_Fecha1,12)))</f>
        <v/>
      </c>
      <c r="F100" s="87" t="str">
        <f>IF(n_Fecha1="","",YEAR(EOMONTH(n_Fecha1,24)))</f>
        <v/>
      </c>
      <c r="G100" s="87" t="str">
        <f>IF(n_Fecha1="","",YEAR(EOMONTH(n_Fecha1,36)))</f>
        <v/>
      </c>
      <c r="H100" s="87" t="str">
        <f>IF(n_Fecha1="","",YEAR(EOMONTH(n_Fecha1,48)))</f>
        <v/>
      </c>
      <c r="I100" s="87" t="str">
        <f>IF(n_Fecha1="","",YEAR(EOMONTH(n_Fecha1,60)))</f>
        <v/>
      </c>
      <c r="J100" s="87" t="str">
        <f>IF(n_Fecha1="","",YEAR(EOMONTH(n_Fecha1,72)))</f>
        <v/>
      </c>
      <c r="K100" s="87" t="str">
        <f>IF(n_Fecha1="","",YEAR(EOMONTH(n_Fecha1,84)))</f>
        <v/>
      </c>
      <c r="L100" s="87" t="str">
        <f>IF(n_Fecha1="","",YEAR(EOMONTH(n_Fecha1,96)))</f>
        <v/>
      </c>
      <c r="M100" s="87" t="str">
        <f>IF(n_Fecha1="","",YEAR(EOMONTH(n_Fecha1,108)))</f>
        <v/>
      </c>
      <c r="N100" s="87" t="str">
        <f>IF(n_Fecha1="","",YEAR(EOMONTH(n_Fecha1,120)))</f>
        <v/>
      </c>
      <c r="O100" s="87" t="str">
        <f>IF(n_Fecha1="","",YEAR(EOMONTH(n_Fecha1,132)))</f>
        <v/>
      </c>
    </row>
    <row r="101" spans="1:15" x14ac:dyDescent="0.3">
      <c r="A101" s="14" t="s">
        <v>1516</v>
      </c>
      <c r="B101" s="68" t="s">
        <v>437</v>
      </c>
      <c r="C101" s="54">
        <f t="shared" ref="C101:C110" si="6">SUM(D101:O101)</f>
        <v>81222447.7216454</v>
      </c>
      <c r="D101" s="22">
        <f>SUMIFS(Calculo!$F$71:$ES$71,Calculo!$F$6:$ES$6,1)</f>
        <v>4849999.9999999991</v>
      </c>
      <c r="E101" s="22">
        <f>SUMIFS(Calculo!$F$71:$ES$71,Calculo!$F$6:$ES$6,2)</f>
        <v>6181200</v>
      </c>
      <c r="F101" s="22">
        <f>SUMIFS(Calculo!$F$71:$ES$71,Calculo!$F$6:$ES$6,3)</f>
        <v>7538538.9999999972</v>
      </c>
      <c r="G101" s="22">
        <f>SUMIFS(Calculo!$F$71:$ES$71,Calculo!$F$6:$ES$6,4)</f>
        <v>8685437.4299999978</v>
      </c>
      <c r="H101" s="22">
        <f>SUMIFS(Calculo!$F$71:$ES$71,Calculo!$F$6:$ES$6,5)</f>
        <v>8772291.8043000009</v>
      </c>
      <c r="I101" s="22">
        <f>SUMIFS(Calculo!$F$71:$ES$71,Calculo!$F$6:$ES$6,6)</f>
        <v>8860014.7223430015</v>
      </c>
      <c r="J101" s="22">
        <f>SUMIFS(Calculo!$F$71:$ES$71,Calculo!$F$6:$ES$6,7)</f>
        <v>8948614.8695664275</v>
      </c>
      <c r="K101" s="22">
        <f>SUMIFS(Calculo!$F$71:$ES$71,Calculo!$F$6:$ES$6,8)</f>
        <v>9038101.0182620939</v>
      </c>
      <c r="L101" s="22">
        <f>SUMIFS(Calculo!$F$71:$ES$71,Calculo!$F$6:$ES$6,9)</f>
        <v>9128482.028444713</v>
      </c>
      <c r="M101" s="22">
        <f>SUMIFS(Calculo!$F$71:$ES$71,Calculo!$F$6:$ES$6,10)</f>
        <v>9219766.8487291615</v>
      </c>
      <c r="N101" s="22">
        <f>SUMIFS(Calculo!$F$71:$ES$71,Calculo!$F$6:$ES$6,11)</f>
        <v>0</v>
      </c>
      <c r="O101" s="22">
        <f>SUMIFS(Calculo!$F$71:$ES$71,Calculo!$F$6:$ES$6,12)</f>
        <v>0</v>
      </c>
    </row>
    <row r="102" spans="1:15" x14ac:dyDescent="0.3">
      <c r="A102" s="14" t="s">
        <v>1517</v>
      </c>
      <c r="B102" s="68" t="s">
        <v>440</v>
      </c>
      <c r="C102" s="54">
        <f t="shared" si="6"/>
        <v>16309504.016261017</v>
      </c>
      <c r="D102" s="22">
        <f>SUMIFS(Calculo!$F$102:$ES$102,Calculo!$F$6:$ES$6,1)</f>
        <v>509970.00570707704</v>
      </c>
      <c r="E102" s="22">
        <f>SUMIFS(Calculo!$F$102:$ES$102,Calculo!$F$6:$ES$6,2)</f>
        <v>965956.83592757722</v>
      </c>
      <c r="F102" s="22">
        <f>SUMIFS(Calculo!$F$102:$ES$102,Calculo!$F$6:$ES$6,3)</f>
        <v>1405020.3703814961</v>
      </c>
      <c r="G102" s="22">
        <f>SUMIFS(Calculo!$F$102:$ES$102,Calculo!$F$6:$ES$6,4)</f>
        <v>1798722.9585582998</v>
      </c>
      <c r="H102" s="22">
        <f>SUMIFS(Calculo!$F$102:$ES$102,Calculo!$F$6:$ES$6,5)</f>
        <v>1814557.9785164844</v>
      </c>
      <c r="I102" s="22">
        <f>SUMIFS(Calculo!$F$102:$ES$102,Calculo!$F$6:$ES$6,6)</f>
        <v>1863605.3015739138</v>
      </c>
      <c r="J102" s="22">
        <f>SUMIFS(Calculo!$F$102:$ES$102,Calculo!$F$6:$ES$6,7)</f>
        <v>1912992.2698727967</v>
      </c>
      <c r="K102" s="22">
        <f>SUMIFS(Calculo!$F$102:$ES$102,Calculo!$F$6:$ES$6,8)</f>
        <v>1962717.82255545</v>
      </c>
      <c r="L102" s="22">
        <f>SUMIFS(Calculo!$F$102:$ES$102,Calculo!$F$6:$ES$6,9)</f>
        <v>2012780.7557868911</v>
      </c>
      <c r="M102" s="22">
        <f>SUMIFS(Calculo!$F$102:$ES$102,Calculo!$F$6:$ES$6,10)</f>
        <v>2063179.7173810329</v>
      </c>
      <c r="N102" s="22">
        <f>SUMIFS(Calculo!$F$102:$ES$102,Calculo!$F$6:$ES$6,11)</f>
        <v>0</v>
      </c>
      <c r="O102" s="22">
        <f>SUMIFS(Calculo!$F$102:$ES$102,Calculo!$F$6:$ES$6,12)</f>
        <v>0</v>
      </c>
    </row>
    <row r="103" spans="1:15" x14ac:dyDescent="0.3">
      <c r="A103" s="14" t="s">
        <v>1518</v>
      </c>
      <c r="B103" s="68" t="s">
        <v>1381</v>
      </c>
      <c r="C103" s="54">
        <f t="shared" si="6"/>
        <v>14751245.798036564</v>
      </c>
      <c r="D103" s="22">
        <f>SUMIFS(Calculo!$F$107:$ES$107,Calculo!$F$6:$ES$6,1)</f>
        <v>167275.86427605138</v>
      </c>
      <c r="E103" s="22">
        <f>SUMIFS(Calculo!$F$107:$ES$107,Calculo!$F$6:$ES$6,2)</f>
        <v>658090.37280612544</v>
      </c>
      <c r="F103" s="22">
        <f>SUMIFS(Calculo!$F$107:$ES$107,Calculo!$F$6:$ES$6,3)</f>
        <v>1154012.1884403287</v>
      </c>
      <c r="G103" s="22">
        <f>SUMIFS(Calculo!$F$107:$ES$107,Calculo!$F$6:$ES$6,4)</f>
        <v>1609906.7567618443</v>
      </c>
      <c r="H103" s="22">
        <f>SUMIFS(Calculo!$F$107:$ES$107,Calculo!$F$6:$ES$6,5)</f>
        <v>1693767.7935821309</v>
      </c>
      <c r="I103" s="22">
        <f>SUMIFS(Calculo!$F$107:$ES$107,Calculo!$F$6:$ES$6,6)</f>
        <v>1794188.6925739141</v>
      </c>
      <c r="J103" s="22">
        <f>SUMIFS(Calculo!$F$107:$ES$107,Calculo!$F$6:$ES$6,7)</f>
        <v>1843575.6608727975</v>
      </c>
      <c r="K103" s="22">
        <f>SUMIFS(Calculo!$F$107:$ES$107,Calculo!$F$6:$ES$6,8)</f>
        <v>1893301.2135554499</v>
      </c>
      <c r="L103" s="22">
        <f>SUMIFS(Calculo!$F$107:$ES$107,Calculo!$F$6:$ES$6,9)</f>
        <v>1943364.14678689</v>
      </c>
      <c r="M103" s="22">
        <f>SUMIFS(Calculo!$F$107:$ES$107,Calculo!$F$6:$ES$6,10)</f>
        <v>1993763.1083810339</v>
      </c>
      <c r="N103" s="22">
        <f>SUMIFS(Calculo!$F$107:$ES$107,Calculo!$F$6:$ES$6,11)</f>
        <v>0</v>
      </c>
      <c r="O103" s="22">
        <f>SUMIFS(Calculo!$F$107:$ES$107,Calculo!$F$6:$ES$6,12)</f>
        <v>0</v>
      </c>
    </row>
    <row r="104" spans="1:15" x14ac:dyDescent="0.3">
      <c r="A104" s="14" t="s">
        <v>1519</v>
      </c>
      <c r="B104" s="18" t="s">
        <v>1382</v>
      </c>
      <c r="C104" s="54">
        <f t="shared" si="6"/>
        <v>11809741.498938737</v>
      </c>
      <c r="D104" s="48">
        <f>SUMIFS(Calculo!$F$116:$ES$116,Calculo!$F$6:$ES$6,1)</f>
        <v>-1878093.8816519543</v>
      </c>
      <c r="E104" s="48">
        <f>SUMIFS(Calculo!$F$116:$ES$116,Calculo!$F$6:$ES$6,2)</f>
        <v>310811.39153193327</v>
      </c>
      <c r="F104" s="48">
        <f>SUMIFS(Calculo!$F$116:$ES$116,Calculo!$F$6:$ES$6,3)</f>
        <v>737693.43974907335</v>
      </c>
      <c r="G104" s="48">
        <f>SUMIFS(Calculo!$F$116:$ES$116,Calculo!$F$6:$ES$6,4)</f>
        <v>1239913.8886249869</v>
      </c>
      <c r="H104" s="48">
        <f>SUMIFS(Calculo!$F$116:$ES$116,Calculo!$F$6:$ES$6,5)</f>
        <v>1776448.4308106245</v>
      </c>
      <c r="I104" s="48">
        <f>SUMIFS(Calculo!$F$116:$ES$116,Calculo!$F$6:$ES$6,6)</f>
        <v>1825880.4451053173</v>
      </c>
      <c r="J104" s="48">
        <f>SUMIFS(Calculo!$F$116:$ES$116,Calculo!$F$6:$ES$6,7)</f>
        <v>1874902.3766480163</v>
      </c>
      <c r="K104" s="48">
        <f>SUMIFS(Calculo!$F$116:$ES$116,Calculo!$F$6:$ES$6,8)</f>
        <v>1924259.6048609309</v>
      </c>
      <c r="L104" s="48">
        <f>SUMIFS(Calculo!$F$116:$ES$116,Calculo!$F$6:$ES$6,9)</f>
        <v>1973950.9038375551</v>
      </c>
      <c r="M104" s="48">
        <f>SUMIFS(Calculo!$F$116:$ES$116,Calculo!$F$6:$ES$6,10)</f>
        <v>2023974.8994222551</v>
      </c>
      <c r="N104" s="48">
        <f>SUMIFS(Calculo!$F$116:$ES$116,Calculo!$F$6:$ES$6,11)</f>
        <v>0</v>
      </c>
      <c r="O104" s="48">
        <f>SUMIFS(Calculo!$F$116:$ES$116,Calculo!$F$6:$ES$6,12)</f>
        <v>0</v>
      </c>
    </row>
    <row r="105" spans="1:15" x14ac:dyDescent="0.3">
      <c r="A105" s="14" t="s">
        <v>1520</v>
      </c>
      <c r="B105" s="18" t="s">
        <v>945</v>
      </c>
      <c r="C105" s="54">
        <f t="shared" si="6"/>
        <v>755044.08999999985</v>
      </c>
      <c r="D105" s="48">
        <f>SUMIFS(Calculo!$F$117:$ES$117,Calculo!$F$6:$ES$6,1)</f>
        <v>655044.08999999985</v>
      </c>
      <c r="E105" s="48">
        <f>SUMIFS(Calculo!$F$117:$ES$117,Calculo!$F$6:$ES$6,2)</f>
        <v>100000</v>
      </c>
      <c r="F105" s="48">
        <f>SUMIFS(Calculo!$F$117:$ES$117,Calculo!$F$6:$ES$6,3)</f>
        <v>0</v>
      </c>
      <c r="G105" s="48">
        <f>SUMIFS(Calculo!$F$117:$ES$117,Calculo!$F$6:$ES$6,4)</f>
        <v>0</v>
      </c>
      <c r="H105" s="48">
        <f>SUMIFS(Calculo!$F$117:$ES$117,Calculo!$F$6:$ES$6,5)</f>
        <v>0</v>
      </c>
      <c r="I105" s="48">
        <f>SUMIFS(Calculo!$F$117:$ES$117,Calculo!$F$6:$ES$6,6)</f>
        <v>0</v>
      </c>
      <c r="J105" s="48">
        <f>SUMIFS(Calculo!$F$117:$ES$117,Calculo!$F$6:$ES$6,7)</f>
        <v>0</v>
      </c>
      <c r="K105" s="48">
        <f>SUMIFS(Calculo!$F$117:$ES$117,Calculo!$F$6:$ES$6,8)</f>
        <v>0</v>
      </c>
      <c r="L105" s="48">
        <f>SUMIFS(Calculo!$F$117:$ES$117,Calculo!$F$6:$ES$6,9)</f>
        <v>0</v>
      </c>
      <c r="M105" s="48">
        <f>SUMIFS(Calculo!$F$117:$ES$117,Calculo!$F$6:$ES$6,10)</f>
        <v>0</v>
      </c>
      <c r="N105" s="48">
        <f>SUMIFS(Calculo!$F$117:$ES$117,Calculo!$F$6:$ES$6,11)</f>
        <v>0</v>
      </c>
      <c r="O105" s="48">
        <f>SUMIFS(Calculo!$F$117:$ES$117,Calculo!$F$6:$ES$6,12)</f>
        <v>0</v>
      </c>
    </row>
    <row r="106" spans="1:15" x14ac:dyDescent="0.3">
      <c r="A106" s="14" t="s">
        <v>1521</v>
      </c>
      <c r="B106" s="68" t="s">
        <v>1468</v>
      </c>
      <c r="C106" s="54">
        <f t="shared" si="6"/>
        <v>15564459.926261019</v>
      </c>
      <c r="D106" s="22">
        <f>SUMIFS(Calculo!$F$120:$ES$120,Calculo!$F$6:$ES$6,1)</f>
        <v>-2533137.9716519541</v>
      </c>
      <c r="E106" s="22">
        <f>SUMIFS(Calculo!$F$120:$ES$120,Calculo!$F$6:$ES$6,2)</f>
        <v>210811.39153193322</v>
      </c>
      <c r="F106" s="22">
        <f>SUMIFS(Calculo!$F$120:$ES$120,Calculo!$F$6:$ES$6,3)</f>
        <v>737693.43974907335</v>
      </c>
      <c r="G106" s="22">
        <f>SUMIFS(Calculo!$F$120:$ES$120,Calculo!$F$6:$ES$6,4)</f>
        <v>1239913.8886249869</v>
      </c>
      <c r="H106" s="22">
        <f>SUMIFS(Calculo!$F$120:$ES$120,Calculo!$F$6:$ES$6,5)</f>
        <v>1776448.4308106245</v>
      </c>
      <c r="I106" s="22">
        <f>SUMIFS(Calculo!$F$120:$ES$120,Calculo!$F$6:$ES$6,6)</f>
        <v>1825880.4451053173</v>
      </c>
      <c r="J106" s="22">
        <f>SUMIFS(Calculo!$F$120:$ES$120,Calculo!$F$6:$ES$6,7)</f>
        <v>1874902.3766480163</v>
      </c>
      <c r="K106" s="22">
        <f>SUMIFS(Calculo!$F$120:$ES$120,Calculo!$F$6:$ES$6,8)</f>
        <v>1924259.6048609309</v>
      </c>
      <c r="L106" s="22">
        <f>SUMIFS(Calculo!$F$120:$ES$120,Calculo!$F$6:$ES$6,9)</f>
        <v>1973950.9038375551</v>
      </c>
      <c r="M106" s="22">
        <f>SUMIFS(Calculo!$F$120:$ES$120,Calculo!$F$6:$ES$6,10)</f>
        <v>6533737.4167445358</v>
      </c>
      <c r="N106" s="22">
        <f>SUMIFS(Calculo!$F$120:$ES$120,Calculo!$F$6:$ES$6,11)</f>
        <v>0</v>
      </c>
      <c r="O106" s="22">
        <f>SUMIFS(Calculo!$F$120:$ES$120,Calculo!$F$6:$ES$6,12)</f>
        <v>0</v>
      </c>
    </row>
    <row r="107" spans="1:15" x14ac:dyDescent="0.3">
      <c r="A107" s="14" t="s">
        <v>1522</v>
      </c>
      <c r="B107" s="18" t="s">
        <v>1172</v>
      </c>
      <c r="C107" s="54">
        <f t="shared" si="6"/>
        <v>1139710</v>
      </c>
      <c r="D107" s="48">
        <f>SUMIFS(Calculo!$F$138:$ES$138,Calculo!$F$6:$ES$6,1)</f>
        <v>767782</v>
      </c>
      <c r="E107" s="48">
        <f>SUMIFS(Calculo!$F$138:$ES$138,Calculo!$F$6:$ES$6,2)</f>
        <v>371928</v>
      </c>
      <c r="F107" s="48">
        <f>SUMIFS(Calculo!$F$138:$ES$138,Calculo!$F$6:$ES$6,3)</f>
        <v>0</v>
      </c>
      <c r="G107" s="48">
        <f>SUMIFS(Calculo!$F$138:$ES$138,Calculo!$F$6:$ES$6,4)</f>
        <v>0</v>
      </c>
      <c r="H107" s="48">
        <f>SUMIFS(Calculo!$F$138:$ES$138,Calculo!$F$6:$ES$6,5)</f>
        <v>0</v>
      </c>
      <c r="I107" s="48">
        <f>SUMIFS(Calculo!$F$138:$ES$138,Calculo!$F$6:$ES$6,6)</f>
        <v>0</v>
      </c>
      <c r="J107" s="48">
        <f>SUMIFS(Calculo!$F$138:$ES$138,Calculo!$F$6:$ES$6,7)</f>
        <v>0</v>
      </c>
      <c r="K107" s="48">
        <f>SUMIFS(Calculo!$F$138:$ES$138,Calculo!$F$6:$ES$6,8)</f>
        <v>0</v>
      </c>
      <c r="L107" s="48">
        <f>SUMIFS(Calculo!$F$138:$ES$138,Calculo!$F$6:$ES$6,9)</f>
        <v>0</v>
      </c>
      <c r="M107" s="48">
        <f>SUMIFS(Calculo!$F$138:$ES$138,Calculo!$F$6:$ES$6,10)</f>
        <v>0</v>
      </c>
      <c r="N107" s="48">
        <f>SUMIFS(Calculo!$F$138:$ES$138,Calculo!$F$6:$ES$6,11)</f>
        <v>0</v>
      </c>
      <c r="O107" s="48">
        <f>SUMIFS(Calculo!$F$138:$ES$138,Calculo!$F$6:$ES$6,12)</f>
        <v>0</v>
      </c>
    </row>
    <row r="108" spans="1:15" x14ac:dyDescent="0.3">
      <c r="A108" s="14" t="s">
        <v>1523</v>
      </c>
      <c r="B108" s="18" t="s">
        <v>1112</v>
      </c>
      <c r="C108" s="54">
        <f t="shared" si="6"/>
        <v>813214.12822445354</v>
      </c>
      <c r="D108" s="48">
        <f>SUMIFS(Calculo!$F$105:$ES$105,Calculo!$F$6:$ES$6,1)</f>
        <v>271101.93243102555</v>
      </c>
      <c r="E108" s="48">
        <f>SUMIFS(Calculo!$F$105:$ES$105,Calculo!$F$6:$ES$6,2)</f>
        <v>226274.25412145205</v>
      </c>
      <c r="F108" s="48">
        <f>SUMIFS(Calculo!$F$105:$ES$105,Calculo!$F$6:$ES$6,3)</f>
        <v>169415.97294116725</v>
      </c>
      <c r="G108" s="48">
        <f>SUMIFS(Calculo!$F$105:$ES$105,Calculo!$F$6:$ES$6,4)</f>
        <v>107223.99279645558</v>
      </c>
      <c r="H108" s="48">
        <f>SUMIFS(Calculo!$F$105:$ES$105,Calculo!$F$6:$ES$6,5)</f>
        <v>39197.975934353104</v>
      </c>
      <c r="I108" s="48">
        <f>SUMIFS(Calculo!$F$105:$ES$105,Calculo!$F$6:$ES$6,6)</f>
        <v>0</v>
      </c>
      <c r="J108" s="48">
        <f>SUMIFS(Calculo!$F$105:$ES$105,Calculo!$F$6:$ES$6,7)</f>
        <v>0</v>
      </c>
      <c r="K108" s="48">
        <f>SUMIFS(Calculo!$F$105:$ES$105,Calculo!$F$6:$ES$6,8)</f>
        <v>0</v>
      </c>
      <c r="L108" s="48">
        <f>SUMIFS(Calculo!$F$105:$ES$105,Calculo!$F$6:$ES$6,9)</f>
        <v>0</v>
      </c>
      <c r="M108" s="48">
        <f>SUMIFS(Calculo!$F$105:$ES$105,Calculo!$F$6:$ES$6,10)</f>
        <v>0</v>
      </c>
      <c r="N108" s="48">
        <f>SUMIFS(Calculo!$F$105:$ES$105,Calculo!$F$6:$ES$6,11)</f>
        <v>0</v>
      </c>
      <c r="O108" s="48">
        <f>SUMIFS(Calculo!$F$105:$ES$105,Calculo!$F$6:$ES$6,12)</f>
        <v>0</v>
      </c>
    </row>
    <row r="109" spans="1:15" x14ac:dyDescent="0.3">
      <c r="A109" s="14" t="s">
        <v>1524</v>
      </c>
      <c r="B109" s="18" t="s">
        <v>1384</v>
      </c>
      <c r="C109" s="54">
        <f t="shared" si="6"/>
        <v>2791587.0000000014</v>
      </c>
      <c r="D109" s="48">
        <f>SUMIFS(Calculo!$F$147:$ES$147,Calculo!$F$6:$ES$6,1)</f>
        <v>257526.35235810335</v>
      </c>
      <c r="E109" s="48">
        <f>SUMIFS(Calculo!$F$147:$ES$147,Calculo!$F$6:$ES$6,2)</f>
        <v>551018.61175311485</v>
      </c>
      <c r="F109" s="48">
        <f>SUMIFS(Calculo!$F$147:$ES$147,Calculo!$F$6:$ES$6,3)</f>
        <v>602707.95828064648</v>
      </c>
      <c r="G109" s="48">
        <f>SUMIFS(Calculo!$F$147:$ES$147,Calculo!$F$6:$ES$6,4)</f>
        <v>659246.12204856623</v>
      </c>
      <c r="H109" s="48">
        <f>SUMIFS(Calculo!$F$147:$ES$147,Calculo!$F$6:$ES$6,5)</f>
        <v>721087.95555957023</v>
      </c>
      <c r="I109" s="48">
        <f>SUMIFS(Calculo!$F$147:$ES$147,Calculo!$F$6:$ES$6,6)</f>
        <v>0</v>
      </c>
      <c r="J109" s="48">
        <f>SUMIFS(Calculo!$F$147:$ES$147,Calculo!$F$6:$ES$6,7)</f>
        <v>0</v>
      </c>
      <c r="K109" s="48">
        <f>SUMIFS(Calculo!$F$147:$ES$147,Calculo!$F$6:$ES$6,8)</f>
        <v>0</v>
      </c>
      <c r="L109" s="48">
        <f>SUMIFS(Calculo!$F$147:$ES$147,Calculo!$F$6:$ES$6,9)</f>
        <v>0</v>
      </c>
      <c r="M109" s="48">
        <f>SUMIFS(Calculo!$F$147:$ES$147,Calculo!$F$6:$ES$6,10)</f>
        <v>0</v>
      </c>
      <c r="N109" s="48">
        <f>SUMIFS(Calculo!$F$147:$ES$147,Calculo!$F$6:$ES$6,11)</f>
        <v>0</v>
      </c>
      <c r="O109" s="48">
        <f>SUMIFS(Calculo!$F$147:$ES$147,Calculo!$F$6:$ES$6,12)</f>
        <v>0</v>
      </c>
    </row>
    <row r="110" spans="1:15" x14ac:dyDescent="0.3">
      <c r="A110" s="14" t="s">
        <v>1525</v>
      </c>
      <c r="B110" s="18" t="s">
        <v>1473</v>
      </c>
      <c r="C110" s="54">
        <f t="shared" si="6"/>
        <v>2791587.0000000014</v>
      </c>
      <c r="D110" s="48">
        <f>SUMIFS(Calculo!$F$137:$ES$137,Calculo!$F$6:$ES$6,1)</f>
        <v>257526.35235810335</v>
      </c>
      <c r="E110" s="48">
        <f>SUMIFS(Calculo!$F$137:$ES$137,Calculo!$F$6:$ES$6,2)</f>
        <v>551018.61175311485</v>
      </c>
      <c r="F110" s="48">
        <f>SUMIFS(Calculo!$F$137:$ES$137,Calculo!$F$6:$ES$6,3)</f>
        <v>602707.95828064648</v>
      </c>
      <c r="G110" s="48">
        <f>SUMIFS(Calculo!$F$137:$ES$137,Calculo!$F$6:$ES$6,4)</f>
        <v>659246.12204856623</v>
      </c>
      <c r="H110" s="48">
        <f>SUMIFS(Calculo!$F$137:$ES$137,Calculo!$F$6:$ES$6,5)</f>
        <v>721087.95555957023</v>
      </c>
      <c r="I110" s="48">
        <f>SUMIFS(Calculo!$F$137:$ES$137,Calculo!$F$6:$ES$6,6)</f>
        <v>0</v>
      </c>
      <c r="J110" s="48">
        <f>SUMIFS(Calculo!$F$137:$ES$137,Calculo!$F$6:$ES$6,7)</f>
        <v>0</v>
      </c>
      <c r="K110" s="48">
        <f>SUMIFS(Calculo!$F$137:$ES$137,Calculo!$F$6:$ES$6,8)</f>
        <v>0</v>
      </c>
      <c r="L110" s="48">
        <f>SUMIFS(Calculo!$F$137:$ES$137,Calculo!$F$6:$ES$6,9)</f>
        <v>0</v>
      </c>
      <c r="M110" s="48">
        <f>SUMIFS(Calculo!$F$137:$ES$137,Calculo!$F$6:$ES$6,10)</f>
        <v>0</v>
      </c>
      <c r="N110" s="48">
        <f>SUMIFS(Calculo!$F$137:$ES$137,Calculo!$F$6:$ES$6,11)</f>
        <v>0</v>
      </c>
      <c r="O110" s="48">
        <f>SUMIFS(Calculo!$F$137:$ES$137,Calculo!$F$6:$ES$6,12)</f>
        <v>0</v>
      </c>
    </row>
    <row r="111" spans="1:15" x14ac:dyDescent="0.3">
      <c r="A111" s="14" t="s">
        <v>1526</v>
      </c>
      <c r="B111" s="68" t="s">
        <v>1385</v>
      </c>
      <c r="C111" s="54">
        <f>INDEX(Calculo!$F$154:$ES$154,1,MIN(144,Fin))</f>
        <v>1637883.6441760929</v>
      </c>
      <c r="D111" s="22">
        <f>INDEX(Calculo!$F$154:$ES$154,1,MIN(144,12))</f>
        <v>497602.74355891842</v>
      </c>
      <c r="E111" s="22">
        <f>INDEX(Calculo!$F$154:$ES$154,1,MIN(144,24))</f>
        <v>303049.26921628485</v>
      </c>
      <c r="F111" s="22">
        <f>INDEX(Calculo!$F$154:$ES$154,1,MIN(144,36))</f>
        <v>268618.77774354449</v>
      </c>
      <c r="G111" s="22">
        <f>INDEX(Calculo!$F$154:$ES$154,1,MIN(144,48))</f>
        <v>742062.55152350944</v>
      </c>
      <c r="H111" s="22">
        <f>INDEX(Calculo!$F$154:$ES$154,1,MIN(144,60))</f>
        <v>953271.67245928815</v>
      </c>
      <c r="I111" s="22">
        <f>INDEX(Calculo!$F$154:$ES$154,1,MIN(144,72))</f>
        <v>1315225.5731963872</v>
      </c>
      <c r="J111" s="22">
        <f>INDEX(Calculo!$F$154:$ES$154,1,MIN(144,84))</f>
        <v>1395939.2572704894</v>
      </c>
      <c r="K111" s="22">
        <f>INDEX(Calculo!$F$154:$ES$154,1,MIN(144,96))</f>
        <v>1476623.2012586226</v>
      </c>
      <c r="L111" s="22">
        <f>INDEX(Calculo!$F$154:$ES$154,1,MIN(144,108))</f>
        <v>1557272.891540728</v>
      </c>
      <c r="M111" s="22">
        <f>INDEX(Calculo!$F$154:$ES$154,1,MIN(144,120))</f>
        <v>1637883.6441760929</v>
      </c>
      <c r="N111" s="22">
        <f>INDEX(Calculo!$F$154:$ES$154,1,MIN(144,132))</f>
        <v>1637883.6441760929</v>
      </c>
      <c r="O111" s="22">
        <f>INDEX(Calculo!$F$154:$ES$154,1,MIN(144,144))</f>
        <v>1637883.6441760929</v>
      </c>
    </row>
    <row r="112" spans="1:15" x14ac:dyDescent="0.3">
      <c r="A112" s="14" t="s">
        <v>1527</v>
      </c>
      <c r="B112" s="18" t="s">
        <v>1386</v>
      </c>
      <c r="C112" s="54">
        <f>INDEX(Calculo!$F$148:$ES$148,1,MIN(144,Fin))</f>
        <v>0</v>
      </c>
      <c r="D112" s="48">
        <f>INDEX(Calculo!$F$148:$ES$148,1,MIN(144,12))</f>
        <v>2534060.6476418972</v>
      </c>
      <c r="E112" s="48">
        <f>INDEX(Calculo!$F$148:$ES$148,1,MIN(144,24))</f>
        <v>1983042.0358887829</v>
      </c>
      <c r="F112" s="48">
        <f>INDEX(Calculo!$F$148:$ES$148,1,MIN(144,36))</f>
        <v>1380334.0776081365</v>
      </c>
      <c r="G112" s="48">
        <f>INDEX(Calculo!$F$148:$ES$148,1,MIN(144,48))</f>
        <v>721087.95555957023</v>
      </c>
      <c r="H112" s="48">
        <f>INDEX(Calculo!$F$148:$ES$148,1,MIN(144,60))</f>
        <v>0</v>
      </c>
      <c r="I112" s="48">
        <f>INDEX(Calculo!$F$148:$ES$148,1,MIN(144,72))</f>
        <v>0</v>
      </c>
      <c r="J112" s="48">
        <f>INDEX(Calculo!$F$148:$ES$148,1,MIN(144,84))</f>
        <v>0</v>
      </c>
      <c r="K112" s="48">
        <f>INDEX(Calculo!$F$148:$ES$148,1,MIN(144,96))</f>
        <v>0</v>
      </c>
      <c r="L112" s="48">
        <f>INDEX(Calculo!$F$148:$ES$148,1,MIN(144,108))</f>
        <v>0</v>
      </c>
      <c r="M112" s="48">
        <f>INDEX(Calculo!$F$148:$ES$148,1,MIN(144,120))</f>
        <v>0</v>
      </c>
      <c r="N112" s="48">
        <f>INDEX(Calculo!$F$148:$ES$148,1,MIN(144,132))</f>
        <v>0</v>
      </c>
      <c r="O112" s="48">
        <f>INDEX(Calculo!$F$148:$ES$148,1,MIN(144,144))</f>
        <v>0</v>
      </c>
    </row>
    <row r="113" spans="1:15" x14ac:dyDescent="0.3">
      <c r="A113" s="14" t="s">
        <v>1528</v>
      </c>
      <c r="B113" s="18" t="s">
        <v>1480</v>
      </c>
      <c r="C113" s="54">
        <f>INDEX(Calculo!$F$113:$ES$113,1,MIN(144,Fin))</f>
        <v>4499762.5173222795</v>
      </c>
      <c r="D113" s="48">
        <f>INDEX(Calculo!$F$113:$ES$113,1,MIN(144,12))</f>
        <v>2388063.8873590301</v>
      </c>
      <c r="E113" s="48">
        <f>INDEX(Calculo!$F$113:$ES$113,1,MIN(144,24))</f>
        <v>3043209.3317546742</v>
      </c>
      <c r="F113" s="48">
        <f>INDEX(Calculo!$F$113:$ES$113,1,MIN(144,36))</f>
        <v>3710536.2623870969</v>
      </c>
      <c r="G113" s="48">
        <f>INDEX(Calculo!$F$113:$ES$113,1,MIN(144,48))</f>
        <v>4269345.3323204098</v>
      </c>
      <c r="H113" s="48">
        <f>INDEX(Calculo!$F$113:$ES$113,1,MIN(144,60))</f>
        <v>4307454.8800262697</v>
      </c>
      <c r="I113" s="48">
        <f>INDEX(Calculo!$F$113:$ES$113,1,MIN(144,72))</f>
        <v>4345179.7364948662</v>
      </c>
      <c r="J113" s="48">
        <f>INDEX(Calculo!$F$113:$ES$113,1,MIN(144,84))</f>
        <v>4383269.6297196466</v>
      </c>
      <c r="K113" s="48">
        <f>INDEX(Calculo!$F$113:$ES$113,1,MIN(144,96))</f>
        <v>4421727.8474141657</v>
      </c>
      <c r="L113" s="48">
        <f>INDEX(Calculo!$F$113:$ES$113,1,MIN(144,108))</f>
        <v>4460557.6993635017</v>
      </c>
      <c r="M113" s="48">
        <f>INDEX(Calculo!$F$113:$ES$113,1,MIN(144,120))</f>
        <v>4499762.5173222795</v>
      </c>
      <c r="N113" s="48">
        <f>INDEX(Calculo!$F$113:$ES$113,1,MIN(144,132))</f>
        <v>4499762.5173222795</v>
      </c>
      <c r="O113" s="48">
        <f>INDEX(Calculo!$F$113:$ES$113,1,MIN(144,144))</f>
        <v>4499762.5173222795</v>
      </c>
    </row>
    <row r="114" spans="1:15" x14ac:dyDescent="0.3">
      <c r="A114" s="14" t="s">
        <v>1529</v>
      </c>
      <c r="B114" s="18" t="s">
        <v>1530</v>
      </c>
      <c r="D114" s="48">
        <f t="shared" ref="D114:O114" si="7">D108+D110</f>
        <v>528628.28478912893</v>
      </c>
      <c r="E114" s="48">
        <f t="shared" si="7"/>
        <v>777292.86587456684</v>
      </c>
      <c r="F114" s="48">
        <f t="shared" si="7"/>
        <v>772123.93122181366</v>
      </c>
      <c r="G114" s="48">
        <f t="shared" si="7"/>
        <v>766470.11484502186</v>
      </c>
      <c r="H114" s="48">
        <f t="shared" si="7"/>
        <v>760285.9314939233</v>
      </c>
      <c r="I114" s="48">
        <f t="shared" si="7"/>
        <v>0</v>
      </c>
      <c r="J114" s="48">
        <f t="shared" si="7"/>
        <v>0</v>
      </c>
      <c r="K114" s="48">
        <f t="shared" si="7"/>
        <v>0</v>
      </c>
      <c r="L114" s="48">
        <f t="shared" si="7"/>
        <v>0</v>
      </c>
      <c r="M114" s="48">
        <f t="shared" si="7"/>
        <v>0</v>
      </c>
      <c r="N114" s="48">
        <f t="shared" si="7"/>
        <v>0</v>
      </c>
      <c r="O114" s="48">
        <f t="shared" si="7"/>
        <v>0</v>
      </c>
    </row>
    <row r="115" spans="1:15" x14ac:dyDescent="0.3">
      <c r="A115" s="14" t="s">
        <v>1531</v>
      </c>
      <c r="B115" s="18" t="s">
        <v>1532</v>
      </c>
      <c r="D115" s="83">
        <f t="shared" ref="D115:O115" si="8">IF(D114&gt;1,D104/D114,"")</f>
        <v>-3.552768430469305</v>
      </c>
      <c r="E115" s="83">
        <f t="shared" si="8"/>
        <v>0.39986394469506104</v>
      </c>
      <c r="F115" s="83">
        <f t="shared" si="8"/>
        <v>0.95540807624203894</v>
      </c>
      <c r="G115" s="83">
        <f t="shared" si="8"/>
        <v>1.6176937164415002</v>
      </c>
      <c r="H115" s="83">
        <f t="shared" si="8"/>
        <v>2.3365530746044367</v>
      </c>
      <c r="I115" s="83" t="str">
        <f t="shared" si="8"/>
        <v/>
      </c>
      <c r="J115" s="83" t="str">
        <f t="shared" si="8"/>
        <v/>
      </c>
      <c r="K115" s="83" t="str">
        <f t="shared" si="8"/>
        <v/>
      </c>
      <c r="L115" s="83" t="str">
        <f t="shared" si="8"/>
        <v/>
      </c>
      <c r="M115" s="83" t="str">
        <f t="shared" si="8"/>
        <v/>
      </c>
      <c r="N115" s="83" t="str">
        <f t="shared" si="8"/>
        <v/>
      </c>
      <c r="O115" s="83" t="str">
        <f t="shared" si="8"/>
        <v/>
      </c>
    </row>
    <row r="116" spans="1:15" x14ac:dyDescent="0.3">
      <c r="B116" s="23" t="s">
        <v>220</v>
      </c>
    </row>
    <row r="117" spans="1:15" x14ac:dyDescent="0.3">
      <c r="A117" s="14" t="s">
        <v>1533</v>
      </c>
      <c r="B117" s="18" t="str">
        <f>IF(INDEX(Prod_Nombre,1)="","Producto 1",INDEX(Prod_Nombre,1))</f>
        <v>Gabinetes metálicos 153 kg</v>
      </c>
      <c r="C117" s="54">
        <f t="shared" ref="C117:C141" si="9">SUM(D117:O117)</f>
        <v>192000</v>
      </c>
      <c r="D117" s="48">
        <f>SUMIFS(Calculo!$F$21:$ES$21,Calculo!$F$6:$ES$6,1)</f>
        <v>12000</v>
      </c>
      <c r="E117" s="48">
        <f>SUMIFS(Calculo!$F$21:$ES$21,Calculo!$F$6:$ES$6,2)</f>
        <v>15000</v>
      </c>
      <c r="F117" s="48">
        <f>SUMIFS(Calculo!$F$21:$ES$21,Calculo!$F$6:$ES$6,3)</f>
        <v>18000</v>
      </c>
      <c r="G117" s="48">
        <f>SUMIFS(Calculo!$F$21:$ES$21,Calculo!$F$6:$ES$6,4)</f>
        <v>21000</v>
      </c>
      <c r="H117" s="48">
        <f>SUMIFS(Calculo!$F$21:$ES$21,Calculo!$F$6:$ES$6,5)</f>
        <v>21000</v>
      </c>
      <c r="I117" s="48">
        <f>SUMIFS(Calculo!$F$21:$ES$21,Calculo!$F$6:$ES$6,6)</f>
        <v>21000</v>
      </c>
      <c r="J117" s="48">
        <f>SUMIFS(Calculo!$F$21:$ES$21,Calculo!$F$6:$ES$6,7)</f>
        <v>21000</v>
      </c>
      <c r="K117" s="48">
        <f>SUMIFS(Calculo!$F$21:$ES$21,Calculo!$F$6:$ES$6,8)</f>
        <v>21000</v>
      </c>
      <c r="L117" s="48">
        <f>SUMIFS(Calculo!$F$21:$ES$21,Calculo!$F$6:$ES$6,9)</f>
        <v>21000</v>
      </c>
      <c r="M117" s="48">
        <f>SUMIFS(Calculo!$F$21:$ES$21,Calculo!$F$6:$ES$6,10)</f>
        <v>21000</v>
      </c>
      <c r="N117" s="48">
        <f>SUMIFS(Calculo!$F$21:$ES$21,Calculo!$F$6:$ES$6,11)</f>
        <v>0</v>
      </c>
      <c r="O117" s="48">
        <f>SUMIFS(Calculo!$F$21:$ES$21,Calculo!$F$6:$ES$6,12)</f>
        <v>0</v>
      </c>
    </row>
    <row r="118" spans="1:15" x14ac:dyDescent="0.3">
      <c r="A118" s="14" t="s">
        <v>1534</v>
      </c>
      <c r="B118" s="18" t="str">
        <f>IF(INDEX(Prod_Nombre,2)="","Producto 2",INDEX(Prod_Nombre,2))</f>
        <v>Cajas metálicas 13 kg</v>
      </c>
      <c r="C118" s="54">
        <f t="shared" si="9"/>
        <v>1110000</v>
      </c>
      <c r="D118" s="48">
        <f>SUMIFS(Calculo!$F$22:$ES$22,Calculo!$F$6:$ES$6,1)</f>
        <v>70000.000000000015</v>
      </c>
      <c r="E118" s="48">
        <f>SUMIFS(Calculo!$F$22:$ES$22,Calculo!$F$6:$ES$6,2)</f>
        <v>90000</v>
      </c>
      <c r="F118" s="48">
        <f>SUMIFS(Calculo!$F$22:$ES$22,Calculo!$F$6:$ES$6,3)</f>
        <v>110000.00000000001</v>
      </c>
      <c r="G118" s="48">
        <f>SUMIFS(Calculo!$F$22:$ES$22,Calculo!$F$6:$ES$6,4)</f>
        <v>120000</v>
      </c>
      <c r="H118" s="48">
        <f>SUMIFS(Calculo!$F$22:$ES$22,Calculo!$F$6:$ES$6,5)</f>
        <v>120000</v>
      </c>
      <c r="I118" s="48">
        <f>SUMIFS(Calculo!$F$22:$ES$22,Calculo!$F$6:$ES$6,6)</f>
        <v>120000</v>
      </c>
      <c r="J118" s="48">
        <f>SUMIFS(Calculo!$F$22:$ES$22,Calculo!$F$6:$ES$6,7)</f>
        <v>120000</v>
      </c>
      <c r="K118" s="48">
        <f>SUMIFS(Calculo!$F$22:$ES$22,Calculo!$F$6:$ES$6,8)</f>
        <v>120000</v>
      </c>
      <c r="L118" s="48">
        <f>SUMIFS(Calculo!$F$22:$ES$22,Calculo!$F$6:$ES$6,9)</f>
        <v>120000</v>
      </c>
      <c r="M118" s="48">
        <f>SUMIFS(Calculo!$F$22:$ES$22,Calculo!$F$6:$ES$6,10)</f>
        <v>120000</v>
      </c>
      <c r="N118" s="48">
        <f>SUMIFS(Calculo!$F$22:$ES$22,Calculo!$F$6:$ES$6,11)</f>
        <v>0</v>
      </c>
      <c r="O118" s="48">
        <f>SUMIFS(Calculo!$F$22:$ES$22,Calculo!$F$6:$ES$6,12)</f>
        <v>0</v>
      </c>
    </row>
    <row r="119" spans="1:15" x14ac:dyDescent="0.3">
      <c r="A119" s="14" t="s">
        <v>1535</v>
      </c>
      <c r="B119" s="18" t="str">
        <f>IF(INDEX(Prod_Nombre,3)="","Producto 3",INDEX(Prod_Nombre,3))</f>
        <v>Producto 3</v>
      </c>
      <c r="C119" s="54">
        <f t="shared" si="9"/>
        <v>0</v>
      </c>
      <c r="D119" s="48">
        <f>SUMIFS(Calculo!$F$23:$ES$23,Calculo!$F$6:$ES$6,1)</f>
        <v>0</v>
      </c>
      <c r="E119" s="48">
        <f>SUMIFS(Calculo!$F$23:$ES$23,Calculo!$F$6:$ES$6,2)</f>
        <v>0</v>
      </c>
      <c r="F119" s="48">
        <f>SUMIFS(Calculo!$F$23:$ES$23,Calculo!$F$6:$ES$6,3)</f>
        <v>0</v>
      </c>
      <c r="G119" s="48">
        <f>SUMIFS(Calculo!$F$23:$ES$23,Calculo!$F$6:$ES$6,4)</f>
        <v>0</v>
      </c>
      <c r="H119" s="48">
        <f>SUMIFS(Calculo!$F$23:$ES$23,Calculo!$F$6:$ES$6,5)</f>
        <v>0</v>
      </c>
      <c r="I119" s="48">
        <f>SUMIFS(Calculo!$F$23:$ES$23,Calculo!$F$6:$ES$6,6)</f>
        <v>0</v>
      </c>
      <c r="J119" s="48">
        <f>SUMIFS(Calculo!$F$23:$ES$23,Calculo!$F$6:$ES$6,7)</f>
        <v>0</v>
      </c>
      <c r="K119" s="48">
        <f>SUMIFS(Calculo!$F$23:$ES$23,Calculo!$F$6:$ES$6,8)</f>
        <v>0</v>
      </c>
      <c r="L119" s="48">
        <f>SUMIFS(Calculo!$F$23:$ES$23,Calculo!$F$6:$ES$6,9)</f>
        <v>0</v>
      </c>
      <c r="M119" s="48">
        <f>SUMIFS(Calculo!$F$23:$ES$23,Calculo!$F$6:$ES$6,10)</f>
        <v>0</v>
      </c>
      <c r="N119" s="48">
        <f>SUMIFS(Calculo!$F$23:$ES$23,Calculo!$F$6:$ES$6,11)</f>
        <v>0</v>
      </c>
      <c r="O119" s="48">
        <f>SUMIFS(Calculo!$F$23:$ES$23,Calculo!$F$6:$ES$6,12)</f>
        <v>0</v>
      </c>
    </row>
    <row r="120" spans="1:15" x14ac:dyDescent="0.3">
      <c r="A120" s="14" t="s">
        <v>1536</v>
      </c>
      <c r="B120" s="18" t="str">
        <f>IF(INDEX(Prod_Nombre,4)="","Producto 4",INDEX(Prod_Nombre,4))</f>
        <v>Producto 4</v>
      </c>
      <c r="C120" s="54">
        <f t="shared" si="9"/>
        <v>0</v>
      </c>
      <c r="D120" s="48">
        <f>SUMIFS(Calculo!$F$24:$ES$24,Calculo!$F$6:$ES$6,1)</f>
        <v>0</v>
      </c>
      <c r="E120" s="48">
        <f>SUMIFS(Calculo!$F$24:$ES$24,Calculo!$F$6:$ES$6,2)</f>
        <v>0</v>
      </c>
      <c r="F120" s="48">
        <f>SUMIFS(Calculo!$F$24:$ES$24,Calculo!$F$6:$ES$6,3)</f>
        <v>0</v>
      </c>
      <c r="G120" s="48">
        <f>SUMIFS(Calculo!$F$24:$ES$24,Calculo!$F$6:$ES$6,4)</f>
        <v>0</v>
      </c>
      <c r="H120" s="48">
        <f>SUMIFS(Calculo!$F$24:$ES$24,Calculo!$F$6:$ES$6,5)</f>
        <v>0</v>
      </c>
      <c r="I120" s="48">
        <f>SUMIFS(Calculo!$F$24:$ES$24,Calculo!$F$6:$ES$6,6)</f>
        <v>0</v>
      </c>
      <c r="J120" s="48">
        <f>SUMIFS(Calculo!$F$24:$ES$24,Calculo!$F$6:$ES$6,7)</f>
        <v>0</v>
      </c>
      <c r="K120" s="48">
        <f>SUMIFS(Calculo!$F$24:$ES$24,Calculo!$F$6:$ES$6,8)</f>
        <v>0</v>
      </c>
      <c r="L120" s="48">
        <f>SUMIFS(Calculo!$F$24:$ES$24,Calculo!$F$6:$ES$6,9)</f>
        <v>0</v>
      </c>
      <c r="M120" s="48">
        <f>SUMIFS(Calculo!$F$24:$ES$24,Calculo!$F$6:$ES$6,10)</f>
        <v>0</v>
      </c>
      <c r="N120" s="48">
        <f>SUMIFS(Calculo!$F$24:$ES$24,Calculo!$F$6:$ES$6,11)</f>
        <v>0</v>
      </c>
      <c r="O120" s="48">
        <f>SUMIFS(Calculo!$F$24:$ES$24,Calculo!$F$6:$ES$6,12)</f>
        <v>0</v>
      </c>
    </row>
    <row r="121" spans="1:15" x14ac:dyDescent="0.3">
      <c r="A121" s="14" t="s">
        <v>1537</v>
      </c>
      <c r="B121" s="18" t="str">
        <f>IF(INDEX(Prod_Nombre,5)="","Producto 5",INDEX(Prod_Nombre,5))</f>
        <v>Producto 5</v>
      </c>
      <c r="C121" s="54">
        <f t="shared" si="9"/>
        <v>0</v>
      </c>
      <c r="D121" s="48">
        <f>SUMIFS(Calculo!$F$25:$ES$25,Calculo!$F$6:$ES$6,1)</f>
        <v>0</v>
      </c>
      <c r="E121" s="48">
        <f>SUMIFS(Calculo!$F$25:$ES$25,Calculo!$F$6:$ES$6,2)</f>
        <v>0</v>
      </c>
      <c r="F121" s="48">
        <f>SUMIFS(Calculo!$F$25:$ES$25,Calculo!$F$6:$ES$6,3)</f>
        <v>0</v>
      </c>
      <c r="G121" s="48">
        <f>SUMIFS(Calculo!$F$25:$ES$25,Calculo!$F$6:$ES$6,4)</f>
        <v>0</v>
      </c>
      <c r="H121" s="48">
        <f>SUMIFS(Calculo!$F$25:$ES$25,Calculo!$F$6:$ES$6,5)</f>
        <v>0</v>
      </c>
      <c r="I121" s="48">
        <f>SUMIFS(Calculo!$F$25:$ES$25,Calculo!$F$6:$ES$6,6)</f>
        <v>0</v>
      </c>
      <c r="J121" s="48">
        <f>SUMIFS(Calculo!$F$25:$ES$25,Calculo!$F$6:$ES$6,7)</f>
        <v>0</v>
      </c>
      <c r="K121" s="48">
        <f>SUMIFS(Calculo!$F$25:$ES$25,Calculo!$F$6:$ES$6,8)</f>
        <v>0</v>
      </c>
      <c r="L121" s="48">
        <f>SUMIFS(Calculo!$F$25:$ES$25,Calculo!$F$6:$ES$6,9)</f>
        <v>0</v>
      </c>
      <c r="M121" s="48">
        <f>SUMIFS(Calculo!$F$25:$ES$25,Calculo!$F$6:$ES$6,10)</f>
        <v>0</v>
      </c>
      <c r="N121" s="48">
        <f>SUMIFS(Calculo!$F$25:$ES$25,Calculo!$F$6:$ES$6,11)</f>
        <v>0</v>
      </c>
      <c r="O121" s="48">
        <f>SUMIFS(Calculo!$F$25:$ES$25,Calculo!$F$6:$ES$6,12)</f>
        <v>0</v>
      </c>
    </row>
    <row r="122" spans="1:15" x14ac:dyDescent="0.3">
      <c r="A122" s="14" t="s">
        <v>1538</v>
      </c>
      <c r="B122" s="18" t="str">
        <f>IF(INDEX(Prod_Nombre,6)="","Producto 6",INDEX(Prod_Nombre,6))</f>
        <v>Producto 6</v>
      </c>
      <c r="C122" s="54">
        <f t="shared" si="9"/>
        <v>0</v>
      </c>
      <c r="D122" s="48">
        <f>SUMIFS(Calculo!$F$26:$ES$26,Calculo!$F$6:$ES$6,1)</f>
        <v>0</v>
      </c>
      <c r="E122" s="48">
        <f>SUMIFS(Calculo!$F$26:$ES$26,Calculo!$F$6:$ES$6,2)</f>
        <v>0</v>
      </c>
      <c r="F122" s="48">
        <f>SUMIFS(Calculo!$F$26:$ES$26,Calculo!$F$6:$ES$6,3)</f>
        <v>0</v>
      </c>
      <c r="G122" s="48">
        <f>SUMIFS(Calculo!$F$26:$ES$26,Calculo!$F$6:$ES$6,4)</f>
        <v>0</v>
      </c>
      <c r="H122" s="48">
        <f>SUMIFS(Calculo!$F$26:$ES$26,Calculo!$F$6:$ES$6,5)</f>
        <v>0</v>
      </c>
      <c r="I122" s="48">
        <f>SUMIFS(Calculo!$F$26:$ES$26,Calculo!$F$6:$ES$6,6)</f>
        <v>0</v>
      </c>
      <c r="J122" s="48">
        <f>SUMIFS(Calculo!$F$26:$ES$26,Calculo!$F$6:$ES$6,7)</f>
        <v>0</v>
      </c>
      <c r="K122" s="48">
        <f>SUMIFS(Calculo!$F$26:$ES$26,Calculo!$F$6:$ES$6,8)</f>
        <v>0</v>
      </c>
      <c r="L122" s="48">
        <f>SUMIFS(Calculo!$F$26:$ES$26,Calculo!$F$6:$ES$6,9)</f>
        <v>0</v>
      </c>
      <c r="M122" s="48">
        <f>SUMIFS(Calculo!$F$26:$ES$26,Calculo!$F$6:$ES$6,10)</f>
        <v>0</v>
      </c>
      <c r="N122" s="48">
        <f>SUMIFS(Calculo!$F$26:$ES$26,Calculo!$F$6:$ES$6,11)</f>
        <v>0</v>
      </c>
      <c r="O122" s="48">
        <f>SUMIFS(Calculo!$F$26:$ES$26,Calculo!$F$6:$ES$6,12)</f>
        <v>0</v>
      </c>
    </row>
    <row r="123" spans="1:15" x14ac:dyDescent="0.3">
      <c r="A123" s="14" t="s">
        <v>1539</v>
      </c>
      <c r="B123" s="18" t="str">
        <f>IF(INDEX(Prod_Nombre,7)="","Producto 7",INDEX(Prod_Nombre,7))</f>
        <v>Producto 7</v>
      </c>
      <c r="C123" s="54">
        <f t="shared" si="9"/>
        <v>0</v>
      </c>
      <c r="D123" s="48">
        <f>SUMIFS(Calculo!$F$27:$ES$27,Calculo!$F$6:$ES$6,1)</f>
        <v>0</v>
      </c>
      <c r="E123" s="48">
        <f>SUMIFS(Calculo!$F$27:$ES$27,Calculo!$F$6:$ES$6,2)</f>
        <v>0</v>
      </c>
      <c r="F123" s="48">
        <f>SUMIFS(Calculo!$F$27:$ES$27,Calculo!$F$6:$ES$6,3)</f>
        <v>0</v>
      </c>
      <c r="G123" s="48">
        <f>SUMIFS(Calculo!$F$27:$ES$27,Calculo!$F$6:$ES$6,4)</f>
        <v>0</v>
      </c>
      <c r="H123" s="48">
        <f>SUMIFS(Calculo!$F$27:$ES$27,Calculo!$F$6:$ES$6,5)</f>
        <v>0</v>
      </c>
      <c r="I123" s="48">
        <f>SUMIFS(Calculo!$F$27:$ES$27,Calculo!$F$6:$ES$6,6)</f>
        <v>0</v>
      </c>
      <c r="J123" s="48">
        <f>SUMIFS(Calculo!$F$27:$ES$27,Calculo!$F$6:$ES$6,7)</f>
        <v>0</v>
      </c>
      <c r="K123" s="48">
        <f>SUMIFS(Calculo!$F$27:$ES$27,Calculo!$F$6:$ES$6,8)</f>
        <v>0</v>
      </c>
      <c r="L123" s="48">
        <f>SUMIFS(Calculo!$F$27:$ES$27,Calculo!$F$6:$ES$6,9)</f>
        <v>0</v>
      </c>
      <c r="M123" s="48">
        <f>SUMIFS(Calculo!$F$27:$ES$27,Calculo!$F$6:$ES$6,10)</f>
        <v>0</v>
      </c>
      <c r="N123" s="48">
        <f>SUMIFS(Calculo!$F$27:$ES$27,Calculo!$F$6:$ES$6,11)</f>
        <v>0</v>
      </c>
      <c r="O123" s="48">
        <f>SUMIFS(Calculo!$F$27:$ES$27,Calculo!$F$6:$ES$6,12)</f>
        <v>0</v>
      </c>
    </row>
    <row r="124" spans="1:15" x14ac:dyDescent="0.3">
      <c r="A124" s="14" t="s">
        <v>1540</v>
      </c>
      <c r="B124" s="18" t="str">
        <f>IF(INDEX(Prod_Nombre,8)="","Producto 8",INDEX(Prod_Nombre,8))</f>
        <v>Producto 8</v>
      </c>
      <c r="C124" s="54">
        <f t="shared" si="9"/>
        <v>0</v>
      </c>
      <c r="D124" s="48">
        <f>SUMIFS(Calculo!$F$28:$ES$28,Calculo!$F$6:$ES$6,1)</f>
        <v>0</v>
      </c>
      <c r="E124" s="48">
        <f>SUMIFS(Calculo!$F$28:$ES$28,Calculo!$F$6:$ES$6,2)</f>
        <v>0</v>
      </c>
      <c r="F124" s="48">
        <f>SUMIFS(Calculo!$F$28:$ES$28,Calculo!$F$6:$ES$6,3)</f>
        <v>0</v>
      </c>
      <c r="G124" s="48">
        <f>SUMIFS(Calculo!$F$28:$ES$28,Calculo!$F$6:$ES$6,4)</f>
        <v>0</v>
      </c>
      <c r="H124" s="48">
        <f>SUMIFS(Calculo!$F$28:$ES$28,Calculo!$F$6:$ES$6,5)</f>
        <v>0</v>
      </c>
      <c r="I124" s="48">
        <f>SUMIFS(Calculo!$F$28:$ES$28,Calculo!$F$6:$ES$6,6)</f>
        <v>0</v>
      </c>
      <c r="J124" s="48">
        <f>SUMIFS(Calculo!$F$28:$ES$28,Calculo!$F$6:$ES$6,7)</f>
        <v>0</v>
      </c>
      <c r="K124" s="48">
        <f>SUMIFS(Calculo!$F$28:$ES$28,Calculo!$F$6:$ES$6,8)</f>
        <v>0</v>
      </c>
      <c r="L124" s="48">
        <f>SUMIFS(Calculo!$F$28:$ES$28,Calculo!$F$6:$ES$6,9)</f>
        <v>0</v>
      </c>
      <c r="M124" s="48">
        <f>SUMIFS(Calculo!$F$28:$ES$28,Calculo!$F$6:$ES$6,10)</f>
        <v>0</v>
      </c>
      <c r="N124" s="48">
        <f>SUMIFS(Calculo!$F$28:$ES$28,Calculo!$F$6:$ES$6,11)</f>
        <v>0</v>
      </c>
      <c r="O124" s="48">
        <f>SUMIFS(Calculo!$F$28:$ES$28,Calculo!$F$6:$ES$6,12)</f>
        <v>0</v>
      </c>
    </row>
    <row r="125" spans="1:15" x14ac:dyDescent="0.3">
      <c r="A125" s="14" t="s">
        <v>1541</v>
      </c>
      <c r="B125" s="18" t="str">
        <f>IF(INDEX(Prod_Nombre,9)="","Producto 9",INDEX(Prod_Nombre,9))</f>
        <v>Producto 9</v>
      </c>
      <c r="C125" s="54">
        <f t="shared" si="9"/>
        <v>0</v>
      </c>
      <c r="D125" s="48">
        <f>SUMIFS(Calculo!$F$29:$ES$29,Calculo!$F$6:$ES$6,1)</f>
        <v>0</v>
      </c>
      <c r="E125" s="48">
        <f>SUMIFS(Calculo!$F$29:$ES$29,Calculo!$F$6:$ES$6,2)</f>
        <v>0</v>
      </c>
      <c r="F125" s="48">
        <f>SUMIFS(Calculo!$F$29:$ES$29,Calculo!$F$6:$ES$6,3)</f>
        <v>0</v>
      </c>
      <c r="G125" s="48">
        <f>SUMIFS(Calculo!$F$29:$ES$29,Calculo!$F$6:$ES$6,4)</f>
        <v>0</v>
      </c>
      <c r="H125" s="48">
        <f>SUMIFS(Calculo!$F$29:$ES$29,Calculo!$F$6:$ES$6,5)</f>
        <v>0</v>
      </c>
      <c r="I125" s="48">
        <f>SUMIFS(Calculo!$F$29:$ES$29,Calculo!$F$6:$ES$6,6)</f>
        <v>0</v>
      </c>
      <c r="J125" s="48">
        <f>SUMIFS(Calculo!$F$29:$ES$29,Calculo!$F$6:$ES$6,7)</f>
        <v>0</v>
      </c>
      <c r="K125" s="48">
        <f>SUMIFS(Calculo!$F$29:$ES$29,Calculo!$F$6:$ES$6,8)</f>
        <v>0</v>
      </c>
      <c r="L125" s="48">
        <f>SUMIFS(Calculo!$F$29:$ES$29,Calculo!$F$6:$ES$6,9)</f>
        <v>0</v>
      </c>
      <c r="M125" s="48">
        <f>SUMIFS(Calculo!$F$29:$ES$29,Calculo!$F$6:$ES$6,10)</f>
        <v>0</v>
      </c>
      <c r="N125" s="48">
        <f>SUMIFS(Calculo!$F$29:$ES$29,Calculo!$F$6:$ES$6,11)</f>
        <v>0</v>
      </c>
      <c r="O125" s="48">
        <f>SUMIFS(Calculo!$F$29:$ES$29,Calculo!$F$6:$ES$6,12)</f>
        <v>0</v>
      </c>
    </row>
    <row r="126" spans="1:15" x14ac:dyDescent="0.3">
      <c r="A126" s="14" t="s">
        <v>1542</v>
      </c>
      <c r="B126" s="18" t="str">
        <f>IF(INDEX(Prod_Nombre,10)="","Producto 10",INDEX(Prod_Nombre,10))</f>
        <v>Producto 10</v>
      </c>
      <c r="C126" s="54">
        <f t="shared" si="9"/>
        <v>0</v>
      </c>
      <c r="D126" s="48">
        <f>SUMIFS(Calculo!$F$30:$ES$30,Calculo!$F$6:$ES$6,1)</f>
        <v>0</v>
      </c>
      <c r="E126" s="48">
        <f>SUMIFS(Calculo!$F$30:$ES$30,Calculo!$F$6:$ES$6,2)</f>
        <v>0</v>
      </c>
      <c r="F126" s="48">
        <f>SUMIFS(Calculo!$F$30:$ES$30,Calculo!$F$6:$ES$6,3)</f>
        <v>0</v>
      </c>
      <c r="G126" s="48">
        <f>SUMIFS(Calculo!$F$30:$ES$30,Calculo!$F$6:$ES$6,4)</f>
        <v>0</v>
      </c>
      <c r="H126" s="48">
        <f>SUMIFS(Calculo!$F$30:$ES$30,Calculo!$F$6:$ES$6,5)</f>
        <v>0</v>
      </c>
      <c r="I126" s="48">
        <f>SUMIFS(Calculo!$F$30:$ES$30,Calculo!$F$6:$ES$6,6)</f>
        <v>0</v>
      </c>
      <c r="J126" s="48">
        <f>SUMIFS(Calculo!$F$30:$ES$30,Calculo!$F$6:$ES$6,7)</f>
        <v>0</v>
      </c>
      <c r="K126" s="48">
        <f>SUMIFS(Calculo!$F$30:$ES$30,Calculo!$F$6:$ES$6,8)</f>
        <v>0</v>
      </c>
      <c r="L126" s="48">
        <f>SUMIFS(Calculo!$F$30:$ES$30,Calculo!$F$6:$ES$6,9)</f>
        <v>0</v>
      </c>
      <c r="M126" s="48">
        <f>SUMIFS(Calculo!$F$30:$ES$30,Calculo!$F$6:$ES$6,10)</f>
        <v>0</v>
      </c>
      <c r="N126" s="48">
        <f>SUMIFS(Calculo!$F$30:$ES$30,Calculo!$F$6:$ES$6,11)</f>
        <v>0</v>
      </c>
      <c r="O126" s="48">
        <f>SUMIFS(Calculo!$F$30:$ES$30,Calculo!$F$6:$ES$6,12)</f>
        <v>0</v>
      </c>
    </row>
    <row r="127" spans="1:15" x14ac:dyDescent="0.3">
      <c r="A127" s="14" t="s">
        <v>1543</v>
      </c>
      <c r="B127" s="18" t="str">
        <f>IF(INDEX(Prod_Nombre,11)="","Producto 11",INDEX(Prod_Nombre,11))</f>
        <v>Producto 11</v>
      </c>
      <c r="C127" s="54">
        <f t="shared" si="9"/>
        <v>0</v>
      </c>
      <c r="D127" s="48">
        <f>SUMIFS(Calculo!$F$31:$ES$31,Calculo!$F$6:$ES$6,1)</f>
        <v>0</v>
      </c>
      <c r="E127" s="48">
        <f>SUMIFS(Calculo!$F$31:$ES$31,Calculo!$F$6:$ES$6,2)</f>
        <v>0</v>
      </c>
      <c r="F127" s="48">
        <f>SUMIFS(Calculo!$F$31:$ES$31,Calculo!$F$6:$ES$6,3)</f>
        <v>0</v>
      </c>
      <c r="G127" s="48">
        <f>SUMIFS(Calculo!$F$31:$ES$31,Calculo!$F$6:$ES$6,4)</f>
        <v>0</v>
      </c>
      <c r="H127" s="48">
        <f>SUMIFS(Calculo!$F$31:$ES$31,Calculo!$F$6:$ES$6,5)</f>
        <v>0</v>
      </c>
      <c r="I127" s="48">
        <f>SUMIFS(Calculo!$F$31:$ES$31,Calculo!$F$6:$ES$6,6)</f>
        <v>0</v>
      </c>
      <c r="J127" s="48">
        <f>SUMIFS(Calculo!$F$31:$ES$31,Calculo!$F$6:$ES$6,7)</f>
        <v>0</v>
      </c>
      <c r="K127" s="48">
        <f>SUMIFS(Calculo!$F$31:$ES$31,Calculo!$F$6:$ES$6,8)</f>
        <v>0</v>
      </c>
      <c r="L127" s="48">
        <f>SUMIFS(Calculo!$F$31:$ES$31,Calculo!$F$6:$ES$6,9)</f>
        <v>0</v>
      </c>
      <c r="M127" s="48">
        <f>SUMIFS(Calculo!$F$31:$ES$31,Calculo!$F$6:$ES$6,10)</f>
        <v>0</v>
      </c>
      <c r="N127" s="48">
        <f>SUMIFS(Calculo!$F$31:$ES$31,Calculo!$F$6:$ES$6,11)</f>
        <v>0</v>
      </c>
      <c r="O127" s="48">
        <f>SUMIFS(Calculo!$F$31:$ES$31,Calculo!$F$6:$ES$6,12)</f>
        <v>0</v>
      </c>
    </row>
    <row r="128" spans="1:15" x14ac:dyDescent="0.3">
      <c r="A128" s="14" t="s">
        <v>1544</v>
      </c>
      <c r="B128" s="18" t="str">
        <f>IF(INDEX(Prod_Nombre,12)="","Producto 12",INDEX(Prod_Nombre,12))</f>
        <v>Producto 12</v>
      </c>
      <c r="C128" s="54">
        <f t="shared" si="9"/>
        <v>0</v>
      </c>
      <c r="D128" s="48">
        <f>SUMIFS(Calculo!$F$32:$ES$32,Calculo!$F$6:$ES$6,1)</f>
        <v>0</v>
      </c>
      <c r="E128" s="48">
        <f>SUMIFS(Calculo!$F$32:$ES$32,Calculo!$F$6:$ES$6,2)</f>
        <v>0</v>
      </c>
      <c r="F128" s="48">
        <f>SUMIFS(Calculo!$F$32:$ES$32,Calculo!$F$6:$ES$6,3)</f>
        <v>0</v>
      </c>
      <c r="G128" s="48">
        <f>SUMIFS(Calculo!$F$32:$ES$32,Calculo!$F$6:$ES$6,4)</f>
        <v>0</v>
      </c>
      <c r="H128" s="48">
        <f>SUMIFS(Calculo!$F$32:$ES$32,Calculo!$F$6:$ES$6,5)</f>
        <v>0</v>
      </c>
      <c r="I128" s="48">
        <f>SUMIFS(Calculo!$F$32:$ES$32,Calculo!$F$6:$ES$6,6)</f>
        <v>0</v>
      </c>
      <c r="J128" s="48">
        <f>SUMIFS(Calculo!$F$32:$ES$32,Calculo!$F$6:$ES$6,7)</f>
        <v>0</v>
      </c>
      <c r="K128" s="48">
        <f>SUMIFS(Calculo!$F$32:$ES$32,Calculo!$F$6:$ES$6,8)</f>
        <v>0</v>
      </c>
      <c r="L128" s="48">
        <f>SUMIFS(Calculo!$F$32:$ES$32,Calculo!$F$6:$ES$6,9)</f>
        <v>0</v>
      </c>
      <c r="M128" s="48">
        <f>SUMIFS(Calculo!$F$32:$ES$32,Calculo!$F$6:$ES$6,10)</f>
        <v>0</v>
      </c>
      <c r="N128" s="48">
        <f>SUMIFS(Calculo!$F$32:$ES$32,Calculo!$F$6:$ES$6,11)</f>
        <v>0</v>
      </c>
      <c r="O128" s="48">
        <f>SUMIFS(Calculo!$F$32:$ES$32,Calculo!$F$6:$ES$6,12)</f>
        <v>0</v>
      </c>
    </row>
    <row r="129" spans="1:15" x14ac:dyDescent="0.3">
      <c r="A129" s="14" t="s">
        <v>1545</v>
      </c>
      <c r="B129" s="18" t="str">
        <f>IF(INDEX(Prod_Nombre,13)="","Producto 13",INDEX(Prod_Nombre,13))</f>
        <v>Producto 13</v>
      </c>
      <c r="C129" s="54">
        <f t="shared" si="9"/>
        <v>0</v>
      </c>
      <c r="D129" s="48">
        <f>SUMIFS(Calculo!$F$33:$ES$33,Calculo!$F$6:$ES$6,1)</f>
        <v>0</v>
      </c>
      <c r="E129" s="48">
        <f>SUMIFS(Calculo!$F$33:$ES$33,Calculo!$F$6:$ES$6,2)</f>
        <v>0</v>
      </c>
      <c r="F129" s="48">
        <f>SUMIFS(Calculo!$F$33:$ES$33,Calculo!$F$6:$ES$6,3)</f>
        <v>0</v>
      </c>
      <c r="G129" s="48">
        <f>SUMIFS(Calculo!$F$33:$ES$33,Calculo!$F$6:$ES$6,4)</f>
        <v>0</v>
      </c>
      <c r="H129" s="48">
        <f>SUMIFS(Calculo!$F$33:$ES$33,Calculo!$F$6:$ES$6,5)</f>
        <v>0</v>
      </c>
      <c r="I129" s="48">
        <f>SUMIFS(Calculo!$F$33:$ES$33,Calculo!$F$6:$ES$6,6)</f>
        <v>0</v>
      </c>
      <c r="J129" s="48">
        <f>SUMIFS(Calculo!$F$33:$ES$33,Calculo!$F$6:$ES$6,7)</f>
        <v>0</v>
      </c>
      <c r="K129" s="48">
        <f>SUMIFS(Calculo!$F$33:$ES$33,Calculo!$F$6:$ES$6,8)</f>
        <v>0</v>
      </c>
      <c r="L129" s="48">
        <f>SUMIFS(Calculo!$F$33:$ES$33,Calculo!$F$6:$ES$6,9)</f>
        <v>0</v>
      </c>
      <c r="M129" s="48">
        <f>SUMIFS(Calculo!$F$33:$ES$33,Calculo!$F$6:$ES$6,10)</f>
        <v>0</v>
      </c>
      <c r="N129" s="48">
        <f>SUMIFS(Calculo!$F$33:$ES$33,Calculo!$F$6:$ES$6,11)</f>
        <v>0</v>
      </c>
      <c r="O129" s="48">
        <f>SUMIFS(Calculo!$F$33:$ES$33,Calculo!$F$6:$ES$6,12)</f>
        <v>0</v>
      </c>
    </row>
    <row r="130" spans="1:15" x14ac:dyDescent="0.3">
      <c r="A130" s="14" t="s">
        <v>1546</v>
      </c>
      <c r="B130" s="18" t="str">
        <f>IF(INDEX(Prod_Nombre,14)="","Producto 14",INDEX(Prod_Nombre,14))</f>
        <v>Producto 14</v>
      </c>
      <c r="C130" s="54">
        <f t="shared" si="9"/>
        <v>0</v>
      </c>
      <c r="D130" s="48">
        <f>SUMIFS(Calculo!$F$34:$ES$34,Calculo!$F$6:$ES$6,1)</f>
        <v>0</v>
      </c>
      <c r="E130" s="48">
        <f>SUMIFS(Calculo!$F$34:$ES$34,Calculo!$F$6:$ES$6,2)</f>
        <v>0</v>
      </c>
      <c r="F130" s="48">
        <f>SUMIFS(Calculo!$F$34:$ES$34,Calculo!$F$6:$ES$6,3)</f>
        <v>0</v>
      </c>
      <c r="G130" s="48">
        <f>SUMIFS(Calculo!$F$34:$ES$34,Calculo!$F$6:$ES$6,4)</f>
        <v>0</v>
      </c>
      <c r="H130" s="48">
        <f>SUMIFS(Calculo!$F$34:$ES$34,Calculo!$F$6:$ES$6,5)</f>
        <v>0</v>
      </c>
      <c r="I130" s="48">
        <f>SUMIFS(Calculo!$F$34:$ES$34,Calculo!$F$6:$ES$6,6)</f>
        <v>0</v>
      </c>
      <c r="J130" s="48">
        <f>SUMIFS(Calculo!$F$34:$ES$34,Calculo!$F$6:$ES$6,7)</f>
        <v>0</v>
      </c>
      <c r="K130" s="48">
        <f>SUMIFS(Calculo!$F$34:$ES$34,Calculo!$F$6:$ES$6,8)</f>
        <v>0</v>
      </c>
      <c r="L130" s="48">
        <f>SUMIFS(Calculo!$F$34:$ES$34,Calculo!$F$6:$ES$6,9)</f>
        <v>0</v>
      </c>
      <c r="M130" s="48">
        <f>SUMIFS(Calculo!$F$34:$ES$34,Calculo!$F$6:$ES$6,10)</f>
        <v>0</v>
      </c>
      <c r="N130" s="48">
        <f>SUMIFS(Calculo!$F$34:$ES$34,Calculo!$F$6:$ES$6,11)</f>
        <v>0</v>
      </c>
      <c r="O130" s="48">
        <f>SUMIFS(Calculo!$F$34:$ES$34,Calculo!$F$6:$ES$6,12)</f>
        <v>0</v>
      </c>
    </row>
    <row r="131" spans="1:15" x14ac:dyDescent="0.3">
      <c r="A131" s="14" t="s">
        <v>1547</v>
      </c>
      <c r="B131" s="18" t="str">
        <f>IF(INDEX(Prod_Nombre,15)="","Producto 15",INDEX(Prod_Nombre,15))</f>
        <v>Producto 15</v>
      </c>
      <c r="C131" s="54">
        <f t="shared" si="9"/>
        <v>0</v>
      </c>
      <c r="D131" s="48">
        <f>SUMIFS(Calculo!$F$35:$ES$35,Calculo!$F$6:$ES$6,1)</f>
        <v>0</v>
      </c>
      <c r="E131" s="48">
        <f>SUMIFS(Calculo!$F$35:$ES$35,Calculo!$F$6:$ES$6,2)</f>
        <v>0</v>
      </c>
      <c r="F131" s="48">
        <f>SUMIFS(Calculo!$F$35:$ES$35,Calculo!$F$6:$ES$6,3)</f>
        <v>0</v>
      </c>
      <c r="G131" s="48">
        <f>SUMIFS(Calculo!$F$35:$ES$35,Calculo!$F$6:$ES$6,4)</f>
        <v>0</v>
      </c>
      <c r="H131" s="48">
        <f>SUMIFS(Calculo!$F$35:$ES$35,Calculo!$F$6:$ES$6,5)</f>
        <v>0</v>
      </c>
      <c r="I131" s="48">
        <f>SUMIFS(Calculo!$F$35:$ES$35,Calculo!$F$6:$ES$6,6)</f>
        <v>0</v>
      </c>
      <c r="J131" s="48">
        <f>SUMIFS(Calculo!$F$35:$ES$35,Calculo!$F$6:$ES$6,7)</f>
        <v>0</v>
      </c>
      <c r="K131" s="48">
        <f>SUMIFS(Calculo!$F$35:$ES$35,Calculo!$F$6:$ES$6,8)</f>
        <v>0</v>
      </c>
      <c r="L131" s="48">
        <f>SUMIFS(Calculo!$F$35:$ES$35,Calculo!$F$6:$ES$6,9)</f>
        <v>0</v>
      </c>
      <c r="M131" s="48">
        <f>SUMIFS(Calculo!$F$35:$ES$35,Calculo!$F$6:$ES$6,10)</f>
        <v>0</v>
      </c>
      <c r="N131" s="48">
        <f>SUMIFS(Calculo!$F$35:$ES$35,Calculo!$F$6:$ES$6,11)</f>
        <v>0</v>
      </c>
      <c r="O131" s="48">
        <f>SUMIFS(Calculo!$F$35:$ES$35,Calculo!$F$6:$ES$6,12)</f>
        <v>0</v>
      </c>
    </row>
    <row r="132" spans="1:15" x14ac:dyDescent="0.3">
      <c r="A132" s="14" t="s">
        <v>1548</v>
      </c>
      <c r="B132" s="18" t="str">
        <f>IF(INDEX(Prod_Nombre,16)="","Producto 16",INDEX(Prod_Nombre,16))</f>
        <v>Producto 16</v>
      </c>
      <c r="C132" s="54">
        <f t="shared" si="9"/>
        <v>0</v>
      </c>
      <c r="D132" s="48">
        <f>SUMIFS(Calculo!$F$36:$ES$36,Calculo!$F$6:$ES$6,1)</f>
        <v>0</v>
      </c>
      <c r="E132" s="48">
        <f>SUMIFS(Calculo!$F$36:$ES$36,Calculo!$F$6:$ES$6,2)</f>
        <v>0</v>
      </c>
      <c r="F132" s="48">
        <f>SUMIFS(Calculo!$F$36:$ES$36,Calculo!$F$6:$ES$6,3)</f>
        <v>0</v>
      </c>
      <c r="G132" s="48">
        <f>SUMIFS(Calculo!$F$36:$ES$36,Calculo!$F$6:$ES$6,4)</f>
        <v>0</v>
      </c>
      <c r="H132" s="48">
        <f>SUMIFS(Calculo!$F$36:$ES$36,Calculo!$F$6:$ES$6,5)</f>
        <v>0</v>
      </c>
      <c r="I132" s="48">
        <f>SUMIFS(Calculo!$F$36:$ES$36,Calculo!$F$6:$ES$6,6)</f>
        <v>0</v>
      </c>
      <c r="J132" s="48">
        <f>SUMIFS(Calculo!$F$36:$ES$36,Calculo!$F$6:$ES$6,7)</f>
        <v>0</v>
      </c>
      <c r="K132" s="48">
        <f>SUMIFS(Calculo!$F$36:$ES$36,Calculo!$F$6:$ES$6,8)</f>
        <v>0</v>
      </c>
      <c r="L132" s="48">
        <f>SUMIFS(Calculo!$F$36:$ES$36,Calculo!$F$6:$ES$6,9)</f>
        <v>0</v>
      </c>
      <c r="M132" s="48">
        <f>SUMIFS(Calculo!$F$36:$ES$36,Calculo!$F$6:$ES$6,10)</f>
        <v>0</v>
      </c>
      <c r="N132" s="48">
        <f>SUMIFS(Calculo!$F$36:$ES$36,Calculo!$F$6:$ES$6,11)</f>
        <v>0</v>
      </c>
      <c r="O132" s="48">
        <f>SUMIFS(Calculo!$F$36:$ES$36,Calculo!$F$6:$ES$6,12)</f>
        <v>0</v>
      </c>
    </row>
    <row r="133" spans="1:15" x14ac:dyDescent="0.3">
      <c r="A133" s="14" t="s">
        <v>1549</v>
      </c>
      <c r="B133" s="18" t="str">
        <f>IF(INDEX(Prod_Nombre,17)="","Producto 17",INDEX(Prod_Nombre,17))</f>
        <v>Producto 17</v>
      </c>
      <c r="C133" s="54">
        <f t="shared" si="9"/>
        <v>0</v>
      </c>
      <c r="D133" s="48">
        <f>SUMIFS(Calculo!$F$37:$ES$37,Calculo!$F$6:$ES$6,1)</f>
        <v>0</v>
      </c>
      <c r="E133" s="48">
        <f>SUMIFS(Calculo!$F$37:$ES$37,Calculo!$F$6:$ES$6,2)</f>
        <v>0</v>
      </c>
      <c r="F133" s="48">
        <f>SUMIFS(Calculo!$F$37:$ES$37,Calculo!$F$6:$ES$6,3)</f>
        <v>0</v>
      </c>
      <c r="G133" s="48">
        <f>SUMIFS(Calculo!$F$37:$ES$37,Calculo!$F$6:$ES$6,4)</f>
        <v>0</v>
      </c>
      <c r="H133" s="48">
        <f>SUMIFS(Calculo!$F$37:$ES$37,Calculo!$F$6:$ES$6,5)</f>
        <v>0</v>
      </c>
      <c r="I133" s="48">
        <f>SUMIFS(Calculo!$F$37:$ES$37,Calculo!$F$6:$ES$6,6)</f>
        <v>0</v>
      </c>
      <c r="J133" s="48">
        <f>SUMIFS(Calculo!$F$37:$ES$37,Calculo!$F$6:$ES$6,7)</f>
        <v>0</v>
      </c>
      <c r="K133" s="48">
        <f>SUMIFS(Calculo!$F$37:$ES$37,Calculo!$F$6:$ES$6,8)</f>
        <v>0</v>
      </c>
      <c r="L133" s="48">
        <f>SUMIFS(Calculo!$F$37:$ES$37,Calculo!$F$6:$ES$6,9)</f>
        <v>0</v>
      </c>
      <c r="M133" s="48">
        <f>SUMIFS(Calculo!$F$37:$ES$37,Calculo!$F$6:$ES$6,10)</f>
        <v>0</v>
      </c>
      <c r="N133" s="48">
        <f>SUMIFS(Calculo!$F$37:$ES$37,Calculo!$F$6:$ES$6,11)</f>
        <v>0</v>
      </c>
      <c r="O133" s="48">
        <f>SUMIFS(Calculo!$F$37:$ES$37,Calculo!$F$6:$ES$6,12)</f>
        <v>0</v>
      </c>
    </row>
    <row r="134" spans="1:15" x14ac:dyDescent="0.3">
      <c r="A134" s="14" t="s">
        <v>1550</v>
      </c>
      <c r="B134" s="18" t="str">
        <f>IF(INDEX(Prod_Nombre,18)="","Producto 18",INDEX(Prod_Nombre,18))</f>
        <v>Producto 18</v>
      </c>
      <c r="C134" s="54">
        <f t="shared" si="9"/>
        <v>0</v>
      </c>
      <c r="D134" s="48">
        <f>SUMIFS(Calculo!$F$38:$ES$38,Calculo!$F$6:$ES$6,1)</f>
        <v>0</v>
      </c>
      <c r="E134" s="48">
        <f>SUMIFS(Calculo!$F$38:$ES$38,Calculo!$F$6:$ES$6,2)</f>
        <v>0</v>
      </c>
      <c r="F134" s="48">
        <f>SUMIFS(Calculo!$F$38:$ES$38,Calculo!$F$6:$ES$6,3)</f>
        <v>0</v>
      </c>
      <c r="G134" s="48">
        <f>SUMIFS(Calculo!$F$38:$ES$38,Calculo!$F$6:$ES$6,4)</f>
        <v>0</v>
      </c>
      <c r="H134" s="48">
        <f>SUMIFS(Calculo!$F$38:$ES$38,Calculo!$F$6:$ES$6,5)</f>
        <v>0</v>
      </c>
      <c r="I134" s="48">
        <f>SUMIFS(Calculo!$F$38:$ES$38,Calculo!$F$6:$ES$6,6)</f>
        <v>0</v>
      </c>
      <c r="J134" s="48">
        <f>SUMIFS(Calculo!$F$38:$ES$38,Calculo!$F$6:$ES$6,7)</f>
        <v>0</v>
      </c>
      <c r="K134" s="48">
        <f>SUMIFS(Calculo!$F$38:$ES$38,Calculo!$F$6:$ES$6,8)</f>
        <v>0</v>
      </c>
      <c r="L134" s="48">
        <f>SUMIFS(Calculo!$F$38:$ES$38,Calculo!$F$6:$ES$6,9)</f>
        <v>0</v>
      </c>
      <c r="M134" s="48">
        <f>SUMIFS(Calculo!$F$38:$ES$38,Calculo!$F$6:$ES$6,10)</f>
        <v>0</v>
      </c>
      <c r="N134" s="48">
        <f>SUMIFS(Calculo!$F$38:$ES$38,Calculo!$F$6:$ES$6,11)</f>
        <v>0</v>
      </c>
      <c r="O134" s="48">
        <f>SUMIFS(Calculo!$F$38:$ES$38,Calculo!$F$6:$ES$6,12)</f>
        <v>0</v>
      </c>
    </row>
    <row r="135" spans="1:15" x14ac:dyDescent="0.3">
      <c r="A135" s="14" t="s">
        <v>1551</v>
      </c>
      <c r="B135" s="18" t="str">
        <f>IF(INDEX(Prod_Nombre,19)="","Producto 19",INDEX(Prod_Nombre,19))</f>
        <v>Producto 19</v>
      </c>
      <c r="C135" s="54">
        <f t="shared" si="9"/>
        <v>0</v>
      </c>
      <c r="D135" s="48">
        <f>SUMIFS(Calculo!$F$39:$ES$39,Calculo!$F$6:$ES$6,1)</f>
        <v>0</v>
      </c>
      <c r="E135" s="48">
        <f>SUMIFS(Calculo!$F$39:$ES$39,Calculo!$F$6:$ES$6,2)</f>
        <v>0</v>
      </c>
      <c r="F135" s="48">
        <f>SUMIFS(Calculo!$F$39:$ES$39,Calculo!$F$6:$ES$6,3)</f>
        <v>0</v>
      </c>
      <c r="G135" s="48">
        <f>SUMIFS(Calculo!$F$39:$ES$39,Calculo!$F$6:$ES$6,4)</f>
        <v>0</v>
      </c>
      <c r="H135" s="48">
        <f>SUMIFS(Calculo!$F$39:$ES$39,Calculo!$F$6:$ES$6,5)</f>
        <v>0</v>
      </c>
      <c r="I135" s="48">
        <f>SUMIFS(Calculo!$F$39:$ES$39,Calculo!$F$6:$ES$6,6)</f>
        <v>0</v>
      </c>
      <c r="J135" s="48">
        <f>SUMIFS(Calculo!$F$39:$ES$39,Calculo!$F$6:$ES$6,7)</f>
        <v>0</v>
      </c>
      <c r="K135" s="48">
        <f>SUMIFS(Calculo!$F$39:$ES$39,Calculo!$F$6:$ES$6,8)</f>
        <v>0</v>
      </c>
      <c r="L135" s="48">
        <f>SUMIFS(Calculo!$F$39:$ES$39,Calculo!$F$6:$ES$6,9)</f>
        <v>0</v>
      </c>
      <c r="M135" s="48">
        <f>SUMIFS(Calculo!$F$39:$ES$39,Calculo!$F$6:$ES$6,10)</f>
        <v>0</v>
      </c>
      <c r="N135" s="48">
        <f>SUMIFS(Calculo!$F$39:$ES$39,Calculo!$F$6:$ES$6,11)</f>
        <v>0</v>
      </c>
      <c r="O135" s="48">
        <f>SUMIFS(Calculo!$F$39:$ES$39,Calculo!$F$6:$ES$6,12)</f>
        <v>0</v>
      </c>
    </row>
    <row r="136" spans="1:15" x14ac:dyDescent="0.3">
      <c r="A136" s="14" t="s">
        <v>1552</v>
      </c>
      <c r="B136" s="18" t="str">
        <f>IF(INDEX(Prod_Nombre,20)="","Producto 20",INDEX(Prod_Nombre,20))</f>
        <v>Producto 20</v>
      </c>
      <c r="C136" s="54">
        <f t="shared" si="9"/>
        <v>0</v>
      </c>
      <c r="D136" s="48">
        <f>SUMIFS(Calculo!$F$40:$ES$40,Calculo!$F$6:$ES$6,1)</f>
        <v>0</v>
      </c>
      <c r="E136" s="48">
        <f>SUMIFS(Calculo!$F$40:$ES$40,Calculo!$F$6:$ES$6,2)</f>
        <v>0</v>
      </c>
      <c r="F136" s="48">
        <f>SUMIFS(Calculo!$F$40:$ES$40,Calculo!$F$6:$ES$6,3)</f>
        <v>0</v>
      </c>
      <c r="G136" s="48">
        <f>SUMIFS(Calculo!$F$40:$ES$40,Calculo!$F$6:$ES$6,4)</f>
        <v>0</v>
      </c>
      <c r="H136" s="48">
        <f>SUMIFS(Calculo!$F$40:$ES$40,Calculo!$F$6:$ES$6,5)</f>
        <v>0</v>
      </c>
      <c r="I136" s="48">
        <f>SUMIFS(Calculo!$F$40:$ES$40,Calculo!$F$6:$ES$6,6)</f>
        <v>0</v>
      </c>
      <c r="J136" s="48">
        <f>SUMIFS(Calculo!$F$40:$ES$40,Calculo!$F$6:$ES$6,7)</f>
        <v>0</v>
      </c>
      <c r="K136" s="48">
        <f>SUMIFS(Calculo!$F$40:$ES$40,Calculo!$F$6:$ES$6,8)</f>
        <v>0</v>
      </c>
      <c r="L136" s="48">
        <f>SUMIFS(Calculo!$F$40:$ES$40,Calculo!$F$6:$ES$6,9)</f>
        <v>0</v>
      </c>
      <c r="M136" s="48">
        <f>SUMIFS(Calculo!$F$40:$ES$40,Calculo!$F$6:$ES$6,10)</f>
        <v>0</v>
      </c>
      <c r="N136" s="48">
        <f>SUMIFS(Calculo!$F$40:$ES$40,Calculo!$F$6:$ES$6,11)</f>
        <v>0</v>
      </c>
      <c r="O136" s="48">
        <f>SUMIFS(Calculo!$F$40:$ES$40,Calculo!$F$6:$ES$6,12)</f>
        <v>0</v>
      </c>
    </row>
    <row r="137" spans="1:15" x14ac:dyDescent="0.3">
      <c r="A137" s="14" t="s">
        <v>1553</v>
      </c>
      <c r="B137" s="18" t="str">
        <f>IF(INDEX(Prod_Nombre,21)="","Producto 21",INDEX(Prod_Nombre,21))</f>
        <v>Producto 21</v>
      </c>
      <c r="C137" s="54">
        <f t="shared" si="9"/>
        <v>0</v>
      </c>
      <c r="D137" s="48">
        <f>SUMIFS(Calculo!$F$41:$ES$41,Calculo!$F$6:$ES$6,1)</f>
        <v>0</v>
      </c>
      <c r="E137" s="48">
        <f>SUMIFS(Calculo!$F$41:$ES$41,Calculo!$F$6:$ES$6,2)</f>
        <v>0</v>
      </c>
      <c r="F137" s="48">
        <f>SUMIFS(Calculo!$F$41:$ES$41,Calculo!$F$6:$ES$6,3)</f>
        <v>0</v>
      </c>
      <c r="G137" s="48">
        <f>SUMIFS(Calculo!$F$41:$ES$41,Calculo!$F$6:$ES$6,4)</f>
        <v>0</v>
      </c>
      <c r="H137" s="48">
        <f>SUMIFS(Calculo!$F$41:$ES$41,Calculo!$F$6:$ES$6,5)</f>
        <v>0</v>
      </c>
      <c r="I137" s="48">
        <f>SUMIFS(Calculo!$F$41:$ES$41,Calculo!$F$6:$ES$6,6)</f>
        <v>0</v>
      </c>
      <c r="J137" s="48">
        <f>SUMIFS(Calculo!$F$41:$ES$41,Calculo!$F$6:$ES$6,7)</f>
        <v>0</v>
      </c>
      <c r="K137" s="48">
        <f>SUMIFS(Calculo!$F$41:$ES$41,Calculo!$F$6:$ES$6,8)</f>
        <v>0</v>
      </c>
      <c r="L137" s="48">
        <f>SUMIFS(Calculo!$F$41:$ES$41,Calculo!$F$6:$ES$6,9)</f>
        <v>0</v>
      </c>
      <c r="M137" s="48">
        <f>SUMIFS(Calculo!$F$41:$ES$41,Calculo!$F$6:$ES$6,10)</f>
        <v>0</v>
      </c>
      <c r="N137" s="48">
        <f>SUMIFS(Calculo!$F$41:$ES$41,Calculo!$F$6:$ES$6,11)</f>
        <v>0</v>
      </c>
      <c r="O137" s="48">
        <f>SUMIFS(Calculo!$F$41:$ES$41,Calculo!$F$6:$ES$6,12)</f>
        <v>0</v>
      </c>
    </row>
    <row r="138" spans="1:15" x14ac:dyDescent="0.3">
      <c r="A138" s="14" t="s">
        <v>1554</v>
      </c>
      <c r="B138" s="18" t="str">
        <f>IF(INDEX(Prod_Nombre,22)="","Producto 22",INDEX(Prod_Nombre,22))</f>
        <v>Producto 22</v>
      </c>
      <c r="C138" s="54">
        <f t="shared" si="9"/>
        <v>0</v>
      </c>
      <c r="D138" s="48">
        <f>SUMIFS(Calculo!$F$42:$ES$42,Calculo!$F$6:$ES$6,1)</f>
        <v>0</v>
      </c>
      <c r="E138" s="48">
        <f>SUMIFS(Calculo!$F$42:$ES$42,Calculo!$F$6:$ES$6,2)</f>
        <v>0</v>
      </c>
      <c r="F138" s="48">
        <f>SUMIFS(Calculo!$F$42:$ES$42,Calculo!$F$6:$ES$6,3)</f>
        <v>0</v>
      </c>
      <c r="G138" s="48">
        <f>SUMIFS(Calculo!$F$42:$ES$42,Calculo!$F$6:$ES$6,4)</f>
        <v>0</v>
      </c>
      <c r="H138" s="48">
        <f>SUMIFS(Calculo!$F$42:$ES$42,Calculo!$F$6:$ES$6,5)</f>
        <v>0</v>
      </c>
      <c r="I138" s="48">
        <f>SUMIFS(Calculo!$F$42:$ES$42,Calculo!$F$6:$ES$6,6)</f>
        <v>0</v>
      </c>
      <c r="J138" s="48">
        <f>SUMIFS(Calculo!$F$42:$ES$42,Calculo!$F$6:$ES$6,7)</f>
        <v>0</v>
      </c>
      <c r="K138" s="48">
        <f>SUMIFS(Calculo!$F$42:$ES$42,Calculo!$F$6:$ES$6,8)</f>
        <v>0</v>
      </c>
      <c r="L138" s="48">
        <f>SUMIFS(Calculo!$F$42:$ES$42,Calculo!$F$6:$ES$6,9)</f>
        <v>0</v>
      </c>
      <c r="M138" s="48">
        <f>SUMIFS(Calculo!$F$42:$ES$42,Calculo!$F$6:$ES$6,10)</f>
        <v>0</v>
      </c>
      <c r="N138" s="48">
        <f>SUMIFS(Calculo!$F$42:$ES$42,Calculo!$F$6:$ES$6,11)</f>
        <v>0</v>
      </c>
      <c r="O138" s="48">
        <f>SUMIFS(Calculo!$F$42:$ES$42,Calculo!$F$6:$ES$6,12)</f>
        <v>0</v>
      </c>
    </row>
    <row r="139" spans="1:15" x14ac:dyDescent="0.3">
      <c r="A139" s="14" t="s">
        <v>1555</v>
      </c>
      <c r="B139" s="18" t="str">
        <f>IF(INDEX(Prod_Nombre,23)="","Producto 23",INDEX(Prod_Nombre,23))</f>
        <v>Producto 23</v>
      </c>
      <c r="C139" s="54">
        <f t="shared" si="9"/>
        <v>0</v>
      </c>
      <c r="D139" s="48">
        <f>SUMIFS(Calculo!$F$43:$ES$43,Calculo!$F$6:$ES$6,1)</f>
        <v>0</v>
      </c>
      <c r="E139" s="48">
        <f>SUMIFS(Calculo!$F$43:$ES$43,Calculo!$F$6:$ES$6,2)</f>
        <v>0</v>
      </c>
      <c r="F139" s="48">
        <f>SUMIFS(Calculo!$F$43:$ES$43,Calculo!$F$6:$ES$6,3)</f>
        <v>0</v>
      </c>
      <c r="G139" s="48">
        <f>SUMIFS(Calculo!$F$43:$ES$43,Calculo!$F$6:$ES$6,4)</f>
        <v>0</v>
      </c>
      <c r="H139" s="48">
        <f>SUMIFS(Calculo!$F$43:$ES$43,Calculo!$F$6:$ES$6,5)</f>
        <v>0</v>
      </c>
      <c r="I139" s="48">
        <f>SUMIFS(Calculo!$F$43:$ES$43,Calculo!$F$6:$ES$6,6)</f>
        <v>0</v>
      </c>
      <c r="J139" s="48">
        <f>SUMIFS(Calculo!$F$43:$ES$43,Calculo!$F$6:$ES$6,7)</f>
        <v>0</v>
      </c>
      <c r="K139" s="48">
        <f>SUMIFS(Calculo!$F$43:$ES$43,Calculo!$F$6:$ES$6,8)</f>
        <v>0</v>
      </c>
      <c r="L139" s="48">
        <f>SUMIFS(Calculo!$F$43:$ES$43,Calculo!$F$6:$ES$6,9)</f>
        <v>0</v>
      </c>
      <c r="M139" s="48">
        <f>SUMIFS(Calculo!$F$43:$ES$43,Calculo!$F$6:$ES$6,10)</f>
        <v>0</v>
      </c>
      <c r="N139" s="48">
        <f>SUMIFS(Calculo!$F$43:$ES$43,Calculo!$F$6:$ES$6,11)</f>
        <v>0</v>
      </c>
      <c r="O139" s="48">
        <f>SUMIFS(Calculo!$F$43:$ES$43,Calculo!$F$6:$ES$6,12)</f>
        <v>0</v>
      </c>
    </row>
    <row r="140" spans="1:15" x14ac:dyDescent="0.3">
      <c r="A140" s="14" t="s">
        <v>1556</v>
      </c>
      <c r="B140" s="18" t="str">
        <f>IF(INDEX(Prod_Nombre,24)="","Producto 24",INDEX(Prod_Nombre,24))</f>
        <v>Producto 24</v>
      </c>
      <c r="C140" s="54">
        <f t="shared" si="9"/>
        <v>0</v>
      </c>
      <c r="D140" s="48">
        <f>SUMIFS(Calculo!$F$44:$ES$44,Calculo!$F$6:$ES$6,1)</f>
        <v>0</v>
      </c>
      <c r="E140" s="48">
        <f>SUMIFS(Calculo!$F$44:$ES$44,Calculo!$F$6:$ES$6,2)</f>
        <v>0</v>
      </c>
      <c r="F140" s="48">
        <f>SUMIFS(Calculo!$F$44:$ES$44,Calculo!$F$6:$ES$6,3)</f>
        <v>0</v>
      </c>
      <c r="G140" s="48">
        <f>SUMIFS(Calculo!$F$44:$ES$44,Calculo!$F$6:$ES$6,4)</f>
        <v>0</v>
      </c>
      <c r="H140" s="48">
        <f>SUMIFS(Calculo!$F$44:$ES$44,Calculo!$F$6:$ES$6,5)</f>
        <v>0</v>
      </c>
      <c r="I140" s="48">
        <f>SUMIFS(Calculo!$F$44:$ES$44,Calculo!$F$6:$ES$6,6)</f>
        <v>0</v>
      </c>
      <c r="J140" s="48">
        <f>SUMIFS(Calculo!$F$44:$ES$44,Calculo!$F$6:$ES$6,7)</f>
        <v>0</v>
      </c>
      <c r="K140" s="48">
        <f>SUMIFS(Calculo!$F$44:$ES$44,Calculo!$F$6:$ES$6,8)</f>
        <v>0</v>
      </c>
      <c r="L140" s="48">
        <f>SUMIFS(Calculo!$F$44:$ES$44,Calculo!$F$6:$ES$6,9)</f>
        <v>0</v>
      </c>
      <c r="M140" s="48">
        <f>SUMIFS(Calculo!$F$44:$ES$44,Calculo!$F$6:$ES$6,10)</f>
        <v>0</v>
      </c>
      <c r="N140" s="48">
        <f>SUMIFS(Calculo!$F$44:$ES$44,Calculo!$F$6:$ES$6,11)</f>
        <v>0</v>
      </c>
      <c r="O140" s="48">
        <f>SUMIFS(Calculo!$F$44:$ES$44,Calculo!$F$6:$ES$6,12)</f>
        <v>0</v>
      </c>
    </row>
    <row r="141" spans="1:15" x14ac:dyDescent="0.3">
      <c r="A141" s="14" t="s">
        <v>1557</v>
      </c>
      <c r="B141" s="18" t="str">
        <f>IF(INDEX(Prod_Nombre,25)="","Producto 25",INDEX(Prod_Nombre,25))</f>
        <v>Producto 25</v>
      </c>
      <c r="C141" s="54">
        <f t="shared" si="9"/>
        <v>0</v>
      </c>
      <c r="D141" s="48">
        <f>SUMIFS(Calculo!$F$45:$ES$45,Calculo!$F$6:$ES$6,1)</f>
        <v>0</v>
      </c>
      <c r="E141" s="48">
        <f>SUMIFS(Calculo!$F$45:$ES$45,Calculo!$F$6:$ES$6,2)</f>
        <v>0</v>
      </c>
      <c r="F141" s="48">
        <f>SUMIFS(Calculo!$F$45:$ES$45,Calculo!$F$6:$ES$6,3)</f>
        <v>0</v>
      </c>
      <c r="G141" s="48">
        <f>SUMIFS(Calculo!$F$45:$ES$45,Calculo!$F$6:$ES$6,4)</f>
        <v>0</v>
      </c>
      <c r="H141" s="48">
        <f>SUMIFS(Calculo!$F$45:$ES$45,Calculo!$F$6:$ES$6,5)</f>
        <v>0</v>
      </c>
      <c r="I141" s="48">
        <f>SUMIFS(Calculo!$F$45:$ES$45,Calculo!$F$6:$ES$6,6)</f>
        <v>0</v>
      </c>
      <c r="J141" s="48">
        <f>SUMIFS(Calculo!$F$45:$ES$45,Calculo!$F$6:$ES$6,7)</f>
        <v>0</v>
      </c>
      <c r="K141" s="48">
        <f>SUMIFS(Calculo!$F$45:$ES$45,Calculo!$F$6:$ES$6,8)</f>
        <v>0</v>
      </c>
      <c r="L141" s="48">
        <f>SUMIFS(Calculo!$F$45:$ES$45,Calculo!$F$6:$ES$6,9)</f>
        <v>0</v>
      </c>
      <c r="M141" s="48">
        <f>SUMIFS(Calculo!$F$45:$ES$45,Calculo!$F$6:$ES$6,10)</f>
        <v>0</v>
      </c>
      <c r="N141" s="48">
        <f>SUMIFS(Calculo!$F$45:$ES$45,Calculo!$F$6:$ES$6,11)</f>
        <v>0</v>
      </c>
      <c r="O141" s="48">
        <f>SUMIFS(Calculo!$F$45:$ES$45,Calculo!$F$6:$ES$6,12)</f>
        <v>0</v>
      </c>
    </row>
    <row r="143" spans="1:15" x14ac:dyDescent="0.3">
      <c r="A143" s="15" t="s">
        <v>1558</v>
      </c>
      <c r="B143" s="16"/>
      <c r="C143" s="16"/>
      <c r="D143" s="16"/>
      <c r="E143" s="16"/>
      <c r="F143" s="16"/>
      <c r="G143" s="16"/>
      <c r="H143" s="16"/>
      <c r="I143" s="16"/>
      <c r="J143" s="16"/>
      <c r="K143" s="16"/>
      <c r="L143" s="16"/>
      <c r="M143" s="16"/>
      <c r="N143" s="16"/>
      <c r="O143" s="16"/>
    </row>
    <row r="144" spans="1:15" x14ac:dyDescent="0.3">
      <c r="A144" s="17"/>
      <c r="B144" s="17" t="s">
        <v>1443</v>
      </c>
      <c r="C144" s="17" t="s">
        <v>480</v>
      </c>
      <c r="D144" s="17" t="s">
        <v>383</v>
      </c>
      <c r="E144" s="17" t="s">
        <v>384</v>
      </c>
      <c r="F144" s="17" t="s">
        <v>385</v>
      </c>
      <c r="G144" s="17" t="s">
        <v>386</v>
      </c>
      <c r="H144" s="17" t="s">
        <v>387</v>
      </c>
      <c r="I144" s="17" t="s">
        <v>388</v>
      </c>
      <c r="J144" s="17" t="s">
        <v>389</v>
      </c>
      <c r="K144" s="17" t="s">
        <v>390</v>
      </c>
      <c r="L144" s="17" t="s">
        <v>391</v>
      </c>
      <c r="M144" s="17" t="s">
        <v>392</v>
      </c>
      <c r="N144" s="17" t="s">
        <v>1444</v>
      </c>
      <c r="O144" s="17" t="s">
        <v>1445</v>
      </c>
    </row>
    <row r="145" spans="1:15" x14ac:dyDescent="0.3">
      <c r="B145" s="14" t="s">
        <v>1446</v>
      </c>
      <c r="D145" s="86" t="str">
        <f>IF(Corte&gt;=12,"Real",IF(Corte&gt;0,"Real+Proy.","Proyección"))</f>
        <v>Proyección</v>
      </c>
      <c r="E145" s="86" t="str">
        <f>IF(Corte&gt;=24,"Real",IF(Corte&gt;12,"Real+Proy.","Proyección"))</f>
        <v>Proyección</v>
      </c>
      <c r="F145" s="86" t="str">
        <f>IF(Corte&gt;=36,"Real",IF(Corte&gt;24,"Real+Proy.","Proyección"))</f>
        <v>Proyección</v>
      </c>
      <c r="G145" s="86" t="str">
        <f>IF(Corte&gt;=48,"Real",IF(Corte&gt;36,"Real+Proy.","Proyección"))</f>
        <v>Proyección</v>
      </c>
      <c r="H145" s="86" t="str">
        <f>IF(Corte&gt;=60,"Real",IF(Corte&gt;48,"Real+Proy.","Proyección"))</f>
        <v>Proyección</v>
      </c>
      <c r="I145" s="86" t="str">
        <f>IF(Corte&gt;=72,"Real",IF(Corte&gt;60,"Real+Proy.","Proyección"))</f>
        <v>Proyección</v>
      </c>
      <c r="J145" s="86" t="str">
        <f>IF(Corte&gt;=84,"Real",IF(Corte&gt;72,"Real+Proy.","Proyección"))</f>
        <v>Proyección</v>
      </c>
      <c r="K145" s="86" t="str">
        <f>IF(Corte&gt;=96,"Real",IF(Corte&gt;84,"Real+Proy.","Proyección"))</f>
        <v>Proyección</v>
      </c>
      <c r="L145" s="86" t="str">
        <f>IF(Corte&gt;=108,"Real",IF(Corte&gt;96,"Real+Proy.","Proyección"))</f>
        <v>Proyección</v>
      </c>
      <c r="M145" s="86" t="str">
        <f>IF(Corte&gt;=120,"Real",IF(Corte&gt;108,"Real+Proy.","Proyección"))</f>
        <v>Proyección</v>
      </c>
      <c r="N145" s="86" t="str">
        <f>IF(Corte&gt;=132,"Real",IF(Corte&gt;120,"Real+Proy.","Proyección"))</f>
        <v>Proyección</v>
      </c>
      <c r="O145" s="86" t="str">
        <f>IF(Corte&gt;=144,"Real",IF(Corte&gt;132,"Real+Proy.","Proyección"))</f>
        <v>Proyección</v>
      </c>
    </row>
    <row r="146" spans="1:15" x14ac:dyDescent="0.3">
      <c r="B146" s="14" t="s">
        <v>1447</v>
      </c>
      <c r="D146" s="87" t="str">
        <f>IF(n_Fecha1="","",YEAR(EOMONTH(n_Fecha1,0)))</f>
        <v/>
      </c>
      <c r="E146" s="87" t="str">
        <f>IF(n_Fecha1="","",YEAR(EOMONTH(n_Fecha1,12)))</f>
        <v/>
      </c>
      <c r="F146" s="87" t="str">
        <f>IF(n_Fecha1="","",YEAR(EOMONTH(n_Fecha1,24)))</f>
        <v/>
      </c>
      <c r="G146" s="87" t="str">
        <f>IF(n_Fecha1="","",YEAR(EOMONTH(n_Fecha1,36)))</f>
        <v/>
      </c>
      <c r="H146" s="87" t="str">
        <f>IF(n_Fecha1="","",YEAR(EOMONTH(n_Fecha1,48)))</f>
        <v/>
      </c>
      <c r="I146" s="87" t="str">
        <f>IF(n_Fecha1="","",YEAR(EOMONTH(n_Fecha1,60)))</f>
        <v/>
      </c>
      <c r="J146" s="87" t="str">
        <f>IF(n_Fecha1="","",YEAR(EOMONTH(n_Fecha1,72)))</f>
        <v/>
      </c>
      <c r="K146" s="87" t="str">
        <f>IF(n_Fecha1="","",YEAR(EOMONTH(n_Fecha1,84)))</f>
        <v/>
      </c>
      <c r="L146" s="87" t="str">
        <f>IF(n_Fecha1="","",YEAR(EOMONTH(n_Fecha1,96)))</f>
        <v/>
      </c>
      <c r="M146" s="87" t="str">
        <f>IF(n_Fecha1="","",YEAR(EOMONTH(n_Fecha1,108)))</f>
        <v/>
      </c>
      <c r="N146" s="87" t="str">
        <f>IF(n_Fecha1="","",YEAR(EOMONTH(n_Fecha1,120)))</f>
        <v/>
      </c>
      <c r="O146" s="87" t="str">
        <f>IF(n_Fecha1="","",YEAR(EOMONTH(n_Fecha1,132)))</f>
        <v/>
      </c>
    </row>
    <row r="147" spans="1:15" x14ac:dyDescent="0.3">
      <c r="B147" s="18" t="s">
        <v>437</v>
      </c>
      <c r="C147" s="48">
        <f t="shared" ref="C147:O147" si="10">C38-C101</f>
        <v>0</v>
      </c>
      <c r="D147" s="48">
        <f t="shared" si="10"/>
        <v>0</v>
      </c>
      <c r="E147" s="48">
        <f t="shared" si="10"/>
        <v>0</v>
      </c>
      <c r="F147" s="48">
        <f t="shared" si="10"/>
        <v>0</v>
      </c>
      <c r="G147" s="48">
        <f t="shared" si="10"/>
        <v>0</v>
      </c>
      <c r="H147" s="48">
        <f t="shared" si="10"/>
        <v>0</v>
      </c>
      <c r="I147" s="48">
        <f t="shared" si="10"/>
        <v>0</v>
      </c>
      <c r="J147" s="48">
        <f t="shared" si="10"/>
        <v>0</v>
      </c>
      <c r="K147" s="48">
        <f t="shared" si="10"/>
        <v>0</v>
      </c>
      <c r="L147" s="48">
        <f t="shared" si="10"/>
        <v>0</v>
      </c>
      <c r="M147" s="48">
        <f t="shared" si="10"/>
        <v>0</v>
      </c>
      <c r="N147" s="48">
        <f t="shared" si="10"/>
        <v>0</v>
      </c>
      <c r="O147" s="48">
        <f t="shared" si="10"/>
        <v>0</v>
      </c>
    </row>
    <row r="148" spans="1:15" x14ac:dyDescent="0.3">
      <c r="B148" s="18" t="s">
        <v>440</v>
      </c>
      <c r="C148" s="48">
        <f t="shared" ref="C148:O148" si="11">C48-C102</f>
        <v>0</v>
      </c>
      <c r="D148" s="48">
        <f t="shared" si="11"/>
        <v>0</v>
      </c>
      <c r="E148" s="48">
        <f t="shared" si="11"/>
        <v>0</v>
      </c>
      <c r="F148" s="48">
        <f t="shared" si="11"/>
        <v>0</v>
      </c>
      <c r="G148" s="48">
        <f t="shared" si="11"/>
        <v>0</v>
      </c>
      <c r="H148" s="48">
        <f t="shared" si="11"/>
        <v>0</v>
      </c>
      <c r="I148" s="48">
        <f t="shared" si="11"/>
        <v>0</v>
      </c>
      <c r="J148" s="48">
        <f t="shared" si="11"/>
        <v>1.862645149230957E-9</v>
      </c>
      <c r="K148" s="48">
        <f t="shared" si="11"/>
        <v>0</v>
      </c>
      <c r="L148" s="48">
        <f t="shared" si="11"/>
        <v>0</v>
      </c>
      <c r="M148" s="48">
        <f t="shared" si="11"/>
        <v>0</v>
      </c>
      <c r="N148" s="48">
        <f t="shared" si="11"/>
        <v>0</v>
      </c>
      <c r="O148" s="48">
        <f t="shared" si="11"/>
        <v>0</v>
      </c>
    </row>
    <row r="149" spans="1:15" x14ac:dyDescent="0.3">
      <c r="B149" s="18" t="s">
        <v>1381</v>
      </c>
      <c r="C149" s="48">
        <f t="shared" ref="C149:O149" si="12">C52-C103</f>
        <v>0</v>
      </c>
      <c r="D149" s="48">
        <f t="shared" si="12"/>
        <v>0</v>
      </c>
      <c r="E149" s="48">
        <f t="shared" si="12"/>
        <v>0</v>
      </c>
      <c r="F149" s="48">
        <f t="shared" si="12"/>
        <v>0</v>
      </c>
      <c r="G149" s="48">
        <f t="shared" si="12"/>
        <v>0</v>
      </c>
      <c r="H149" s="48">
        <f t="shared" si="12"/>
        <v>0</v>
      </c>
      <c r="I149" s="48">
        <f t="shared" si="12"/>
        <v>0</v>
      </c>
      <c r="J149" s="48">
        <f t="shared" si="12"/>
        <v>0</v>
      </c>
      <c r="K149" s="48">
        <f t="shared" si="12"/>
        <v>0</v>
      </c>
      <c r="L149" s="48">
        <f t="shared" si="12"/>
        <v>0</v>
      </c>
      <c r="M149" s="48">
        <f t="shared" si="12"/>
        <v>0</v>
      </c>
      <c r="N149" s="48">
        <f t="shared" si="12"/>
        <v>0</v>
      </c>
      <c r="O149" s="48">
        <f t="shared" si="12"/>
        <v>0</v>
      </c>
    </row>
    <row r="150" spans="1:15" x14ac:dyDescent="0.3">
      <c r="B150" s="18" t="s">
        <v>945</v>
      </c>
      <c r="C150" s="48">
        <f t="shared" ref="C150:O150" si="13">C54-C105</f>
        <v>0</v>
      </c>
      <c r="D150" s="48">
        <f t="shared" si="13"/>
        <v>0</v>
      </c>
      <c r="E150" s="48">
        <f t="shared" si="13"/>
        <v>0</v>
      </c>
      <c r="F150" s="48">
        <f t="shared" si="13"/>
        <v>0</v>
      </c>
      <c r="G150" s="48">
        <f t="shared" si="13"/>
        <v>0</v>
      </c>
      <c r="H150" s="48">
        <f t="shared" si="13"/>
        <v>0</v>
      </c>
      <c r="I150" s="48">
        <f t="shared" si="13"/>
        <v>0</v>
      </c>
      <c r="J150" s="48">
        <f t="shared" si="13"/>
        <v>0</v>
      </c>
      <c r="K150" s="48">
        <f t="shared" si="13"/>
        <v>0</v>
      </c>
      <c r="L150" s="48">
        <f t="shared" si="13"/>
        <v>0</v>
      </c>
      <c r="M150" s="48">
        <f t="shared" si="13"/>
        <v>0</v>
      </c>
      <c r="N150" s="48">
        <f t="shared" si="13"/>
        <v>0</v>
      </c>
      <c r="O150" s="48">
        <f t="shared" si="13"/>
        <v>0</v>
      </c>
    </row>
    <row r="151" spans="1:15" x14ac:dyDescent="0.3">
      <c r="B151" s="18" t="s">
        <v>1559</v>
      </c>
      <c r="C151" s="48">
        <f t="shared" ref="C151:O151" si="14">C55-C106</f>
        <v>0</v>
      </c>
      <c r="D151" s="48">
        <f t="shared" si="14"/>
        <v>0</v>
      </c>
      <c r="E151" s="48">
        <f t="shared" si="14"/>
        <v>0</v>
      </c>
      <c r="F151" s="48">
        <f t="shared" si="14"/>
        <v>9.3132257461547852E-10</v>
      </c>
      <c r="G151" s="48">
        <f t="shared" si="14"/>
        <v>0</v>
      </c>
      <c r="H151" s="48">
        <f t="shared" si="14"/>
        <v>0</v>
      </c>
      <c r="I151" s="48">
        <f t="shared" si="14"/>
        <v>0</v>
      </c>
      <c r="J151" s="48">
        <f t="shared" si="14"/>
        <v>0</v>
      </c>
      <c r="K151" s="48">
        <f t="shared" si="14"/>
        <v>0</v>
      </c>
      <c r="L151" s="48">
        <f t="shared" si="14"/>
        <v>0</v>
      </c>
      <c r="M151" s="48">
        <f t="shared" si="14"/>
        <v>0</v>
      </c>
      <c r="N151" s="48">
        <f t="shared" si="14"/>
        <v>0</v>
      </c>
      <c r="O151" s="48">
        <f t="shared" si="14"/>
        <v>0</v>
      </c>
    </row>
    <row r="152" spans="1:15" x14ac:dyDescent="0.3">
      <c r="B152" s="18" t="s">
        <v>1385</v>
      </c>
      <c r="C152" s="48">
        <f t="shared" ref="C152:O152" si="15">C61-C111</f>
        <v>0</v>
      </c>
      <c r="D152" s="48">
        <f t="shared" si="15"/>
        <v>0</v>
      </c>
      <c r="E152" s="48">
        <f t="shared" si="15"/>
        <v>0</v>
      </c>
      <c r="F152" s="48">
        <f t="shared" si="15"/>
        <v>9.3132257461547852E-10</v>
      </c>
      <c r="G152" s="48">
        <f t="shared" si="15"/>
        <v>1.3969838619232178E-9</v>
      </c>
      <c r="H152" s="48">
        <f t="shared" si="15"/>
        <v>2.7939677238464355E-9</v>
      </c>
      <c r="I152" s="48">
        <f t="shared" si="15"/>
        <v>0</v>
      </c>
      <c r="J152" s="48">
        <f t="shared" si="15"/>
        <v>0</v>
      </c>
      <c r="K152" s="48">
        <f t="shared" si="15"/>
        <v>0</v>
      </c>
      <c r="L152" s="48">
        <f t="shared" si="15"/>
        <v>0</v>
      </c>
      <c r="M152" s="48">
        <f t="shared" si="15"/>
        <v>0</v>
      </c>
      <c r="N152" s="48">
        <f t="shared" si="15"/>
        <v>0</v>
      </c>
      <c r="O152" s="48">
        <f t="shared" si="15"/>
        <v>0</v>
      </c>
    </row>
    <row r="153" spans="1:15" x14ac:dyDescent="0.3">
      <c r="B153" s="18" t="s">
        <v>1560</v>
      </c>
      <c r="C153" s="48">
        <f t="shared" ref="C153:O153" si="16">SUM(C71:C95)-SUM(C117:C141)</f>
        <v>0</v>
      </c>
      <c r="D153" s="48">
        <f t="shared" si="16"/>
        <v>0</v>
      </c>
      <c r="E153" s="48">
        <f t="shared" si="16"/>
        <v>0</v>
      </c>
      <c r="F153" s="48">
        <f t="shared" si="16"/>
        <v>0</v>
      </c>
      <c r="G153" s="48">
        <f t="shared" si="16"/>
        <v>0</v>
      </c>
      <c r="H153" s="48">
        <f t="shared" si="16"/>
        <v>0</v>
      </c>
      <c r="I153" s="48">
        <f t="shared" si="16"/>
        <v>0</v>
      </c>
      <c r="J153" s="48">
        <f t="shared" si="16"/>
        <v>0</v>
      </c>
      <c r="K153" s="48">
        <f t="shared" si="16"/>
        <v>0</v>
      </c>
      <c r="L153" s="48">
        <f t="shared" si="16"/>
        <v>0</v>
      </c>
      <c r="M153" s="48">
        <f t="shared" si="16"/>
        <v>0</v>
      </c>
      <c r="N153" s="48">
        <f t="shared" si="16"/>
        <v>0</v>
      </c>
      <c r="O153" s="48">
        <f t="shared" si="16"/>
        <v>0</v>
      </c>
    </row>
    <row r="154" spans="1:15" x14ac:dyDescent="0.3">
      <c r="B154" s="18" t="s">
        <v>1561</v>
      </c>
      <c r="C154" s="49">
        <f t="shared" ref="C154:O154" si="17">IF(C101=0,"",C147/C101)</f>
        <v>0</v>
      </c>
      <c r="D154" s="49">
        <f t="shared" si="17"/>
        <v>0</v>
      </c>
      <c r="E154" s="49">
        <f t="shared" si="17"/>
        <v>0</v>
      </c>
      <c r="F154" s="49">
        <f t="shared" si="17"/>
        <v>0</v>
      </c>
      <c r="G154" s="49">
        <f t="shared" si="17"/>
        <v>0</v>
      </c>
      <c r="H154" s="49">
        <f t="shared" si="17"/>
        <v>0</v>
      </c>
      <c r="I154" s="49">
        <f t="shared" si="17"/>
        <v>0</v>
      </c>
      <c r="J154" s="49">
        <f t="shared" si="17"/>
        <v>0</v>
      </c>
      <c r="K154" s="49">
        <f t="shared" si="17"/>
        <v>0</v>
      </c>
      <c r="L154" s="49">
        <f t="shared" si="17"/>
        <v>0</v>
      </c>
      <c r="M154" s="49">
        <f t="shared" si="17"/>
        <v>0</v>
      </c>
      <c r="N154" s="49" t="str">
        <f t="shared" si="17"/>
        <v/>
      </c>
      <c r="O154" s="49" t="str">
        <f t="shared" si="17"/>
        <v/>
      </c>
    </row>
    <row r="156" spans="1:15" x14ac:dyDescent="0.3">
      <c r="A156" s="15" t="s">
        <v>1562</v>
      </c>
      <c r="B156" s="16"/>
      <c r="C156" s="16"/>
      <c r="D156" s="16"/>
      <c r="E156" s="16"/>
      <c r="F156" s="16"/>
      <c r="G156" s="16"/>
      <c r="H156" s="16"/>
      <c r="I156" s="16"/>
      <c r="J156" s="16"/>
      <c r="K156" s="16"/>
      <c r="L156" s="16"/>
      <c r="M156" s="16"/>
      <c r="N156" s="16"/>
      <c r="O156" s="16"/>
    </row>
    <row r="157" spans="1:15" x14ac:dyDescent="0.3">
      <c r="A157" s="17"/>
      <c r="B157" s="17" t="s">
        <v>1443</v>
      </c>
      <c r="C157" s="17" t="s">
        <v>480</v>
      </c>
      <c r="D157" s="17" t="s">
        <v>383</v>
      </c>
      <c r="E157" s="17" t="s">
        <v>384</v>
      </c>
      <c r="F157" s="17" t="s">
        <v>385</v>
      </c>
      <c r="G157" s="17" t="s">
        <v>386</v>
      </c>
      <c r="H157" s="17" t="s">
        <v>387</v>
      </c>
      <c r="I157" s="17" t="s">
        <v>388</v>
      </c>
      <c r="J157" s="17" t="s">
        <v>389</v>
      </c>
      <c r="K157" s="17" t="s">
        <v>390</v>
      </c>
      <c r="L157" s="17" t="s">
        <v>391</v>
      </c>
      <c r="M157" s="17" t="s">
        <v>392</v>
      </c>
      <c r="N157" s="17" t="s">
        <v>1444</v>
      </c>
      <c r="O157" s="17" t="s">
        <v>1445</v>
      </c>
    </row>
    <row r="158" spans="1:15" x14ac:dyDescent="0.3">
      <c r="B158" s="14" t="s">
        <v>1446</v>
      </c>
      <c r="D158" s="86" t="str">
        <f>IF(Corte&gt;=12,"Real",IF(Corte&gt;0,"Real+Proy.","Proyección"))</f>
        <v>Proyección</v>
      </c>
      <c r="E158" s="86" t="str">
        <f>IF(Corte&gt;=24,"Real",IF(Corte&gt;12,"Real+Proy.","Proyección"))</f>
        <v>Proyección</v>
      </c>
      <c r="F158" s="86" t="str">
        <f>IF(Corte&gt;=36,"Real",IF(Corte&gt;24,"Real+Proy.","Proyección"))</f>
        <v>Proyección</v>
      </c>
      <c r="G158" s="86" t="str">
        <f>IF(Corte&gt;=48,"Real",IF(Corte&gt;36,"Real+Proy.","Proyección"))</f>
        <v>Proyección</v>
      </c>
      <c r="H158" s="86" t="str">
        <f>IF(Corte&gt;=60,"Real",IF(Corte&gt;48,"Real+Proy.","Proyección"))</f>
        <v>Proyección</v>
      </c>
      <c r="I158" s="86" t="str">
        <f>IF(Corte&gt;=72,"Real",IF(Corte&gt;60,"Real+Proy.","Proyección"))</f>
        <v>Proyección</v>
      </c>
      <c r="J158" s="86" t="str">
        <f>IF(Corte&gt;=84,"Real",IF(Corte&gt;72,"Real+Proy.","Proyección"))</f>
        <v>Proyección</v>
      </c>
      <c r="K158" s="86" t="str">
        <f>IF(Corte&gt;=96,"Real",IF(Corte&gt;84,"Real+Proy.","Proyección"))</f>
        <v>Proyección</v>
      </c>
      <c r="L158" s="86" t="str">
        <f>IF(Corte&gt;=108,"Real",IF(Corte&gt;96,"Real+Proy.","Proyección"))</f>
        <v>Proyección</v>
      </c>
      <c r="M158" s="86" t="str">
        <f>IF(Corte&gt;=120,"Real",IF(Corte&gt;108,"Real+Proy.","Proyección"))</f>
        <v>Proyección</v>
      </c>
      <c r="N158" s="86" t="str">
        <f>IF(Corte&gt;=132,"Real",IF(Corte&gt;120,"Real+Proy.","Proyección"))</f>
        <v>Proyección</v>
      </c>
      <c r="O158" s="86" t="str">
        <f>IF(Corte&gt;=144,"Real",IF(Corte&gt;132,"Real+Proy.","Proyección"))</f>
        <v>Proyección</v>
      </c>
    </row>
    <row r="159" spans="1:15" x14ac:dyDescent="0.3">
      <c r="B159" s="14" t="s">
        <v>1447</v>
      </c>
      <c r="D159" s="87" t="str">
        <f>IF(n_Fecha1="","",YEAR(EOMONTH(n_Fecha1,0)))</f>
        <v/>
      </c>
      <c r="E159" s="87" t="str">
        <f>IF(n_Fecha1="","",YEAR(EOMONTH(n_Fecha1,12)))</f>
        <v/>
      </c>
      <c r="F159" s="87" t="str">
        <f>IF(n_Fecha1="","",YEAR(EOMONTH(n_Fecha1,24)))</f>
        <v/>
      </c>
      <c r="G159" s="87" t="str">
        <f>IF(n_Fecha1="","",YEAR(EOMONTH(n_Fecha1,36)))</f>
        <v/>
      </c>
      <c r="H159" s="87" t="str">
        <f>IF(n_Fecha1="","",YEAR(EOMONTH(n_Fecha1,48)))</f>
        <v/>
      </c>
      <c r="I159" s="87" t="str">
        <f>IF(n_Fecha1="","",YEAR(EOMONTH(n_Fecha1,60)))</f>
        <v/>
      </c>
      <c r="J159" s="87" t="str">
        <f>IF(n_Fecha1="","",YEAR(EOMONTH(n_Fecha1,72)))</f>
        <v/>
      </c>
      <c r="K159" s="87" t="str">
        <f>IF(n_Fecha1="","",YEAR(EOMONTH(n_Fecha1,84)))</f>
        <v/>
      </c>
      <c r="L159" s="87" t="str">
        <f>IF(n_Fecha1="","",YEAR(EOMONTH(n_Fecha1,96)))</f>
        <v/>
      </c>
      <c r="M159" s="87" t="str">
        <f>IF(n_Fecha1="","",YEAR(EOMONTH(n_Fecha1,108)))</f>
        <v/>
      </c>
      <c r="N159" s="87" t="str">
        <f>IF(n_Fecha1="","",YEAR(EOMONTH(n_Fecha1,120)))</f>
        <v/>
      </c>
      <c r="O159" s="87" t="str">
        <f>IF(n_Fecha1="","",YEAR(EOMONTH(n_Fecha1,132)))</f>
        <v/>
      </c>
    </row>
    <row r="160" spans="1:15" x14ac:dyDescent="0.3">
      <c r="B160" s="18" t="s">
        <v>438</v>
      </c>
      <c r="C160" s="54">
        <f>SUM(D160:M160)</f>
        <v>81222448</v>
      </c>
      <c r="D160" s="88">
        <f>IF(INDEX(pub_Ventas,1,1)="","",INDEX(pub_Ventas,1,1))</f>
        <v>4850000</v>
      </c>
      <c r="E160" s="88">
        <f>IF(INDEX(pub_Ventas,1,2)="","",INDEX(pub_Ventas,1,2))</f>
        <v>6181200</v>
      </c>
      <c r="F160" s="88">
        <f>IF(INDEX(pub_Ventas,1,3)="","",INDEX(pub_Ventas,1,3))</f>
        <v>7538539</v>
      </c>
      <c r="G160" s="88">
        <f>IF(INDEX(pub_Ventas,1,4)="","",INDEX(pub_Ventas,1,4))</f>
        <v>8685437</v>
      </c>
      <c r="H160" s="88">
        <f>IF(INDEX(pub_Ventas,1,5)="","",INDEX(pub_Ventas,1,5))</f>
        <v>8772292</v>
      </c>
      <c r="I160" s="88">
        <f>IF(INDEX(pub_Ventas,1,6)="","",INDEX(pub_Ventas,1,6))</f>
        <v>8860015</v>
      </c>
      <c r="J160" s="88">
        <f>IF(INDEX(pub_Ventas,1,7)="","",INDEX(pub_Ventas,1,7))</f>
        <v>8948615</v>
      </c>
      <c r="K160" s="88">
        <f>IF(INDEX(pub_Ventas,1,8)="","",INDEX(pub_Ventas,1,8))</f>
        <v>9038101</v>
      </c>
      <c r="L160" s="88">
        <f>IF(INDEX(pub_Ventas,1,9)="","",INDEX(pub_Ventas,1,9))</f>
        <v>9128482</v>
      </c>
      <c r="M160" s="88">
        <f>IF(INDEX(pub_Ventas,1,10)="","",INDEX(pub_Ventas,1,10))</f>
        <v>9219767</v>
      </c>
    </row>
    <row r="161" spans="2:15" x14ac:dyDescent="0.3">
      <c r="B161" s="18" t="s">
        <v>1563</v>
      </c>
      <c r="D161" s="48">
        <f t="shared" ref="D161:M161" si="18">IF(D160="","",D101-D160)</f>
        <v>-9.3132257461547852E-10</v>
      </c>
      <c r="E161" s="48">
        <f t="shared" si="18"/>
        <v>0</v>
      </c>
      <c r="F161" s="48">
        <f t="shared" si="18"/>
        <v>-2.7939677238464355E-9</v>
      </c>
      <c r="G161" s="48">
        <f t="shared" si="18"/>
        <v>0.42999999783933163</v>
      </c>
      <c r="H161" s="48">
        <f t="shared" si="18"/>
        <v>-0.19569999910891056</v>
      </c>
      <c r="I161" s="48">
        <f t="shared" si="18"/>
        <v>-0.27765699848532677</v>
      </c>
      <c r="J161" s="48">
        <f t="shared" si="18"/>
        <v>-0.13043357245624065</v>
      </c>
      <c r="K161" s="48">
        <f t="shared" si="18"/>
        <v>1.8262093886733055E-2</v>
      </c>
      <c r="L161" s="48">
        <f t="shared" si="18"/>
        <v>2.8444712981581688E-2</v>
      </c>
      <c r="M161" s="48">
        <f t="shared" si="18"/>
        <v>-0.15127083845436573</v>
      </c>
    </row>
    <row r="162" spans="2:15" x14ac:dyDescent="0.3">
      <c r="B162" s="18" t="s">
        <v>441</v>
      </c>
      <c r="C162" s="54">
        <f>SUM(D162:M162)</f>
        <v>17354010</v>
      </c>
      <c r="D162" s="88">
        <f>IF(INDEX(pub_EBITDA,1,1)="","",INDEX(pub_EBITDA,1,1))</f>
        <v>573024</v>
      </c>
      <c r="E162" s="88">
        <f>IF(INDEX(pub_EBITDA,1,2)="","",INDEX(pub_EBITDA,1,2))</f>
        <v>1029011</v>
      </c>
      <c r="F162" s="88">
        <f>IF(INDEX(pub_EBITDA,1,3)="","",INDEX(pub_EBITDA,1,3))</f>
        <v>1479759</v>
      </c>
      <c r="G162" s="88">
        <f>IF(INDEX(pub_EBITDA,1,4)="","",INDEX(pub_EBITDA,1,4))</f>
        <v>1886306</v>
      </c>
      <c r="H162" s="88">
        <f>IF(INDEX(pub_EBITDA,1,5)="","",INDEX(pub_EBITDA,1,5))</f>
        <v>1914796</v>
      </c>
      <c r="I162" s="88">
        <f>IF(INDEX(pub_EBITDA,1,6)="","",INDEX(pub_EBITDA,1,6))</f>
        <v>1973999</v>
      </c>
      <c r="J162" s="88">
        <f>IF(INDEX(pub_EBITDA,1,7)="","",INDEX(pub_EBITDA,1,7))</f>
        <v>2033657</v>
      </c>
      <c r="K162" s="88">
        <f>IF(INDEX(pub_EBITDA,1,8)="","",INDEX(pub_EBITDA,1,8))</f>
        <v>2093768</v>
      </c>
      <c r="L162" s="88">
        <f>IF(INDEX(pub_EBITDA,1,9)="","",INDEX(pub_EBITDA,1,9))</f>
        <v>2154335</v>
      </c>
      <c r="M162" s="88">
        <f>IF(INDEX(pub_EBITDA,1,10)="","",INDEX(pub_EBITDA,1,10))</f>
        <v>2215355</v>
      </c>
    </row>
    <row r="163" spans="2:15" x14ac:dyDescent="0.3">
      <c r="B163" s="18" t="s">
        <v>1563</v>
      </c>
      <c r="D163" s="48">
        <f t="shared" ref="D163:M163" si="19">IF(D162="","",D102-D162)</f>
        <v>-63053.994292922958</v>
      </c>
      <c r="E163" s="48">
        <f t="shared" si="19"/>
        <v>-63054.164072422776</v>
      </c>
      <c r="F163" s="48">
        <f t="shared" si="19"/>
        <v>-74738.629618503852</v>
      </c>
      <c r="G163" s="48">
        <f t="shared" si="19"/>
        <v>-87583.041441700188</v>
      </c>
      <c r="H163" s="48">
        <f t="shared" si="19"/>
        <v>-100238.02148351562</v>
      </c>
      <c r="I163" s="48">
        <f t="shared" si="19"/>
        <v>-110393.69842608622</v>
      </c>
      <c r="J163" s="48">
        <f t="shared" si="19"/>
        <v>-120664.73012720328</v>
      </c>
      <c r="K163" s="48">
        <f t="shared" si="19"/>
        <v>-131050.17744454998</v>
      </c>
      <c r="L163" s="48">
        <f t="shared" si="19"/>
        <v>-141554.2442131089</v>
      </c>
      <c r="M163" s="48">
        <f t="shared" si="19"/>
        <v>-152175.28261896712</v>
      </c>
    </row>
    <row r="164" spans="2:15" x14ac:dyDescent="0.3">
      <c r="B164" s="18" t="s">
        <v>443</v>
      </c>
      <c r="C164" s="54">
        <f>SUM(D164:M164)</f>
        <v>15945168</v>
      </c>
      <c r="D164" s="88">
        <f>IF(INDEX(pub_Utilidad,1,1)="","",INDEX(pub_Utilidad,1,1))</f>
        <v>301922</v>
      </c>
      <c r="E164" s="88">
        <f>IF(INDEX(pub_Utilidad,1,2)="","",INDEX(pub_Utilidad,1,2))</f>
        <v>731144</v>
      </c>
      <c r="F164" s="88">
        <f>IF(INDEX(pub_Utilidad,1,3)="","",INDEX(pub_Utilidad,1,3))</f>
        <v>1238751</v>
      </c>
      <c r="G164" s="88">
        <f>IF(INDEX(pub_Utilidad,1,4)="","",INDEX(pub_Utilidad,1,4))</f>
        <v>1707489</v>
      </c>
      <c r="H164" s="88">
        <f>IF(INDEX(pub_Utilidad,1,5)="","",INDEX(pub_Utilidad,1,5))</f>
        <v>1804006</v>
      </c>
      <c r="I164" s="88">
        <f>IF(INDEX(pub_Utilidad,1,6)="","",INDEX(pub_Utilidad,1,6))</f>
        <v>1902407</v>
      </c>
      <c r="J164" s="88">
        <f>IF(INDEX(pub_Utilidad,1,7)="","",INDEX(pub_Utilidad,1,7))</f>
        <v>1974240</v>
      </c>
      <c r="K164" s="88">
        <f>IF(INDEX(pub_Utilidad,1,8)="","",INDEX(pub_Utilidad,1,8))</f>
        <v>2034352</v>
      </c>
      <c r="L164" s="88">
        <f>IF(INDEX(pub_Utilidad,1,9)="","",INDEX(pub_Utilidad,1,9))</f>
        <v>2094918</v>
      </c>
      <c r="M164" s="88">
        <f>IF(INDEX(pub_Utilidad,1,10)="","",INDEX(pub_Utilidad,1,10))</f>
        <v>2155939</v>
      </c>
    </row>
    <row r="165" spans="2:15" x14ac:dyDescent="0.3">
      <c r="B165" s="18" t="s">
        <v>1563</v>
      </c>
      <c r="D165" s="48">
        <f t="shared" ref="D165:M165" si="20">IF(D164="","",D103-D164)</f>
        <v>-134646.13572394862</v>
      </c>
      <c r="E165" s="48">
        <f t="shared" si="20"/>
        <v>-73053.627193874563</v>
      </c>
      <c r="F165" s="48">
        <f t="shared" si="20"/>
        <v>-84738.811559671303</v>
      </c>
      <c r="G165" s="48">
        <f t="shared" si="20"/>
        <v>-97582.24323815573</v>
      </c>
      <c r="H165" s="48">
        <f t="shared" si="20"/>
        <v>-110238.20641786908</v>
      </c>
      <c r="I165" s="48">
        <f t="shared" si="20"/>
        <v>-108218.30742608593</v>
      </c>
      <c r="J165" s="48">
        <f t="shared" si="20"/>
        <v>-130664.33912720252</v>
      </c>
      <c r="K165" s="48">
        <f t="shared" si="20"/>
        <v>-141050.78644455015</v>
      </c>
      <c r="L165" s="48">
        <f t="shared" si="20"/>
        <v>-151553.85321311001</v>
      </c>
      <c r="M165" s="48">
        <f t="shared" si="20"/>
        <v>-162175.89161896612</v>
      </c>
    </row>
    <row r="168" spans="2:15" x14ac:dyDescent="0.3">
      <c r="B168" s="14" t="s">
        <v>1564</v>
      </c>
      <c r="D168" t="s">
        <v>383</v>
      </c>
      <c r="E168" t="s">
        <v>384</v>
      </c>
      <c r="F168" t="s">
        <v>385</v>
      </c>
      <c r="G168" t="s">
        <v>386</v>
      </c>
      <c r="H168" t="s">
        <v>387</v>
      </c>
      <c r="I168" t="s">
        <v>388</v>
      </c>
      <c r="J168" t="s">
        <v>389</v>
      </c>
      <c r="K168" t="s">
        <v>390</v>
      </c>
      <c r="L168" t="s">
        <v>391</v>
      </c>
      <c r="M168" t="s">
        <v>392</v>
      </c>
      <c r="N168" t="s">
        <v>1444</v>
      </c>
      <c r="O168" t="s">
        <v>1445</v>
      </c>
    </row>
  </sheetData>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F24"/>
  <sheetViews>
    <sheetView zoomScale="90" zoomScaleNormal="90" workbookViewId="0">
      <pane ySplit="4" topLeftCell="A5" activePane="bottomLeft" state="frozen"/>
      <selection pane="bottomLeft"/>
    </sheetView>
  </sheetViews>
  <sheetFormatPr baseColWidth="10" defaultColWidth="8.5546875" defaultRowHeight="14.4" x14ac:dyDescent="0.3"/>
  <cols>
    <col min="1" max="1" width="6" customWidth="1"/>
    <col min="2" max="2" width="70" customWidth="1"/>
    <col min="3" max="3" width="16" customWidth="1"/>
    <col min="4" max="4" width="14" customWidth="1"/>
    <col min="5" max="5" width="12" customWidth="1"/>
    <col min="6" max="6" width="80" customWidth="1"/>
  </cols>
  <sheetData>
    <row r="1" spans="1:6" ht="16.8" x14ac:dyDescent="0.3">
      <c r="A1" s="13" t="s">
        <v>1565</v>
      </c>
    </row>
    <row r="2" spans="1:6" x14ac:dyDescent="0.3">
      <c r="A2" s="14" t="s">
        <v>1566</v>
      </c>
    </row>
    <row r="4" spans="1:6" x14ac:dyDescent="0.3">
      <c r="A4" s="17" t="s">
        <v>284</v>
      </c>
      <c r="B4" s="17" t="s">
        <v>137</v>
      </c>
      <c r="C4" s="17" t="s">
        <v>44</v>
      </c>
      <c r="D4" s="17" t="s">
        <v>1567</v>
      </c>
      <c r="E4" s="17" t="s">
        <v>648</v>
      </c>
      <c r="F4" s="17" t="s">
        <v>1568</v>
      </c>
    </row>
    <row r="5" spans="1:6" x14ac:dyDescent="0.3">
      <c r="A5" s="18" t="s">
        <v>1569</v>
      </c>
      <c r="B5" s="18" t="s">
        <v>1570</v>
      </c>
      <c r="C5" s="50">
        <f>r_ChkP</f>
        <v>0</v>
      </c>
      <c r="D5" s="30">
        <f>0</f>
        <v>0</v>
      </c>
      <c r="E5" s="89" t="str">
        <f>IF(ABS(C5)&lt;0.01,"OK","REVISAR")</f>
        <v>OK</v>
      </c>
      <c r="F5" s="14" t="s">
        <v>1571</v>
      </c>
    </row>
    <row r="6" spans="1:6" x14ac:dyDescent="0.3">
      <c r="A6" s="18" t="s">
        <v>1572</v>
      </c>
      <c r="B6" s="18" t="s">
        <v>1573</v>
      </c>
      <c r="C6" s="50">
        <f>r_ChkV</f>
        <v>0</v>
      </c>
      <c r="D6" s="30">
        <f>0</f>
        <v>0</v>
      </c>
      <c r="E6" s="89" t="str">
        <f>IF(ABS(C6)&lt;0.01,"OK","REVISAR")</f>
        <v>OK</v>
      </c>
      <c r="F6" s="14" t="s">
        <v>1574</v>
      </c>
    </row>
    <row r="7" spans="1:6" x14ac:dyDescent="0.3">
      <c r="A7" s="18" t="s">
        <v>1575</v>
      </c>
      <c r="B7" s="18" t="s">
        <v>1576</v>
      </c>
      <c r="C7" s="50">
        <f>SUMPRODUCT((Calculo!$F$8:$ES$8=1)*(Calculo!$F$227:$ES$227=0))</f>
        <v>0</v>
      </c>
      <c r="D7" s="30">
        <f>0</f>
        <v>0</v>
      </c>
      <c r="E7" s="89" t="str">
        <f>IF(C7=0,"OK","REVISAR")</f>
        <v>OK</v>
      </c>
      <c r="F7" s="14" t="s">
        <v>1577</v>
      </c>
    </row>
    <row r="8" spans="1:6" x14ac:dyDescent="0.3">
      <c r="A8" s="18" t="s">
        <v>1578</v>
      </c>
      <c r="B8" s="18" t="s">
        <v>1579</v>
      </c>
      <c r="C8" s="50">
        <f>SUMPRODUCT((Calculo!$F$8:$ES$8=1)*(Calculo!$F$249:$ES$249+Calculo!$F$251:$ES$251+Calculo!$F$254:$ES$254=0))</f>
        <v>0</v>
      </c>
      <c r="D8" s="30">
        <f>0</f>
        <v>0</v>
      </c>
      <c r="E8" s="89" t="str">
        <f>IF(C8=0,"OK","REVISAR")</f>
        <v>OK</v>
      </c>
      <c r="F8" s="14" t="s">
        <v>1580</v>
      </c>
    </row>
    <row r="9" spans="1:6" x14ac:dyDescent="0.3">
      <c r="A9" s="18" t="s">
        <v>1581</v>
      </c>
      <c r="B9" s="18" t="s">
        <v>1582</v>
      </c>
      <c r="C9" s="50">
        <f>IF(Corte=0,1,IF(ISNUMBER(INDEX(Reales!$F$79:$ES$79,1,Corte)),1,0))</f>
        <v>1</v>
      </c>
      <c r="D9" s="30">
        <f>1</f>
        <v>1</v>
      </c>
      <c r="E9" s="89" t="str">
        <f>IF(C9=1,"OK","REVISAR")</f>
        <v>OK</v>
      </c>
      <c r="F9" s="14" t="s">
        <v>1583</v>
      </c>
    </row>
    <row r="10" spans="1:6" x14ac:dyDescent="0.3">
      <c r="A10" s="18" t="s">
        <v>1584</v>
      </c>
      <c r="B10" s="18" t="s">
        <v>1585</v>
      </c>
      <c r="C10" s="50">
        <f>IF(Corte=0,1,IF(AND(ISNUMBER(INDEX(Reales!$F$80:$ES$80,1,Corte)),ISNUMBER(INDEX(Reales!$F$81:$ES$81,1,Corte)),ISNUMBER(INDEX(Reales!$F$83:$ES$83,1,Corte))),1,0))</f>
        <v>1</v>
      </c>
      <c r="D10" s="30">
        <f>1</f>
        <v>1</v>
      </c>
      <c r="E10" s="89" t="str">
        <f>IF(C10=1,"OK","REVISAR")</f>
        <v>OK</v>
      </c>
      <c r="F10" s="14" t="s">
        <v>1586</v>
      </c>
    </row>
    <row r="11" spans="1:6" x14ac:dyDescent="0.3">
      <c r="A11" s="18" t="s">
        <v>1587</v>
      </c>
      <c r="B11" s="18" t="s">
        <v>1588</v>
      </c>
      <c r="C11" s="50">
        <f>IF(Corte=0,0,IF(ISNUMBER(INDEX(Reales!$F$84:$ES$84,1,Corte)),INDEX(Reales!$F$84:$ES$84,1,Corte)-INDEX(Calculo!$F$304:$ES$304,1,Corte),0))</f>
        <v>0</v>
      </c>
      <c r="D11" s="30">
        <f>0</f>
        <v>0</v>
      </c>
      <c r="E11" s="89" t="str">
        <f>IF(ABS(C11)&lt;1,"OK","REVISAR")</f>
        <v>OK</v>
      </c>
      <c r="F11" s="14" t="s">
        <v>1589</v>
      </c>
    </row>
    <row r="12" spans="1:6" x14ac:dyDescent="0.3">
      <c r="A12" s="18" t="s">
        <v>1590</v>
      </c>
      <c r="B12" s="18" t="s">
        <v>1591</v>
      </c>
      <c r="C12" s="50">
        <f>i_Pagado-SUM(Reales!$F$72:$ES$72)</f>
        <v>0</v>
      </c>
      <c r="D12" s="30">
        <f>0</f>
        <v>0</v>
      </c>
      <c r="E12" s="89" t="str">
        <f>IF(ABS(C12)&lt;1,"OK","REVISAR")</f>
        <v>OK</v>
      </c>
      <c r="F12" s="14" t="s">
        <v>1592</v>
      </c>
    </row>
    <row r="13" spans="1:6" x14ac:dyDescent="0.3">
      <c r="A13" s="18" t="s">
        <v>1593</v>
      </c>
      <c r="B13" s="18" t="s">
        <v>1594</v>
      </c>
      <c r="C13" s="50">
        <f>COUNTIF(TC_O,"&gt;0")+COUNTIF(TC_V,"&gt;0")</f>
        <v>20</v>
      </c>
      <c r="D13" s="30">
        <f>20</f>
        <v>20</v>
      </c>
      <c r="E13" s="89" t="str">
        <f>IF(C13=20,"OK","REVISAR")</f>
        <v>OK</v>
      </c>
      <c r="F13" s="14" t="s">
        <v>1595</v>
      </c>
    </row>
    <row r="14" spans="1:6" x14ac:dyDescent="0.3">
      <c r="A14" s="18" t="s">
        <v>1596</v>
      </c>
      <c r="B14" s="18" t="s">
        <v>1597</v>
      </c>
      <c r="C14" s="50">
        <f>SUM(c_CapExceso)</f>
        <v>0</v>
      </c>
      <c r="D14" s="30">
        <f>0</f>
        <v>0</v>
      </c>
      <c r="E14" s="89" t="str">
        <f>IF(C14=0,"OK","REVISAR")</f>
        <v>OK</v>
      </c>
      <c r="F14" s="14" t="s">
        <v>1598</v>
      </c>
    </row>
    <row r="15" spans="1:6" x14ac:dyDescent="0.3">
      <c r="A15" s="18" t="s">
        <v>1599</v>
      </c>
      <c r="B15" s="18" t="s">
        <v>1600</v>
      </c>
      <c r="C15" s="50">
        <f>SUMPRODUCT((Precio_V=0)*(VolTot_V&gt;0))</f>
        <v>0</v>
      </c>
      <c r="D15" s="30">
        <f>0</f>
        <v>0</v>
      </c>
      <c r="E15" s="89" t="str">
        <f>IF(C15=0,"OK","REVISAR")</f>
        <v>OK</v>
      </c>
      <c r="F15" s="14" t="s">
        <v>1601</v>
      </c>
    </row>
    <row r="16" spans="1:6" x14ac:dyDescent="0.3">
      <c r="A16" s="18" t="s">
        <v>1602</v>
      </c>
      <c r="B16" s="18" t="s">
        <v>1603</v>
      </c>
      <c r="C16" s="50">
        <f>r_DeudaFinP</f>
        <v>0</v>
      </c>
      <c r="D16" s="30">
        <f>0</f>
        <v>0</v>
      </c>
      <c r="E16" s="89" t="str">
        <f>IF(ABS(C16)&lt;1,"OK","REVISAR")</f>
        <v>OK</v>
      </c>
      <c r="F16" s="14" t="s">
        <v>1604</v>
      </c>
    </row>
    <row r="17" spans="1:6" x14ac:dyDescent="0.3">
      <c r="A17" s="18" t="s">
        <v>1605</v>
      </c>
      <c r="B17" s="18" t="s">
        <v>1606</v>
      </c>
      <c r="C17" s="50">
        <f>SUMPRODUCT(--(Calculo!$F$312:$ES$312&gt;0.5))</f>
        <v>12</v>
      </c>
      <c r="D17" s="30">
        <f>0</f>
        <v>0</v>
      </c>
      <c r="E17" s="89" t="str">
        <f>IF(C17=0,"OK","REVISAR")</f>
        <v>REVISAR</v>
      </c>
      <c r="F17" s="14" t="s">
        <v>1607</v>
      </c>
    </row>
    <row r="18" spans="1:6" x14ac:dyDescent="0.3">
      <c r="A18" s="18" t="s">
        <v>1608</v>
      </c>
      <c r="B18" s="18" t="s">
        <v>1609</v>
      </c>
      <c r="C18" s="50">
        <f>IF(n_Etapa="Operación",IF(AND(ISNUMBER(n_InicioReal),Corte&gt;0),1,0),1)</f>
        <v>0</v>
      </c>
      <c r="D18" s="30">
        <f>1</f>
        <v>1</v>
      </c>
      <c r="E18" s="89" t="str">
        <f>IF(C18=1,"OK","REVISAR")</f>
        <v>REVISAR</v>
      </c>
      <c r="F18" s="14" t="s">
        <v>1610</v>
      </c>
    </row>
    <row r="19" spans="1:6" x14ac:dyDescent="0.3">
      <c r="A19" s="18" t="s">
        <v>1611</v>
      </c>
      <c r="B19" s="18" t="s">
        <v>1612</v>
      </c>
      <c r="C19" s="50">
        <f>IF(MAX(Fin,V_Inicio)&lt;=144,1,0)</f>
        <v>1</v>
      </c>
      <c r="D19" s="30">
        <f>1</f>
        <v>1</v>
      </c>
      <c r="E19" s="89" t="str">
        <f>IF(C19=1,"OK","REVISAR")</f>
        <v>OK</v>
      </c>
      <c r="F19" s="14" t="s">
        <v>1613</v>
      </c>
    </row>
    <row r="20" spans="1:6" x14ac:dyDescent="0.3">
      <c r="A20" s="18" t="s">
        <v>1614</v>
      </c>
      <c r="B20" s="18" t="s">
        <v>1615</v>
      </c>
      <c r="C20" s="50">
        <f>c_Modificados</f>
        <v>0</v>
      </c>
      <c r="D20" s="30" t="s">
        <v>1616</v>
      </c>
      <c r="E20" s="89" t="str">
        <f>IF(TRUE(),"OK","REVISAR")</f>
        <v>OK</v>
      </c>
      <c r="F20" s="14" t="s">
        <v>1617</v>
      </c>
    </row>
    <row r="22" spans="1:6" x14ac:dyDescent="0.3">
      <c r="B22" s="23" t="s">
        <v>1618</v>
      </c>
      <c r="C22" s="29">
        <f>COUNTIF(E5:E20,"REVISAR")</f>
        <v>2</v>
      </c>
    </row>
    <row r="23" spans="1:6" x14ac:dyDescent="0.3">
      <c r="B23" s="18" t="s">
        <v>1619</v>
      </c>
      <c r="C23" s="29">
        <f>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spans="1:6" x14ac:dyDescent="0.3">
      <c r="B24" s="18" t="s">
        <v>1620</v>
      </c>
      <c r="C24" s="48">
        <f>INDEX(Calculo!$F$148:$ES$148,1,MIN(144,Fin))</f>
        <v>0</v>
      </c>
    </row>
  </sheetData>
  <conditionalFormatting sqref="E5:E20">
    <cfRule type="cellIs" dxfId="1" priority="2" operator="equal">
      <formula>"OK"</formula>
    </cfRule>
    <cfRule type="cellIs" dxfId="0" priority="3" operator="equal">
      <formula>"REVISAR"</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5D8A-DD98-4648-BA25-5452F9B9F4CF}">
  <dimension ref="A1:J240"/>
  <sheetViews>
    <sheetView showGridLines="0" tabSelected="1" workbookViewId="0">
      <pane ySplit="3" topLeftCell="A4" activePane="bottomLeft" state="frozen"/>
      <selection pane="bottomLeft" activeCell="B153" sqref="B153"/>
    </sheetView>
  </sheetViews>
  <sheetFormatPr baseColWidth="10" defaultRowHeight="14.4" x14ac:dyDescent="0.3"/>
  <cols>
    <col min="1" max="1" width="48.109375" customWidth="1"/>
    <col min="2" max="2" width="38.88671875" customWidth="1"/>
    <col min="3" max="10" width="19.44140625" customWidth="1"/>
  </cols>
  <sheetData>
    <row r="1" spans="1:10" ht="17.399999999999999" x14ac:dyDescent="0.3">
      <c r="A1" s="113" t="s">
        <v>1872</v>
      </c>
      <c r="B1" s="113"/>
      <c r="C1" s="113"/>
      <c r="D1" s="113"/>
      <c r="E1" s="113"/>
      <c r="F1" s="113"/>
      <c r="G1" s="113"/>
      <c r="H1" s="113"/>
      <c r="I1" s="113"/>
      <c r="J1" s="113"/>
    </row>
    <row r="2" spans="1:10" x14ac:dyDescent="0.3">
      <c r="A2" s="114" t="s">
        <v>1873</v>
      </c>
      <c r="B2" s="114"/>
      <c r="C2" s="114"/>
      <c r="D2" s="114"/>
      <c r="E2" s="114"/>
      <c r="F2" s="114"/>
      <c r="G2" s="114"/>
      <c r="H2" s="114"/>
      <c r="I2" s="114"/>
      <c r="J2" s="114"/>
    </row>
    <row r="3" spans="1:10" x14ac:dyDescent="0.3">
      <c r="A3" s="114" t="s">
        <v>1874</v>
      </c>
      <c r="B3" s="114"/>
      <c r="C3" s="114"/>
      <c r="D3" s="114"/>
      <c r="E3" s="114"/>
      <c r="F3" s="114"/>
      <c r="G3" s="114"/>
      <c r="H3" s="114"/>
      <c r="I3" s="114"/>
      <c r="J3" s="114"/>
    </row>
    <row r="4" spans="1:10" x14ac:dyDescent="0.3">
      <c r="A4" s="112"/>
      <c r="B4" s="112"/>
      <c r="C4" s="112"/>
      <c r="D4" s="112"/>
      <c r="E4" s="112"/>
      <c r="F4" s="112"/>
      <c r="G4" s="112"/>
      <c r="H4" s="112"/>
      <c r="I4" s="112"/>
      <c r="J4" s="112"/>
    </row>
    <row r="5" spans="1:10" ht="15" thickBot="1" x14ac:dyDescent="0.35">
      <c r="A5" s="115" t="s">
        <v>1875</v>
      </c>
      <c r="B5" s="115"/>
      <c r="C5" s="115"/>
      <c r="D5" s="115"/>
      <c r="E5" s="115"/>
      <c r="F5" s="115"/>
      <c r="G5" s="115"/>
      <c r="H5" s="115"/>
      <c r="I5" s="115"/>
      <c r="J5" s="115"/>
    </row>
    <row r="6" spans="1:10" x14ac:dyDescent="0.3">
      <c r="A6" s="118" t="s">
        <v>285</v>
      </c>
      <c r="B6" s="119" t="s">
        <v>44</v>
      </c>
      <c r="C6" s="112"/>
      <c r="D6" s="112"/>
      <c r="E6" s="112"/>
      <c r="F6" s="112"/>
      <c r="G6" s="112"/>
      <c r="H6" s="112"/>
      <c r="I6" s="112"/>
      <c r="J6" s="112"/>
    </row>
    <row r="7" spans="1:10" ht="27.6" x14ac:dyDescent="0.3">
      <c r="A7" s="120" t="s">
        <v>1876</v>
      </c>
      <c r="B7" s="138" t="s">
        <v>1877</v>
      </c>
      <c r="C7" s="112"/>
      <c r="D7" s="112"/>
      <c r="E7" s="112"/>
      <c r="F7" s="112"/>
      <c r="G7" s="112"/>
      <c r="H7" s="112"/>
      <c r="I7" s="112"/>
      <c r="J7" s="112"/>
    </row>
    <row r="8" spans="1:10" ht="27.6" x14ac:dyDescent="0.3">
      <c r="A8" s="120" t="s">
        <v>1878</v>
      </c>
      <c r="B8" s="138" t="s">
        <v>1879</v>
      </c>
      <c r="C8" s="112"/>
      <c r="D8" s="112"/>
      <c r="E8" s="112"/>
      <c r="F8" s="112"/>
      <c r="G8" s="112"/>
      <c r="H8" s="112"/>
      <c r="I8" s="112"/>
      <c r="J8" s="112"/>
    </row>
    <row r="9" spans="1:10" ht="27.6" x14ac:dyDescent="0.3">
      <c r="A9" s="120" t="s">
        <v>1880</v>
      </c>
      <c r="B9" s="138" t="s">
        <v>1881</v>
      </c>
      <c r="C9" s="112"/>
      <c r="D9" s="112"/>
      <c r="E9" s="112"/>
      <c r="F9" s="112"/>
      <c r="G9" s="112"/>
      <c r="H9" s="112"/>
      <c r="I9" s="112"/>
      <c r="J9" s="112"/>
    </row>
    <row r="10" spans="1:10" x14ac:dyDescent="0.3">
      <c r="A10" s="120" t="s">
        <v>1882</v>
      </c>
      <c r="B10" s="138" t="s">
        <v>1883</v>
      </c>
      <c r="C10" s="112"/>
      <c r="D10" s="112"/>
      <c r="E10" s="112"/>
      <c r="F10" s="112"/>
      <c r="G10" s="112"/>
      <c r="H10" s="112"/>
      <c r="I10" s="112"/>
      <c r="J10" s="112"/>
    </row>
    <row r="11" spans="1:10" x14ac:dyDescent="0.3">
      <c r="A11" s="120" t="s">
        <v>1884</v>
      </c>
      <c r="B11" s="138" t="s">
        <v>1885</v>
      </c>
      <c r="C11" s="112"/>
      <c r="D11" s="112"/>
      <c r="E11" s="112"/>
      <c r="F11" s="112"/>
      <c r="G11" s="112"/>
      <c r="H11" s="112"/>
      <c r="I11" s="112"/>
      <c r="J11" s="112"/>
    </row>
    <row r="12" spans="1:10" x14ac:dyDescent="0.3">
      <c r="A12" s="120" t="s">
        <v>1886</v>
      </c>
      <c r="B12" s="138" t="s">
        <v>1887</v>
      </c>
      <c r="C12" s="112"/>
      <c r="D12" s="112"/>
      <c r="E12" s="112"/>
      <c r="F12" s="112"/>
      <c r="G12" s="112"/>
      <c r="H12" s="112"/>
      <c r="I12" s="112"/>
      <c r="J12" s="112"/>
    </row>
    <row r="13" spans="1:10" x14ac:dyDescent="0.3">
      <c r="A13" s="120" t="s">
        <v>1888</v>
      </c>
      <c r="B13" s="138" t="s">
        <v>1889</v>
      </c>
      <c r="C13" s="112"/>
      <c r="D13" s="112"/>
      <c r="E13" s="112"/>
      <c r="F13" s="112"/>
      <c r="G13" s="112"/>
      <c r="H13" s="112"/>
      <c r="I13" s="112"/>
      <c r="J13" s="112"/>
    </row>
    <row r="14" spans="1:10" x14ac:dyDescent="0.3">
      <c r="A14" s="120" t="s">
        <v>1890</v>
      </c>
      <c r="B14" s="138" t="s">
        <v>1891</v>
      </c>
      <c r="C14" s="112"/>
      <c r="D14" s="112"/>
      <c r="E14" s="112"/>
      <c r="F14" s="112"/>
      <c r="G14" s="112"/>
      <c r="H14" s="112"/>
      <c r="I14" s="112"/>
      <c r="J14" s="112"/>
    </row>
    <row r="15" spans="1:10" ht="69" x14ac:dyDescent="0.3">
      <c r="A15" s="120" t="s">
        <v>1892</v>
      </c>
      <c r="B15" s="138" t="s">
        <v>1893</v>
      </c>
      <c r="C15" s="112"/>
      <c r="D15" s="112"/>
      <c r="E15" s="112"/>
      <c r="F15" s="112"/>
      <c r="G15" s="112"/>
      <c r="H15" s="112"/>
      <c r="I15" s="112"/>
      <c r="J15" s="112"/>
    </row>
    <row r="16" spans="1:10" ht="55.2" x14ac:dyDescent="0.3">
      <c r="A16" s="120" t="s">
        <v>1894</v>
      </c>
      <c r="B16" s="138" t="s">
        <v>1895</v>
      </c>
      <c r="C16" s="112"/>
      <c r="D16" s="112"/>
      <c r="E16" s="112"/>
      <c r="F16" s="112"/>
      <c r="G16" s="112"/>
      <c r="H16" s="112"/>
      <c r="I16" s="112"/>
      <c r="J16" s="112"/>
    </row>
    <row r="17" spans="1:10" x14ac:dyDescent="0.3">
      <c r="A17" s="120" t="s">
        <v>1896</v>
      </c>
      <c r="B17" s="138">
        <v>1.2</v>
      </c>
      <c r="C17" s="112"/>
      <c r="D17" s="112"/>
      <c r="E17" s="112"/>
      <c r="F17" s="112"/>
      <c r="G17" s="112"/>
      <c r="H17" s="112"/>
      <c r="I17" s="112"/>
      <c r="J17" s="112"/>
    </row>
    <row r="18" spans="1:10" x14ac:dyDescent="0.3">
      <c r="A18" s="120" t="s">
        <v>1897</v>
      </c>
      <c r="B18" s="138">
        <v>0</v>
      </c>
      <c r="C18" s="112"/>
      <c r="D18" s="112"/>
      <c r="E18" s="112"/>
      <c r="F18" s="112"/>
      <c r="G18" s="112"/>
      <c r="H18" s="112"/>
      <c r="I18" s="112"/>
      <c r="J18" s="112"/>
    </row>
    <row r="19" spans="1:10" x14ac:dyDescent="0.3">
      <c r="A19" s="120" t="s">
        <v>1898</v>
      </c>
      <c r="B19" s="138" t="s">
        <v>1899</v>
      </c>
      <c r="C19" s="112"/>
      <c r="D19" s="112"/>
      <c r="E19" s="112"/>
      <c r="F19" s="112"/>
      <c r="G19" s="112"/>
      <c r="H19" s="112"/>
      <c r="I19" s="112"/>
      <c r="J19" s="112"/>
    </row>
    <row r="20" spans="1:10" x14ac:dyDescent="0.3">
      <c r="A20" s="120" t="s">
        <v>1900</v>
      </c>
      <c r="B20" s="138" t="s">
        <v>1899</v>
      </c>
      <c r="C20" s="112"/>
      <c r="D20" s="112"/>
      <c r="E20" s="112"/>
      <c r="F20" s="112"/>
      <c r="G20" s="112"/>
      <c r="H20" s="112"/>
      <c r="I20" s="112"/>
      <c r="J20" s="112"/>
    </row>
    <row r="21" spans="1:10" ht="96.6" x14ac:dyDescent="0.3">
      <c r="A21" s="120" t="s">
        <v>1901</v>
      </c>
      <c r="B21" s="138" t="s">
        <v>1902</v>
      </c>
      <c r="C21" s="112"/>
      <c r="D21" s="112"/>
      <c r="E21" s="112"/>
      <c r="F21" s="112"/>
      <c r="G21" s="112"/>
      <c r="H21" s="112"/>
      <c r="I21" s="112"/>
      <c r="J21" s="112"/>
    </row>
    <row r="22" spans="1:10" ht="110.4" x14ac:dyDescent="0.3">
      <c r="A22" s="120" t="s">
        <v>1903</v>
      </c>
      <c r="B22" s="138" t="s">
        <v>1904</v>
      </c>
      <c r="C22" s="112"/>
      <c r="D22" s="112"/>
      <c r="E22" s="112"/>
      <c r="F22" s="112"/>
      <c r="G22" s="112"/>
      <c r="H22" s="112"/>
      <c r="I22" s="112"/>
      <c r="J22" s="112"/>
    </row>
    <row r="23" spans="1:10" ht="373.2" thickBot="1" x14ac:dyDescent="0.35">
      <c r="A23" s="122" t="s">
        <v>1905</v>
      </c>
      <c r="B23" s="139" t="s">
        <v>1906</v>
      </c>
      <c r="C23" s="112"/>
      <c r="D23" s="112"/>
      <c r="E23" s="112"/>
      <c r="F23" s="112"/>
      <c r="G23" s="112"/>
      <c r="H23" s="112"/>
      <c r="I23" s="112"/>
      <c r="J23" s="112"/>
    </row>
    <row r="24" spans="1:10" x14ac:dyDescent="0.3">
      <c r="A24" s="112"/>
      <c r="B24" s="112"/>
      <c r="C24" s="112"/>
      <c r="D24" s="112"/>
      <c r="E24" s="112"/>
      <c r="F24" s="112"/>
      <c r="G24" s="112"/>
      <c r="H24" s="112"/>
      <c r="I24" s="112"/>
      <c r="J24" s="112"/>
    </row>
    <row r="25" spans="1:10" ht="15" thickBot="1" x14ac:dyDescent="0.35">
      <c r="A25" s="115" t="s">
        <v>1907</v>
      </c>
      <c r="B25" s="115"/>
      <c r="C25" s="115"/>
      <c r="D25" s="115"/>
      <c r="E25" s="115"/>
      <c r="F25" s="115"/>
      <c r="G25" s="115"/>
      <c r="H25" s="115"/>
      <c r="I25" s="115"/>
      <c r="J25" s="115"/>
    </row>
    <row r="26" spans="1:10" x14ac:dyDescent="0.3">
      <c r="A26" s="118" t="s">
        <v>164</v>
      </c>
      <c r="B26" s="124" t="s">
        <v>1908</v>
      </c>
      <c r="C26" s="124" t="s">
        <v>1909</v>
      </c>
      <c r="D26" s="124" t="s">
        <v>1910</v>
      </c>
      <c r="E26" s="124" t="s">
        <v>1911</v>
      </c>
      <c r="F26" s="119" t="s">
        <v>1912</v>
      </c>
      <c r="G26" s="112"/>
      <c r="H26" s="112"/>
      <c r="I26" s="112"/>
      <c r="J26" s="112"/>
    </row>
    <row r="27" spans="1:10" ht="138" x14ac:dyDescent="0.3">
      <c r="A27" s="120">
        <v>0</v>
      </c>
      <c r="B27" s="140" t="s">
        <v>1913</v>
      </c>
      <c r="C27" s="130">
        <v>6</v>
      </c>
      <c r="D27" s="130">
        <v>6</v>
      </c>
      <c r="E27" s="130">
        <v>0</v>
      </c>
      <c r="F27" s="121" t="s">
        <v>1914</v>
      </c>
      <c r="G27" s="112"/>
      <c r="H27" s="112"/>
      <c r="I27" s="112"/>
      <c r="J27" s="112"/>
    </row>
    <row r="28" spans="1:10" ht="165.6" x14ac:dyDescent="0.3">
      <c r="A28" s="120">
        <v>1</v>
      </c>
      <c r="B28" s="140" t="s">
        <v>1915</v>
      </c>
      <c r="C28" s="130">
        <v>23</v>
      </c>
      <c r="D28" s="130">
        <v>23</v>
      </c>
      <c r="E28" s="130">
        <v>0</v>
      </c>
      <c r="F28" s="121" t="s">
        <v>1914</v>
      </c>
      <c r="G28" s="112"/>
      <c r="H28" s="112"/>
      <c r="I28" s="112"/>
      <c r="J28" s="112"/>
    </row>
    <row r="29" spans="1:10" ht="55.2" x14ac:dyDescent="0.3">
      <c r="A29" s="120">
        <v>2</v>
      </c>
      <c r="B29" s="140" t="s">
        <v>1916</v>
      </c>
      <c r="C29" s="130">
        <v>23</v>
      </c>
      <c r="D29" s="130">
        <v>23</v>
      </c>
      <c r="E29" s="130">
        <v>0</v>
      </c>
      <c r="F29" s="121" t="s">
        <v>1917</v>
      </c>
      <c r="G29" s="112"/>
      <c r="H29" s="112"/>
      <c r="I29" s="112"/>
      <c r="J29" s="112"/>
    </row>
    <row r="30" spans="1:10" ht="138" x14ac:dyDescent="0.3">
      <c r="A30" s="120">
        <v>3</v>
      </c>
      <c r="B30" s="140" t="s">
        <v>1918</v>
      </c>
      <c r="C30" s="130">
        <v>19</v>
      </c>
      <c r="D30" s="130">
        <v>19</v>
      </c>
      <c r="E30" s="130">
        <v>0</v>
      </c>
      <c r="F30" s="121" t="s">
        <v>1917</v>
      </c>
      <c r="G30" s="112"/>
      <c r="H30" s="112"/>
      <c r="I30" s="112"/>
      <c r="J30" s="112"/>
    </row>
    <row r="31" spans="1:10" ht="110.4" x14ac:dyDescent="0.3">
      <c r="A31" s="120" t="s">
        <v>1919</v>
      </c>
      <c r="B31" s="140" t="s">
        <v>1920</v>
      </c>
      <c r="C31" s="130">
        <v>10</v>
      </c>
      <c r="D31" s="130">
        <v>10</v>
      </c>
      <c r="E31" s="130">
        <v>0</v>
      </c>
      <c r="F31" s="121" t="s">
        <v>1917</v>
      </c>
      <c r="G31" s="112"/>
      <c r="H31" s="112"/>
      <c r="I31" s="112"/>
      <c r="J31" s="112"/>
    </row>
    <row r="32" spans="1:10" ht="110.4" x14ac:dyDescent="0.3">
      <c r="A32" s="120" t="s">
        <v>1921</v>
      </c>
      <c r="B32" s="140" t="s">
        <v>1922</v>
      </c>
      <c r="C32" s="130">
        <v>16</v>
      </c>
      <c r="D32" s="130">
        <v>16</v>
      </c>
      <c r="E32" s="130">
        <v>0</v>
      </c>
      <c r="F32" s="121" t="s">
        <v>1917</v>
      </c>
      <c r="G32" s="112"/>
      <c r="H32" s="112"/>
      <c r="I32" s="112"/>
      <c r="J32" s="112"/>
    </row>
    <row r="33" spans="1:10" ht="110.4" x14ac:dyDescent="0.3">
      <c r="A33" s="120" t="s">
        <v>1923</v>
      </c>
      <c r="B33" s="140" t="s">
        <v>1924</v>
      </c>
      <c r="C33" s="130">
        <v>15</v>
      </c>
      <c r="D33" s="130">
        <v>15</v>
      </c>
      <c r="E33" s="130">
        <v>0</v>
      </c>
      <c r="F33" s="121" t="s">
        <v>1917</v>
      </c>
      <c r="G33" s="112"/>
      <c r="H33" s="112"/>
      <c r="I33" s="112"/>
      <c r="J33" s="112"/>
    </row>
    <row r="34" spans="1:10" ht="69" x14ac:dyDescent="0.3">
      <c r="A34" s="120">
        <v>4</v>
      </c>
      <c r="B34" s="140" t="s">
        <v>1925</v>
      </c>
      <c r="C34" s="130">
        <v>72</v>
      </c>
      <c r="D34" s="130">
        <v>72</v>
      </c>
      <c r="E34" s="130">
        <v>0</v>
      </c>
      <c r="F34" s="121" t="s">
        <v>1917</v>
      </c>
      <c r="G34" s="112"/>
      <c r="H34" s="112"/>
      <c r="I34" s="112"/>
      <c r="J34" s="112"/>
    </row>
    <row r="35" spans="1:10" ht="27.6" x14ac:dyDescent="0.3">
      <c r="A35" s="120">
        <v>5</v>
      </c>
      <c r="B35" s="140" t="s">
        <v>1926</v>
      </c>
      <c r="C35" s="130">
        <v>36</v>
      </c>
      <c r="D35" s="130">
        <v>36</v>
      </c>
      <c r="E35" s="130">
        <v>0</v>
      </c>
      <c r="F35" s="121" t="s">
        <v>1917</v>
      </c>
      <c r="G35" s="112"/>
      <c r="H35" s="112"/>
      <c r="I35" s="112"/>
      <c r="J35" s="112"/>
    </row>
    <row r="36" spans="1:10" ht="41.4" x14ac:dyDescent="0.3">
      <c r="A36" s="120">
        <v>6</v>
      </c>
      <c r="B36" s="140" t="s">
        <v>1927</v>
      </c>
      <c r="C36" s="130">
        <v>45</v>
      </c>
      <c r="D36" s="130">
        <v>45</v>
      </c>
      <c r="E36" s="130">
        <v>0</v>
      </c>
      <c r="F36" s="121" t="s">
        <v>1917</v>
      </c>
      <c r="G36" s="112"/>
      <c r="H36" s="112"/>
      <c r="I36" s="112"/>
      <c r="J36" s="112"/>
    </row>
    <row r="37" spans="1:10" ht="41.4" x14ac:dyDescent="0.3">
      <c r="A37" s="120">
        <v>7</v>
      </c>
      <c r="B37" s="140" t="s">
        <v>1928</v>
      </c>
      <c r="C37" s="130">
        <v>27</v>
      </c>
      <c r="D37" s="130">
        <v>27</v>
      </c>
      <c r="E37" s="130">
        <v>0</v>
      </c>
      <c r="F37" s="121" t="s">
        <v>1917</v>
      </c>
      <c r="G37" s="112"/>
      <c r="H37" s="112"/>
      <c r="I37" s="112"/>
      <c r="J37" s="112"/>
    </row>
    <row r="38" spans="1:10" ht="41.4" x14ac:dyDescent="0.3">
      <c r="A38" s="120">
        <v>8</v>
      </c>
      <c r="B38" s="140" t="s">
        <v>1929</v>
      </c>
      <c r="C38" s="130">
        <v>36</v>
      </c>
      <c r="D38" s="130">
        <v>36</v>
      </c>
      <c r="E38" s="130">
        <v>0</v>
      </c>
      <c r="F38" s="121" t="s">
        <v>1917</v>
      </c>
      <c r="G38" s="112"/>
      <c r="H38" s="112"/>
      <c r="I38" s="112"/>
      <c r="J38" s="112"/>
    </row>
    <row r="39" spans="1:10" ht="69" x14ac:dyDescent="0.3">
      <c r="A39" s="120">
        <v>9</v>
      </c>
      <c r="B39" s="140" t="s">
        <v>1930</v>
      </c>
      <c r="C39" s="130">
        <v>72</v>
      </c>
      <c r="D39" s="130">
        <v>72</v>
      </c>
      <c r="E39" s="130">
        <v>0</v>
      </c>
      <c r="F39" s="121" t="s">
        <v>1917</v>
      </c>
      <c r="G39" s="112"/>
      <c r="H39" s="112"/>
      <c r="I39" s="112"/>
      <c r="J39" s="112"/>
    </row>
    <row r="40" spans="1:10" ht="41.4" x14ac:dyDescent="0.3">
      <c r="A40" s="120">
        <v>10</v>
      </c>
      <c r="B40" s="140" t="s">
        <v>1931</v>
      </c>
      <c r="C40" s="130">
        <v>27</v>
      </c>
      <c r="D40" s="130">
        <v>27</v>
      </c>
      <c r="E40" s="130">
        <v>0</v>
      </c>
      <c r="F40" s="121" t="s">
        <v>1917</v>
      </c>
      <c r="G40" s="112"/>
      <c r="H40" s="112"/>
      <c r="I40" s="112"/>
      <c r="J40" s="112"/>
    </row>
    <row r="41" spans="1:10" ht="83.4" thickBot="1" x14ac:dyDescent="0.35">
      <c r="A41" s="120">
        <v>11</v>
      </c>
      <c r="B41" s="140" t="s">
        <v>1932</v>
      </c>
      <c r="C41" s="130">
        <v>12</v>
      </c>
      <c r="D41" s="130">
        <v>12</v>
      </c>
      <c r="E41" s="130">
        <v>0</v>
      </c>
      <c r="F41" s="121" t="s">
        <v>1917</v>
      </c>
      <c r="G41" s="112"/>
      <c r="H41" s="112"/>
      <c r="I41" s="112"/>
      <c r="J41" s="112"/>
    </row>
    <row r="42" spans="1:10" ht="15" thickTop="1" x14ac:dyDescent="0.3">
      <c r="A42" s="126" t="s">
        <v>603</v>
      </c>
      <c r="B42" s="127"/>
      <c r="C42" s="131">
        <v>439</v>
      </c>
      <c r="D42" s="131">
        <v>439</v>
      </c>
      <c r="E42" s="131">
        <v>0</v>
      </c>
      <c r="F42" s="128"/>
      <c r="G42" s="117"/>
      <c r="H42" s="117"/>
      <c r="I42" s="117"/>
      <c r="J42" s="117"/>
    </row>
    <row r="43" spans="1:10" ht="15" thickBot="1" x14ac:dyDescent="0.35">
      <c r="A43" s="122" t="s">
        <v>393</v>
      </c>
      <c r="B43" s="129" t="s">
        <v>1933</v>
      </c>
      <c r="C43" s="129"/>
      <c r="D43" s="129"/>
      <c r="E43" s="129"/>
      <c r="F43" s="123"/>
      <c r="G43" s="112"/>
      <c r="H43" s="112"/>
      <c r="I43" s="112"/>
      <c r="J43" s="112"/>
    </row>
    <row r="44" spans="1:10" x14ac:dyDescent="0.3">
      <c r="A44" s="112"/>
      <c r="B44" s="112"/>
      <c r="C44" s="112"/>
      <c r="D44" s="112"/>
      <c r="E44" s="112"/>
      <c r="F44" s="112"/>
      <c r="G44" s="112"/>
      <c r="H44" s="112"/>
      <c r="I44" s="112"/>
      <c r="J44" s="112"/>
    </row>
    <row r="45" spans="1:10" ht="15" thickBot="1" x14ac:dyDescent="0.35">
      <c r="A45" s="115" t="s">
        <v>1934</v>
      </c>
      <c r="B45" s="115"/>
      <c r="C45" s="115"/>
      <c r="D45" s="115"/>
      <c r="E45" s="115"/>
      <c r="F45" s="115"/>
      <c r="G45" s="115"/>
      <c r="H45" s="115"/>
      <c r="I45" s="115"/>
      <c r="J45" s="115"/>
    </row>
    <row r="46" spans="1:10" x14ac:dyDescent="0.3">
      <c r="A46" s="118" t="s">
        <v>1935</v>
      </c>
      <c r="B46" s="124" t="s">
        <v>1936</v>
      </c>
      <c r="C46" s="124" t="s">
        <v>1402</v>
      </c>
      <c r="D46" s="124" t="s">
        <v>1567</v>
      </c>
      <c r="E46" s="124" t="s">
        <v>1937</v>
      </c>
      <c r="F46" s="124" t="s">
        <v>1938</v>
      </c>
      <c r="G46" s="119" t="s">
        <v>1939</v>
      </c>
      <c r="H46" s="112"/>
      <c r="I46" s="112"/>
      <c r="J46" s="112"/>
    </row>
    <row r="47" spans="1:10" ht="15" thickBot="1" x14ac:dyDescent="0.35">
      <c r="A47" s="122" t="s">
        <v>1940</v>
      </c>
      <c r="B47" s="129" t="s">
        <v>208</v>
      </c>
      <c r="C47" s="129" t="s">
        <v>208</v>
      </c>
      <c r="D47" s="129" t="s">
        <v>208</v>
      </c>
      <c r="E47" s="129" t="s">
        <v>208</v>
      </c>
      <c r="F47" s="129" t="s">
        <v>208</v>
      </c>
      <c r="G47" s="123" t="s">
        <v>1941</v>
      </c>
      <c r="H47" s="112"/>
      <c r="I47" s="112"/>
      <c r="J47" s="112"/>
    </row>
    <row r="48" spans="1:10" x14ac:dyDescent="0.3">
      <c r="A48" s="112"/>
      <c r="B48" s="112"/>
      <c r="C48" s="112"/>
      <c r="D48" s="112"/>
      <c r="E48" s="112"/>
      <c r="F48" s="112"/>
      <c r="G48" s="112"/>
      <c r="H48" s="112"/>
      <c r="I48" s="112"/>
      <c r="J48" s="112"/>
    </row>
    <row r="49" spans="1:10" ht="15" thickBot="1" x14ac:dyDescent="0.35">
      <c r="A49" s="115" t="s">
        <v>1942</v>
      </c>
      <c r="B49" s="115"/>
      <c r="C49" s="115"/>
      <c r="D49" s="115"/>
      <c r="E49" s="115"/>
      <c r="F49" s="115"/>
      <c r="G49" s="115"/>
      <c r="H49" s="115"/>
      <c r="I49" s="115"/>
      <c r="J49" s="115"/>
    </row>
    <row r="50" spans="1:10" x14ac:dyDescent="0.3">
      <c r="A50" s="118" t="s">
        <v>1402</v>
      </c>
      <c r="B50" s="124" t="s">
        <v>1943</v>
      </c>
      <c r="C50" s="124" t="s">
        <v>1567</v>
      </c>
      <c r="D50" s="119" t="s">
        <v>1937</v>
      </c>
      <c r="E50" s="112"/>
      <c r="F50" s="112"/>
      <c r="G50" s="112"/>
      <c r="H50" s="112"/>
      <c r="I50" s="112"/>
      <c r="J50" s="112"/>
    </row>
    <row r="51" spans="1:10" x14ac:dyDescent="0.3">
      <c r="A51" s="120" t="s">
        <v>1405</v>
      </c>
      <c r="B51" s="125" t="s">
        <v>1944</v>
      </c>
      <c r="C51" s="132" t="s">
        <v>1945</v>
      </c>
      <c r="D51" s="133">
        <v>4850000</v>
      </c>
      <c r="E51" s="112"/>
      <c r="F51" s="112"/>
      <c r="G51" s="112"/>
      <c r="H51" s="112"/>
      <c r="I51" s="112"/>
      <c r="J51" s="112"/>
    </row>
    <row r="52" spans="1:10" x14ac:dyDescent="0.3">
      <c r="A52" s="120" t="s">
        <v>1406</v>
      </c>
      <c r="B52" s="125" t="s">
        <v>1946</v>
      </c>
      <c r="C52" s="132">
        <v>81222448</v>
      </c>
      <c r="D52" s="133">
        <v>81222447.721645504</v>
      </c>
      <c r="E52" s="112"/>
      <c r="F52" s="112"/>
      <c r="G52" s="112"/>
      <c r="H52" s="112"/>
      <c r="I52" s="112"/>
      <c r="J52" s="112"/>
    </row>
    <row r="53" spans="1:10" x14ac:dyDescent="0.3">
      <c r="A53" s="120" t="s">
        <v>1407</v>
      </c>
      <c r="B53" s="125" t="s">
        <v>1947</v>
      </c>
      <c r="C53" s="132">
        <v>509970</v>
      </c>
      <c r="D53" s="133">
        <v>509970.00570707698</v>
      </c>
      <c r="E53" s="112"/>
      <c r="F53" s="112"/>
      <c r="G53" s="112"/>
      <c r="H53" s="112"/>
      <c r="I53" s="112"/>
      <c r="J53" s="112"/>
    </row>
    <row r="54" spans="1:10" x14ac:dyDescent="0.3">
      <c r="A54" s="120" t="s">
        <v>1408</v>
      </c>
      <c r="B54" s="125" t="s">
        <v>1948</v>
      </c>
      <c r="C54" s="132">
        <v>16309504</v>
      </c>
      <c r="D54" s="133">
        <v>16309504.016261</v>
      </c>
      <c r="E54" s="112"/>
      <c r="F54" s="112"/>
      <c r="G54" s="112"/>
      <c r="H54" s="112"/>
      <c r="I54" s="112"/>
      <c r="J54" s="112"/>
    </row>
    <row r="55" spans="1:10" x14ac:dyDescent="0.3">
      <c r="A55" s="120" t="s">
        <v>1409</v>
      </c>
      <c r="B55" s="125" t="s">
        <v>1949</v>
      </c>
      <c r="C55" s="132" t="s">
        <v>1945</v>
      </c>
      <c r="D55" s="133">
        <v>0.20080044955250201</v>
      </c>
      <c r="E55" s="112"/>
      <c r="F55" s="112"/>
      <c r="G55" s="112"/>
      <c r="H55" s="112"/>
      <c r="I55" s="112"/>
      <c r="J55" s="112"/>
    </row>
    <row r="56" spans="1:10" x14ac:dyDescent="0.3">
      <c r="A56" s="120" t="s">
        <v>1410</v>
      </c>
      <c r="B56" s="125" t="s">
        <v>1950</v>
      </c>
      <c r="C56" s="132">
        <v>14751246</v>
      </c>
      <c r="D56" s="133">
        <v>14751245.7980366</v>
      </c>
      <c r="E56" s="112"/>
      <c r="F56" s="112"/>
      <c r="G56" s="112"/>
      <c r="H56" s="112"/>
      <c r="I56" s="112"/>
      <c r="J56" s="112"/>
    </row>
    <row r="57" spans="1:10" x14ac:dyDescent="0.3">
      <c r="A57" s="120" t="s">
        <v>1411</v>
      </c>
      <c r="B57" s="125" t="s">
        <v>1951</v>
      </c>
      <c r="C57" s="132">
        <v>755044</v>
      </c>
      <c r="D57" s="133">
        <v>755044.09</v>
      </c>
      <c r="E57" s="112"/>
      <c r="F57" s="112"/>
      <c r="G57" s="112"/>
      <c r="H57" s="112"/>
      <c r="I57" s="112"/>
      <c r="J57" s="112"/>
    </row>
    <row r="58" spans="1:10" x14ac:dyDescent="0.3">
      <c r="A58" s="120" t="s">
        <v>1413</v>
      </c>
      <c r="B58" s="125" t="s">
        <v>1952</v>
      </c>
      <c r="C58" s="132">
        <v>3207787</v>
      </c>
      <c r="D58" s="133">
        <v>3207787.01305363</v>
      </c>
      <c r="E58" s="112"/>
      <c r="F58" s="112"/>
      <c r="G58" s="112"/>
      <c r="H58" s="112"/>
      <c r="I58" s="112"/>
      <c r="J58" s="112"/>
    </row>
    <row r="59" spans="1:10" x14ac:dyDescent="0.3">
      <c r="A59" s="120" t="s">
        <v>1415</v>
      </c>
      <c r="B59" s="125" t="s">
        <v>1953</v>
      </c>
      <c r="C59" s="132">
        <v>13</v>
      </c>
      <c r="D59" s="133">
        <v>13</v>
      </c>
      <c r="E59" s="112"/>
      <c r="F59" s="112"/>
      <c r="G59" s="112"/>
      <c r="H59" s="112"/>
      <c r="I59" s="112"/>
      <c r="J59" s="112"/>
    </row>
    <row r="60" spans="1:10" x14ac:dyDescent="0.3">
      <c r="A60" s="120" t="s">
        <v>1172</v>
      </c>
      <c r="B60" s="125" t="s">
        <v>1954</v>
      </c>
      <c r="C60" s="132" t="s">
        <v>1945</v>
      </c>
      <c r="D60" s="133">
        <v>1139710</v>
      </c>
      <c r="E60" s="112"/>
      <c r="F60" s="112"/>
      <c r="G60" s="112"/>
      <c r="H60" s="112"/>
      <c r="I60" s="112"/>
      <c r="J60" s="112"/>
    </row>
    <row r="61" spans="1:10" x14ac:dyDescent="0.3">
      <c r="A61" s="120" t="s">
        <v>1416</v>
      </c>
      <c r="B61" s="125" t="s">
        <v>1955</v>
      </c>
      <c r="C61" s="132">
        <v>311740</v>
      </c>
      <c r="D61" s="133">
        <v>311740.118672618</v>
      </c>
      <c r="E61" s="112"/>
      <c r="F61" s="112"/>
      <c r="G61" s="112"/>
      <c r="H61" s="112"/>
      <c r="I61" s="112"/>
      <c r="J61" s="112"/>
    </row>
    <row r="62" spans="1:10" x14ac:dyDescent="0.3">
      <c r="A62" s="120" t="s">
        <v>1418</v>
      </c>
      <c r="B62" s="125" t="s">
        <v>1956</v>
      </c>
      <c r="C62" s="132">
        <v>2791587</v>
      </c>
      <c r="D62" s="133">
        <v>2791587</v>
      </c>
      <c r="E62" s="112"/>
      <c r="F62" s="112"/>
      <c r="G62" s="112"/>
      <c r="H62" s="112"/>
      <c r="I62" s="112"/>
      <c r="J62" s="112"/>
    </row>
    <row r="63" spans="1:10" x14ac:dyDescent="0.3">
      <c r="A63" s="120" t="s">
        <v>1420</v>
      </c>
      <c r="B63" s="125" t="s">
        <v>1957</v>
      </c>
      <c r="C63" s="132" t="s">
        <v>1945</v>
      </c>
      <c r="D63" s="133">
        <v>0</v>
      </c>
      <c r="E63" s="112"/>
      <c r="F63" s="112"/>
      <c r="G63" s="112"/>
      <c r="H63" s="112"/>
      <c r="I63" s="112"/>
      <c r="J63" s="112"/>
    </row>
    <row r="64" spans="1:10" x14ac:dyDescent="0.3">
      <c r="A64" s="120" t="s">
        <v>1422</v>
      </c>
      <c r="B64" s="125" t="s">
        <v>1958</v>
      </c>
      <c r="C64" s="132">
        <v>813214</v>
      </c>
      <c r="D64" s="133">
        <v>813214.12822445401</v>
      </c>
      <c r="E64" s="112"/>
      <c r="F64" s="112"/>
      <c r="G64" s="112"/>
      <c r="H64" s="112"/>
      <c r="I64" s="112"/>
      <c r="J64" s="112"/>
    </row>
    <row r="65" spans="1:10" x14ac:dyDescent="0.3">
      <c r="A65" s="120" t="s">
        <v>1423</v>
      </c>
      <c r="B65" s="125" t="s">
        <v>1959</v>
      </c>
      <c r="C65" s="132">
        <v>5</v>
      </c>
      <c r="D65" s="133">
        <v>5</v>
      </c>
      <c r="E65" s="112"/>
      <c r="F65" s="112"/>
      <c r="G65" s="112"/>
      <c r="H65" s="112"/>
      <c r="I65" s="112"/>
      <c r="J65" s="112"/>
    </row>
    <row r="66" spans="1:10" x14ac:dyDescent="0.3">
      <c r="A66" s="120" t="s">
        <v>1425</v>
      </c>
      <c r="B66" s="125" t="s">
        <v>1960</v>
      </c>
      <c r="C66" s="132" t="s">
        <v>1945</v>
      </c>
      <c r="D66" s="133">
        <v>-311740.118672618</v>
      </c>
      <c r="E66" s="112"/>
      <c r="F66" s="112"/>
      <c r="G66" s="112"/>
      <c r="H66" s="112"/>
      <c r="I66" s="112"/>
      <c r="J66" s="112"/>
    </row>
    <row r="67" spans="1:10" x14ac:dyDescent="0.3">
      <c r="A67" s="120" t="s">
        <v>1427</v>
      </c>
      <c r="B67" s="125" t="s">
        <v>1961</v>
      </c>
      <c r="C67" s="132">
        <v>373701</v>
      </c>
      <c r="D67" s="133">
        <v>373700.71319316601</v>
      </c>
      <c r="E67" s="112"/>
      <c r="F67" s="112"/>
      <c r="G67" s="112"/>
      <c r="H67" s="112"/>
      <c r="I67" s="112"/>
      <c r="J67" s="112"/>
    </row>
    <row r="68" spans="1:10" x14ac:dyDescent="0.3">
      <c r="A68" s="120" t="s">
        <v>1429</v>
      </c>
      <c r="B68" s="125" t="s">
        <v>1962</v>
      </c>
      <c r="C68" s="132">
        <v>12</v>
      </c>
      <c r="D68" s="133">
        <v>12</v>
      </c>
      <c r="E68" s="112"/>
      <c r="F68" s="112"/>
      <c r="G68" s="112"/>
      <c r="H68" s="112"/>
      <c r="I68" s="112"/>
      <c r="J68" s="112"/>
    </row>
    <row r="69" spans="1:10" x14ac:dyDescent="0.3">
      <c r="A69" s="120" t="s">
        <v>1430</v>
      </c>
      <c r="B69" s="125" t="s">
        <v>1963</v>
      </c>
      <c r="C69" s="132">
        <v>0.4</v>
      </c>
      <c r="D69" s="133">
        <v>0.39986394469506098</v>
      </c>
      <c r="E69" s="112"/>
      <c r="F69" s="112"/>
      <c r="G69" s="112"/>
      <c r="H69" s="112"/>
      <c r="I69" s="112"/>
      <c r="J69" s="112"/>
    </row>
    <row r="70" spans="1:10" x14ac:dyDescent="0.3">
      <c r="A70" s="120" t="s">
        <v>1432</v>
      </c>
      <c r="B70" s="125" t="s">
        <v>1964</v>
      </c>
      <c r="C70" s="132">
        <v>6989922</v>
      </c>
      <c r="D70" s="133">
        <v>6989921.7587111099</v>
      </c>
      <c r="E70" s="112"/>
      <c r="F70" s="112"/>
      <c r="G70" s="112"/>
      <c r="H70" s="112"/>
      <c r="I70" s="112"/>
      <c r="J70" s="112"/>
    </row>
    <row r="71" spans="1:10" x14ac:dyDescent="0.3">
      <c r="A71" s="120" t="s">
        <v>1434</v>
      </c>
      <c r="B71" s="125" t="s">
        <v>1965</v>
      </c>
      <c r="C71" s="132">
        <v>0.3493</v>
      </c>
      <c r="D71" s="133">
        <v>0.34925726974024301</v>
      </c>
      <c r="E71" s="112"/>
      <c r="F71" s="112"/>
      <c r="G71" s="112"/>
      <c r="H71" s="112"/>
      <c r="I71" s="112"/>
      <c r="J71" s="112"/>
    </row>
    <row r="72" spans="1:10" x14ac:dyDescent="0.3">
      <c r="A72" s="120" t="s">
        <v>1435</v>
      </c>
      <c r="B72" s="125" t="s">
        <v>1966</v>
      </c>
      <c r="C72" s="132">
        <v>3695678</v>
      </c>
      <c r="D72" s="133">
        <v>3695678.0910463799</v>
      </c>
      <c r="E72" s="112"/>
      <c r="F72" s="112"/>
      <c r="G72" s="112"/>
      <c r="H72" s="112"/>
      <c r="I72" s="112"/>
      <c r="J72" s="112"/>
    </row>
    <row r="73" spans="1:10" x14ac:dyDescent="0.3">
      <c r="A73" s="120" t="s">
        <v>1437</v>
      </c>
      <c r="B73" s="125" t="s">
        <v>1967</v>
      </c>
      <c r="C73" s="132">
        <v>0.43630000000000002</v>
      </c>
      <c r="D73" s="133">
        <v>0.43629717753983699</v>
      </c>
      <c r="E73" s="112"/>
      <c r="F73" s="112"/>
      <c r="G73" s="112"/>
      <c r="H73" s="112"/>
      <c r="I73" s="112"/>
      <c r="J73" s="112"/>
    </row>
    <row r="74" spans="1:10" x14ac:dyDescent="0.3">
      <c r="A74" s="120" t="s">
        <v>1438</v>
      </c>
      <c r="B74" s="125" t="s">
        <v>1968</v>
      </c>
      <c r="C74" s="132">
        <v>4.13</v>
      </c>
      <c r="D74" s="133">
        <v>4.1276430057995697</v>
      </c>
      <c r="E74" s="112"/>
      <c r="F74" s="112"/>
      <c r="G74" s="112"/>
      <c r="H74" s="112"/>
      <c r="I74" s="112"/>
      <c r="J74" s="112"/>
    </row>
    <row r="75" spans="1:10" ht="15" thickBot="1" x14ac:dyDescent="0.35">
      <c r="A75" s="122" t="s">
        <v>1439</v>
      </c>
      <c r="B75" s="129" t="s">
        <v>1969</v>
      </c>
      <c r="C75" s="134">
        <v>0</v>
      </c>
      <c r="D75" s="135">
        <v>0</v>
      </c>
      <c r="E75" s="112"/>
      <c r="F75" s="112"/>
      <c r="G75" s="112"/>
      <c r="H75" s="112"/>
      <c r="I75" s="112"/>
      <c r="J75" s="112"/>
    </row>
    <row r="76" spans="1:10" x14ac:dyDescent="0.3">
      <c r="A76" s="112"/>
      <c r="B76" s="112"/>
      <c r="C76" s="112"/>
      <c r="D76" s="112"/>
      <c r="E76" s="112"/>
      <c r="F76" s="112"/>
      <c r="G76" s="112"/>
      <c r="H76" s="112"/>
      <c r="I76" s="112"/>
      <c r="J76" s="112"/>
    </row>
    <row r="77" spans="1:10" ht="15" thickBot="1" x14ac:dyDescent="0.35">
      <c r="A77" s="116" t="s">
        <v>1970</v>
      </c>
      <c r="B77" s="116"/>
      <c r="C77" s="116"/>
      <c r="D77" s="116"/>
      <c r="E77" s="116"/>
      <c r="F77" s="116"/>
      <c r="G77" s="116"/>
      <c r="H77" s="116"/>
      <c r="I77" s="116"/>
      <c r="J77" s="116"/>
    </row>
    <row r="78" spans="1:10" x14ac:dyDescent="0.3">
      <c r="A78" s="118" t="s">
        <v>1971</v>
      </c>
      <c r="B78" s="124" t="s">
        <v>1972</v>
      </c>
      <c r="C78" s="124" t="s">
        <v>137</v>
      </c>
      <c r="D78" s="119" t="s">
        <v>44</v>
      </c>
      <c r="E78" s="112"/>
      <c r="F78" s="112"/>
      <c r="G78" s="112"/>
      <c r="H78" s="112"/>
      <c r="I78" s="112"/>
      <c r="J78" s="112"/>
    </row>
    <row r="79" spans="1:10" x14ac:dyDescent="0.3">
      <c r="A79" s="120" t="s">
        <v>1605</v>
      </c>
      <c r="B79" s="125">
        <v>17</v>
      </c>
      <c r="C79" s="125" t="s">
        <v>1606</v>
      </c>
      <c r="D79" s="121">
        <v>12</v>
      </c>
      <c r="E79" s="112"/>
      <c r="F79" s="112"/>
      <c r="G79" s="112"/>
      <c r="H79" s="112"/>
      <c r="I79" s="112"/>
      <c r="J79" s="112"/>
    </row>
    <row r="80" spans="1:10" x14ac:dyDescent="0.3">
      <c r="A80" s="120" t="s">
        <v>1608</v>
      </c>
      <c r="B80" s="125">
        <v>18</v>
      </c>
      <c r="C80" s="125" t="s">
        <v>1609</v>
      </c>
      <c r="D80" s="121">
        <v>0</v>
      </c>
      <c r="E80" s="112"/>
      <c r="F80" s="112"/>
      <c r="G80" s="112"/>
      <c r="H80" s="112"/>
      <c r="I80" s="112"/>
      <c r="J80" s="112"/>
    </row>
    <row r="81" spans="1:10" ht="15" thickBot="1" x14ac:dyDescent="0.35">
      <c r="A81" s="122" t="s">
        <v>5</v>
      </c>
      <c r="B81" s="129" t="s">
        <v>1973</v>
      </c>
      <c r="C81" s="129"/>
      <c r="D81" s="123"/>
      <c r="E81" s="112"/>
      <c r="F81" s="112"/>
      <c r="G81" s="112"/>
      <c r="H81" s="112"/>
      <c r="I81" s="112"/>
      <c r="J81" s="112"/>
    </row>
    <row r="82" spans="1:10" x14ac:dyDescent="0.3">
      <c r="A82" s="112"/>
      <c r="B82" s="112"/>
      <c r="C82" s="112"/>
      <c r="D82" s="112"/>
      <c r="E82" s="112"/>
      <c r="F82" s="112"/>
      <c r="G82" s="112"/>
      <c r="H82" s="112"/>
      <c r="I82" s="112"/>
      <c r="J82" s="112"/>
    </row>
    <row r="83" spans="1:10" x14ac:dyDescent="0.3">
      <c r="A83" s="112" t="s">
        <v>1974</v>
      </c>
      <c r="B83" s="112">
        <v>0</v>
      </c>
      <c r="C83" s="112" t="s">
        <v>1975</v>
      </c>
      <c r="D83" s="112"/>
      <c r="E83" s="112"/>
      <c r="F83" s="112"/>
      <c r="G83" s="112"/>
      <c r="H83" s="112"/>
      <c r="I83" s="112"/>
      <c r="J83" s="112"/>
    </row>
    <row r="84" spans="1:10" x14ac:dyDescent="0.3">
      <c r="A84" s="112"/>
      <c r="B84" s="112"/>
      <c r="C84" s="112"/>
      <c r="D84" s="112"/>
      <c r="E84" s="112"/>
      <c r="F84" s="112"/>
      <c r="G84" s="112"/>
      <c r="H84" s="112"/>
      <c r="I84" s="112"/>
      <c r="J84" s="112"/>
    </row>
    <row r="85" spans="1:10" ht="15" thickBot="1" x14ac:dyDescent="0.35">
      <c r="A85" s="116" t="s">
        <v>1976</v>
      </c>
      <c r="B85" s="116"/>
      <c r="C85" s="116"/>
      <c r="D85" s="116"/>
      <c r="E85" s="116"/>
      <c r="F85" s="116"/>
      <c r="G85" s="116"/>
      <c r="H85" s="116"/>
      <c r="I85" s="116"/>
      <c r="J85" s="116"/>
    </row>
    <row r="86" spans="1:10" x14ac:dyDescent="0.3">
      <c r="A86" s="118" t="s">
        <v>1695</v>
      </c>
      <c r="B86" s="124" t="s">
        <v>1977</v>
      </c>
      <c r="C86" s="119" t="s">
        <v>1978</v>
      </c>
      <c r="D86" s="112"/>
      <c r="E86" s="112"/>
      <c r="F86" s="112"/>
      <c r="G86" s="112"/>
      <c r="H86" s="112"/>
      <c r="I86" s="112"/>
      <c r="J86" s="112"/>
    </row>
    <row r="87" spans="1:10" x14ac:dyDescent="0.3">
      <c r="A87" s="120" t="s">
        <v>1699</v>
      </c>
      <c r="B87" s="125" t="s">
        <v>1979</v>
      </c>
      <c r="C87" s="121" t="s">
        <v>1979</v>
      </c>
      <c r="D87" s="112"/>
      <c r="E87" s="112"/>
      <c r="F87" s="112"/>
      <c r="G87" s="112"/>
      <c r="H87" s="112"/>
      <c r="I87" s="112"/>
      <c r="J87" s="112"/>
    </row>
    <row r="88" spans="1:10" x14ac:dyDescent="0.3">
      <c r="A88" s="120" t="s">
        <v>1723</v>
      </c>
      <c r="B88" s="125" t="s">
        <v>1980</v>
      </c>
      <c r="C88" s="121" t="s">
        <v>1980</v>
      </c>
      <c r="D88" s="112"/>
      <c r="E88" s="112"/>
      <c r="F88" s="112"/>
      <c r="G88" s="112"/>
      <c r="H88" s="112"/>
      <c r="I88" s="112"/>
      <c r="J88" s="112"/>
    </row>
    <row r="89" spans="1:10" x14ac:dyDescent="0.3">
      <c r="A89" s="120" t="s">
        <v>1727</v>
      </c>
      <c r="B89" s="125" t="s">
        <v>1981</v>
      </c>
      <c r="C89" s="121" t="s">
        <v>1981</v>
      </c>
      <c r="D89" s="112"/>
      <c r="E89" s="112"/>
      <c r="F89" s="112"/>
      <c r="G89" s="112"/>
      <c r="H89" s="112"/>
      <c r="I89" s="112"/>
      <c r="J89" s="112"/>
    </row>
    <row r="90" spans="1:10" ht="15" thickBot="1" x14ac:dyDescent="0.35">
      <c r="A90" s="122" t="s">
        <v>1735</v>
      </c>
      <c r="B90" s="129" t="s">
        <v>1982</v>
      </c>
      <c r="C90" s="123" t="s">
        <v>1982</v>
      </c>
      <c r="D90" s="112"/>
      <c r="E90" s="112"/>
      <c r="F90" s="112"/>
      <c r="G90" s="112"/>
      <c r="H90" s="112"/>
      <c r="I90" s="112"/>
      <c r="J90" s="112"/>
    </row>
    <row r="91" spans="1:10" x14ac:dyDescent="0.3">
      <c r="A91" s="112"/>
      <c r="B91" s="112"/>
      <c r="C91" s="112"/>
      <c r="D91" s="112"/>
      <c r="E91" s="112"/>
      <c r="F91" s="112"/>
      <c r="G91" s="112"/>
      <c r="H91" s="112"/>
      <c r="I91" s="112"/>
      <c r="J91" s="112"/>
    </row>
    <row r="92" spans="1:10" ht="15" thickBot="1" x14ac:dyDescent="0.35">
      <c r="A92" s="115" t="s">
        <v>1983</v>
      </c>
      <c r="B92" s="115"/>
      <c r="C92" s="115"/>
      <c r="D92" s="115"/>
      <c r="E92" s="115"/>
      <c r="F92" s="115"/>
      <c r="G92" s="115"/>
      <c r="H92" s="115"/>
      <c r="I92" s="115"/>
      <c r="J92" s="115"/>
    </row>
    <row r="93" spans="1:10" x14ac:dyDescent="0.3">
      <c r="A93" s="118" t="s">
        <v>1971</v>
      </c>
      <c r="B93" s="124" t="s">
        <v>437</v>
      </c>
      <c r="C93" s="124" t="s">
        <v>1984</v>
      </c>
      <c r="D93" s="124" t="s">
        <v>1985</v>
      </c>
      <c r="E93" s="124" t="s">
        <v>1986</v>
      </c>
      <c r="F93" s="124" t="s">
        <v>1987</v>
      </c>
      <c r="G93" s="124" t="s">
        <v>1988</v>
      </c>
      <c r="H93" s="124" t="s">
        <v>1989</v>
      </c>
      <c r="I93" s="124" t="s">
        <v>1990</v>
      </c>
      <c r="J93" s="119" t="s">
        <v>1991</v>
      </c>
    </row>
    <row r="94" spans="1:10" x14ac:dyDescent="0.3">
      <c r="A94" s="120" t="s">
        <v>1992</v>
      </c>
      <c r="B94" s="132">
        <v>81222447.721645504</v>
      </c>
      <c r="C94" s="132">
        <v>6989921.7587111099</v>
      </c>
      <c r="D94" s="132">
        <v>3695678.0910463799</v>
      </c>
      <c r="E94" s="132">
        <v>311740.118672618</v>
      </c>
      <c r="F94" s="130">
        <v>12</v>
      </c>
      <c r="G94" s="132">
        <v>813214.12822445401</v>
      </c>
      <c r="H94" s="136">
        <v>5</v>
      </c>
      <c r="I94" s="136">
        <v>0.39986394469506098</v>
      </c>
      <c r="J94" s="137">
        <v>0</v>
      </c>
    </row>
    <row r="95" spans="1:10" x14ac:dyDescent="0.3">
      <c r="A95" s="120" t="s">
        <v>1993</v>
      </c>
      <c r="B95" s="132">
        <v>81222447.721645504</v>
      </c>
      <c r="C95" s="132">
        <v>6989921.7587111099</v>
      </c>
      <c r="D95" s="132">
        <v>3593000.79850299</v>
      </c>
      <c r="E95" s="132">
        <v>0</v>
      </c>
      <c r="F95" s="130">
        <v>1</v>
      </c>
      <c r="G95" s="132">
        <v>1106973.8063878799</v>
      </c>
      <c r="H95" s="136">
        <v>5</v>
      </c>
      <c r="I95" s="136">
        <v>0.29375131309985603</v>
      </c>
      <c r="J95" s="137">
        <v>0</v>
      </c>
    </row>
    <row r="96" spans="1:10" x14ac:dyDescent="0.3">
      <c r="A96" s="120" t="s">
        <v>1994</v>
      </c>
      <c r="B96" s="132">
        <v>81222447.721645504</v>
      </c>
      <c r="C96" s="132">
        <v>6989921.7587111099</v>
      </c>
      <c r="D96" s="132">
        <v>3680996.2912726202</v>
      </c>
      <c r="E96" s="132">
        <v>816529.14815362601</v>
      </c>
      <c r="F96" s="130">
        <v>41</v>
      </c>
      <c r="G96" s="132">
        <v>524356.01355215302</v>
      </c>
      <c r="H96" s="136">
        <v>5</v>
      </c>
      <c r="I96" s="136">
        <v>0.62014166098858403</v>
      </c>
      <c r="J96" s="137">
        <v>0</v>
      </c>
    </row>
    <row r="97" spans="1:10" x14ac:dyDescent="0.3">
      <c r="A97" s="120" t="s">
        <v>1995</v>
      </c>
      <c r="B97" s="132">
        <v>81222447.721645504</v>
      </c>
      <c r="C97" s="132">
        <v>6230649.8281206395</v>
      </c>
      <c r="D97" s="132">
        <v>2932499.0046814699</v>
      </c>
      <c r="E97" s="132">
        <v>1632135.3086408901</v>
      </c>
      <c r="F97" s="130">
        <v>57</v>
      </c>
      <c r="G97" s="132">
        <v>813214.12822445401</v>
      </c>
      <c r="H97" s="136">
        <v>5</v>
      </c>
      <c r="I97" s="136">
        <v>0.118338914854395</v>
      </c>
      <c r="J97" s="137">
        <v>0</v>
      </c>
    </row>
    <row r="98" spans="1:10" x14ac:dyDescent="0.3">
      <c r="A98" s="120" t="s">
        <v>1996</v>
      </c>
      <c r="B98" s="132">
        <v>81222447.721645504</v>
      </c>
      <c r="C98" s="132">
        <v>8508465.6198920608</v>
      </c>
      <c r="D98" s="132">
        <v>3895389.8138266602</v>
      </c>
      <c r="E98" s="132">
        <v>0</v>
      </c>
      <c r="F98" s="130">
        <v>0</v>
      </c>
      <c r="G98" s="132">
        <v>813214.12822445401</v>
      </c>
      <c r="H98" s="136">
        <v>5</v>
      </c>
      <c r="I98" s="136">
        <v>0.96291400437639296</v>
      </c>
      <c r="J98" s="137">
        <v>0</v>
      </c>
    </row>
    <row r="99" spans="1:10" x14ac:dyDescent="0.3">
      <c r="A99" s="120" t="s">
        <v>1997</v>
      </c>
      <c r="B99" s="132">
        <v>81222447.721645504</v>
      </c>
      <c r="C99" s="132">
        <v>6230649.8281206395</v>
      </c>
      <c r="D99" s="132">
        <v>2954155.3117521298</v>
      </c>
      <c r="E99" s="132">
        <v>1397533.8958826</v>
      </c>
      <c r="F99" s="130">
        <v>48</v>
      </c>
      <c r="G99" s="132">
        <v>1106973.8063878799</v>
      </c>
      <c r="H99" s="136">
        <v>5</v>
      </c>
      <c r="I99" s="136">
        <v>8.6935099026746496E-2</v>
      </c>
      <c r="J99" s="137">
        <v>0</v>
      </c>
    </row>
    <row r="100" spans="1:10" x14ac:dyDescent="0.3">
      <c r="A100" s="120" t="s">
        <v>1998</v>
      </c>
      <c r="B100" s="132">
        <v>81222447.721645504</v>
      </c>
      <c r="C100" s="132">
        <v>8508465.6198920608</v>
      </c>
      <c r="D100" s="132">
        <v>3975861.4063533898</v>
      </c>
      <c r="E100" s="132">
        <v>0</v>
      </c>
      <c r="F100" s="130">
        <v>0</v>
      </c>
      <c r="G100" s="132">
        <v>524356.01355215302</v>
      </c>
      <c r="H100" s="136">
        <v>5</v>
      </c>
      <c r="I100" s="136">
        <v>1.49336567596393</v>
      </c>
      <c r="J100" s="137">
        <v>0</v>
      </c>
    </row>
    <row r="101" spans="1:10" x14ac:dyDescent="0.3">
      <c r="A101" s="120" t="s">
        <v>1999</v>
      </c>
      <c r="B101" s="132">
        <v>81222447.721645504</v>
      </c>
      <c r="C101" s="132">
        <v>8508465.6198920608</v>
      </c>
      <c r="D101" s="132">
        <v>3813552.7183073899</v>
      </c>
      <c r="E101" s="132">
        <v>0</v>
      </c>
      <c r="F101" s="130">
        <v>0</v>
      </c>
      <c r="G101" s="132">
        <v>1106973.8063878799</v>
      </c>
      <c r="H101" s="136">
        <v>5</v>
      </c>
      <c r="I101" s="136">
        <v>0.70738374124607395</v>
      </c>
      <c r="J101" s="137">
        <v>0</v>
      </c>
    </row>
    <row r="102" spans="1:10" x14ac:dyDescent="0.3">
      <c r="A102" s="120" t="s">
        <v>2000</v>
      </c>
      <c r="B102" s="132">
        <v>81222447.721645504</v>
      </c>
      <c r="C102" s="132">
        <v>6230649.8281206395</v>
      </c>
      <c r="D102" s="132">
        <v>2810934.9023357602</v>
      </c>
      <c r="E102" s="132">
        <v>2055741.03856459</v>
      </c>
      <c r="F102" s="130">
        <v>55</v>
      </c>
      <c r="G102" s="132">
        <v>524356.01355215302</v>
      </c>
      <c r="H102" s="136">
        <v>5</v>
      </c>
      <c r="I102" s="136">
        <v>0.183529653500909</v>
      </c>
      <c r="J102" s="137">
        <v>0</v>
      </c>
    </row>
    <row r="103" spans="1:10" x14ac:dyDescent="0.3">
      <c r="A103" s="120" t="s">
        <v>2001</v>
      </c>
      <c r="B103" s="132">
        <v>81222447.721645504</v>
      </c>
      <c r="C103" s="132">
        <v>3619713.0794835398</v>
      </c>
      <c r="D103" s="132">
        <v>1330718.9794999701</v>
      </c>
      <c r="E103" s="132">
        <v>1601513.94079626</v>
      </c>
      <c r="F103" s="130">
        <v>55</v>
      </c>
      <c r="G103" s="132">
        <v>813214.12822445401</v>
      </c>
      <c r="H103" s="136">
        <v>5</v>
      </c>
      <c r="I103" s="136">
        <v>-0.14568240899910101</v>
      </c>
      <c r="J103" s="137">
        <v>0</v>
      </c>
    </row>
    <row r="104" spans="1:10" x14ac:dyDescent="0.3">
      <c r="A104" s="120" t="s">
        <v>2002</v>
      </c>
      <c r="B104" s="132">
        <v>81222447.721645504</v>
      </c>
      <c r="C104" s="132">
        <v>249504.400255966</v>
      </c>
      <c r="D104" s="132">
        <v>-1129352.3112479399</v>
      </c>
      <c r="E104" s="132">
        <v>3186572.5147244902</v>
      </c>
      <c r="F104" s="130">
        <v>104</v>
      </c>
      <c r="G104" s="132">
        <v>813214.12822445401</v>
      </c>
      <c r="H104" s="136">
        <v>5</v>
      </c>
      <c r="I104" s="136">
        <v>-0.69122876269326405</v>
      </c>
      <c r="J104" s="137">
        <v>0</v>
      </c>
    </row>
    <row r="105" spans="1:10" x14ac:dyDescent="0.3">
      <c r="A105" s="120" t="s">
        <v>2003</v>
      </c>
      <c r="B105" s="132">
        <v>81222447.721645504</v>
      </c>
      <c r="C105" s="132">
        <v>-3120704.2789716101</v>
      </c>
      <c r="D105" s="132">
        <v>-3725161.82043349</v>
      </c>
      <c r="E105" s="132">
        <v>5685501.3624716299</v>
      </c>
      <c r="F105" s="130">
        <v>117</v>
      </c>
      <c r="G105" s="132">
        <v>813214.12822445401</v>
      </c>
      <c r="H105" s="136">
        <v>5</v>
      </c>
      <c r="I105" s="136">
        <v>-1.2367751163874301</v>
      </c>
      <c r="J105" s="137">
        <v>0</v>
      </c>
    </row>
    <row r="106" spans="1:10" x14ac:dyDescent="0.3">
      <c r="A106" s="120" t="s">
        <v>2004</v>
      </c>
      <c r="B106" s="132">
        <v>81222447.721645504</v>
      </c>
      <c r="C106" s="132">
        <v>-7020642.1329611698</v>
      </c>
      <c r="D106" s="132">
        <v>-6753822.6705462299</v>
      </c>
      <c r="E106" s="132">
        <v>10601180.314130301</v>
      </c>
      <c r="F106" s="130">
        <v>118</v>
      </c>
      <c r="G106" s="132">
        <v>813214.12822445401</v>
      </c>
      <c r="H106" s="136">
        <v>5</v>
      </c>
      <c r="I106" s="136">
        <v>-1.9517532393271799</v>
      </c>
      <c r="J106" s="137">
        <v>0</v>
      </c>
    </row>
    <row r="107" spans="1:10" x14ac:dyDescent="0.3">
      <c r="A107" s="120" t="s">
        <v>2005</v>
      </c>
      <c r="B107" s="132">
        <v>73100202.949480996</v>
      </c>
      <c r="C107" s="132">
        <v>5422991.0084346402</v>
      </c>
      <c r="D107" s="132">
        <v>2690585.8680779999</v>
      </c>
      <c r="E107" s="132">
        <v>430518.81249817298</v>
      </c>
      <c r="F107" s="130">
        <v>21</v>
      </c>
      <c r="G107" s="132">
        <v>813214.12822445401</v>
      </c>
      <c r="H107" s="136">
        <v>5</v>
      </c>
      <c r="I107" s="136">
        <v>0.215130384438385</v>
      </c>
      <c r="J107" s="137">
        <v>0</v>
      </c>
    </row>
    <row r="108" spans="1:10" x14ac:dyDescent="0.3">
      <c r="A108" s="120" t="s">
        <v>2006</v>
      </c>
      <c r="B108" s="132">
        <v>64977958.177316397</v>
      </c>
      <c r="C108" s="132">
        <v>3856060.2581581599</v>
      </c>
      <c r="D108" s="132">
        <v>1656795.0675477099</v>
      </c>
      <c r="E108" s="132">
        <v>656645.455533545</v>
      </c>
      <c r="F108" s="130">
        <v>33</v>
      </c>
      <c r="G108" s="132">
        <v>813214.12822445401</v>
      </c>
      <c r="H108" s="136">
        <v>5</v>
      </c>
      <c r="I108" s="136">
        <v>3.0396824181709602E-2</v>
      </c>
      <c r="J108" s="137">
        <v>0</v>
      </c>
    </row>
    <row r="109" spans="1:10" x14ac:dyDescent="0.3">
      <c r="A109" s="120" t="s">
        <v>2007</v>
      </c>
      <c r="B109" s="132">
        <v>56855713.405151702</v>
      </c>
      <c r="C109" s="132">
        <v>2289129.50788168</v>
      </c>
      <c r="D109" s="132">
        <v>626407.49493762502</v>
      </c>
      <c r="E109" s="132">
        <v>882772.09856891597</v>
      </c>
      <c r="F109" s="130">
        <v>45</v>
      </c>
      <c r="G109" s="132">
        <v>813214.12822445401</v>
      </c>
      <c r="H109" s="136">
        <v>5</v>
      </c>
      <c r="I109" s="136">
        <v>-0.15433673607496701</v>
      </c>
      <c r="J109" s="137">
        <v>0</v>
      </c>
    </row>
    <row r="110" spans="1:10" x14ac:dyDescent="0.3">
      <c r="A110" s="120" t="s">
        <v>2008</v>
      </c>
      <c r="B110" s="132">
        <v>89344692.493809894</v>
      </c>
      <c r="C110" s="132">
        <v>8556852.5089875907</v>
      </c>
      <c r="D110" s="132">
        <v>4713190.8951804796</v>
      </c>
      <c r="E110" s="132">
        <v>290460.36194392998</v>
      </c>
      <c r="F110" s="130">
        <v>8</v>
      </c>
      <c r="G110" s="132">
        <v>813214.12822445401</v>
      </c>
      <c r="H110" s="136">
        <v>5</v>
      </c>
      <c r="I110" s="136">
        <v>0.58459750495173801</v>
      </c>
      <c r="J110" s="137">
        <v>0</v>
      </c>
    </row>
    <row r="111" spans="1:10" x14ac:dyDescent="0.3">
      <c r="A111" s="120" t="s">
        <v>2009</v>
      </c>
      <c r="B111" s="132">
        <v>83553351.721645504</v>
      </c>
      <c r="C111" s="132">
        <v>7601968.8941691499</v>
      </c>
      <c r="D111" s="132">
        <v>4106060.0131061999</v>
      </c>
      <c r="E111" s="132">
        <v>378599.80468287901</v>
      </c>
      <c r="F111" s="130">
        <v>8</v>
      </c>
      <c r="G111" s="132">
        <v>813214.12822445401</v>
      </c>
      <c r="H111" s="136">
        <v>5</v>
      </c>
      <c r="I111" s="136">
        <v>0.76256756336216802</v>
      </c>
      <c r="J111" s="137">
        <v>0</v>
      </c>
    </row>
    <row r="112" spans="1:10" x14ac:dyDescent="0.3">
      <c r="A112" s="120" t="s">
        <v>679</v>
      </c>
      <c r="B112" s="132">
        <v>50947355.257691801</v>
      </c>
      <c r="C112" s="132">
        <v>-105270.36605528199</v>
      </c>
      <c r="D112" s="132">
        <v>-1158115.5257179199</v>
      </c>
      <c r="E112" s="132">
        <v>2635012.3287427798</v>
      </c>
      <c r="F112" s="130">
        <v>94</v>
      </c>
      <c r="G112" s="132">
        <v>813214.12822445401</v>
      </c>
      <c r="H112" s="136">
        <v>5</v>
      </c>
      <c r="I112" s="136">
        <v>-0.58426174663980102</v>
      </c>
      <c r="J112" s="137">
        <v>0</v>
      </c>
    </row>
    <row r="113" spans="1:10" x14ac:dyDescent="0.3">
      <c r="A113" s="120" t="s">
        <v>681</v>
      </c>
      <c r="B113" s="132">
        <v>67474467.638090998</v>
      </c>
      <c r="C113" s="132">
        <v>-486490.296964815</v>
      </c>
      <c r="D113" s="132">
        <v>-1723353.6324412599</v>
      </c>
      <c r="E113" s="132">
        <v>3802827.95416403</v>
      </c>
      <c r="F113" s="130">
        <v>117</v>
      </c>
      <c r="G113" s="132">
        <v>813214.12822445401</v>
      </c>
      <c r="H113" s="136">
        <v>5</v>
      </c>
      <c r="I113" s="136">
        <v>-0.81284678686498402</v>
      </c>
      <c r="J113" s="137">
        <v>0</v>
      </c>
    </row>
    <row r="114" spans="1:10" x14ac:dyDescent="0.3">
      <c r="A114" s="120" t="s">
        <v>682</v>
      </c>
      <c r="B114" s="132">
        <v>86989241.509882301</v>
      </c>
      <c r="C114" s="132">
        <v>10466057.098034799</v>
      </c>
      <c r="D114" s="132">
        <v>5389993.0302281696</v>
      </c>
      <c r="E114" s="132">
        <v>0</v>
      </c>
      <c r="F114" s="130">
        <v>0</v>
      </c>
      <c r="G114" s="132">
        <v>813214.12822445401</v>
      </c>
      <c r="H114" s="136">
        <v>5</v>
      </c>
      <c r="I114" s="136">
        <v>1.03789887333644</v>
      </c>
      <c r="J114" s="137">
        <v>0</v>
      </c>
    </row>
    <row r="115" spans="1:10" x14ac:dyDescent="0.3">
      <c r="A115" s="120" t="s">
        <v>2010</v>
      </c>
      <c r="B115" s="132">
        <v>81222447.721645504</v>
      </c>
      <c r="C115" s="132">
        <v>6989921.7587111099</v>
      </c>
      <c r="D115" s="132">
        <v>3636649.0178840701</v>
      </c>
      <c r="E115" s="132">
        <v>1361877.60824064</v>
      </c>
      <c r="F115" s="130">
        <v>34</v>
      </c>
      <c r="G115" s="132">
        <v>508038.97781624401</v>
      </c>
      <c r="H115" s="136">
        <v>3</v>
      </c>
      <c r="I115" s="136">
        <v>0.24526563623529499</v>
      </c>
      <c r="J115" s="137">
        <v>0</v>
      </c>
    </row>
    <row r="116" spans="1:10" x14ac:dyDescent="0.3">
      <c r="A116" s="120" t="s">
        <v>2011</v>
      </c>
      <c r="B116" s="132">
        <v>81222447.721645504</v>
      </c>
      <c r="C116" s="132">
        <v>6989921.7587111099</v>
      </c>
      <c r="D116" s="132">
        <v>3696157.5156033901</v>
      </c>
      <c r="E116" s="132">
        <v>16353.470730291499</v>
      </c>
      <c r="F116" s="130">
        <v>2</v>
      </c>
      <c r="G116" s="132">
        <v>1134634.72201505</v>
      </c>
      <c r="H116" s="136">
        <v>7</v>
      </c>
      <c r="I116" s="136">
        <v>0.52581705868841999</v>
      </c>
      <c r="J116" s="137">
        <v>0</v>
      </c>
    </row>
    <row r="117" spans="1:10" x14ac:dyDescent="0.3">
      <c r="A117" s="120" t="s">
        <v>2012</v>
      </c>
      <c r="B117" s="132">
        <v>81222447.721645504</v>
      </c>
      <c r="C117" s="132">
        <v>6989921.7587111099</v>
      </c>
      <c r="D117" s="132">
        <v>3645605.6055811802</v>
      </c>
      <c r="E117" s="132">
        <v>0</v>
      </c>
      <c r="F117" s="130">
        <v>0</v>
      </c>
      <c r="G117" s="132">
        <v>1355680.71525406</v>
      </c>
      <c r="H117" s="136">
        <v>8</v>
      </c>
      <c r="I117" s="136">
        <v>0.55218450417030696</v>
      </c>
      <c r="J117" s="137">
        <v>0</v>
      </c>
    </row>
    <row r="118" spans="1:10" x14ac:dyDescent="0.3">
      <c r="A118" s="120" t="s">
        <v>2013</v>
      </c>
      <c r="B118" s="132">
        <v>81222447.721645504</v>
      </c>
      <c r="C118" s="132">
        <v>6989921.7587111099</v>
      </c>
      <c r="D118" s="132">
        <v>3760140.7870967202</v>
      </c>
      <c r="E118" s="132">
        <v>0</v>
      </c>
      <c r="F118" s="130">
        <v>0</v>
      </c>
      <c r="G118" s="132">
        <v>642648.24364082201</v>
      </c>
      <c r="H118" s="136">
        <v>4</v>
      </c>
      <c r="I118" s="136">
        <v>1.5579234418332899</v>
      </c>
      <c r="J118" s="137">
        <v>0</v>
      </c>
    </row>
    <row r="119" spans="1:10" x14ac:dyDescent="0.3">
      <c r="A119" s="120" t="s">
        <v>2014</v>
      </c>
      <c r="B119" s="132">
        <v>81222447.721645504</v>
      </c>
      <c r="C119" s="132">
        <v>6989921.7587111099</v>
      </c>
      <c r="D119" s="132">
        <v>3654335.6305482402</v>
      </c>
      <c r="E119" s="132">
        <v>97745.054216604898</v>
      </c>
      <c r="F119" s="130">
        <v>7</v>
      </c>
      <c r="G119" s="132">
        <v>946753.91335805401</v>
      </c>
      <c r="H119" s="136">
        <v>5</v>
      </c>
      <c r="I119" s="136">
        <v>0.34346307377829299</v>
      </c>
      <c r="J119" s="137">
        <v>0</v>
      </c>
    </row>
    <row r="120" spans="1:10" x14ac:dyDescent="0.3">
      <c r="A120" s="120" t="s">
        <v>2015</v>
      </c>
      <c r="B120" s="132">
        <v>81222447.721645504</v>
      </c>
      <c r="C120" s="132">
        <v>6989921.7587111099</v>
      </c>
      <c r="D120" s="132">
        <v>3691088.18407642</v>
      </c>
      <c r="E120" s="132">
        <v>234637.02518086601</v>
      </c>
      <c r="F120" s="130">
        <v>4</v>
      </c>
      <c r="G120" s="132">
        <v>843458.98394251696</v>
      </c>
      <c r="H120" s="136">
        <v>5</v>
      </c>
      <c r="I120" s="136">
        <v>0.39986394469506098</v>
      </c>
      <c r="J120" s="137">
        <v>0</v>
      </c>
    </row>
    <row r="121" spans="1:10" x14ac:dyDescent="0.3">
      <c r="A121" s="120" t="s">
        <v>2016</v>
      </c>
      <c r="B121" s="132">
        <v>81222447.721645504</v>
      </c>
      <c r="C121" s="132">
        <v>6989921.7587111099</v>
      </c>
      <c r="D121" s="132">
        <v>3698759.7902174802</v>
      </c>
      <c r="E121" s="132">
        <v>0</v>
      </c>
      <c r="F121" s="130">
        <v>0</v>
      </c>
      <c r="G121" s="132">
        <v>833791.88922366698</v>
      </c>
      <c r="H121" s="136">
        <v>5</v>
      </c>
      <c r="I121" s="136">
        <v>0.39986394469506098</v>
      </c>
      <c r="J121" s="137">
        <v>0</v>
      </c>
    </row>
    <row r="122" spans="1:10" x14ac:dyDescent="0.3">
      <c r="A122" s="120" t="s">
        <v>2017</v>
      </c>
      <c r="B122" s="132">
        <v>81222447.721645504</v>
      </c>
      <c r="C122" s="132">
        <v>6989921.7587111099</v>
      </c>
      <c r="D122" s="132">
        <v>3711577.0078591802</v>
      </c>
      <c r="E122" s="132">
        <v>0</v>
      </c>
      <c r="F122" s="130">
        <v>0</v>
      </c>
      <c r="G122" s="132">
        <v>734933.63613307499</v>
      </c>
      <c r="H122" s="136">
        <v>4.0833333333333304</v>
      </c>
      <c r="I122" s="136">
        <v>1.3782328326334501</v>
      </c>
      <c r="J122" s="137">
        <v>0</v>
      </c>
    </row>
    <row r="123" spans="1:10" x14ac:dyDescent="0.3">
      <c r="A123" s="120" t="s">
        <v>2018</v>
      </c>
      <c r="B123" s="132">
        <v>81222447.721645504</v>
      </c>
      <c r="C123" s="132">
        <v>6989921.7587111099</v>
      </c>
      <c r="D123" s="132">
        <v>3645095.8797760699</v>
      </c>
      <c r="E123" s="132">
        <v>2191678.8130665999</v>
      </c>
      <c r="F123" s="130">
        <v>22</v>
      </c>
      <c r="G123" s="132">
        <v>458820.33317927999</v>
      </c>
      <c r="H123" s="136">
        <v>2.0833333333333299</v>
      </c>
      <c r="I123" s="136">
        <v>1.3782328326334501</v>
      </c>
      <c r="J123" s="137">
        <v>0</v>
      </c>
    </row>
    <row r="124" spans="1:10" x14ac:dyDescent="0.3">
      <c r="A124" s="120" t="s">
        <v>2019</v>
      </c>
      <c r="B124" s="132">
        <v>81222447.721645504</v>
      </c>
      <c r="C124" s="132">
        <v>6989921.7587111099</v>
      </c>
      <c r="D124" s="132">
        <v>3739865.09991623</v>
      </c>
      <c r="E124" s="132">
        <v>0</v>
      </c>
      <c r="F124" s="130">
        <v>0</v>
      </c>
      <c r="G124" s="132">
        <v>726417.32774449897</v>
      </c>
      <c r="H124" s="136">
        <v>5</v>
      </c>
      <c r="I124" s="136">
        <v>0.84412965522352101</v>
      </c>
      <c r="J124" s="137">
        <v>0</v>
      </c>
    </row>
    <row r="125" spans="1:10" x14ac:dyDescent="0.3">
      <c r="A125" s="120" t="s">
        <v>2020</v>
      </c>
      <c r="B125" s="132">
        <v>81222447.721645504</v>
      </c>
      <c r="C125" s="132">
        <v>6989921.7587111099</v>
      </c>
      <c r="D125" s="132">
        <v>3806552.07227545</v>
      </c>
      <c r="E125" s="132">
        <v>0</v>
      </c>
      <c r="F125" s="130">
        <v>0</v>
      </c>
      <c r="G125" s="132">
        <v>554410.42420856201</v>
      </c>
      <c r="H125" s="136">
        <v>3.9166666666666701</v>
      </c>
      <c r="I125" s="136">
        <v>1.78564979005631</v>
      </c>
      <c r="J125" s="137">
        <v>0</v>
      </c>
    </row>
    <row r="126" spans="1:10" x14ac:dyDescent="0.3">
      <c r="A126" s="120" t="s">
        <v>2021</v>
      </c>
      <c r="B126" s="132">
        <v>81222447.721645504</v>
      </c>
      <c r="C126" s="132">
        <v>6989921.7587111099</v>
      </c>
      <c r="D126" s="132">
        <v>3646770.3634677199</v>
      </c>
      <c r="E126" s="132">
        <v>0</v>
      </c>
      <c r="F126" s="130">
        <v>0</v>
      </c>
      <c r="G126" s="132">
        <v>857501.13389498997</v>
      </c>
      <c r="H126" s="136">
        <v>4.1666666666666696</v>
      </c>
      <c r="I126" s="136">
        <v>1.2003749756417099</v>
      </c>
      <c r="J126" s="137">
        <v>0</v>
      </c>
    </row>
    <row r="127" spans="1:10" x14ac:dyDescent="0.3">
      <c r="A127" s="120" t="s">
        <v>2022</v>
      </c>
      <c r="B127" s="132">
        <v>81222447.721645504</v>
      </c>
      <c r="C127" s="132">
        <v>7989367.2698763004</v>
      </c>
      <c r="D127" s="132">
        <v>4356428.2439193502</v>
      </c>
      <c r="E127" s="132">
        <v>13960.479048733399</v>
      </c>
      <c r="F127" s="130">
        <v>2</v>
      </c>
      <c r="G127" s="132">
        <v>813214.12822445401</v>
      </c>
      <c r="H127" s="136">
        <v>5</v>
      </c>
      <c r="I127" s="136">
        <v>0.58232218531746605</v>
      </c>
      <c r="J127" s="137">
        <v>0</v>
      </c>
    </row>
    <row r="128" spans="1:10" x14ac:dyDescent="0.3">
      <c r="A128" s="120" t="s">
        <v>2023</v>
      </c>
      <c r="B128" s="132">
        <v>81222447.721645504</v>
      </c>
      <c r="C128" s="132">
        <v>5862800.9462823402</v>
      </c>
      <c r="D128" s="132">
        <v>2934836.8269948</v>
      </c>
      <c r="E128" s="132">
        <v>707017.92103963695</v>
      </c>
      <c r="F128" s="130">
        <v>35</v>
      </c>
      <c r="G128" s="132">
        <v>813214.12822445401</v>
      </c>
      <c r="H128" s="136">
        <v>5</v>
      </c>
      <c r="I128" s="136">
        <v>0.194097369021624</v>
      </c>
      <c r="J128" s="137">
        <v>0</v>
      </c>
    </row>
    <row r="129" spans="1:10" x14ac:dyDescent="0.3">
      <c r="A129" s="120" t="s">
        <v>2024</v>
      </c>
      <c r="B129" s="132">
        <v>81222447.721645504</v>
      </c>
      <c r="C129" s="132">
        <v>5490753.4919633297</v>
      </c>
      <c r="D129" s="132">
        <v>2660071.1184199699</v>
      </c>
      <c r="E129" s="132">
        <v>872927.93644108099</v>
      </c>
      <c r="F129" s="130">
        <v>39</v>
      </c>
      <c r="G129" s="132">
        <v>813214.12822445401</v>
      </c>
      <c r="H129" s="136">
        <v>5</v>
      </c>
      <c r="I129" s="136">
        <v>0.12617658376145399</v>
      </c>
      <c r="J129" s="137">
        <v>0</v>
      </c>
    </row>
    <row r="130" spans="1:10" x14ac:dyDescent="0.3">
      <c r="A130" s="120" t="s">
        <v>2025</v>
      </c>
      <c r="B130" s="132" t="s">
        <v>2026</v>
      </c>
      <c r="C130" s="132" t="s">
        <v>2026</v>
      </c>
      <c r="D130" s="132" t="s">
        <v>2026</v>
      </c>
      <c r="E130" s="132" t="s">
        <v>2026</v>
      </c>
      <c r="F130" s="130" t="s">
        <v>2026</v>
      </c>
      <c r="G130" s="132" t="s">
        <v>2026</v>
      </c>
      <c r="H130" s="136" t="s">
        <v>2026</v>
      </c>
      <c r="I130" s="136" t="s">
        <v>2026</v>
      </c>
      <c r="J130" s="137" t="s">
        <v>2026</v>
      </c>
    </row>
    <row r="131" spans="1:10" x14ac:dyDescent="0.3">
      <c r="A131" s="120" t="s">
        <v>2027</v>
      </c>
      <c r="B131" s="132">
        <v>83419512.355280802</v>
      </c>
      <c r="C131" s="132">
        <v>7641309.2173814699</v>
      </c>
      <c r="D131" s="132">
        <v>4132976.3755480298</v>
      </c>
      <c r="E131" s="132">
        <v>197575.029507378</v>
      </c>
      <c r="F131" s="130">
        <v>6</v>
      </c>
      <c r="G131" s="132">
        <v>813214.12822445401</v>
      </c>
      <c r="H131" s="136">
        <v>5</v>
      </c>
      <c r="I131" s="136">
        <v>0.53287131767147899</v>
      </c>
      <c r="J131" s="137">
        <v>0</v>
      </c>
    </row>
    <row r="132" spans="1:10" x14ac:dyDescent="0.3">
      <c r="A132" s="120" t="s">
        <v>2028</v>
      </c>
      <c r="B132" s="132">
        <v>81222447.721645504</v>
      </c>
      <c r="C132" s="132">
        <v>6951414.8337030197</v>
      </c>
      <c r="D132" s="132">
        <v>3672044.1534000402</v>
      </c>
      <c r="E132" s="132">
        <v>324969.76850138599</v>
      </c>
      <c r="F132" s="130">
        <v>12</v>
      </c>
      <c r="G132" s="132">
        <v>813214.12822445401</v>
      </c>
      <c r="H132" s="136">
        <v>5</v>
      </c>
      <c r="I132" s="136">
        <v>0.39274673520136599</v>
      </c>
      <c r="J132" s="137">
        <v>0</v>
      </c>
    </row>
    <row r="133" spans="1:10" ht="15" thickBot="1" x14ac:dyDescent="0.35">
      <c r="A133" s="122" t="s">
        <v>2029</v>
      </c>
      <c r="B133" s="129" t="s">
        <v>2030</v>
      </c>
      <c r="C133" s="129"/>
      <c r="D133" s="129"/>
      <c r="E133" s="129"/>
      <c r="F133" s="129"/>
      <c r="G133" s="129"/>
      <c r="H133" s="129"/>
      <c r="I133" s="129"/>
      <c r="J133" s="123"/>
    </row>
    <row r="134" spans="1:10" x14ac:dyDescent="0.3">
      <c r="A134" s="112"/>
      <c r="B134" s="112"/>
      <c r="C134" s="112"/>
      <c r="D134" s="112"/>
      <c r="E134" s="112"/>
      <c r="F134" s="112"/>
      <c r="G134" s="112"/>
      <c r="H134" s="112"/>
      <c r="I134" s="112"/>
      <c r="J134" s="112"/>
    </row>
    <row r="135" spans="1:10" ht="15" thickBot="1" x14ac:dyDescent="0.35">
      <c r="A135" s="115" t="s">
        <v>2031</v>
      </c>
      <c r="B135" s="115"/>
      <c r="C135" s="115"/>
      <c r="D135" s="115"/>
      <c r="E135" s="115"/>
      <c r="F135" s="115"/>
      <c r="G135" s="115"/>
      <c r="H135" s="115"/>
      <c r="I135" s="115"/>
      <c r="J135" s="115"/>
    </row>
    <row r="136" spans="1:10" x14ac:dyDescent="0.3">
      <c r="A136" s="118" t="s">
        <v>2032</v>
      </c>
      <c r="B136" s="124" t="s">
        <v>2033</v>
      </c>
      <c r="C136" s="124" t="s">
        <v>1567</v>
      </c>
      <c r="D136" s="124" t="s">
        <v>1937</v>
      </c>
      <c r="E136" s="119" t="s">
        <v>648</v>
      </c>
      <c r="F136" s="112"/>
      <c r="G136" s="112"/>
      <c r="H136" s="112"/>
      <c r="I136" s="112"/>
      <c r="J136" s="112"/>
    </row>
    <row r="137" spans="1:10" x14ac:dyDescent="0.3">
      <c r="A137" s="120" t="s">
        <v>2034</v>
      </c>
      <c r="B137" s="125" t="s">
        <v>2035</v>
      </c>
      <c r="C137" s="132">
        <v>254000</v>
      </c>
      <c r="D137" s="132">
        <v>254000</v>
      </c>
      <c r="E137" s="121" t="s">
        <v>1910</v>
      </c>
      <c r="F137" s="112"/>
      <c r="G137" s="112"/>
      <c r="H137" s="112"/>
      <c r="I137" s="112"/>
      <c r="J137" s="112"/>
    </row>
    <row r="138" spans="1:10" x14ac:dyDescent="0.3">
      <c r="A138" s="120" t="s">
        <v>2036</v>
      </c>
      <c r="B138" s="125" t="s">
        <v>2037</v>
      </c>
      <c r="C138" s="132">
        <v>254000</v>
      </c>
      <c r="D138" s="132">
        <v>254000</v>
      </c>
      <c r="E138" s="121" t="s">
        <v>1910</v>
      </c>
      <c r="F138" s="112"/>
      <c r="G138" s="112"/>
      <c r="H138" s="112"/>
      <c r="I138" s="112"/>
      <c r="J138" s="112"/>
    </row>
    <row r="139" spans="1:10" x14ac:dyDescent="0.3">
      <c r="A139" s="120" t="s">
        <v>2038</v>
      </c>
      <c r="B139" s="125" t="s">
        <v>2039</v>
      </c>
      <c r="C139" s="132">
        <v>254000</v>
      </c>
      <c r="D139" s="132">
        <v>254000</v>
      </c>
      <c r="E139" s="121" t="s">
        <v>1910</v>
      </c>
      <c r="F139" s="112"/>
      <c r="G139" s="112"/>
      <c r="H139" s="112"/>
      <c r="I139" s="112"/>
      <c r="J139" s="112"/>
    </row>
    <row r="140" spans="1:10" x14ac:dyDescent="0.3">
      <c r="A140" s="120" t="s">
        <v>2040</v>
      </c>
      <c r="B140" s="125" t="s">
        <v>2041</v>
      </c>
      <c r="C140" s="132">
        <v>254000</v>
      </c>
      <c r="D140" s="132">
        <v>254000</v>
      </c>
      <c r="E140" s="121" t="s">
        <v>1910</v>
      </c>
      <c r="F140" s="112"/>
      <c r="G140" s="112"/>
      <c r="H140" s="112"/>
      <c r="I140" s="112"/>
      <c r="J140" s="112"/>
    </row>
    <row r="141" spans="1:10" x14ac:dyDescent="0.3">
      <c r="A141" s="120" t="s">
        <v>2042</v>
      </c>
      <c r="B141" s="125" t="s">
        <v>2043</v>
      </c>
      <c r="C141" s="132">
        <v>254000</v>
      </c>
      <c r="D141" s="132">
        <v>254000</v>
      </c>
      <c r="E141" s="121" t="s">
        <v>1910</v>
      </c>
      <c r="F141" s="112"/>
      <c r="G141" s="112"/>
      <c r="H141" s="112"/>
      <c r="I141" s="112"/>
      <c r="J141" s="112"/>
    </row>
    <row r="142" spans="1:10" x14ac:dyDescent="0.3">
      <c r="A142" s="120" t="s">
        <v>2044</v>
      </c>
      <c r="B142" s="125" t="s">
        <v>2045</v>
      </c>
      <c r="C142" s="132">
        <v>254000</v>
      </c>
      <c r="D142" s="132">
        <v>254000</v>
      </c>
      <c r="E142" s="121" t="s">
        <v>1910</v>
      </c>
      <c r="F142" s="112"/>
      <c r="G142" s="112"/>
      <c r="H142" s="112"/>
      <c r="I142" s="112"/>
      <c r="J142" s="112"/>
    </row>
    <row r="143" spans="1:10" x14ac:dyDescent="0.3">
      <c r="A143" s="120" t="s">
        <v>2046</v>
      </c>
      <c r="B143" s="125" t="s">
        <v>2047</v>
      </c>
      <c r="C143" s="132">
        <v>404167</v>
      </c>
      <c r="D143" s="132">
        <v>404166.66666666698</v>
      </c>
      <c r="E143" s="121" t="s">
        <v>1910</v>
      </c>
      <c r="F143" s="112"/>
      <c r="G143" s="112"/>
      <c r="H143" s="112"/>
      <c r="I143" s="112"/>
      <c r="J143" s="112"/>
    </row>
    <row r="144" spans="1:10" x14ac:dyDescent="0.3">
      <c r="A144" s="120" t="s">
        <v>2048</v>
      </c>
      <c r="B144" s="125" t="s">
        <v>2049</v>
      </c>
      <c r="C144" s="132">
        <v>1500000</v>
      </c>
      <c r="D144" s="132">
        <v>1500000</v>
      </c>
      <c r="E144" s="121" t="s">
        <v>1910</v>
      </c>
      <c r="F144" s="112"/>
      <c r="G144" s="112"/>
      <c r="H144" s="112"/>
      <c r="I144" s="112"/>
      <c r="J144" s="112"/>
    </row>
    <row r="145" spans="1:10" x14ac:dyDescent="0.3">
      <c r="A145" s="120" t="s">
        <v>2050</v>
      </c>
      <c r="B145" s="125" t="s">
        <v>2051</v>
      </c>
      <c r="C145" s="132">
        <v>-68081</v>
      </c>
      <c r="D145" s="132">
        <v>-68081.108108107495</v>
      </c>
      <c r="E145" s="121" t="s">
        <v>1910</v>
      </c>
      <c r="F145" s="112"/>
      <c r="G145" s="112"/>
      <c r="H145" s="112"/>
      <c r="I145" s="112"/>
      <c r="J145" s="112"/>
    </row>
    <row r="146" spans="1:10" x14ac:dyDescent="0.3">
      <c r="A146" s="120" t="s">
        <v>2052</v>
      </c>
      <c r="B146" s="125" t="s">
        <v>2053</v>
      </c>
      <c r="C146" s="132">
        <v>3949000</v>
      </c>
      <c r="D146" s="132">
        <v>3949000</v>
      </c>
      <c r="E146" s="121" t="s">
        <v>1910</v>
      </c>
      <c r="F146" s="112"/>
      <c r="G146" s="112"/>
      <c r="H146" s="112"/>
      <c r="I146" s="112"/>
      <c r="J146" s="112"/>
    </row>
    <row r="147" spans="1:10" x14ac:dyDescent="0.3">
      <c r="A147" s="120" t="s">
        <v>2054</v>
      </c>
      <c r="B147" s="125" t="s">
        <v>2055</v>
      </c>
      <c r="C147" s="132">
        <v>331853</v>
      </c>
      <c r="D147" s="132">
        <v>331853.11096164701</v>
      </c>
      <c r="E147" s="121" t="s">
        <v>1910</v>
      </c>
      <c r="F147" s="112"/>
      <c r="G147" s="112"/>
      <c r="H147" s="112"/>
      <c r="I147" s="112"/>
      <c r="J147" s="112"/>
    </row>
    <row r="148" spans="1:10" x14ac:dyDescent="0.3">
      <c r="A148" s="120" t="s">
        <v>2056</v>
      </c>
      <c r="B148" s="125" t="s">
        <v>2057</v>
      </c>
      <c r="C148" s="132">
        <v>557911</v>
      </c>
      <c r="D148" s="132">
        <v>557910.56502615695</v>
      </c>
      <c r="E148" s="121" t="s">
        <v>1910</v>
      </c>
      <c r="F148" s="112"/>
      <c r="G148" s="112"/>
      <c r="H148" s="112"/>
      <c r="I148" s="112"/>
      <c r="J148" s="112"/>
    </row>
    <row r="149" spans="1:10" x14ac:dyDescent="0.3">
      <c r="A149" s="120" t="s">
        <v>2058</v>
      </c>
      <c r="B149" s="125" t="s">
        <v>2059</v>
      </c>
      <c r="C149" s="132">
        <v>30</v>
      </c>
      <c r="D149" s="132">
        <v>30</v>
      </c>
      <c r="E149" s="121" t="s">
        <v>1910</v>
      </c>
      <c r="F149" s="112"/>
      <c r="G149" s="112"/>
      <c r="H149" s="112"/>
      <c r="I149" s="112"/>
      <c r="J149" s="112"/>
    </row>
    <row r="150" spans="1:10" x14ac:dyDescent="0.3">
      <c r="A150" s="120" t="s">
        <v>2060</v>
      </c>
      <c r="B150" s="125" t="s">
        <v>2061</v>
      </c>
      <c r="C150" s="132">
        <v>6858766</v>
      </c>
      <c r="D150" s="132">
        <v>6858765.6152973399</v>
      </c>
      <c r="E150" s="121" t="s">
        <v>1910</v>
      </c>
      <c r="F150" s="112"/>
      <c r="G150" s="112"/>
      <c r="H150" s="112"/>
      <c r="I150" s="112"/>
      <c r="J150" s="112"/>
    </row>
    <row r="151" spans="1:10" x14ac:dyDescent="0.3">
      <c r="A151" s="120" t="s">
        <v>2062</v>
      </c>
      <c r="B151" s="125" t="s">
        <v>2063</v>
      </c>
      <c r="C151" s="132">
        <v>3546903</v>
      </c>
      <c r="D151" s="132">
        <v>3546902.6621819399</v>
      </c>
      <c r="E151" s="121" t="s">
        <v>1910</v>
      </c>
      <c r="F151" s="112"/>
      <c r="G151" s="112"/>
      <c r="H151" s="112"/>
      <c r="I151" s="112"/>
      <c r="J151" s="112"/>
    </row>
    <row r="152" spans="1:10" x14ac:dyDescent="0.3">
      <c r="A152" s="120" t="s">
        <v>2064</v>
      </c>
      <c r="B152" s="125" t="s">
        <v>2065</v>
      </c>
      <c r="C152" s="132">
        <v>0</v>
      </c>
      <c r="D152" s="132">
        <v>0</v>
      </c>
      <c r="E152" s="121" t="s">
        <v>1910</v>
      </c>
      <c r="F152" s="112"/>
      <c r="G152" s="112"/>
      <c r="H152" s="112"/>
      <c r="I152" s="112"/>
      <c r="J152" s="112"/>
    </row>
    <row r="153" spans="1:10" x14ac:dyDescent="0.3">
      <c r="A153" s="120" t="s">
        <v>2066</v>
      </c>
      <c r="B153" s="125" t="s">
        <v>2067</v>
      </c>
      <c r="C153" s="132" t="s">
        <v>2068</v>
      </c>
      <c r="D153" s="132" t="s">
        <v>2069</v>
      </c>
      <c r="E153" s="121" t="s">
        <v>1910</v>
      </c>
      <c r="F153" s="112"/>
      <c r="G153" s="112"/>
      <c r="H153" s="112"/>
      <c r="I153" s="112"/>
      <c r="J153" s="112"/>
    </row>
    <row r="154" spans="1:10" x14ac:dyDescent="0.3">
      <c r="A154" s="120" t="s">
        <v>2070</v>
      </c>
      <c r="B154" s="125" t="s">
        <v>2071</v>
      </c>
      <c r="C154" s="132" t="s">
        <v>1784</v>
      </c>
      <c r="D154" s="132" t="s">
        <v>2072</v>
      </c>
      <c r="E154" s="121" t="s">
        <v>1910</v>
      </c>
      <c r="F154" s="112"/>
      <c r="G154" s="112"/>
      <c r="H154" s="112"/>
      <c r="I154" s="112"/>
      <c r="J154" s="112"/>
    </row>
    <row r="155" spans="1:10" x14ac:dyDescent="0.3">
      <c r="A155" s="120" t="s">
        <v>2073</v>
      </c>
      <c r="B155" s="125" t="s">
        <v>2049</v>
      </c>
      <c r="C155" s="132" t="s">
        <v>2074</v>
      </c>
      <c r="D155" s="132">
        <v>1500000</v>
      </c>
      <c r="E155" s="121" t="s">
        <v>1910</v>
      </c>
      <c r="F155" s="112"/>
      <c r="G155" s="112"/>
      <c r="H155" s="112"/>
      <c r="I155" s="112"/>
      <c r="J155" s="112"/>
    </row>
    <row r="156" spans="1:10" x14ac:dyDescent="0.3">
      <c r="A156" s="120" t="s">
        <v>2075</v>
      </c>
      <c r="B156" s="125" t="s">
        <v>2047</v>
      </c>
      <c r="C156" s="132">
        <v>345562</v>
      </c>
      <c r="D156" s="132">
        <v>345562.5</v>
      </c>
      <c r="E156" s="121" t="s">
        <v>1910</v>
      </c>
      <c r="F156" s="112"/>
      <c r="G156" s="112"/>
      <c r="H156" s="112"/>
      <c r="I156" s="112"/>
      <c r="J156" s="112"/>
    </row>
    <row r="157" spans="1:10" x14ac:dyDescent="0.3">
      <c r="A157" s="120" t="s">
        <v>2076</v>
      </c>
      <c r="B157" s="125" t="s">
        <v>2061</v>
      </c>
      <c r="C157" s="132">
        <v>31573</v>
      </c>
      <c r="D157" s="132">
        <v>31572.837996273502</v>
      </c>
      <c r="E157" s="121" t="s">
        <v>1910</v>
      </c>
      <c r="F157" s="112"/>
      <c r="G157" s="112"/>
      <c r="H157" s="112"/>
      <c r="I157" s="112"/>
      <c r="J157" s="112"/>
    </row>
    <row r="158" spans="1:10" x14ac:dyDescent="0.3">
      <c r="A158" s="120" t="s">
        <v>2077</v>
      </c>
      <c r="B158" s="125" t="s">
        <v>2063</v>
      </c>
      <c r="C158" s="132">
        <v>-1330308</v>
      </c>
      <c r="D158" s="132">
        <v>-1330307.8634665599</v>
      </c>
      <c r="E158" s="121" t="s">
        <v>1910</v>
      </c>
      <c r="F158" s="112"/>
      <c r="G158" s="112"/>
      <c r="H158" s="112"/>
      <c r="I158" s="112"/>
      <c r="J158" s="112"/>
    </row>
    <row r="159" spans="1:10" x14ac:dyDescent="0.3">
      <c r="A159" s="120" t="s">
        <v>2078</v>
      </c>
      <c r="B159" s="125" t="s">
        <v>2057</v>
      </c>
      <c r="C159" s="132">
        <v>3286964</v>
      </c>
      <c r="D159" s="132">
        <v>3286963.7021999499</v>
      </c>
      <c r="E159" s="121" t="s">
        <v>1910</v>
      </c>
      <c r="F159" s="112"/>
      <c r="G159" s="112"/>
      <c r="H159" s="112"/>
      <c r="I159" s="112"/>
      <c r="J159" s="112"/>
    </row>
    <row r="160" spans="1:10" x14ac:dyDescent="0.3">
      <c r="A160" s="120" t="s">
        <v>2079</v>
      </c>
      <c r="B160" s="125" t="s">
        <v>2080</v>
      </c>
      <c r="C160" s="132">
        <v>767549</v>
      </c>
      <c r="D160" s="132">
        <v>767548.49899999995</v>
      </c>
      <c r="E160" s="121" t="s">
        <v>1910</v>
      </c>
      <c r="F160" s="112"/>
      <c r="G160" s="112"/>
      <c r="H160" s="112"/>
      <c r="I160" s="112"/>
      <c r="J160" s="112"/>
    </row>
    <row r="161" spans="1:10" x14ac:dyDescent="0.3">
      <c r="A161" s="120" t="s">
        <v>2081</v>
      </c>
      <c r="B161" s="125" t="s">
        <v>2065</v>
      </c>
      <c r="C161" s="132">
        <v>0</v>
      </c>
      <c r="D161" s="132">
        <v>0</v>
      </c>
      <c r="E161" s="121" t="s">
        <v>1910</v>
      </c>
      <c r="F161" s="112"/>
      <c r="G161" s="112"/>
      <c r="H161" s="112"/>
      <c r="I161" s="112"/>
      <c r="J161" s="112"/>
    </row>
    <row r="162" spans="1:10" x14ac:dyDescent="0.3">
      <c r="A162" s="120" t="s">
        <v>2082</v>
      </c>
      <c r="B162" s="125" t="s">
        <v>2083</v>
      </c>
      <c r="C162" s="132">
        <v>1100</v>
      </c>
      <c r="D162" s="132" t="s">
        <v>2084</v>
      </c>
      <c r="E162" s="121" t="s">
        <v>1910</v>
      </c>
      <c r="F162" s="112"/>
      <c r="G162" s="112"/>
      <c r="H162" s="112"/>
      <c r="I162" s="112"/>
      <c r="J162" s="112"/>
    </row>
    <row r="163" spans="1:10" x14ac:dyDescent="0.3">
      <c r="A163" s="120" t="s">
        <v>2085</v>
      </c>
      <c r="B163" s="125" t="s">
        <v>2086</v>
      </c>
      <c r="C163" s="132">
        <v>1500</v>
      </c>
      <c r="D163" s="132">
        <v>1500</v>
      </c>
      <c r="E163" s="121" t="s">
        <v>1910</v>
      </c>
      <c r="F163" s="112"/>
      <c r="G163" s="112"/>
      <c r="H163" s="112"/>
      <c r="I163" s="112"/>
      <c r="J163" s="112"/>
    </row>
    <row r="164" spans="1:10" x14ac:dyDescent="0.3">
      <c r="A164" s="120" t="s">
        <v>2087</v>
      </c>
      <c r="B164" s="125" t="s">
        <v>2088</v>
      </c>
      <c r="C164" s="132">
        <v>6500</v>
      </c>
      <c r="D164" s="132" t="s">
        <v>2089</v>
      </c>
      <c r="E164" s="121" t="s">
        <v>1910</v>
      </c>
      <c r="F164" s="112"/>
      <c r="G164" s="112"/>
      <c r="H164" s="112"/>
      <c r="I164" s="112"/>
      <c r="J164" s="112"/>
    </row>
    <row r="165" spans="1:10" x14ac:dyDescent="0.3">
      <c r="A165" s="120" t="s">
        <v>2090</v>
      </c>
      <c r="B165" s="125" t="s">
        <v>2091</v>
      </c>
      <c r="C165" s="132">
        <v>446500</v>
      </c>
      <c r="D165" s="132">
        <v>446500</v>
      </c>
      <c r="E165" s="121" t="s">
        <v>1910</v>
      </c>
      <c r="F165" s="112"/>
      <c r="G165" s="112"/>
      <c r="H165" s="112"/>
      <c r="I165" s="112"/>
      <c r="J165" s="112"/>
    </row>
    <row r="166" spans="1:10" x14ac:dyDescent="0.3">
      <c r="A166" s="120" t="s">
        <v>2092</v>
      </c>
      <c r="B166" s="125" t="s">
        <v>2093</v>
      </c>
      <c r="C166" s="132">
        <v>5358000</v>
      </c>
      <c r="D166" s="132">
        <v>5358000</v>
      </c>
      <c r="E166" s="121" t="s">
        <v>1910</v>
      </c>
      <c r="F166" s="112"/>
      <c r="G166" s="112"/>
      <c r="H166" s="112"/>
      <c r="I166" s="112"/>
      <c r="J166" s="112"/>
    </row>
    <row r="167" spans="1:10" x14ac:dyDescent="0.3">
      <c r="A167" s="120" t="s">
        <v>2094</v>
      </c>
      <c r="B167" s="125" t="s">
        <v>2095</v>
      </c>
      <c r="C167" s="132">
        <v>5411580</v>
      </c>
      <c r="D167" s="132">
        <v>5411580</v>
      </c>
      <c r="E167" s="121" t="s">
        <v>1910</v>
      </c>
      <c r="F167" s="112"/>
      <c r="G167" s="112"/>
      <c r="H167" s="112"/>
      <c r="I167" s="112"/>
      <c r="J167" s="112"/>
    </row>
    <row r="168" spans="1:10" x14ac:dyDescent="0.3">
      <c r="A168" s="120" t="s">
        <v>2096</v>
      </c>
      <c r="B168" s="125" t="s">
        <v>2097</v>
      </c>
      <c r="C168" s="132">
        <v>10769580</v>
      </c>
      <c r="D168" s="132">
        <v>10769580</v>
      </c>
      <c r="E168" s="121" t="s">
        <v>1910</v>
      </c>
      <c r="F168" s="112"/>
      <c r="G168" s="112"/>
      <c r="H168" s="112"/>
      <c r="I168" s="112"/>
      <c r="J168" s="112"/>
    </row>
    <row r="169" spans="1:10" x14ac:dyDescent="0.3">
      <c r="A169" s="120" t="s">
        <v>2098</v>
      </c>
      <c r="B169" s="125" t="s">
        <v>2099</v>
      </c>
      <c r="C169" s="132">
        <v>679293</v>
      </c>
      <c r="D169" s="132">
        <v>679293.21253127698</v>
      </c>
      <c r="E169" s="121" t="s">
        <v>1910</v>
      </c>
      <c r="F169" s="112"/>
      <c r="G169" s="112"/>
      <c r="H169" s="112"/>
      <c r="I169" s="112"/>
      <c r="J169" s="112"/>
    </row>
    <row r="170" spans="1:10" x14ac:dyDescent="0.3">
      <c r="A170" s="120" t="s">
        <v>2100</v>
      </c>
      <c r="B170" s="125" t="s">
        <v>2101</v>
      </c>
      <c r="C170" s="132" t="s">
        <v>2102</v>
      </c>
      <c r="D170" s="132" t="s">
        <v>2103</v>
      </c>
      <c r="E170" s="121" t="s">
        <v>1910</v>
      </c>
      <c r="F170" s="112"/>
      <c r="G170" s="112"/>
      <c r="H170" s="112"/>
      <c r="I170" s="112"/>
      <c r="J170" s="112"/>
    </row>
    <row r="171" spans="1:10" x14ac:dyDescent="0.3">
      <c r="A171" s="120" t="s">
        <v>2104</v>
      </c>
      <c r="B171" s="125" t="s">
        <v>2105</v>
      </c>
      <c r="C171" s="132" t="s">
        <v>2106</v>
      </c>
      <c r="D171" s="132" t="s">
        <v>2106</v>
      </c>
      <c r="E171" s="121" t="s">
        <v>1910</v>
      </c>
      <c r="F171" s="112"/>
      <c r="G171" s="112"/>
      <c r="H171" s="112"/>
      <c r="I171" s="112"/>
      <c r="J171" s="112"/>
    </row>
    <row r="172" spans="1:10" x14ac:dyDescent="0.3">
      <c r="A172" s="120" t="s">
        <v>2107</v>
      </c>
      <c r="B172" s="125" t="s">
        <v>2105</v>
      </c>
      <c r="C172" s="132" t="s">
        <v>2108</v>
      </c>
      <c r="D172" s="132" t="s">
        <v>2108</v>
      </c>
      <c r="E172" s="121" t="s">
        <v>1910</v>
      </c>
      <c r="F172" s="112"/>
      <c r="G172" s="112"/>
      <c r="H172" s="112"/>
      <c r="I172" s="112"/>
      <c r="J172" s="112"/>
    </row>
    <row r="173" spans="1:10" x14ac:dyDescent="0.3">
      <c r="A173" s="120" t="s">
        <v>2109</v>
      </c>
      <c r="B173" s="125" t="s">
        <v>2110</v>
      </c>
      <c r="C173" s="132">
        <v>280000</v>
      </c>
      <c r="D173" s="132">
        <v>280000</v>
      </c>
      <c r="E173" s="121" t="s">
        <v>1910</v>
      </c>
      <c r="F173" s="112"/>
      <c r="G173" s="112"/>
      <c r="H173" s="112"/>
      <c r="I173" s="112"/>
      <c r="J173" s="112"/>
    </row>
    <row r="174" spans="1:10" x14ac:dyDescent="0.3">
      <c r="A174" s="120" t="s">
        <v>2111</v>
      </c>
      <c r="B174" s="125" t="s">
        <v>2112</v>
      </c>
      <c r="C174" s="132">
        <v>280000</v>
      </c>
      <c r="D174" s="132">
        <v>280000</v>
      </c>
      <c r="E174" s="121" t="s">
        <v>1910</v>
      </c>
      <c r="F174" s="112"/>
      <c r="G174" s="112"/>
      <c r="H174" s="112"/>
      <c r="I174" s="112"/>
      <c r="J174" s="112"/>
    </row>
    <row r="175" spans="1:10" x14ac:dyDescent="0.3">
      <c r="A175" s="120" t="s">
        <v>2113</v>
      </c>
      <c r="B175" s="125" t="s">
        <v>2114</v>
      </c>
      <c r="C175" s="132">
        <v>340875</v>
      </c>
      <c r="D175" s="132">
        <v>340875</v>
      </c>
      <c r="E175" s="121" t="s">
        <v>1910</v>
      </c>
      <c r="F175" s="112"/>
      <c r="G175" s="112"/>
      <c r="H175" s="112"/>
      <c r="I175" s="112"/>
      <c r="J175" s="112"/>
    </row>
    <row r="176" spans="1:10" x14ac:dyDescent="0.3">
      <c r="A176" s="120" t="s">
        <v>2115</v>
      </c>
      <c r="B176" s="125" t="s">
        <v>2093</v>
      </c>
      <c r="C176" s="132">
        <v>4970000</v>
      </c>
      <c r="D176" s="132">
        <v>4970000</v>
      </c>
      <c r="E176" s="121" t="s">
        <v>1910</v>
      </c>
      <c r="F176" s="112"/>
      <c r="G176" s="112"/>
      <c r="H176" s="112"/>
      <c r="I176" s="112"/>
      <c r="J176" s="112"/>
    </row>
    <row r="177" spans="1:10" x14ac:dyDescent="0.3">
      <c r="A177" s="120" t="s">
        <v>2116</v>
      </c>
      <c r="B177" s="125" t="s">
        <v>2117</v>
      </c>
      <c r="C177" s="132" t="s">
        <v>2118</v>
      </c>
      <c r="D177" s="132">
        <v>133225</v>
      </c>
      <c r="E177" s="121" t="s">
        <v>1910</v>
      </c>
      <c r="F177" s="112"/>
      <c r="G177" s="112"/>
      <c r="H177" s="112"/>
      <c r="I177" s="112"/>
      <c r="J177" s="112"/>
    </row>
    <row r="178" spans="1:10" x14ac:dyDescent="0.3">
      <c r="A178" s="120" t="s">
        <v>2119</v>
      </c>
      <c r="B178" s="125" t="s">
        <v>2120</v>
      </c>
      <c r="C178" s="132" t="s">
        <v>2121</v>
      </c>
      <c r="D178" s="132">
        <v>168630.75</v>
      </c>
      <c r="E178" s="121" t="s">
        <v>1910</v>
      </c>
      <c r="F178" s="112"/>
      <c r="G178" s="112"/>
      <c r="H178" s="112"/>
      <c r="I178" s="112"/>
      <c r="J178" s="112"/>
    </row>
    <row r="179" spans="1:10" x14ac:dyDescent="0.3">
      <c r="A179" s="120" t="s">
        <v>2122</v>
      </c>
      <c r="B179" s="125" t="s">
        <v>2123</v>
      </c>
      <c r="C179" s="132" t="s">
        <v>2124</v>
      </c>
      <c r="D179" s="132">
        <v>195757.19</v>
      </c>
      <c r="E179" s="121" t="s">
        <v>1910</v>
      </c>
      <c r="F179" s="112"/>
      <c r="G179" s="112"/>
      <c r="H179" s="112"/>
      <c r="I179" s="112"/>
      <c r="J179" s="112"/>
    </row>
    <row r="180" spans="1:10" x14ac:dyDescent="0.3">
      <c r="A180" s="120" t="s">
        <v>2125</v>
      </c>
      <c r="B180" s="125" t="s">
        <v>2099</v>
      </c>
      <c r="C180" s="132">
        <v>413656</v>
      </c>
      <c r="D180" s="132">
        <v>413655.60570707702</v>
      </c>
      <c r="E180" s="121" t="s">
        <v>1910</v>
      </c>
      <c r="F180" s="112"/>
      <c r="G180" s="112"/>
      <c r="H180" s="112"/>
      <c r="I180" s="112"/>
      <c r="J180" s="112"/>
    </row>
    <row r="181" spans="1:10" x14ac:dyDescent="0.3">
      <c r="A181" s="120" t="s">
        <v>2126</v>
      </c>
      <c r="B181" s="125" t="s">
        <v>2127</v>
      </c>
      <c r="C181" s="132" t="s">
        <v>2128</v>
      </c>
      <c r="D181" s="132">
        <v>45</v>
      </c>
      <c r="E181" s="121" t="s">
        <v>1910</v>
      </c>
      <c r="F181" s="112"/>
      <c r="G181" s="112"/>
      <c r="H181" s="112"/>
      <c r="I181" s="112"/>
      <c r="J181" s="112"/>
    </row>
    <row r="182" spans="1:10" x14ac:dyDescent="0.3">
      <c r="A182" s="120" t="s">
        <v>2129</v>
      </c>
      <c r="B182" s="125" t="s">
        <v>2130</v>
      </c>
      <c r="C182" s="132" t="s">
        <v>2131</v>
      </c>
      <c r="D182" s="132">
        <v>34999.771545068499</v>
      </c>
      <c r="E182" s="121" t="s">
        <v>1910</v>
      </c>
      <c r="F182" s="112"/>
      <c r="G182" s="112"/>
      <c r="H182" s="112"/>
      <c r="I182" s="112"/>
      <c r="J182" s="112"/>
    </row>
    <row r="183" spans="1:10" x14ac:dyDescent="0.3">
      <c r="A183" s="120" t="s">
        <v>2132</v>
      </c>
      <c r="B183" s="125" t="s">
        <v>2099</v>
      </c>
      <c r="C183" s="132">
        <v>479713</v>
      </c>
      <c r="D183" s="132">
        <v>479713.35851872602</v>
      </c>
      <c r="E183" s="121" t="s">
        <v>1910</v>
      </c>
      <c r="F183" s="112"/>
      <c r="G183" s="112"/>
      <c r="H183" s="112"/>
      <c r="I183" s="112"/>
      <c r="J183" s="112"/>
    </row>
    <row r="184" spans="1:10" x14ac:dyDescent="0.3">
      <c r="A184" s="120" t="s">
        <v>2133</v>
      </c>
      <c r="B184" s="125" t="s">
        <v>2134</v>
      </c>
      <c r="C184" s="132" t="s">
        <v>2135</v>
      </c>
      <c r="D184" s="132">
        <v>5215.3960273972598</v>
      </c>
      <c r="E184" s="121" t="s">
        <v>1910</v>
      </c>
      <c r="F184" s="112"/>
      <c r="G184" s="112"/>
      <c r="H184" s="112"/>
      <c r="I184" s="112"/>
      <c r="J184" s="112"/>
    </row>
    <row r="185" spans="1:10" x14ac:dyDescent="0.3">
      <c r="A185" s="120" t="s">
        <v>2136</v>
      </c>
      <c r="B185" s="125" t="s">
        <v>2099</v>
      </c>
      <c r="C185" s="132">
        <v>499614</v>
      </c>
      <c r="D185" s="132">
        <v>499613.84132351499</v>
      </c>
      <c r="E185" s="121" t="s">
        <v>1910</v>
      </c>
      <c r="F185" s="112"/>
      <c r="G185" s="112"/>
      <c r="H185" s="112"/>
      <c r="I185" s="112"/>
      <c r="J185" s="112"/>
    </row>
    <row r="186" spans="1:10" x14ac:dyDescent="0.3">
      <c r="A186" s="120" t="s">
        <v>2137</v>
      </c>
      <c r="B186" s="125" t="s">
        <v>2138</v>
      </c>
      <c r="C186" s="132">
        <v>8000</v>
      </c>
      <c r="D186" s="132" t="s">
        <v>2139</v>
      </c>
      <c r="E186" s="121" t="s">
        <v>1910</v>
      </c>
      <c r="F186" s="112"/>
      <c r="G186" s="112"/>
      <c r="H186" s="112"/>
      <c r="I186" s="112"/>
      <c r="J186" s="112"/>
    </row>
    <row r="187" spans="1:10" x14ac:dyDescent="0.3">
      <c r="A187" s="120" t="s">
        <v>2140</v>
      </c>
      <c r="B187" s="125" t="s">
        <v>2141</v>
      </c>
      <c r="C187" s="132">
        <v>7300</v>
      </c>
      <c r="D187" s="132">
        <v>7300</v>
      </c>
      <c r="E187" s="121" t="s">
        <v>1910</v>
      </c>
      <c r="F187" s="112"/>
      <c r="G187" s="112"/>
      <c r="H187" s="112"/>
      <c r="I187" s="112"/>
      <c r="J187" s="112"/>
    </row>
    <row r="188" spans="1:10" x14ac:dyDescent="0.3">
      <c r="A188" s="120" t="s">
        <v>2142</v>
      </c>
      <c r="B188" s="125" t="s">
        <v>2143</v>
      </c>
      <c r="C188" s="132">
        <v>8175.99</v>
      </c>
      <c r="D188" s="132">
        <v>8175.9887935124998</v>
      </c>
      <c r="E188" s="121" t="s">
        <v>1910</v>
      </c>
      <c r="F188" s="112"/>
      <c r="G188" s="112"/>
      <c r="H188" s="112"/>
      <c r="I188" s="112"/>
      <c r="J188" s="112"/>
    </row>
    <row r="189" spans="1:10" x14ac:dyDescent="0.3">
      <c r="A189" s="120" t="s">
        <v>2144</v>
      </c>
      <c r="B189" s="125" t="s">
        <v>2145</v>
      </c>
      <c r="C189" s="132" t="s">
        <v>1784</v>
      </c>
      <c r="D189" s="132" t="s">
        <v>2146</v>
      </c>
      <c r="E189" s="121" t="s">
        <v>1910</v>
      </c>
      <c r="F189" s="112"/>
      <c r="G189" s="112"/>
      <c r="H189" s="112"/>
      <c r="I189" s="112"/>
      <c r="J189" s="112"/>
    </row>
    <row r="190" spans="1:10" x14ac:dyDescent="0.3">
      <c r="A190" s="120" t="s">
        <v>2147</v>
      </c>
      <c r="B190" s="125" t="s">
        <v>2099</v>
      </c>
      <c r="C190" s="132">
        <v>584427</v>
      </c>
      <c r="D190" s="132">
        <v>584427.33730388305</v>
      </c>
      <c r="E190" s="121" t="s">
        <v>1910</v>
      </c>
      <c r="F190" s="112"/>
      <c r="G190" s="112"/>
      <c r="H190" s="112"/>
      <c r="I190" s="112"/>
      <c r="J190" s="112"/>
    </row>
    <row r="191" spans="1:10" x14ac:dyDescent="0.3">
      <c r="A191" s="120" t="s">
        <v>2148</v>
      </c>
      <c r="B191" s="125" t="s">
        <v>2149</v>
      </c>
      <c r="C191" s="132">
        <v>0</v>
      </c>
      <c r="D191" s="132" t="s">
        <v>2150</v>
      </c>
      <c r="E191" s="121" t="s">
        <v>1910</v>
      </c>
      <c r="F191" s="112"/>
      <c r="G191" s="112"/>
      <c r="H191" s="112"/>
      <c r="I191" s="112"/>
      <c r="J191" s="112"/>
    </row>
    <row r="192" spans="1:10" x14ac:dyDescent="0.3">
      <c r="A192" s="120" t="s">
        <v>2151</v>
      </c>
      <c r="B192" s="125" t="s">
        <v>2152</v>
      </c>
      <c r="C192" s="132">
        <v>990</v>
      </c>
      <c r="D192" s="132" t="s">
        <v>2153</v>
      </c>
      <c r="E192" s="121" t="s">
        <v>1910</v>
      </c>
      <c r="F192" s="112"/>
      <c r="G192" s="112"/>
      <c r="H192" s="112"/>
      <c r="I192" s="112"/>
      <c r="J192" s="112"/>
    </row>
    <row r="193" spans="1:10" x14ac:dyDescent="0.3">
      <c r="A193" s="120" t="s">
        <v>2154</v>
      </c>
      <c r="B193" s="125" t="s">
        <v>2086</v>
      </c>
      <c r="C193" s="132">
        <v>1125</v>
      </c>
      <c r="D193" s="132">
        <v>1125</v>
      </c>
      <c r="E193" s="121" t="s">
        <v>1910</v>
      </c>
      <c r="F193" s="112"/>
      <c r="G193" s="112"/>
      <c r="H193" s="112"/>
      <c r="I193" s="112"/>
      <c r="J193" s="112"/>
    </row>
    <row r="194" spans="1:10" x14ac:dyDescent="0.3">
      <c r="A194" s="120" t="s">
        <v>2155</v>
      </c>
      <c r="B194" s="125" t="s">
        <v>2065</v>
      </c>
      <c r="C194" s="132">
        <v>0</v>
      </c>
      <c r="D194" s="132">
        <v>0</v>
      </c>
      <c r="E194" s="121" t="s">
        <v>1910</v>
      </c>
      <c r="F194" s="112"/>
      <c r="G194" s="112"/>
      <c r="H194" s="112"/>
      <c r="I194" s="112"/>
      <c r="J194" s="112"/>
    </row>
    <row r="195" spans="1:10" x14ac:dyDescent="0.3">
      <c r="A195" s="120" t="s">
        <v>2156</v>
      </c>
      <c r="B195" s="125" t="s">
        <v>2157</v>
      </c>
      <c r="C195" s="132">
        <v>1100</v>
      </c>
      <c r="D195" s="132" t="s">
        <v>2158</v>
      </c>
      <c r="E195" s="121" t="s">
        <v>1910</v>
      </c>
      <c r="F195" s="112"/>
      <c r="G195" s="112"/>
      <c r="H195" s="112"/>
      <c r="I195" s="112"/>
      <c r="J195" s="112"/>
    </row>
    <row r="196" spans="1:10" x14ac:dyDescent="0.3">
      <c r="A196" s="120" t="s">
        <v>2159</v>
      </c>
      <c r="B196" s="125" t="s">
        <v>2160</v>
      </c>
      <c r="C196" s="132">
        <v>1250</v>
      </c>
      <c r="D196" s="132" t="s">
        <v>2161</v>
      </c>
      <c r="E196" s="121" t="s">
        <v>1910</v>
      </c>
      <c r="F196" s="112"/>
      <c r="G196" s="112"/>
      <c r="H196" s="112"/>
      <c r="I196" s="112"/>
      <c r="J196" s="112"/>
    </row>
    <row r="197" spans="1:10" x14ac:dyDescent="0.3">
      <c r="A197" s="120" t="s">
        <v>2162</v>
      </c>
      <c r="B197" s="125" t="s">
        <v>2065</v>
      </c>
      <c r="C197" s="132">
        <v>0</v>
      </c>
      <c r="D197" s="132">
        <v>0</v>
      </c>
      <c r="E197" s="121" t="s">
        <v>1910</v>
      </c>
      <c r="F197" s="112"/>
      <c r="G197" s="112"/>
      <c r="H197" s="112"/>
      <c r="I197" s="112"/>
      <c r="J197" s="112"/>
    </row>
    <row r="198" spans="1:10" x14ac:dyDescent="0.3">
      <c r="A198" s="120" t="s">
        <v>2163</v>
      </c>
      <c r="B198" s="125" t="s">
        <v>2164</v>
      </c>
      <c r="C198" s="132" t="s">
        <v>2165</v>
      </c>
      <c r="D198" s="132" t="s">
        <v>2166</v>
      </c>
      <c r="E198" s="121" t="s">
        <v>1910</v>
      </c>
      <c r="F198" s="112"/>
      <c r="G198" s="112"/>
      <c r="H198" s="112"/>
      <c r="I198" s="112"/>
      <c r="J198" s="112"/>
    </row>
    <row r="199" spans="1:10" x14ac:dyDescent="0.3">
      <c r="A199" s="120" t="s">
        <v>2167</v>
      </c>
      <c r="B199" s="125" t="s">
        <v>2168</v>
      </c>
      <c r="C199" s="132" t="s">
        <v>2169</v>
      </c>
      <c r="D199" s="132" t="s">
        <v>2084</v>
      </c>
      <c r="E199" s="121" t="s">
        <v>1910</v>
      </c>
      <c r="F199" s="112"/>
      <c r="G199" s="112"/>
      <c r="H199" s="112"/>
      <c r="I199" s="112"/>
      <c r="J199" s="112"/>
    </row>
    <row r="200" spans="1:10" x14ac:dyDescent="0.3">
      <c r="A200" s="120" t="s">
        <v>2170</v>
      </c>
      <c r="B200" s="125" t="s">
        <v>2171</v>
      </c>
      <c r="C200" s="132" t="s">
        <v>2172</v>
      </c>
      <c r="D200" s="132" t="s">
        <v>2173</v>
      </c>
      <c r="E200" s="121" t="s">
        <v>1910</v>
      </c>
      <c r="F200" s="112"/>
      <c r="G200" s="112"/>
      <c r="H200" s="112"/>
      <c r="I200" s="112"/>
      <c r="J200" s="112"/>
    </row>
    <row r="201" spans="1:10" x14ac:dyDescent="0.3">
      <c r="A201" s="120" t="s">
        <v>2174</v>
      </c>
      <c r="B201" s="125" t="s">
        <v>2175</v>
      </c>
      <c r="C201" s="132">
        <v>7</v>
      </c>
      <c r="D201" s="132">
        <v>7</v>
      </c>
      <c r="E201" s="121" t="s">
        <v>1910</v>
      </c>
      <c r="F201" s="112"/>
      <c r="G201" s="112"/>
      <c r="H201" s="112"/>
      <c r="I201" s="112"/>
      <c r="J201" s="112"/>
    </row>
    <row r="202" spans="1:10" x14ac:dyDescent="0.3">
      <c r="A202" s="120" t="s">
        <v>2176</v>
      </c>
      <c r="B202" s="125" t="s">
        <v>2091</v>
      </c>
      <c r="C202" s="132">
        <v>431166.67</v>
      </c>
      <c r="D202" s="132">
        <v>431166.66666666698</v>
      </c>
      <c r="E202" s="121" t="s">
        <v>1910</v>
      </c>
      <c r="F202" s="112"/>
      <c r="G202" s="112"/>
      <c r="H202" s="112"/>
      <c r="I202" s="112"/>
      <c r="J202" s="112"/>
    </row>
    <row r="203" spans="1:10" x14ac:dyDescent="0.3">
      <c r="A203" s="120" t="s">
        <v>2177</v>
      </c>
      <c r="B203" s="125" t="s">
        <v>2093</v>
      </c>
      <c r="C203" s="132">
        <v>5432170</v>
      </c>
      <c r="D203" s="132">
        <v>5432170</v>
      </c>
      <c r="E203" s="121" t="s">
        <v>1910</v>
      </c>
      <c r="F203" s="112"/>
      <c r="G203" s="112"/>
      <c r="H203" s="112"/>
      <c r="I203" s="112"/>
      <c r="J203" s="112"/>
    </row>
    <row r="204" spans="1:10" x14ac:dyDescent="0.3">
      <c r="A204" s="120" t="s">
        <v>2178</v>
      </c>
      <c r="B204" s="125" t="s">
        <v>2095</v>
      </c>
      <c r="C204" s="132">
        <v>5953414.7000000002</v>
      </c>
      <c r="D204" s="132">
        <v>5953414.7000000002</v>
      </c>
      <c r="E204" s="121" t="s">
        <v>1910</v>
      </c>
      <c r="F204" s="112"/>
      <c r="G204" s="112"/>
      <c r="H204" s="112"/>
      <c r="I204" s="112"/>
      <c r="J204" s="112"/>
    </row>
    <row r="205" spans="1:10" x14ac:dyDescent="0.3">
      <c r="A205" s="120" t="s">
        <v>2179</v>
      </c>
      <c r="B205" s="125" t="s">
        <v>2097</v>
      </c>
      <c r="C205" s="132">
        <v>11385584.699999999</v>
      </c>
      <c r="D205" s="132">
        <v>11385584.699999999</v>
      </c>
      <c r="E205" s="121" t="s">
        <v>1910</v>
      </c>
      <c r="F205" s="112"/>
      <c r="G205" s="112"/>
      <c r="H205" s="112"/>
      <c r="I205" s="112"/>
      <c r="J205" s="112"/>
    </row>
    <row r="206" spans="1:10" x14ac:dyDescent="0.3">
      <c r="A206" s="120" t="s">
        <v>2180</v>
      </c>
      <c r="B206" s="125" t="s">
        <v>2065</v>
      </c>
      <c r="C206" s="132">
        <v>0</v>
      </c>
      <c r="D206" s="132">
        <v>0</v>
      </c>
      <c r="E206" s="121" t="s">
        <v>1910</v>
      </c>
      <c r="F206" s="112"/>
      <c r="G206" s="112"/>
      <c r="H206" s="112"/>
      <c r="I206" s="112"/>
      <c r="J206" s="112"/>
    </row>
    <row r="207" spans="1:10" ht="15" thickBot="1" x14ac:dyDescent="0.35">
      <c r="A207" s="122" t="s">
        <v>2181</v>
      </c>
      <c r="B207" s="129" t="s">
        <v>2061</v>
      </c>
      <c r="C207" s="134">
        <v>6989922</v>
      </c>
      <c r="D207" s="134">
        <v>6989921.7587111099</v>
      </c>
      <c r="E207" s="123" t="s">
        <v>1910</v>
      </c>
      <c r="F207" s="112"/>
      <c r="G207" s="112"/>
      <c r="H207" s="112"/>
      <c r="I207" s="112"/>
      <c r="J207" s="112"/>
    </row>
    <row r="208" spans="1:10" x14ac:dyDescent="0.3">
      <c r="A208" s="112"/>
      <c r="B208" s="112"/>
      <c r="C208" s="112"/>
      <c r="D208" s="112"/>
      <c r="E208" s="112"/>
      <c r="F208" s="112"/>
      <c r="G208" s="112"/>
      <c r="H208" s="112"/>
      <c r="I208" s="112"/>
      <c r="J208" s="112"/>
    </row>
    <row r="209" spans="1:10" ht="15" thickBot="1" x14ac:dyDescent="0.35">
      <c r="A209" s="115" t="s">
        <v>2182</v>
      </c>
      <c r="B209" s="115"/>
      <c r="C209" s="115"/>
      <c r="D209" s="115"/>
      <c r="E209" s="115"/>
      <c r="F209" s="115"/>
      <c r="G209" s="115"/>
      <c r="H209" s="115"/>
      <c r="I209" s="115"/>
      <c r="J209" s="115"/>
    </row>
    <row r="210" spans="1:10" x14ac:dyDescent="0.3">
      <c r="A210" s="118" t="s">
        <v>382</v>
      </c>
      <c r="B210" s="119" t="s">
        <v>648</v>
      </c>
      <c r="C210" s="112"/>
      <c r="D210" s="112"/>
      <c r="E210" s="112"/>
      <c r="F210" s="112"/>
      <c r="G210" s="112"/>
      <c r="H210" s="112"/>
      <c r="I210" s="112"/>
      <c r="J210" s="112"/>
    </row>
    <row r="211" spans="1:10" x14ac:dyDescent="0.3">
      <c r="A211" s="120" t="s">
        <v>2183</v>
      </c>
      <c r="B211" s="141">
        <v>6989921.7587111099</v>
      </c>
      <c r="C211" s="112"/>
      <c r="D211" s="112"/>
      <c r="E211" s="112"/>
      <c r="F211" s="112"/>
      <c r="G211" s="112"/>
      <c r="H211" s="112"/>
      <c r="I211" s="112"/>
      <c r="J211" s="112"/>
    </row>
    <row r="212" spans="1:10" x14ac:dyDescent="0.3">
      <c r="A212" s="120" t="s">
        <v>2184</v>
      </c>
      <c r="B212" s="141">
        <v>3695678.0910463799</v>
      </c>
      <c r="C212" s="112"/>
      <c r="D212" s="112"/>
      <c r="E212" s="112"/>
      <c r="F212" s="112"/>
      <c r="G212" s="112"/>
      <c r="H212" s="112"/>
      <c r="I212" s="112"/>
      <c r="J212" s="112"/>
    </row>
    <row r="213" spans="1:10" x14ac:dyDescent="0.3">
      <c r="A213" s="120" t="s">
        <v>2185</v>
      </c>
      <c r="B213" s="141">
        <v>0</v>
      </c>
      <c r="C213" s="112"/>
      <c r="D213" s="112"/>
      <c r="E213" s="112"/>
      <c r="F213" s="112"/>
      <c r="G213" s="112"/>
      <c r="H213" s="112"/>
      <c r="I213" s="112"/>
      <c r="J213" s="112"/>
    </row>
    <row r="214" spans="1:10" ht="96.6" x14ac:dyDescent="0.3">
      <c r="A214" s="120" t="s">
        <v>1618</v>
      </c>
      <c r="B214" s="138" t="s">
        <v>2186</v>
      </c>
      <c r="C214" s="112"/>
      <c r="D214" s="112"/>
      <c r="E214" s="112"/>
      <c r="F214" s="112"/>
      <c r="G214" s="112"/>
      <c r="H214" s="112"/>
      <c r="I214" s="112"/>
      <c r="J214" s="112"/>
    </row>
    <row r="215" spans="1:10" ht="276" x14ac:dyDescent="0.3">
      <c r="A215" s="120" t="s">
        <v>2187</v>
      </c>
      <c r="B215" s="138" t="s">
        <v>2188</v>
      </c>
      <c r="C215" s="112"/>
      <c r="D215" s="112"/>
      <c r="E215" s="112"/>
      <c r="F215" s="112"/>
      <c r="G215" s="112"/>
      <c r="H215" s="112"/>
      <c r="I215" s="112"/>
      <c r="J215" s="112"/>
    </row>
    <row r="216" spans="1:10" ht="41.4" x14ac:dyDescent="0.3">
      <c r="A216" s="120" t="s">
        <v>2189</v>
      </c>
      <c r="B216" s="138" t="s">
        <v>2190</v>
      </c>
      <c r="C216" s="112"/>
      <c r="D216" s="112"/>
      <c r="E216" s="112"/>
      <c r="F216" s="112"/>
      <c r="G216" s="112"/>
      <c r="H216" s="112"/>
      <c r="I216" s="112"/>
      <c r="J216" s="112"/>
    </row>
    <row r="217" spans="1:10" ht="55.2" x14ac:dyDescent="0.3">
      <c r="A217" s="120" t="s">
        <v>2191</v>
      </c>
      <c r="B217" s="138" t="s">
        <v>2192</v>
      </c>
      <c r="C217" s="112"/>
      <c r="D217" s="112"/>
      <c r="E217" s="112"/>
      <c r="F217" s="112"/>
      <c r="G217" s="112"/>
      <c r="H217" s="112"/>
      <c r="I217" s="112"/>
      <c r="J217" s="112"/>
    </row>
    <row r="218" spans="1:10" ht="55.2" x14ac:dyDescent="0.3">
      <c r="A218" s="120" t="s">
        <v>2193</v>
      </c>
      <c r="B218" s="138" t="s">
        <v>2194</v>
      </c>
      <c r="C218" s="112"/>
      <c r="D218" s="112"/>
      <c r="E218" s="112"/>
      <c r="F218" s="112"/>
      <c r="G218" s="112"/>
      <c r="H218" s="112"/>
      <c r="I218" s="112"/>
      <c r="J218" s="112"/>
    </row>
    <row r="219" spans="1:10" ht="409.6" x14ac:dyDescent="0.3">
      <c r="A219" s="120" t="s">
        <v>2195</v>
      </c>
      <c r="B219" s="138" t="s">
        <v>2196</v>
      </c>
      <c r="C219" s="112"/>
      <c r="D219" s="112"/>
      <c r="E219" s="112"/>
      <c r="F219" s="112"/>
      <c r="G219" s="112"/>
      <c r="H219" s="112"/>
      <c r="I219" s="112"/>
      <c r="J219" s="112"/>
    </row>
    <row r="220" spans="1:10" ht="82.8" x14ac:dyDescent="0.3">
      <c r="A220" s="120" t="s">
        <v>2197</v>
      </c>
      <c r="B220" s="138" t="s">
        <v>2198</v>
      </c>
      <c r="C220" s="112"/>
      <c r="D220" s="112"/>
      <c r="E220" s="112"/>
      <c r="F220" s="112"/>
      <c r="G220" s="112"/>
      <c r="H220" s="112"/>
      <c r="I220" s="112"/>
      <c r="J220" s="112"/>
    </row>
    <row r="221" spans="1:10" ht="97.2" thickBot="1" x14ac:dyDescent="0.35">
      <c r="A221" s="122" t="s">
        <v>2199</v>
      </c>
      <c r="B221" s="139" t="s">
        <v>2200</v>
      </c>
      <c r="C221" s="112"/>
      <c r="D221" s="112"/>
      <c r="E221" s="112"/>
      <c r="F221" s="112"/>
      <c r="G221" s="112"/>
      <c r="H221" s="112"/>
      <c r="I221" s="112"/>
      <c r="J221" s="112"/>
    </row>
    <row r="222" spans="1:10" x14ac:dyDescent="0.3">
      <c r="A222" s="112"/>
      <c r="B222" s="112"/>
      <c r="C222" s="112"/>
      <c r="D222" s="112"/>
      <c r="E222" s="112"/>
      <c r="F222" s="112"/>
      <c r="G222" s="112"/>
      <c r="H222" s="112"/>
      <c r="I222" s="112"/>
      <c r="J222" s="112"/>
    </row>
    <row r="223" spans="1:10" ht="15" thickBot="1" x14ac:dyDescent="0.35">
      <c r="A223" s="115" t="s">
        <v>2201</v>
      </c>
      <c r="B223" s="115"/>
      <c r="C223" s="115"/>
      <c r="D223" s="115"/>
      <c r="E223" s="115"/>
      <c r="F223" s="115"/>
      <c r="G223" s="115"/>
      <c r="H223" s="115"/>
      <c r="I223" s="115"/>
      <c r="J223" s="115"/>
    </row>
    <row r="224" spans="1:10" x14ac:dyDescent="0.3">
      <c r="A224" s="118" t="s">
        <v>2202</v>
      </c>
      <c r="B224" s="124" t="s">
        <v>2203</v>
      </c>
      <c r="C224" s="124" t="s">
        <v>2204</v>
      </c>
      <c r="D224" s="119" t="s">
        <v>2205</v>
      </c>
      <c r="E224" s="112"/>
      <c r="F224" s="112"/>
      <c r="G224" s="112"/>
      <c r="H224" s="112"/>
      <c r="I224" s="112"/>
      <c r="J224" s="112"/>
    </row>
    <row r="225" spans="1:10" x14ac:dyDescent="0.3">
      <c r="A225" s="120" t="s">
        <v>2206</v>
      </c>
      <c r="B225" s="125" t="s">
        <v>2207</v>
      </c>
      <c r="C225" s="125" t="s">
        <v>2208</v>
      </c>
      <c r="D225" s="121" t="s">
        <v>2209</v>
      </c>
      <c r="E225" s="112"/>
      <c r="F225" s="112"/>
      <c r="G225" s="112"/>
      <c r="H225" s="112"/>
      <c r="I225" s="112"/>
      <c r="J225" s="112"/>
    </row>
    <row r="226" spans="1:10" ht="207" x14ac:dyDescent="0.3">
      <c r="A226" s="142" t="s">
        <v>2210</v>
      </c>
      <c r="B226" s="140" t="s">
        <v>2211</v>
      </c>
      <c r="C226" s="140" t="s">
        <v>2212</v>
      </c>
      <c r="D226" s="138" t="s">
        <v>2213</v>
      </c>
      <c r="E226" s="112"/>
      <c r="F226" s="112"/>
      <c r="G226" s="112"/>
      <c r="H226" s="112"/>
      <c r="I226" s="112"/>
      <c r="J226" s="112"/>
    </row>
    <row r="227" spans="1:10" ht="387" thickBot="1" x14ac:dyDescent="0.35">
      <c r="A227" s="143" t="s">
        <v>2214</v>
      </c>
      <c r="B227" s="144" t="s">
        <v>2215</v>
      </c>
      <c r="C227" s="144" t="s">
        <v>2216</v>
      </c>
      <c r="D227" s="139" t="s">
        <v>2217</v>
      </c>
      <c r="E227" s="112"/>
      <c r="F227" s="112"/>
      <c r="G227" s="112"/>
      <c r="H227" s="112"/>
      <c r="I227" s="112"/>
      <c r="J227" s="112"/>
    </row>
    <row r="228" spans="1:10" x14ac:dyDescent="0.3">
      <c r="A228" s="112"/>
      <c r="B228" s="112"/>
      <c r="C228" s="112"/>
      <c r="D228" s="112"/>
      <c r="E228" s="112"/>
      <c r="F228" s="112"/>
      <c r="G228" s="112"/>
      <c r="H228" s="112"/>
      <c r="I228" s="112"/>
      <c r="J228" s="112"/>
    </row>
    <row r="229" spans="1:10" x14ac:dyDescent="0.3">
      <c r="A229" s="115" t="s">
        <v>2218</v>
      </c>
      <c r="B229" s="115"/>
      <c r="C229" s="115"/>
      <c r="D229" s="115"/>
      <c r="E229" s="115"/>
      <c r="F229" s="115"/>
      <c r="G229" s="115"/>
      <c r="H229" s="115"/>
      <c r="I229" s="115"/>
      <c r="J229" s="115"/>
    </row>
    <row r="230" spans="1:10" ht="386.4" x14ac:dyDescent="0.3">
      <c r="A230" s="145" t="s">
        <v>2219</v>
      </c>
      <c r="B230" s="112"/>
      <c r="C230" s="112"/>
      <c r="D230" s="112"/>
      <c r="E230" s="112"/>
      <c r="F230" s="112"/>
      <c r="G230" s="112"/>
      <c r="H230" s="112"/>
      <c r="I230" s="112"/>
      <c r="J230" s="112"/>
    </row>
    <row r="231" spans="1:10" ht="262.2" x14ac:dyDescent="0.3">
      <c r="A231" s="145" t="s">
        <v>2220</v>
      </c>
      <c r="B231" s="112"/>
      <c r="C231" s="112"/>
      <c r="D231" s="112"/>
      <c r="E231" s="112"/>
      <c r="F231" s="112"/>
      <c r="G231" s="112"/>
      <c r="H231" s="112"/>
      <c r="I231" s="112"/>
      <c r="J231" s="112"/>
    </row>
    <row r="232" spans="1:10" ht="138" x14ac:dyDescent="0.3">
      <c r="A232" s="145" t="s">
        <v>2221</v>
      </c>
      <c r="B232" s="112"/>
      <c r="C232" s="112"/>
      <c r="D232" s="112"/>
      <c r="E232" s="112"/>
      <c r="F232" s="112"/>
      <c r="G232" s="112"/>
      <c r="H232" s="112"/>
      <c r="I232" s="112"/>
      <c r="J232" s="112"/>
    </row>
    <row r="233" spans="1:10" ht="262.2" x14ac:dyDescent="0.3">
      <c r="A233" s="145" t="s">
        <v>2222</v>
      </c>
      <c r="B233" s="112"/>
      <c r="C233" s="112"/>
      <c r="D233" s="112"/>
      <c r="E233" s="112"/>
      <c r="F233" s="112"/>
      <c r="G233" s="112"/>
      <c r="H233" s="112"/>
      <c r="I233" s="112"/>
      <c r="J233" s="112"/>
    </row>
    <row r="234" spans="1:10" ht="124.2" x14ac:dyDescent="0.3">
      <c r="A234" s="145" t="s">
        <v>2223</v>
      </c>
      <c r="B234" s="112"/>
      <c r="C234" s="112"/>
      <c r="D234" s="112"/>
      <c r="E234" s="112"/>
      <c r="F234" s="112"/>
      <c r="G234" s="112"/>
      <c r="H234" s="112"/>
      <c r="I234" s="112"/>
      <c r="J234" s="112"/>
    </row>
    <row r="235" spans="1:10" x14ac:dyDescent="0.3">
      <c r="A235" s="112"/>
      <c r="B235" s="112"/>
      <c r="C235" s="112"/>
      <c r="D235" s="112"/>
      <c r="E235" s="112"/>
      <c r="F235" s="112"/>
      <c r="G235" s="112"/>
      <c r="H235" s="112"/>
      <c r="I235" s="112"/>
      <c r="J235" s="112"/>
    </row>
    <row r="236" spans="1:10" x14ac:dyDescent="0.3">
      <c r="A236" s="112"/>
      <c r="B236" s="112"/>
      <c r="C236" s="112"/>
      <c r="D236" s="112"/>
      <c r="E236" s="112"/>
      <c r="F236" s="112"/>
      <c r="G236" s="112"/>
      <c r="H236" s="112"/>
      <c r="I236" s="112"/>
      <c r="J236" s="112"/>
    </row>
    <row r="237" spans="1:10" x14ac:dyDescent="0.3">
      <c r="A237" s="112"/>
      <c r="B237" s="112"/>
      <c r="C237" s="112"/>
      <c r="D237" s="112"/>
      <c r="E237" s="112"/>
      <c r="F237" s="112"/>
      <c r="G237" s="112"/>
      <c r="H237" s="112"/>
      <c r="I237" s="112"/>
      <c r="J237" s="112"/>
    </row>
    <row r="238" spans="1:10" x14ac:dyDescent="0.3">
      <c r="A238" s="112"/>
      <c r="B238" s="112"/>
      <c r="C238" s="112"/>
      <c r="D238" s="112"/>
      <c r="E238" s="112"/>
      <c r="F238" s="112"/>
      <c r="G238" s="112"/>
      <c r="H238" s="112"/>
      <c r="I238" s="112"/>
      <c r="J238" s="112"/>
    </row>
    <row r="239" spans="1:10" x14ac:dyDescent="0.3">
      <c r="A239" s="112"/>
      <c r="B239" s="112"/>
      <c r="C239" s="112"/>
      <c r="D239" s="112"/>
      <c r="E239" s="112"/>
      <c r="F239" s="112"/>
      <c r="G239" s="112"/>
      <c r="H239" s="112"/>
      <c r="I239" s="112"/>
      <c r="J239" s="112"/>
    </row>
    <row r="240" spans="1:10" x14ac:dyDescent="0.3">
      <c r="A240" s="112"/>
      <c r="B240" s="112"/>
      <c r="C240" s="112"/>
      <c r="D240" s="112"/>
      <c r="E240" s="112"/>
      <c r="F240" s="112"/>
      <c r="G240" s="112"/>
      <c r="H240" s="112"/>
      <c r="I240" s="112"/>
      <c r="J240" s="1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3"/>
  <sheetViews>
    <sheetView zoomScaleNormal="100" workbookViewId="0"/>
  </sheetViews>
  <sheetFormatPr baseColWidth="10" defaultColWidth="8.5546875" defaultRowHeight="14.4" x14ac:dyDescent="0.3"/>
  <cols>
    <col min="1" max="1" width="27.77734375" customWidth="1"/>
    <col min="2" max="2" width="13" customWidth="1"/>
    <col min="3" max="3" width="15.77734375" customWidth="1"/>
    <col min="5" max="5" width="63" customWidth="1"/>
    <col min="6" max="6" width="44.44140625" customWidth="1"/>
    <col min="7" max="7" width="11.5546875" customWidth="1"/>
  </cols>
  <sheetData>
    <row r="1" spans="1:8" ht="19.5" customHeight="1" x14ac:dyDescent="0.35">
      <c r="A1" s="2" t="s">
        <v>1621</v>
      </c>
      <c r="B1" s="2"/>
      <c r="C1" s="2"/>
      <c r="D1" s="2"/>
      <c r="E1" s="2"/>
      <c r="F1" s="2"/>
      <c r="G1" s="2"/>
      <c r="H1" s="2"/>
    </row>
    <row r="2" spans="1:8" ht="19.5" customHeight="1" x14ac:dyDescent="0.3">
      <c r="A2" s="1" t="s">
        <v>1622</v>
      </c>
      <c r="B2" s="1"/>
      <c r="C2" s="1"/>
      <c r="D2" s="1"/>
      <c r="E2" s="1"/>
      <c r="F2" s="1"/>
      <c r="G2" s="1"/>
      <c r="H2" s="1"/>
    </row>
    <row r="4" spans="1:8" ht="15" customHeight="1" x14ac:dyDescent="0.3">
      <c r="A4" s="90" t="s">
        <v>1623</v>
      </c>
      <c r="B4" s="90"/>
      <c r="C4" s="90"/>
      <c r="D4" s="90"/>
      <c r="E4" s="90"/>
      <c r="F4" s="90"/>
      <c r="G4" s="90"/>
      <c r="H4" s="90"/>
    </row>
    <row r="5" spans="1:8" ht="27" customHeight="1" x14ac:dyDescent="0.3">
      <c r="A5" s="91" t="s">
        <v>1624</v>
      </c>
      <c r="B5" s="92">
        <v>12</v>
      </c>
      <c r="C5" s="92">
        <v>25</v>
      </c>
      <c r="D5" s="93"/>
      <c r="E5" s="93" t="s">
        <v>1625</v>
      </c>
      <c r="F5" s="94"/>
    </row>
    <row r="6" spans="1:8" ht="27" customHeight="1" x14ac:dyDescent="0.3">
      <c r="A6" s="95" t="s">
        <v>1626</v>
      </c>
      <c r="B6" s="96"/>
      <c r="C6" s="96"/>
      <c r="D6" s="96"/>
      <c r="E6" s="96" t="s">
        <v>1627</v>
      </c>
      <c r="F6" s="97"/>
    </row>
    <row r="7" spans="1:8" ht="41.25" customHeight="1" x14ac:dyDescent="0.3">
      <c r="A7" s="95" t="s">
        <v>1628</v>
      </c>
      <c r="B7" s="96"/>
      <c r="C7" s="96"/>
      <c r="D7" s="96"/>
      <c r="E7" s="96" t="s">
        <v>1629</v>
      </c>
      <c r="F7" s="97"/>
    </row>
    <row r="8" spans="1:8" ht="15" customHeight="1" x14ac:dyDescent="0.3">
      <c r="A8" s="95"/>
      <c r="B8" s="96"/>
      <c r="C8" s="96"/>
      <c r="D8" s="96"/>
      <c r="E8" s="96"/>
      <c r="F8" s="97"/>
    </row>
    <row r="9" spans="1:8" ht="15" customHeight="1" x14ac:dyDescent="0.3">
      <c r="A9" s="98" t="s">
        <v>1630</v>
      </c>
      <c r="B9" s="99"/>
      <c r="C9" s="99"/>
      <c r="D9" s="99"/>
      <c r="E9" s="99"/>
      <c r="F9" s="100"/>
      <c r="G9" s="90"/>
      <c r="H9" s="90"/>
    </row>
    <row r="10" spans="1:8" ht="23.25" customHeight="1" x14ac:dyDescent="0.3">
      <c r="A10" s="101" t="s">
        <v>1631</v>
      </c>
      <c r="B10" s="102" t="s">
        <v>1632</v>
      </c>
      <c r="C10" s="102" t="s">
        <v>1633</v>
      </c>
      <c r="D10" s="102" t="s">
        <v>1634</v>
      </c>
      <c r="E10" s="102" t="s">
        <v>1635</v>
      </c>
      <c r="F10" s="103" t="s">
        <v>171</v>
      </c>
    </row>
    <row r="11" spans="1:8" ht="41.25" customHeight="1" x14ac:dyDescent="0.3">
      <c r="A11" s="104" t="s">
        <v>460</v>
      </c>
      <c r="B11" s="96" t="s">
        <v>121</v>
      </c>
      <c r="C11" s="105" t="s">
        <v>1636</v>
      </c>
      <c r="D11" s="105" t="s">
        <v>1637</v>
      </c>
      <c r="E11" s="96" t="s">
        <v>1638</v>
      </c>
      <c r="F11" s="97" t="s">
        <v>1639</v>
      </c>
    </row>
    <row r="12" spans="1:8" ht="27" customHeight="1" x14ac:dyDescent="0.3">
      <c r="A12" s="104" t="s">
        <v>1640</v>
      </c>
      <c r="B12" s="96" t="s">
        <v>121</v>
      </c>
      <c r="C12" s="105" t="s">
        <v>1641</v>
      </c>
      <c r="D12" s="105" t="s">
        <v>1642</v>
      </c>
      <c r="E12" s="96" t="s">
        <v>1643</v>
      </c>
      <c r="F12" s="97" t="s">
        <v>1644</v>
      </c>
    </row>
    <row r="13" spans="1:8" ht="27" customHeight="1" x14ac:dyDescent="0.3">
      <c r="A13" s="104" t="s">
        <v>1645</v>
      </c>
      <c r="B13" s="96" t="s">
        <v>121</v>
      </c>
      <c r="C13" s="105" t="s">
        <v>1646</v>
      </c>
      <c r="D13" s="105" t="s">
        <v>1647</v>
      </c>
      <c r="E13" s="96" t="s">
        <v>1648</v>
      </c>
      <c r="F13" s="97" t="s">
        <v>1649</v>
      </c>
    </row>
    <row r="14" spans="1:8" ht="54.75" customHeight="1" x14ac:dyDescent="0.3">
      <c r="A14" s="104" t="s">
        <v>1650</v>
      </c>
      <c r="B14" s="96" t="s">
        <v>121</v>
      </c>
      <c r="C14" s="105" t="s">
        <v>1651</v>
      </c>
      <c r="D14" s="105" t="s">
        <v>1652</v>
      </c>
      <c r="E14" s="96" t="s">
        <v>1653</v>
      </c>
      <c r="F14" s="97" t="s">
        <v>1654</v>
      </c>
    </row>
    <row r="15" spans="1:8" ht="41.25" customHeight="1" x14ac:dyDescent="0.3">
      <c r="A15" s="104" t="s">
        <v>1655</v>
      </c>
      <c r="B15" s="96" t="s">
        <v>129</v>
      </c>
      <c r="C15" s="105" t="s">
        <v>1656</v>
      </c>
      <c r="D15" s="105" t="s">
        <v>1657</v>
      </c>
      <c r="E15" s="96" t="s">
        <v>1658</v>
      </c>
      <c r="F15" s="97" t="s">
        <v>1659</v>
      </c>
    </row>
    <row r="16" spans="1:8" ht="41.25" customHeight="1" x14ac:dyDescent="0.3">
      <c r="A16" s="104" t="s">
        <v>1660</v>
      </c>
      <c r="B16" s="96" t="s">
        <v>129</v>
      </c>
      <c r="C16" s="105" t="s">
        <v>1661</v>
      </c>
      <c r="D16" s="105" t="s">
        <v>1662</v>
      </c>
      <c r="E16" s="96" t="s">
        <v>1663</v>
      </c>
      <c r="F16" s="97" t="s">
        <v>1664</v>
      </c>
    </row>
    <row r="17" spans="1:8" ht="41.25" customHeight="1" x14ac:dyDescent="0.3">
      <c r="A17" s="104" t="s">
        <v>1665</v>
      </c>
      <c r="B17" s="96" t="s">
        <v>131</v>
      </c>
      <c r="C17" s="105" t="s">
        <v>1641</v>
      </c>
      <c r="D17" s="105" t="s">
        <v>1666</v>
      </c>
      <c r="E17" s="96" t="s">
        <v>1667</v>
      </c>
      <c r="F17" s="97" t="s">
        <v>1668</v>
      </c>
    </row>
    <row r="18" spans="1:8" ht="41.25" customHeight="1" x14ac:dyDescent="0.3">
      <c r="A18" s="104" t="s">
        <v>1669</v>
      </c>
      <c r="B18" s="96" t="s">
        <v>131</v>
      </c>
      <c r="C18" s="105" t="s">
        <v>1670</v>
      </c>
      <c r="D18" s="105" t="s">
        <v>1671</v>
      </c>
      <c r="E18" s="96" t="s">
        <v>1672</v>
      </c>
      <c r="F18" s="97" t="s">
        <v>1673</v>
      </c>
    </row>
    <row r="19" spans="1:8" ht="27" customHeight="1" x14ac:dyDescent="0.3">
      <c r="A19" s="104" t="s">
        <v>1674</v>
      </c>
      <c r="B19" s="96" t="s">
        <v>131</v>
      </c>
      <c r="C19" s="105" t="s">
        <v>1675</v>
      </c>
      <c r="D19" s="105" t="s">
        <v>1676</v>
      </c>
      <c r="E19" s="96" t="s">
        <v>1677</v>
      </c>
      <c r="F19" s="97" t="s">
        <v>1678</v>
      </c>
    </row>
    <row r="20" spans="1:8" ht="54.75" customHeight="1" x14ac:dyDescent="0.3">
      <c r="A20" s="104" t="s">
        <v>1679</v>
      </c>
      <c r="B20" s="96" t="s">
        <v>131</v>
      </c>
      <c r="C20" s="105" t="s">
        <v>1680</v>
      </c>
      <c r="D20" s="105" t="s">
        <v>1681</v>
      </c>
      <c r="E20" s="96" t="s">
        <v>1682</v>
      </c>
      <c r="F20" s="97" t="s">
        <v>1683</v>
      </c>
    </row>
    <row r="21" spans="1:8" ht="54.75" customHeight="1" x14ac:dyDescent="0.3">
      <c r="A21" s="104" t="s">
        <v>1684</v>
      </c>
      <c r="B21" s="96" t="s">
        <v>135</v>
      </c>
      <c r="C21" s="105" t="s">
        <v>1685</v>
      </c>
      <c r="D21" s="105" t="s">
        <v>1686</v>
      </c>
      <c r="E21" s="96" t="s">
        <v>1687</v>
      </c>
      <c r="F21" s="97" t="s">
        <v>1688</v>
      </c>
    </row>
    <row r="22" spans="1:8" ht="27" customHeight="1" x14ac:dyDescent="0.3">
      <c r="A22" s="104" t="s">
        <v>1689</v>
      </c>
      <c r="B22" s="96" t="s">
        <v>135</v>
      </c>
      <c r="C22" s="105" t="s">
        <v>1690</v>
      </c>
      <c r="D22" s="105" t="s">
        <v>1691</v>
      </c>
      <c r="E22" s="96" t="s">
        <v>1692</v>
      </c>
      <c r="F22" s="97" t="s">
        <v>1693</v>
      </c>
    </row>
    <row r="23" spans="1:8" ht="15" customHeight="1" x14ac:dyDescent="0.3">
      <c r="A23" s="95"/>
      <c r="B23" s="96"/>
      <c r="C23" s="96"/>
      <c r="D23" s="96"/>
      <c r="E23" s="96"/>
      <c r="F23" s="97"/>
    </row>
    <row r="24" spans="1:8" ht="27" customHeight="1" x14ac:dyDescent="0.3">
      <c r="A24" s="98" t="s">
        <v>1694</v>
      </c>
      <c r="B24" s="99"/>
      <c r="C24" s="99"/>
      <c r="D24" s="99"/>
      <c r="E24" s="99"/>
      <c r="F24" s="100"/>
      <c r="G24" s="90"/>
      <c r="H24" s="90"/>
    </row>
    <row r="25" spans="1:8" ht="15" customHeight="1" x14ac:dyDescent="0.3">
      <c r="A25" s="101" t="s">
        <v>1695</v>
      </c>
      <c r="B25" s="102" t="s">
        <v>1696</v>
      </c>
      <c r="C25" s="102" t="s">
        <v>1697</v>
      </c>
      <c r="D25" s="102"/>
      <c r="E25" s="102" t="s">
        <v>1698</v>
      </c>
      <c r="F25" s="97"/>
    </row>
    <row r="26" spans="1:8" ht="27" customHeight="1" x14ac:dyDescent="0.3">
      <c r="A26" s="104" t="s">
        <v>1699</v>
      </c>
      <c r="B26" s="96" t="s">
        <v>1700</v>
      </c>
      <c r="C26" s="96" t="s">
        <v>1701</v>
      </c>
      <c r="D26" s="96"/>
      <c r="E26" s="96" t="s">
        <v>1702</v>
      </c>
      <c r="F26" s="97"/>
    </row>
    <row r="27" spans="1:8" ht="27" customHeight="1" x14ac:dyDescent="0.3">
      <c r="A27" s="104" t="s">
        <v>1703</v>
      </c>
      <c r="B27" s="96" t="s">
        <v>1704</v>
      </c>
      <c r="C27" s="96" t="s">
        <v>1705</v>
      </c>
      <c r="D27" s="96"/>
      <c r="E27" s="96" t="s">
        <v>1706</v>
      </c>
      <c r="F27" s="97"/>
    </row>
    <row r="28" spans="1:8" ht="27" customHeight="1" x14ac:dyDescent="0.3">
      <c r="A28" s="104" t="s">
        <v>1707</v>
      </c>
      <c r="B28" s="96" t="s">
        <v>1708</v>
      </c>
      <c r="C28" s="96" t="s">
        <v>1709</v>
      </c>
      <c r="D28" s="96"/>
      <c r="E28" s="96" t="s">
        <v>1710</v>
      </c>
      <c r="F28" s="97"/>
    </row>
    <row r="29" spans="1:8" ht="27" customHeight="1" x14ac:dyDescent="0.3">
      <c r="A29" s="104" t="s">
        <v>1711</v>
      </c>
      <c r="B29" s="96" t="s">
        <v>1712</v>
      </c>
      <c r="C29" s="96" t="s">
        <v>1713</v>
      </c>
      <c r="D29" s="96"/>
      <c r="E29" s="96" t="s">
        <v>1714</v>
      </c>
      <c r="F29" s="97"/>
    </row>
    <row r="30" spans="1:8" ht="27" customHeight="1" x14ac:dyDescent="0.3">
      <c r="A30" s="104" t="s">
        <v>1715</v>
      </c>
      <c r="B30" s="96" t="s">
        <v>1716</v>
      </c>
      <c r="C30" s="96" t="s">
        <v>1717</v>
      </c>
      <c r="D30" s="96"/>
      <c r="E30" s="96" t="s">
        <v>1718</v>
      </c>
      <c r="F30" s="97"/>
    </row>
    <row r="31" spans="1:8" ht="41.25" customHeight="1" x14ac:dyDescent="0.3">
      <c r="A31" s="104" t="s">
        <v>1719</v>
      </c>
      <c r="B31" s="96" t="s">
        <v>1720</v>
      </c>
      <c r="C31" s="96" t="s">
        <v>1721</v>
      </c>
      <c r="D31" s="96"/>
      <c r="E31" s="96" t="s">
        <v>1722</v>
      </c>
      <c r="F31" s="97"/>
    </row>
    <row r="32" spans="1:8" ht="27" customHeight="1" x14ac:dyDescent="0.3">
      <c r="A32" s="104" t="s">
        <v>1723</v>
      </c>
      <c r="B32" s="96" t="s">
        <v>1724</v>
      </c>
      <c r="C32" s="96" t="s">
        <v>1725</v>
      </c>
      <c r="D32" s="96"/>
      <c r="E32" s="96" t="s">
        <v>1726</v>
      </c>
      <c r="F32" s="97"/>
    </row>
    <row r="33" spans="1:8" ht="27" customHeight="1" x14ac:dyDescent="0.3">
      <c r="A33" s="104" t="s">
        <v>1727</v>
      </c>
      <c r="B33" s="96" t="s">
        <v>1728</v>
      </c>
      <c r="C33" s="96" t="s">
        <v>1729</v>
      </c>
      <c r="D33" s="96"/>
      <c r="E33" s="96" t="s">
        <v>1730</v>
      </c>
      <c r="F33" s="97"/>
    </row>
    <row r="34" spans="1:8" ht="41.25" customHeight="1" x14ac:dyDescent="0.3">
      <c r="A34" s="104" t="s">
        <v>1731</v>
      </c>
      <c r="B34" s="96" t="s">
        <v>1732</v>
      </c>
      <c r="C34" s="96" t="s">
        <v>1733</v>
      </c>
      <c r="D34" s="96"/>
      <c r="E34" s="96" t="s">
        <v>1734</v>
      </c>
      <c r="F34" s="97"/>
    </row>
    <row r="35" spans="1:8" ht="27" customHeight="1" x14ac:dyDescent="0.3">
      <c r="A35" s="104" t="s">
        <v>1735</v>
      </c>
      <c r="B35" s="96" t="s">
        <v>1736</v>
      </c>
      <c r="C35" s="96" t="s">
        <v>1737</v>
      </c>
      <c r="D35" s="96"/>
      <c r="E35" s="96" t="s">
        <v>1738</v>
      </c>
      <c r="F35" s="97"/>
    </row>
    <row r="36" spans="1:8" ht="15" customHeight="1" x14ac:dyDescent="0.3">
      <c r="A36" s="95"/>
      <c r="B36" s="96"/>
      <c r="C36" s="96"/>
      <c r="D36" s="96"/>
      <c r="E36" s="96"/>
      <c r="F36" s="97"/>
    </row>
    <row r="37" spans="1:8" ht="41.25" customHeight="1" x14ac:dyDescent="0.3">
      <c r="A37" s="98" t="s">
        <v>1739</v>
      </c>
      <c r="B37" s="99"/>
      <c r="C37" s="99"/>
      <c r="D37" s="99"/>
      <c r="E37" s="99"/>
      <c r="F37" s="100"/>
      <c r="G37" s="90"/>
      <c r="H37" s="90"/>
    </row>
    <row r="38" spans="1:8" ht="15" customHeight="1" x14ac:dyDescent="0.3">
      <c r="A38" s="101" t="s">
        <v>382</v>
      </c>
      <c r="B38" s="102" t="s">
        <v>1740</v>
      </c>
      <c r="C38" s="102" t="s">
        <v>1741</v>
      </c>
      <c r="D38" s="102"/>
      <c r="E38" s="102" t="s">
        <v>1742</v>
      </c>
      <c r="F38" s="97"/>
    </row>
    <row r="39" spans="1:8" ht="15" customHeight="1" x14ac:dyDescent="0.3">
      <c r="A39" s="95" t="s">
        <v>1743</v>
      </c>
      <c r="B39" s="105" t="s">
        <v>1744</v>
      </c>
      <c r="C39" s="105" t="s">
        <v>1745</v>
      </c>
      <c r="D39" s="96"/>
      <c r="E39" s="96" t="s">
        <v>1746</v>
      </c>
      <c r="F39" s="97"/>
    </row>
    <row r="40" spans="1:8" ht="27" customHeight="1" x14ac:dyDescent="0.3">
      <c r="A40" s="95" t="s">
        <v>1747</v>
      </c>
      <c r="B40" s="105" t="s">
        <v>1748</v>
      </c>
      <c r="C40" s="105" t="s">
        <v>1749</v>
      </c>
      <c r="D40" s="96"/>
      <c r="E40" s="96" t="s">
        <v>1750</v>
      </c>
      <c r="F40" s="97"/>
    </row>
    <row r="41" spans="1:8" ht="27" customHeight="1" x14ac:dyDescent="0.3">
      <c r="A41" s="95" t="s">
        <v>1751</v>
      </c>
      <c r="B41" s="105" t="s">
        <v>1752</v>
      </c>
      <c r="C41" s="105" t="s">
        <v>1753</v>
      </c>
      <c r="D41" s="96"/>
      <c r="E41" s="96" t="s">
        <v>1754</v>
      </c>
      <c r="F41" s="97"/>
    </row>
    <row r="42" spans="1:8" ht="27" customHeight="1" x14ac:dyDescent="0.3">
      <c r="A42" s="95" t="s">
        <v>1755</v>
      </c>
      <c r="B42" s="105" t="s">
        <v>1756</v>
      </c>
      <c r="C42" s="105" t="s">
        <v>1757</v>
      </c>
      <c r="D42" s="96"/>
      <c r="E42" s="96" t="s">
        <v>1758</v>
      </c>
      <c r="F42" s="97"/>
    </row>
    <row r="43" spans="1:8" ht="27" customHeight="1" x14ac:dyDescent="0.3">
      <c r="A43" s="95" t="s">
        <v>1759</v>
      </c>
      <c r="B43" s="105" t="s">
        <v>1760</v>
      </c>
      <c r="C43" s="105" t="s">
        <v>1761</v>
      </c>
      <c r="D43" s="96"/>
      <c r="E43" s="96" t="s">
        <v>1762</v>
      </c>
      <c r="F43" s="97"/>
    </row>
    <row r="44" spans="1:8" ht="27" customHeight="1" x14ac:dyDescent="0.3">
      <c r="A44" s="95" t="s">
        <v>1763</v>
      </c>
      <c r="B44" s="105" t="s">
        <v>1764</v>
      </c>
      <c r="C44" s="105" t="s">
        <v>1765</v>
      </c>
      <c r="D44" s="96"/>
      <c r="E44" s="96" t="s">
        <v>1766</v>
      </c>
      <c r="F44" s="97"/>
    </row>
    <row r="45" spans="1:8" ht="27" customHeight="1" x14ac:dyDescent="0.3">
      <c r="A45" s="95" t="s">
        <v>1767</v>
      </c>
      <c r="B45" s="105" t="s">
        <v>1768</v>
      </c>
      <c r="C45" s="105" t="s">
        <v>1769</v>
      </c>
      <c r="D45" s="96"/>
      <c r="E45" s="96" t="s">
        <v>1770</v>
      </c>
      <c r="F45" s="97"/>
    </row>
    <row r="46" spans="1:8" ht="15" customHeight="1" x14ac:dyDescent="0.3">
      <c r="A46" s="95" t="s">
        <v>1771</v>
      </c>
      <c r="B46" s="105" t="s">
        <v>1772</v>
      </c>
      <c r="C46" s="105" t="s">
        <v>1773</v>
      </c>
      <c r="D46" s="96"/>
      <c r="E46" s="96" t="s">
        <v>1774</v>
      </c>
      <c r="F46" s="97"/>
    </row>
    <row r="47" spans="1:8" ht="15" customHeight="1" x14ac:dyDescent="0.3">
      <c r="A47" s="95"/>
      <c r="B47" s="96"/>
      <c r="C47" s="96"/>
      <c r="D47" s="96"/>
      <c r="E47" s="96"/>
      <c r="F47" s="97"/>
    </row>
    <row r="48" spans="1:8" ht="15" customHeight="1" x14ac:dyDescent="0.3">
      <c r="A48" s="98" t="s">
        <v>1775</v>
      </c>
      <c r="B48" s="99"/>
      <c r="C48" s="99"/>
      <c r="D48" s="99"/>
      <c r="E48" s="99"/>
      <c r="F48" s="100"/>
      <c r="G48" s="90"/>
      <c r="H48" s="90"/>
    </row>
    <row r="49" spans="1:8" ht="27" customHeight="1" x14ac:dyDescent="0.3">
      <c r="A49" s="95" t="s">
        <v>1776</v>
      </c>
      <c r="B49" s="96" t="s">
        <v>1777</v>
      </c>
      <c r="C49" s="96">
        <v>13</v>
      </c>
      <c r="D49" s="96"/>
      <c r="E49" s="96" t="s">
        <v>1778</v>
      </c>
      <c r="F49" s="97"/>
    </row>
    <row r="50" spans="1:8" ht="27" customHeight="1" x14ac:dyDescent="0.3">
      <c r="A50" s="95" t="s">
        <v>1779</v>
      </c>
      <c r="B50" s="96" t="s">
        <v>1780</v>
      </c>
      <c r="C50" s="96">
        <v>26</v>
      </c>
      <c r="D50" s="96"/>
      <c r="E50" s="96" t="s">
        <v>1781</v>
      </c>
      <c r="F50" s="97"/>
    </row>
    <row r="51" spans="1:8" ht="27" customHeight="1" x14ac:dyDescent="0.3">
      <c r="A51" s="95" t="s">
        <v>1782</v>
      </c>
      <c r="B51" s="96" t="s">
        <v>1783</v>
      </c>
      <c r="C51" s="96" t="s">
        <v>1784</v>
      </c>
      <c r="D51" s="96"/>
      <c r="E51" s="96" t="s">
        <v>1785</v>
      </c>
      <c r="F51" s="97"/>
    </row>
    <row r="52" spans="1:8" ht="27" customHeight="1" x14ac:dyDescent="0.3">
      <c r="A52" s="95" t="s">
        <v>1786</v>
      </c>
      <c r="B52" s="96" t="s">
        <v>208</v>
      </c>
      <c r="C52" s="96" t="s">
        <v>1787</v>
      </c>
      <c r="D52" s="96"/>
      <c r="E52" s="96" t="s">
        <v>1788</v>
      </c>
      <c r="F52" s="97"/>
    </row>
    <row r="53" spans="1:8" ht="15" customHeight="1" x14ac:dyDescent="0.3">
      <c r="A53" s="95"/>
      <c r="B53" s="96"/>
      <c r="C53" s="96"/>
      <c r="D53" s="96"/>
      <c r="E53" s="96"/>
      <c r="F53" s="97"/>
    </row>
    <row r="54" spans="1:8" ht="27" customHeight="1" x14ac:dyDescent="0.3">
      <c r="A54" s="98" t="s">
        <v>1789</v>
      </c>
      <c r="B54" s="99"/>
      <c r="C54" s="99"/>
      <c r="D54" s="99"/>
      <c r="E54" s="99"/>
      <c r="F54" s="100"/>
      <c r="G54" s="90"/>
      <c r="H54" s="90"/>
    </row>
    <row r="55" spans="1:8" ht="15" customHeight="1" x14ac:dyDescent="0.3">
      <c r="A55" s="101" t="s">
        <v>461</v>
      </c>
      <c r="B55" s="102" t="s">
        <v>1790</v>
      </c>
      <c r="C55" s="102"/>
      <c r="D55" s="102"/>
      <c r="E55" s="102" t="s">
        <v>1791</v>
      </c>
      <c r="F55" s="97"/>
    </row>
    <row r="56" spans="1:8" ht="69" customHeight="1" x14ac:dyDescent="0.3">
      <c r="A56" s="95">
        <v>1</v>
      </c>
      <c r="B56" s="96" t="s">
        <v>1792</v>
      </c>
      <c r="C56" s="96"/>
      <c r="D56" s="96"/>
      <c r="E56" s="96" t="s">
        <v>1793</v>
      </c>
      <c r="F56" s="97"/>
    </row>
    <row r="57" spans="1:8" ht="27" customHeight="1" x14ac:dyDescent="0.3">
      <c r="A57" s="95">
        <v>2</v>
      </c>
      <c r="B57" s="96" t="s">
        <v>1406</v>
      </c>
      <c r="C57" s="96"/>
      <c r="D57" s="96"/>
      <c r="E57" s="96" t="s">
        <v>1794</v>
      </c>
      <c r="F57" s="97"/>
    </row>
    <row r="58" spans="1:8" ht="27" customHeight="1" x14ac:dyDescent="0.3">
      <c r="A58" s="95">
        <v>3</v>
      </c>
      <c r="B58" s="96" t="s">
        <v>1795</v>
      </c>
      <c r="C58" s="96"/>
      <c r="D58" s="96"/>
      <c r="E58" s="96" t="s">
        <v>1796</v>
      </c>
      <c r="F58" s="97"/>
    </row>
    <row r="59" spans="1:8" ht="27" customHeight="1" x14ac:dyDescent="0.3">
      <c r="A59" s="95">
        <v>4</v>
      </c>
      <c r="B59" s="96" t="s">
        <v>1797</v>
      </c>
      <c r="C59" s="96"/>
      <c r="D59" s="96"/>
      <c r="E59" s="96" t="s">
        <v>1798</v>
      </c>
      <c r="F59" s="97"/>
    </row>
    <row r="60" spans="1:8" ht="27" customHeight="1" x14ac:dyDescent="0.3">
      <c r="A60" s="95">
        <v>5</v>
      </c>
      <c r="B60" s="96" t="s">
        <v>1799</v>
      </c>
      <c r="C60" s="96"/>
      <c r="D60" s="96"/>
      <c r="E60" s="96" t="s">
        <v>1800</v>
      </c>
      <c r="F60" s="97"/>
    </row>
    <row r="61" spans="1:8" ht="41.25" customHeight="1" x14ac:dyDescent="0.3">
      <c r="A61" s="95">
        <v>6</v>
      </c>
      <c r="B61" s="96" t="s">
        <v>1801</v>
      </c>
      <c r="C61" s="96"/>
      <c r="D61" s="96"/>
      <c r="E61" s="106" t="s">
        <v>1802</v>
      </c>
      <c r="F61" s="97"/>
    </row>
    <row r="62" spans="1:8" ht="41.25" customHeight="1" x14ac:dyDescent="0.3">
      <c r="A62" s="95">
        <v>7</v>
      </c>
      <c r="B62" s="96" t="s">
        <v>1803</v>
      </c>
      <c r="C62" s="96"/>
      <c r="D62" s="96"/>
      <c r="E62" s="96" t="s">
        <v>1804</v>
      </c>
      <c r="F62" s="97"/>
    </row>
    <row r="63" spans="1:8" ht="54.75" customHeight="1" x14ac:dyDescent="0.3">
      <c r="A63" s="95">
        <v>8</v>
      </c>
      <c r="B63" s="96" t="s">
        <v>1805</v>
      </c>
      <c r="C63" s="96"/>
      <c r="D63" s="96"/>
      <c r="E63" s="96" t="s">
        <v>1806</v>
      </c>
      <c r="F63" s="97"/>
    </row>
    <row r="64" spans="1:8" ht="27" customHeight="1" x14ac:dyDescent="0.3">
      <c r="A64" s="95">
        <v>9</v>
      </c>
      <c r="B64" s="96" t="s">
        <v>1618</v>
      </c>
      <c r="C64" s="96"/>
      <c r="D64" s="96"/>
      <c r="E64" s="96" t="s">
        <v>1807</v>
      </c>
      <c r="F64" s="97"/>
    </row>
    <row r="65" spans="1:8" ht="82.5" customHeight="1" x14ac:dyDescent="0.3">
      <c r="A65" s="95">
        <v>10</v>
      </c>
      <c r="B65" s="96" t="s">
        <v>1808</v>
      </c>
      <c r="C65" s="96"/>
      <c r="D65" s="96"/>
      <c r="E65" s="96" t="s">
        <v>1809</v>
      </c>
      <c r="F65" s="97"/>
    </row>
    <row r="66" spans="1:8" ht="82.5" customHeight="1" x14ac:dyDescent="0.3">
      <c r="A66" s="95">
        <v>11</v>
      </c>
      <c r="B66" s="96" t="s">
        <v>1810</v>
      </c>
      <c r="C66" s="96"/>
      <c r="D66" s="96"/>
      <c r="E66" s="96" t="s">
        <v>1811</v>
      </c>
      <c r="F66" s="97"/>
    </row>
    <row r="67" spans="1:8" ht="69" customHeight="1" x14ac:dyDescent="0.3">
      <c r="A67" s="95">
        <v>12</v>
      </c>
      <c r="B67" s="96" t="s">
        <v>1812</v>
      </c>
      <c r="C67" s="96"/>
      <c r="D67" s="96"/>
      <c r="E67" s="96" t="s">
        <v>1813</v>
      </c>
      <c r="F67" s="97"/>
    </row>
    <row r="68" spans="1:8" ht="15" customHeight="1" x14ac:dyDescent="0.3">
      <c r="A68" s="95"/>
      <c r="B68" s="96"/>
      <c r="C68" s="96"/>
      <c r="D68" s="96"/>
      <c r="E68" s="96"/>
      <c r="F68" s="97"/>
    </row>
    <row r="69" spans="1:8" ht="15" customHeight="1" x14ac:dyDescent="0.3">
      <c r="A69" s="98" t="s">
        <v>1814</v>
      </c>
      <c r="B69" s="99"/>
      <c r="C69" s="99"/>
      <c r="D69" s="99"/>
      <c r="E69" s="99"/>
      <c r="F69" s="100"/>
      <c r="G69" s="90"/>
      <c r="H69" s="90"/>
    </row>
    <row r="70" spans="1:8" ht="41.25" customHeight="1" x14ac:dyDescent="0.3">
      <c r="A70" s="95" t="s">
        <v>521</v>
      </c>
      <c r="B70" s="96"/>
      <c r="C70" s="96"/>
      <c r="D70" s="96"/>
      <c r="E70" s="96" t="s">
        <v>1815</v>
      </c>
      <c r="F70" s="97"/>
    </row>
    <row r="71" spans="1:8" ht="41.25" customHeight="1" x14ac:dyDescent="0.3">
      <c r="A71" s="95" t="s">
        <v>1816</v>
      </c>
      <c r="B71" s="96"/>
      <c r="C71" s="96"/>
      <c r="D71" s="96"/>
      <c r="E71" s="96" t="s">
        <v>1817</v>
      </c>
      <c r="F71" s="97"/>
    </row>
    <row r="72" spans="1:8" ht="27" customHeight="1" x14ac:dyDescent="0.3">
      <c r="A72" s="95" t="s">
        <v>1818</v>
      </c>
      <c r="B72" s="96"/>
      <c r="C72" s="96"/>
      <c r="D72" s="96"/>
      <c r="E72" s="96" t="s">
        <v>1819</v>
      </c>
      <c r="F72" s="97"/>
    </row>
    <row r="73" spans="1:8" ht="27" customHeight="1" x14ac:dyDescent="0.3">
      <c r="A73" s="107" t="s">
        <v>1820</v>
      </c>
      <c r="B73" s="108"/>
      <c r="C73" s="108"/>
      <c r="D73" s="108"/>
      <c r="E73" s="108" t="s">
        <v>1821</v>
      </c>
      <c r="F73" s="109"/>
    </row>
  </sheetData>
  <mergeCells count="2">
    <mergeCell ref="A1:H1"/>
    <mergeCell ref="A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297</vt:i4>
      </vt:variant>
    </vt:vector>
  </HeadingPairs>
  <TitlesOfParts>
    <vt:vector size="312" baseType="lpstr">
      <vt:lpstr>Claude Log</vt:lpstr>
      <vt:lpstr>Inicio</vt:lpstr>
      <vt:lpstr>Guia_Carga</vt:lpstr>
      <vt:lpstr>Supuestos</vt:lpstr>
      <vt:lpstr>Productos</vt:lpstr>
      <vt:lpstr>Costos</vt:lpstr>
      <vt:lpstr>Inversion</vt:lpstr>
      <vt:lpstr>Detalle_24m</vt:lpstr>
      <vt:lpstr>Reales</vt:lpstr>
      <vt:lpstr>Calculo</vt:lpstr>
      <vt:lpstr>Proyeccion_24m</vt:lpstr>
      <vt:lpstr>Resultados</vt:lpstr>
      <vt:lpstr>Control</vt:lpstr>
      <vt:lpstr>Informe_Cierre_v6</vt:lpstr>
      <vt:lpstr>Esp_25Productos</vt:lpstr>
      <vt:lpstr>Ap_MesO</vt:lpstr>
      <vt:lpstr>Ap_MesV</vt:lpstr>
      <vt:lpstr>Ap_MontoO</vt:lpstr>
      <vt:lpstr>Ap_MontoV</vt:lpstr>
      <vt:lpstr>c_Alertas</vt:lpstr>
      <vt:lpstr>c_C01</vt:lpstr>
      <vt:lpstr>c_C02</vt:lpstr>
      <vt:lpstr>c_C03</vt:lpstr>
      <vt:lpstr>c_C04</vt:lpstr>
      <vt:lpstr>c_C05</vt:lpstr>
      <vt:lpstr>c_C06</vt:lpstr>
      <vt:lpstr>c_C07</vt:lpstr>
      <vt:lpstr>c_C08</vt:lpstr>
      <vt:lpstr>c_C09</vt:lpstr>
      <vt:lpstr>c_C10</vt:lpstr>
      <vt:lpstr>c_C11</vt:lpstr>
      <vt:lpstr>c_C12</vt:lpstr>
      <vt:lpstr>c_C13</vt:lpstr>
      <vt:lpstr>c_C14</vt:lpstr>
      <vt:lpstr>c_C15</vt:lpstr>
      <vt:lpstr>c_C16</vt:lpstr>
      <vt:lpstr>c_CapExceso</vt:lpstr>
      <vt:lpstr>c_EscIdx</vt:lpstr>
      <vt:lpstr>c_Modificados</vt:lpstr>
      <vt:lpstr>Cap_Amp</vt:lpstr>
      <vt:lpstr>Cap_Anio</vt:lpstr>
      <vt:lpstr>Cap_Ini</vt:lpstr>
      <vt:lpstr>Corte</vt:lpstr>
      <vt:lpstr>Det_nDO</vt:lpstr>
      <vt:lpstr>Det_nFC</vt:lpstr>
      <vt:lpstr>Det_nIN</vt:lpstr>
      <vt:lpstr>Det_nMP</vt:lpstr>
      <vt:lpstr>Det_nOV</vt:lpstr>
      <vt:lpstr>Det_nP</vt:lpstr>
      <vt:lpstr>Det_nQ</vt:lpstr>
      <vt:lpstr>Det_nSA</vt:lpstr>
      <vt:lpstr>Det_nTC</vt:lpstr>
      <vt:lpstr>DiasMes</vt:lpstr>
      <vt:lpstr>dMP_O</vt:lpstr>
      <vt:lpstr>dMP_V</vt:lpstr>
      <vt:lpstr>Dot_O</vt:lpstr>
      <vt:lpstr>Dot_V</vt:lpstr>
      <vt:lpstr>dOV_O</vt:lpstr>
      <vt:lpstr>dOV_V</vt:lpstr>
      <vt:lpstr>dPrecio_O</vt:lpstr>
      <vt:lpstr>dPrecio_V</vt:lpstr>
      <vt:lpstr>dSal_O</vt:lpstr>
      <vt:lpstr>dSal_V</vt:lpstr>
      <vt:lpstr>e_Atraso</vt:lpstr>
      <vt:lpstr>e_dCapex</vt:lpstr>
      <vt:lpstr>e_DInvEsc</vt:lpstr>
      <vt:lpstr>e_dMat</vt:lpstr>
      <vt:lpstr>e_dPrecio</vt:lpstr>
      <vt:lpstr>e_DSOesc</vt:lpstr>
      <vt:lpstr>e_dTC</vt:lpstr>
      <vt:lpstr>e_dVol</vt:lpstr>
      <vt:lpstr>FC_Base</vt:lpstr>
      <vt:lpstr>FC_Clase</vt:lpstr>
      <vt:lpstr>FC_Desde</vt:lpstr>
      <vt:lpstr>FC_g</vt:lpstr>
      <vt:lpstr>FC_IVA</vt:lpstr>
      <vt:lpstr>FC_Mon</vt:lpstr>
      <vt:lpstr>FC_O</vt:lpstr>
      <vt:lpstr>FC_V</vt:lpstr>
      <vt:lpstr>Fin</vt:lpstr>
      <vt:lpstr>g_Mes</vt:lpstr>
      <vt:lpstr>g_Pendientes</vt:lpstr>
      <vt:lpstr>i_CapexP</vt:lpstr>
      <vt:lpstr>i_CapexV</vt:lpstr>
      <vt:lpstr>i_Pagado</vt:lpstr>
      <vt:lpstr>IdxMP_O</vt:lpstr>
      <vt:lpstr>IdxMP_V</vt:lpstr>
      <vt:lpstr>IdxOV_O</vt:lpstr>
      <vt:lpstr>IdxOV_V</vt:lpstr>
      <vt:lpstr>IdxPrecio_O</vt:lpstr>
      <vt:lpstr>IdxPrecio_V</vt:lpstr>
      <vt:lpstr>IdxSal_O</vt:lpstr>
      <vt:lpstr>IdxSal_V</vt:lpstr>
      <vt:lpstr>INS_O</vt:lpstr>
      <vt:lpstr>INS_V</vt:lpstr>
      <vt:lpstr>Inv_BaseV</vt:lpstr>
      <vt:lpstr>Inv_CF</vt:lpstr>
      <vt:lpstr>Inv_D</vt:lpstr>
      <vt:lpstr>Inv_E</vt:lpstr>
      <vt:lpstr>Inv_F</vt:lpstr>
      <vt:lpstr>Inv_H</vt:lpstr>
      <vt:lpstr>Inv_M</vt:lpstr>
      <vt:lpstr>Inv_Q</vt:lpstr>
      <vt:lpstr>Inv_R</vt:lpstr>
      <vt:lpstr>Inv_SvcP</vt:lpstr>
      <vt:lpstr>Inv_SvcV</vt:lpstr>
      <vt:lpstr>MP_O</vt:lpstr>
      <vt:lpstr>MP_V</vt:lpstr>
      <vt:lpstr>n_Corte</vt:lpstr>
      <vt:lpstr>n_Escenario</vt:lpstr>
      <vt:lpstr>n_Etapa</vt:lpstr>
      <vt:lpstr>n_Fecha1</vt:lpstr>
      <vt:lpstr>n_FechaRev</vt:lpstr>
      <vt:lpstr>n_Frecuencia</vt:lpstr>
      <vt:lpstr>n_InicioReal</vt:lpstr>
      <vt:lpstr>n_Negocio</vt:lpstr>
      <vt:lpstr>n_Producto</vt:lpstr>
      <vt:lpstr>n_Socios</vt:lpstr>
      <vt:lpstr>n_Ventana</vt:lpstr>
      <vt:lpstr>n_Version</vt:lpstr>
      <vt:lpstr>o_Alim</vt:lpstr>
      <vt:lpstr>o_Anios</vt:lpstr>
      <vt:lpstr>o_CajaMin</vt:lpstr>
      <vt:lpstr>o_Cargas</vt:lpstr>
      <vt:lpstr>o_ComV</vt:lpstr>
      <vt:lpstr>o_Desp</vt:lpstr>
      <vt:lpstr>o_DInv</vt:lpstr>
      <vt:lpstr>o_DPOmp</vt:lpstr>
      <vt:lpstr>o_DPOot</vt:lpstr>
      <vt:lpstr>o_DPT</vt:lpstr>
      <vt:lpstr>o_DSO</vt:lpstr>
      <vt:lpstr>o_ImpA</vt:lpstr>
      <vt:lpstr>o_ImpP</vt:lpstr>
      <vt:lpstr>o_Inicio</vt:lpstr>
      <vt:lpstr>o_IRE</vt:lpstr>
      <vt:lpstr>o_IVAint</vt:lpstr>
      <vt:lpstr>o_IVAmeses</vt:lpstr>
      <vt:lpstr>o_IVArec</vt:lpstr>
      <vt:lpstr>o_Ke</vt:lpstr>
      <vt:lpstr>o_Merma</vt:lpstr>
      <vt:lpstr>o_MesDiv</vt:lpstr>
      <vt:lpstr>o_Pkg</vt:lpstr>
      <vt:lpstr>o_PreDir</vt:lpstr>
      <vt:lpstr>o_PreInd</vt:lpstr>
      <vt:lpstr>o_RealAF</vt:lpstr>
      <vt:lpstr>o_RealCT</vt:lpstr>
      <vt:lpstr>o_SegV</vt:lpstr>
      <vt:lpstr>o_Trib</vt:lpstr>
      <vt:lpstr>o_WACC</vt:lpstr>
      <vt:lpstr>OV_O</vt:lpstr>
      <vt:lpstr>OV_V</vt:lpstr>
      <vt:lpstr>P_Alim</vt:lpstr>
      <vt:lpstr>P_Anios</vt:lpstr>
      <vt:lpstr>P_CajaMin</vt:lpstr>
      <vt:lpstr>P_Cargas</vt:lpstr>
      <vt:lpstr>P_ComV</vt:lpstr>
      <vt:lpstr>P_dCapex</vt:lpstr>
      <vt:lpstr>P_Desp</vt:lpstr>
      <vt:lpstr>P_DInv</vt:lpstr>
      <vt:lpstr>P_dMat</vt:lpstr>
      <vt:lpstr>P_DPOmp</vt:lpstr>
      <vt:lpstr>P_DPOot</vt:lpstr>
      <vt:lpstr>P_dPrecio</vt:lpstr>
      <vt:lpstr>P_DPT</vt:lpstr>
      <vt:lpstr>P_DSO</vt:lpstr>
      <vt:lpstr>P_dTC</vt:lpstr>
      <vt:lpstr>P_dVol</vt:lpstr>
      <vt:lpstr>P_ImpA</vt:lpstr>
      <vt:lpstr>P_ImpP</vt:lpstr>
      <vt:lpstr>P_Inicio</vt:lpstr>
      <vt:lpstr>P_IRE</vt:lpstr>
      <vt:lpstr>P_IVAint</vt:lpstr>
      <vt:lpstr>P_IVAmeses</vt:lpstr>
      <vt:lpstr>P_IVArec</vt:lpstr>
      <vt:lpstr>P_Ke</vt:lpstr>
      <vt:lpstr>P_L1_Cuotas</vt:lpstr>
      <vt:lpstr>P_L1_Gracia</vt:lpstr>
      <vt:lpstr>P_L1_Mes</vt:lpstr>
      <vt:lpstr>P_L1_Monto</vt:lpstr>
      <vt:lpstr>P_L1_Tasa</vt:lpstr>
      <vt:lpstr>P_L2_Cuotas</vt:lpstr>
      <vt:lpstr>P_L2_Gracia</vt:lpstr>
      <vt:lpstr>P_L2_Mes</vt:lpstr>
      <vt:lpstr>P_L2_Monto</vt:lpstr>
      <vt:lpstr>P_L2_Tasa</vt:lpstr>
      <vt:lpstr>P_L3_Cuotas</vt:lpstr>
      <vt:lpstr>P_L3_Gracia</vt:lpstr>
      <vt:lpstr>P_L3_Mes</vt:lpstr>
      <vt:lpstr>P_L3_Monto</vt:lpstr>
      <vt:lpstr>P_L3_Tasa</vt:lpstr>
      <vt:lpstr>P_LC_Desde</vt:lpstr>
      <vt:lpstr>P_LC_Hasta</vt:lpstr>
      <vt:lpstr>P_LC_Lim</vt:lpstr>
      <vt:lpstr>P_LC_Tasa</vt:lpstr>
      <vt:lpstr>P_Merma</vt:lpstr>
      <vt:lpstr>P_MesDiv</vt:lpstr>
      <vt:lpstr>P_Pkg</vt:lpstr>
      <vt:lpstr>P_PreDir</vt:lpstr>
      <vt:lpstr>P_PreInd</vt:lpstr>
      <vt:lpstr>P_RealAF</vt:lpstr>
      <vt:lpstr>P_RealCT</vt:lpstr>
      <vt:lpstr>P_SegV</vt:lpstr>
      <vt:lpstr>P_Trib</vt:lpstr>
      <vt:lpstr>P_WACC</vt:lpstr>
      <vt:lpstr>Payout_O</vt:lpstr>
      <vt:lpstr>Payout_V</vt:lpstr>
      <vt:lpstr>Per_Clase</vt:lpstr>
      <vt:lpstr>Per_Mon</vt:lpstr>
      <vt:lpstr>Precio_O</vt:lpstr>
      <vt:lpstr>Precio_V</vt:lpstr>
      <vt:lpstr>Prod_Nombre</vt:lpstr>
      <vt:lpstr>pub_EBITDA</vt:lpstr>
      <vt:lpstr>pub_TIR</vt:lpstr>
      <vt:lpstr>pub_Utilidad</vt:lpstr>
      <vt:lpstr>pub_VAN</vt:lpstr>
      <vt:lpstr>pub_Ventas</vt:lpstr>
      <vt:lpstr>py_Brecha</vt:lpstr>
      <vt:lpstr>r_BrechaV</vt:lpstr>
      <vt:lpstr>r_ChkP</vt:lpstr>
      <vt:lpstr>r_ChkV</vt:lpstr>
      <vt:lpstr>r_DeudaFinP</vt:lpstr>
      <vt:lpstr>Sal_O</vt:lpstr>
      <vt:lpstr>Sal_V</vt:lpstr>
      <vt:lpstr>TC_O</vt:lpstr>
      <vt:lpstr>TC_V</vt:lpstr>
      <vt:lpstr>V_Alim</vt:lpstr>
      <vt:lpstr>V_Anios</vt:lpstr>
      <vt:lpstr>V_CajaMin</vt:lpstr>
      <vt:lpstr>V_Cargas</vt:lpstr>
      <vt:lpstr>V_ComV</vt:lpstr>
      <vt:lpstr>V_dCapex</vt:lpstr>
      <vt:lpstr>V_Desp</vt:lpstr>
      <vt:lpstr>V_DInv</vt:lpstr>
      <vt:lpstr>V_dMat</vt:lpstr>
      <vt:lpstr>V_DPOmp</vt:lpstr>
      <vt:lpstr>V_DPOot</vt:lpstr>
      <vt:lpstr>V_dPrecio</vt:lpstr>
      <vt:lpstr>V_DPT</vt:lpstr>
      <vt:lpstr>V_DSO</vt:lpstr>
      <vt:lpstr>V_dTC</vt:lpstr>
      <vt:lpstr>V_dVol</vt:lpstr>
      <vt:lpstr>V_ImpA</vt:lpstr>
      <vt:lpstr>V_ImpP</vt:lpstr>
      <vt:lpstr>V_Inicio</vt:lpstr>
      <vt:lpstr>V_IRE</vt:lpstr>
      <vt:lpstr>V_IVAint</vt:lpstr>
      <vt:lpstr>V_IVAmeses</vt:lpstr>
      <vt:lpstr>V_IVArec</vt:lpstr>
      <vt:lpstr>V_Ke</vt:lpstr>
      <vt:lpstr>V_L1_Cuotas</vt:lpstr>
      <vt:lpstr>V_L1_Gracia</vt:lpstr>
      <vt:lpstr>V_L1_Mes</vt:lpstr>
      <vt:lpstr>V_L1_Monto</vt:lpstr>
      <vt:lpstr>V_L1_Tasa</vt:lpstr>
      <vt:lpstr>V_L2_Cuotas</vt:lpstr>
      <vt:lpstr>V_L2_Gracia</vt:lpstr>
      <vt:lpstr>V_L2_Mes</vt:lpstr>
      <vt:lpstr>V_L2_Monto</vt:lpstr>
      <vt:lpstr>V_L2_Tasa</vt:lpstr>
      <vt:lpstr>V_L3_Cuotas</vt:lpstr>
      <vt:lpstr>V_L3_Gracia</vt:lpstr>
      <vt:lpstr>V_L3_Mes</vt:lpstr>
      <vt:lpstr>V_L3_Monto</vt:lpstr>
      <vt:lpstr>V_L3_Tasa</vt:lpstr>
      <vt:lpstr>V_LC_Desde</vt:lpstr>
      <vt:lpstr>V_LC_Hasta</vt:lpstr>
      <vt:lpstr>V_LC_Lim</vt:lpstr>
      <vt:lpstr>V_LC_Saldo0</vt:lpstr>
      <vt:lpstr>V_LC_Tasa</vt:lpstr>
      <vt:lpstr>V_Merma</vt:lpstr>
      <vt:lpstr>V_MesDiv</vt:lpstr>
      <vt:lpstr>V_Pkg</vt:lpstr>
      <vt:lpstr>V_PreDir</vt:lpstr>
      <vt:lpstr>V_PreInd</vt:lpstr>
      <vt:lpstr>V_RealAF</vt:lpstr>
      <vt:lpstr>V_RealCT</vt:lpstr>
      <vt:lpstr>V_SegV</vt:lpstr>
      <vt:lpstr>V_Trib</vt:lpstr>
      <vt:lpstr>V_WACC</vt:lpstr>
      <vt:lpstr>vg_Alim</vt:lpstr>
      <vt:lpstr>vg_Anios</vt:lpstr>
      <vt:lpstr>vg_CajaMin</vt:lpstr>
      <vt:lpstr>vg_Cargas</vt:lpstr>
      <vt:lpstr>vg_ComV</vt:lpstr>
      <vt:lpstr>vg_Desp</vt:lpstr>
      <vt:lpstr>vg_DInv</vt:lpstr>
      <vt:lpstr>vg_DPOmp</vt:lpstr>
      <vt:lpstr>vg_DPOot</vt:lpstr>
      <vt:lpstr>vg_DPT</vt:lpstr>
      <vt:lpstr>vg_DSO</vt:lpstr>
      <vt:lpstr>vg_ImpA</vt:lpstr>
      <vt:lpstr>vg_ImpP</vt:lpstr>
      <vt:lpstr>vg_Inicio</vt:lpstr>
      <vt:lpstr>vg_IRE</vt:lpstr>
      <vt:lpstr>vg_IVAint</vt:lpstr>
      <vt:lpstr>vg_IVAmeses</vt:lpstr>
      <vt:lpstr>vg_IVArec</vt:lpstr>
      <vt:lpstr>vg_Ke</vt:lpstr>
      <vt:lpstr>vg_Merma</vt:lpstr>
      <vt:lpstr>vg_MesDiv</vt:lpstr>
      <vt:lpstr>vg_Pkg</vt:lpstr>
      <vt:lpstr>vg_PreDir</vt:lpstr>
      <vt:lpstr>vg_PreInd</vt:lpstr>
      <vt:lpstr>vg_RealAF</vt:lpstr>
      <vt:lpstr>vg_RealCT</vt:lpstr>
      <vt:lpstr>vg_SegV</vt:lpstr>
      <vt:lpstr>vg_Trib</vt:lpstr>
      <vt:lpstr>vg_WACC</vt:lpstr>
      <vt:lpstr>Vol_O</vt:lpstr>
      <vt:lpstr>Vol_V</vt:lpstr>
      <vt:lpstr>VolTot_O</vt:lpstr>
      <vt:lpstr>VolTot_V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Derlis Morinigo</cp:lastModifiedBy>
  <cp:revision>1</cp:revision>
  <dcterms:created xsi:type="dcterms:W3CDTF">2026-10-27T20:52:13Z</dcterms:created>
  <dcterms:modified xsi:type="dcterms:W3CDTF">2026-10-27T21:39:47Z</dcterms:modified>
  <dc:language>en-US</dc:language>
</cp:coreProperties>
</file>